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drawings/drawing11.xml" ContentType="application/vnd.openxmlformats-officedocument.drawing+xml"/>
  <Override PartName="/xl/drawings/drawing10.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ivotTables/pivotTable1.xml" ContentType="application/vnd.openxmlformats-officedocument.spreadsheetml.pivotTable+xml"/>
  <Override PartName="/xl/worksheets/sheet2.xml" ContentType="application/vnd.openxmlformats-officedocument.spreadsheetml.worksheet+xml"/>
  <Override PartName="/xl/worksheets/sheet3.xml" ContentType="application/vnd.openxmlformats-officedocument.spreadsheetml.worksheet+xml"/>
  <Override PartName="/xl/drawings/drawing9.xml" ContentType="application/vnd.openxmlformats-officedocument.drawing+xml"/>
  <Override PartName="/xl/worksheets/sheet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drawings/drawing8.xml" ContentType="application/vnd.openxmlformats-officedocument.drawing+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7.xml" ContentType="application/vnd.openxmlformats-officedocument.spreadsheetml.comments+xml"/>
  <Override PartName="/xl/comments2.xml" ContentType="application/vnd.openxmlformats-officedocument.spreadsheetml.comments+xml"/>
  <Override PartName="/xl/comments4.xml" ContentType="application/vnd.openxmlformats-officedocument.spreadsheetml.comments+xml"/>
  <Override PartName="/xl/comments3.xml" ContentType="application/vnd.openxmlformats-officedocument.spreadsheetml.comments+xml"/>
  <Override PartName="/xl/comments5.xml" ContentType="application/vnd.openxmlformats-officedocument.spreadsheetml.comments+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comments1.xml" ContentType="application/vnd.openxmlformats-officedocument.spreadsheetml.comments+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calcChain.xml" ContentType="application/vnd.openxmlformats-officedocument.spreadsheetml.calcChain+xml"/>
  <Override PartName="/docProps/core.xml" ContentType="application/vnd.openxmlformats-package.core-properties+xml"/>
  <Override PartName="/xl/comments9.xml" ContentType="application/vnd.openxmlformats-officedocument.spreadsheetml.comments+xml"/>
  <Override PartName="/xl/comments8.xml" ContentType="application/vnd.openxmlformats-officedocument.spreadsheetml.comments+xml"/>
  <Override PartName="/xl/comments6.xml" ContentType="application/vnd.openxmlformats-officedocument.spreadsheetml.comments+xml"/>
  <Override PartName="/docProps/app.xml" ContentType="application/vnd.openxmlformats-officedocument.extended-properties+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66925"/>
  <mc:AlternateContent xmlns:mc="http://schemas.openxmlformats.org/markup-compatibility/2006">
    <mc:Choice Requires="x15">
      <x15ac:absPath xmlns:x15ac="http://schemas.microsoft.com/office/spreadsheetml/2010/11/ac" url="C:\Users\norela.briceno\Documents\Plan de acción\Plan Accion 2018\"/>
    </mc:Choice>
  </mc:AlternateContent>
  <xr:revisionPtr revIDLastSave="0" documentId="13_ncr:1_{02B80707-AD0A-40E7-811A-8DE33A377B66}" xr6:coauthVersionLast="36" xr6:coauthVersionMax="36" xr10:uidLastSave="{00000000-0000-0000-0000-000000000000}"/>
  <bookViews>
    <workbookView xWindow="0" yWindow="0" windowWidth="20490" windowHeight="7530" tabRatio="603" firstSheet="2" activeTab="2" xr2:uid="{00000000-000D-0000-FFFF-FFFF00000000}"/>
  </bookViews>
  <sheets>
    <sheet name="Plan de Accion Final" sheetId="14" state="hidden" r:id="rId1"/>
    <sheet name="Hoja2" sheetId="8" state="hidden" r:id="rId2"/>
    <sheet name="Plan de Accion 2018" sheetId="3" r:id="rId3"/>
    <sheet name="Cuadro Mando Integral Seguimien" sheetId="24" r:id="rId4"/>
    <sheet name="Cumplimiento perspectivas conso" sheetId="17" state="hidden" r:id="rId5"/>
    <sheet name="Cuadro Mando Integral Detallado" sheetId="15" r:id="rId6"/>
    <sheet name="Cumplimiento perspectivas Mejor" sheetId="27" r:id="rId7"/>
    <sheet name="Cumplimiento de objetivos" sheetId="16" state="hidden" r:id="rId8"/>
    <sheet name="Cumplimi actividades relevantes" sheetId="23" state="hidden" r:id="rId9"/>
    <sheet name="Cumplimiento de objetivos Mejor" sheetId="29" r:id="rId10"/>
    <sheet name="Cumplimiento Dependencias" sheetId="18" state="hidden" r:id="rId11"/>
    <sheet name="Cumplimiento Dependencias Mejor" sheetId="28" r:id="rId12"/>
    <sheet name="Ejecución Presupuestal" sheetId="26" r:id="rId13"/>
    <sheet name="Control de Cambios" sheetId="25" r:id="rId14"/>
    <sheet name="Actividades relevantes Detalle" sheetId="22" state="hidden" r:id="rId15"/>
    <sheet name="PLAN DE ADQUISIONES COMPILADO" sheetId="13" state="hidden" r:id="rId16"/>
    <sheet name="TAB. REF. PA" sheetId="4"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xlnm._FilterDatabase" localSheetId="14" hidden="1">'Actividades relevantes Detalle'!$A$7:$BR$150</definedName>
    <definedName name="_xlnm._FilterDatabase" localSheetId="5" hidden="1">'Cuadro Mando Integral Detallado'!$B$14:$CL$386</definedName>
    <definedName name="_xlnm._FilterDatabase" localSheetId="2" hidden="1">'Plan de Accion 2018'!$A$7:$XCO$328</definedName>
    <definedName name="_xlnm._FilterDatabase" localSheetId="0" hidden="1">'Plan de Accion Final'!$A$8:$BQ$152</definedName>
    <definedName name="Central_de_Costos">'TAB. REF. PA'!$A$4:$A$14</definedName>
    <definedName name="CÓDIGO_AREA" localSheetId="16">'TAB. REF. PA'!$A$4:$A$14</definedName>
    <definedName name="Dimensión_MIPG">'TAB. REF. PA'!$F$2</definedName>
    <definedName name="Estrategia_Sectorial">'TAB. REF. PA'!$L$2</definedName>
    <definedName name="Fuente_de_Recursos">'TAB. REF. PA'!$W$2</definedName>
    <definedName name="Indicador">'TAB. REF. PA'!$S$2</definedName>
    <definedName name="Indicador_SINERGIA">'TAB. REF. PA'!$U$2</definedName>
    <definedName name="Objetivo_Especifico_PND">'TAB. REF. PA'!$J$2</definedName>
    <definedName name="OBJETIVO_ESTRATEGICO">'TAB. REF. PA'!$D$2</definedName>
    <definedName name="Política_MIPG">'TAB. REF. PA'!$H$2</definedName>
    <definedName name="Procedimiento">'TAB. REF. PA'!$P$2</definedName>
    <definedName name="Proceso">'TAB. REF. PA'!$N$2</definedName>
    <definedName name="_xlnm.Print_Titles" localSheetId="13">'Control de Cambios'!$1:$4</definedName>
  </definedNames>
  <calcPr calcId="191029"/>
  <pivotCaches>
    <pivotCache cacheId="1" r:id="rId3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04" i="3" l="1"/>
  <c r="N28" i="26"/>
  <c r="L340" i="3"/>
  <c r="BF158" i="3" l="1"/>
  <c r="BF72" i="3" l="1"/>
  <c r="BF93" i="3"/>
  <c r="AV93" i="3"/>
  <c r="AL93" i="3"/>
  <c r="AB93" i="3"/>
  <c r="BF176" i="3" l="1"/>
  <c r="BF40" i="3" l="1"/>
  <c r="E115" i="15" l="1"/>
  <c r="D115" i="15"/>
  <c r="V305" i="15"/>
  <c r="O305" i="15"/>
  <c r="H305" i="15"/>
  <c r="E305" i="15"/>
  <c r="F305" i="15"/>
  <c r="D305" i="15"/>
  <c r="BF286" i="3" l="1"/>
  <c r="BF313" i="3"/>
  <c r="BG313" i="3"/>
  <c r="BR313" i="3"/>
  <c r="W115" i="15" s="1"/>
  <c r="BQ313" i="3"/>
  <c r="W305" i="15" s="1"/>
  <c r="BP313" i="3"/>
  <c r="P115" i="15" s="1"/>
  <c r="BO313" i="3"/>
  <c r="P305" i="15" s="1"/>
  <c r="BN313" i="3"/>
  <c r="I115" i="15" s="1"/>
  <c r="BM313" i="3"/>
  <c r="I305" i="15" s="1"/>
  <c r="AZ313" i="3"/>
  <c r="Y305" i="15" s="1"/>
  <c r="Z305" i="15" s="1"/>
  <c r="AY313" i="3"/>
  <c r="V115" i="15" s="1"/>
  <c r="AX313" i="3"/>
  <c r="AP313" i="3"/>
  <c r="R305" i="15" s="1"/>
  <c r="S305" i="15" s="1"/>
  <c r="AO313" i="3"/>
  <c r="O115" i="15" s="1"/>
  <c r="AN313" i="3"/>
  <c r="AF313" i="3"/>
  <c r="K305" i="15" s="1"/>
  <c r="L305" i="15" s="1"/>
  <c r="AE313" i="3"/>
  <c r="H115" i="15" s="1"/>
  <c r="AD313" i="3"/>
  <c r="V313" i="3"/>
  <c r="Z313" i="3" s="1"/>
  <c r="L313" i="3"/>
  <c r="W313" i="3" s="1"/>
  <c r="BJ313" i="3" l="1"/>
  <c r="AC305" i="15"/>
  <c r="AQ313" i="3"/>
  <c r="R115" i="15" s="1"/>
  <c r="S115" i="15" s="1"/>
  <c r="BE313" i="3"/>
  <c r="BT313" i="3" s="1"/>
  <c r="AD115" i="15" s="1"/>
  <c r="AJ313" i="3"/>
  <c r="BK313" i="3"/>
  <c r="AF115" i="15" s="1"/>
  <c r="AG115" i="15" s="1"/>
  <c r="AT313" i="3"/>
  <c r="AG313" i="3"/>
  <c r="K115" i="15" s="1"/>
  <c r="L115" i="15" s="1"/>
  <c r="BA313" i="3"/>
  <c r="Y115" i="15" s="1"/>
  <c r="Z115" i="15" s="1"/>
  <c r="BD313" i="3"/>
  <c r="BH313" i="3"/>
  <c r="BS313" i="3"/>
  <c r="AD305" i="15" s="1"/>
  <c r="AE305" i="15" s="1"/>
  <c r="N22" i="26"/>
  <c r="N24" i="26" s="1"/>
  <c r="BG330" i="3"/>
  <c r="N17" i="26"/>
  <c r="N19" i="26" s="1"/>
  <c r="BG102" i="3"/>
  <c r="N27" i="26" l="1"/>
  <c r="BI313" i="3"/>
  <c r="AC115" i="15" s="1"/>
  <c r="N29" i="26"/>
  <c r="F38" i="15" l="1"/>
  <c r="E38" i="15"/>
  <c r="D38" i="15"/>
  <c r="BF14" i="3"/>
  <c r="BM180" i="3"/>
  <c r="AX180" i="3"/>
  <c r="L135" i="3"/>
  <c r="BF145" i="3"/>
  <c r="BH37" i="3"/>
  <c r="BP103" i="3"/>
  <c r="BN103" i="3"/>
  <c r="BT103" i="3"/>
  <c r="BS103" i="3"/>
  <c r="BR103" i="3"/>
  <c r="BQ103" i="3"/>
  <c r="BO103" i="3"/>
  <c r="BM103" i="3"/>
  <c r="F39" i="15"/>
  <c r="E39" i="15"/>
  <c r="D39" i="15"/>
  <c r="AC276" i="15"/>
  <c r="V276" i="15"/>
  <c r="O276" i="15"/>
  <c r="H276" i="15"/>
  <c r="F276" i="15"/>
  <c r="D276" i="15"/>
  <c r="BF147" i="3"/>
  <c r="BF143" i="3"/>
  <c r="V82" i="15"/>
  <c r="O82" i="15"/>
  <c r="H82" i="15"/>
  <c r="V81" i="15"/>
  <c r="O81" i="15"/>
  <c r="H81" i="15"/>
  <c r="V80" i="15"/>
  <c r="O80" i="15"/>
  <c r="H80" i="15"/>
  <c r="F82" i="15"/>
  <c r="F81" i="15"/>
  <c r="F80" i="15"/>
  <c r="D82" i="15"/>
  <c r="D81" i="15"/>
  <c r="D80" i="15"/>
  <c r="BH145" i="3" l="1"/>
  <c r="L112" i="3"/>
  <c r="L141" i="3"/>
  <c r="BE141" i="3"/>
  <c r="BF131" i="3"/>
  <c r="BF130" i="3"/>
  <c r="BG115" i="3"/>
  <c r="BF120" i="3"/>
  <c r="BF121" i="3"/>
  <c r="BF118" i="3"/>
  <c r="AC342" i="15" s="1"/>
  <c r="BF117" i="3"/>
  <c r="BF116" i="3"/>
  <c r="BF113" i="3"/>
  <c r="L129" i="3"/>
  <c r="L127" i="3"/>
  <c r="L124" i="3"/>
  <c r="L115" i="3"/>
  <c r="L114" i="3"/>
  <c r="BT312" i="3"/>
  <c r="AD39" i="15" s="1"/>
  <c r="AE39" i="15" s="1"/>
  <c r="BS312" i="3"/>
  <c r="BR312" i="3"/>
  <c r="W39" i="15" s="1"/>
  <c r="BQ312" i="3"/>
  <c r="BP312" i="3"/>
  <c r="P39" i="15" s="1"/>
  <c r="BO312" i="3"/>
  <c r="BN312" i="3"/>
  <c r="I39" i="15" s="1"/>
  <c r="BM312" i="3"/>
  <c r="BJ312" i="3"/>
  <c r="BI312" i="3"/>
  <c r="AC39" i="15" s="1"/>
  <c r="BH312" i="3"/>
  <c r="AZ312" i="3"/>
  <c r="AY312" i="3"/>
  <c r="V39" i="15" s="1"/>
  <c r="AX312" i="3"/>
  <c r="AP312" i="3"/>
  <c r="AO312" i="3"/>
  <c r="O39" i="15" s="1"/>
  <c r="AN312" i="3"/>
  <c r="AF312" i="3"/>
  <c r="AE312" i="3"/>
  <c r="H39" i="15" s="1"/>
  <c r="AD312" i="3"/>
  <c r="W312" i="3"/>
  <c r="BK312" i="3" s="1"/>
  <c r="AF39" i="15" s="1"/>
  <c r="AG39" i="15" s="1"/>
  <c r="V312" i="3"/>
  <c r="AT312" i="3" s="1"/>
  <c r="BG160" i="3"/>
  <c r="BA312" i="3" l="1"/>
  <c r="Y39" i="15" s="1"/>
  <c r="Z39" i="15" s="1"/>
  <c r="AJ312" i="3"/>
  <c r="AG312" i="3"/>
  <c r="K39" i="15" s="1"/>
  <c r="L39" i="15" s="1"/>
  <c r="BD312" i="3"/>
  <c r="Z312" i="3"/>
  <c r="AQ312" i="3"/>
  <c r="R39" i="15" s="1"/>
  <c r="S39" i="15" s="1"/>
  <c r="BF13" i="3"/>
  <c r="BF186" i="3" l="1"/>
  <c r="BF187" i="3"/>
  <c r="BF183" i="3"/>
  <c r="BF169" i="3"/>
  <c r="BF164" i="3"/>
  <c r="BF163" i="3"/>
  <c r="BF162" i="3"/>
  <c r="BF161" i="3"/>
  <c r="BF160" i="3"/>
  <c r="BF179" i="3"/>
  <c r="BF173" i="3"/>
  <c r="BG308" i="3" l="1"/>
  <c r="BG291" i="3"/>
  <c r="BF98" i="3"/>
  <c r="BG97" i="3"/>
  <c r="BG96" i="3"/>
  <c r="BF96" i="3"/>
  <c r="BG95" i="3"/>
  <c r="BF95" i="3" s="1"/>
  <c r="BG92" i="3"/>
  <c r="BF144" i="3" l="1"/>
  <c r="BE32" i="3" l="1"/>
  <c r="L32" i="3"/>
  <c r="BE35" i="3"/>
  <c r="L35" i="3"/>
  <c r="BE33" i="3"/>
  <c r="L33" i="3"/>
  <c r="BE31" i="3"/>
  <c r="L31" i="3"/>
  <c r="BE29" i="3"/>
  <c r="L29" i="3"/>
  <c r="BE28" i="3"/>
  <c r="L28" i="3"/>
  <c r="BE27" i="3"/>
  <c r="L27" i="3"/>
  <c r="BE26" i="3"/>
  <c r="L26" i="3"/>
  <c r="BE25" i="3"/>
  <c r="L25" i="3"/>
  <c r="BE24" i="3"/>
  <c r="L24" i="3"/>
  <c r="BE23" i="3"/>
  <c r="L23" i="3"/>
  <c r="BE22" i="3"/>
  <c r="L22" i="3"/>
  <c r="L21" i="3"/>
  <c r="L20" i="3"/>
  <c r="BE19" i="3"/>
  <c r="L19" i="3"/>
  <c r="BE18" i="3"/>
  <c r="L18" i="3"/>
  <c r="AU17" i="3"/>
  <c r="L17" i="3"/>
  <c r="BE16" i="3"/>
  <c r="L16" i="3"/>
  <c r="BE15" i="3"/>
  <c r="L15" i="3"/>
  <c r="BF16" i="3" l="1"/>
  <c r="BF19" i="3"/>
  <c r="BF20" i="3"/>
  <c r="BF21" i="3"/>
  <c r="BF22" i="3"/>
  <c r="BF24" i="3"/>
  <c r="BF26" i="3"/>
  <c r="BF27" i="3"/>
  <c r="BF29" i="3"/>
  <c r="BF30" i="3"/>
  <c r="BF31" i="3"/>
  <c r="BF32" i="3"/>
  <c r="BF33" i="3"/>
  <c r="BF34" i="3"/>
  <c r="BF35" i="3"/>
  <c r="BF15" i="3"/>
  <c r="BE311" i="3" l="1"/>
  <c r="BT311" i="3" s="1"/>
  <c r="BE299" i="3"/>
  <c r="L299" i="3"/>
  <c r="BF276" i="3"/>
  <c r="BF270" i="3"/>
  <c r="BF178" i="3"/>
  <c r="BF138" i="3"/>
  <c r="BF136" i="3"/>
  <c r="L136" i="3"/>
  <c r="AA136" i="3" s="1"/>
  <c r="BF139" i="3" l="1"/>
  <c r="BF134" i="3"/>
  <c r="BF133" i="3"/>
  <c r="BF132" i="3"/>
  <c r="BG124" i="3"/>
  <c r="BF129" i="3"/>
  <c r="BF127" i="3"/>
  <c r="BF126" i="3"/>
  <c r="BF125" i="3"/>
  <c r="BF124" i="3"/>
  <c r="BF123" i="3"/>
  <c r="BG122" i="3"/>
  <c r="BF122" i="3"/>
  <c r="BF114" i="3"/>
  <c r="BG111" i="3"/>
  <c r="BG317" i="3" s="1"/>
  <c r="BG319" i="3" s="1"/>
  <c r="L111" i="3"/>
  <c r="BF111" i="3"/>
  <c r="L315" i="3" l="1"/>
  <c r="W111" i="3"/>
  <c r="L122" i="3"/>
  <c r="L317" i="3" l="1"/>
  <c r="M316" i="3"/>
  <c r="L36" i="3"/>
  <c r="BE36" i="3"/>
  <c r="AV15" i="3"/>
  <c r="AL15" i="3"/>
  <c r="BE102" i="3" l="1"/>
  <c r="L102" i="3"/>
  <c r="AU102" i="3"/>
  <c r="L103" i="3"/>
  <c r="BF57" i="3" l="1"/>
  <c r="BF61" i="3"/>
  <c r="BF60" i="3"/>
  <c r="BF59" i="3"/>
  <c r="BF58" i="3"/>
  <c r="BF159" i="3" l="1"/>
  <c r="BF56" i="3" l="1"/>
  <c r="BF55" i="3"/>
  <c r="BF54" i="3"/>
  <c r="BF53" i="3"/>
  <c r="BF52" i="3"/>
  <c r="BF51" i="3"/>
  <c r="BF108" i="3"/>
  <c r="BF11" i="3" l="1"/>
  <c r="BF10" i="3"/>
  <c r="BF9" i="3"/>
  <c r="BF73" i="3" l="1"/>
  <c r="BF70" i="3"/>
  <c r="BF67" i="3"/>
  <c r="BF65" i="3"/>
  <c r="BF236" i="3" l="1"/>
  <c r="BF41" i="3" l="1"/>
  <c r="L109" i="3"/>
  <c r="W109" i="3" s="1"/>
  <c r="BE109" i="3"/>
  <c r="BF109" i="3"/>
  <c r="BF241" i="3" l="1"/>
  <c r="AV241" i="3"/>
  <c r="BE144" i="3" l="1"/>
  <c r="L144" i="3"/>
  <c r="BF146" i="3"/>
  <c r="L137" i="3" l="1"/>
  <c r="L311" i="3"/>
  <c r="BS311" i="3"/>
  <c r="AD276" i="15" s="1"/>
  <c r="AE276" i="15" s="1"/>
  <c r="BQ311" i="3"/>
  <c r="W276" i="15" s="1"/>
  <c r="BP311" i="3"/>
  <c r="BO311" i="3"/>
  <c r="P276" i="15" s="1"/>
  <c r="BN311" i="3"/>
  <c r="BM311" i="3"/>
  <c r="I276" i="15" s="1"/>
  <c r="BJ311" i="3"/>
  <c r="AF276" i="15" s="1"/>
  <c r="AG276" i="15" s="1"/>
  <c r="BH311" i="3"/>
  <c r="AZ311" i="3"/>
  <c r="Y276" i="15" s="1"/>
  <c r="Z276" i="15" s="1"/>
  <c r="AX311" i="3"/>
  <c r="AP311" i="3"/>
  <c r="R276" i="15" s="1"/>
  <c r="S276" i="15" s="1"/>
  <c r="AO311" i="3"/>
  <c r="AN311" i="3"/>
  <c r="AF311" i="3"/>
  <c r="K276" i="15" s="1"/>
  <c r="L276" i="15" s="1"/>
  <c r="AE311" i="3"/>
  <c r="AD311" i="3"/>
  <c r="V311" i="3"/>
  <c r="W311" i="3" l="1"/>
  <c r="AJ311" i="3"/>
  <c r="BD311" i="3"/>
  <c r="Z311" i="3"/>
  <c r="BI311" i="3"/>
  <c r="AT311" i="3"/>
  <c r="BA311" i="3" l="1"/>
  <c r="BK311" i="3"/>
  <c r="AQ311" i="3"/>
  <c r="AU311" i="3"/>
  <c r="AG311" i="3"/>
  <c r="BF226" i="3"/>
  <c r="BF281" i="3"/>
  <c r="BF206" i="3"/>
  <c r="BR311" i="3" l="1"/>
  <c r="AY311" i="3"/>
  <c r="BQ310" i="3"/>
  <c r="BO310" i="3"/>
  <c r="BM310" i="3"/>
  <c r="AZ310" i="3"/>
  <c r="AX310" i="3"/>
  <c r="AP310" i="3"/>
  <c r="AN310" i="3"/>
  <c r="AF310" i="3"/>
  <c r="AD310" i="3"/>
  <c r="AA310" i="3"/>
  <c r="W310" i="3"/>
  <c r="BA310" i="3" s="1"/>
  <c r="Y82" i="15" s="1"/>
  <c r="Z82" i="15" s="1"/>
  <c r="V310" i="3"/>
  <c r="BQ309" i="3"/>
  <c r="BO309" i="3"/>
  <c r="BM309" i="3"/>
  <c r="AZ309" i="3"/>
  <c r="AX309" i="3"/>
  <c r="AP309" i="3"/>
  <c r="AN309" i="3"/>
  <c r="AF309" i="3"/>
  <c r="AD309" i="3"/>
  <c r="AA309" i="3"/>
  <c r="BN309" i="3" s="1"/>
  <c r="I81" i="15" s="1"/>
  <c r="W309" i="3"/>
  <c r="BE309" i="3" s="1"/>
  <c r="BF309" i="3" s="1"/>
  <c r="V309" i="3"/>
  <c r="AT309" i="3" s="1"/>
  <c r="BJ309" i="3" l="1"/>
  <c r="AC81" i="15"/>
  <c r="BS309" i="3"/>
  <c r="BH309" i="3"/>
  <c r="AQ310" i="3"/>
  <c r="R82" i="15" s="1"/>
  <c r="S82" i="15" s="1"/>
  <c r="BK310" i="3"/>
  <c r="AF82" i="15" s="1"/>
  <c r="AG82" i="15" s="1"/>
  <c r="Z310" i="3"/>
  <c r="BD310" i="3"/>
  <c r="AU310" i="3"/>
  <c r="AY310" i="3" s="1"/>
  <c r="AG310" i="3"/>
  <c r="K82" i="15" s="1"/>
  <c r="L82" i="15" s="1"/>
  <c r="BE310" i="3"/>
  <c r="BI309" i="3"/>
  <c r="BT309" i="3"/>
  <c r="AD81" i="15" s="1"/>
  <c r="AE81" i="15" s="1"/>
  <c r="AU309" i="3"/>
  <c r="AJ310" i="3"/>
  <c r="AQ309" i="3"/>
  <c r="R81" i="15" s="1"/>
  <c r="S81" i="15" s="1"/>
  <c r="BK309" i="3"/>
  <c r="AF81" i="15" s="1"/>
  <c r="AG81" i="15" s="1"/>
  <c r="AE309" i="3"/>
  <c r="AK310" i="3"/>
  <c r="AK309" i="3"/>
  <c r="BP309" i="3" s="1"/>
  <c r="P81" i="15" s="1"/>
  <c r="BA309" i="3"/>
  <c r="Y81" i="15" s="1"/>
  <c r="Z81" i="15" s="1"/>
  <c r="AG309" i="3"/>
  <c r="K81" i="15" s="1"/>
  <c r="L81" i="15" s="1"/>
  <c r="AE310" i="3"/>
  <c r="AT310" i="3"/>
  <c r="BN310" i="3"/>
  <c r="I82" i="15" s="1"/>
  <c r="Z309" i="3"/>
  <c r="AJ309" i="3"/>
  <c r="BD309" i="3"/>
  <c r="BT310" i="3" l="1"/>
  <c r="AD82" i="15" s="1"/>
  <c r="AE82" i="15" s="1"/>
  <c r="BF310" i="3"/>
  <c r="AC82" i="15" s="1"/>
  <c r="BR310" i="3"/>
  <c r="W82" i="15" s="1"/>
  <c r="AO309" i="3"/>
  <c r="BI310" i="3"/>
  <c r="AO310" i="3"/>
  <c r="BP310" i="3"/>
  <c r="P82" i="15" s="1"/>
  <c r="BR309" i="3"/>
  <c r="W81" i="15" s="1"/>
  <c r="AY309" i="3"/>
  <c r="BQ308" i="3"/>
  <c r="BO308" i="3"/>
  <c r="BM308" i="3"/>
  <c r="AZ308" i="3"/>
  <c r="AP308" i="3"/>
  <c r="AN308" i="3"/>
  <c r="AF308" i="3"/>
  <c r="AD308" i="3"/>
  <c r="AA308" i="3"/>
  <c r="W308" i="3"/>
  <c r="BE308" i="3" s="1"/>
  <c r="V308" i="3"/>
  <c r="BD308" i="3" s="1"/>
  <c r="BJ310" i="3" l="1"/>
  <c r="BH310" i="3"/>
  <c r="BS310" i="3"/>
  <c r="BI308" i="3"/>
  <c r="BF308" i="3"/>
  <c r="AC80" i="15" s="1"/>
  <c r="AJ308" i="3"/>
  <c r="AQ308" i="3"/>
  <c r="R80" i="15" s="1"/>
  <c r="S80" i="15" s="1"/>
  <c r="Z308" i="3"/>
  <c r="AT308" i="3"/>
  <c r="BK308" i="3"/>
  <c r="AF80" i="15" s="1"/>
  <c r="AG80" i="15" s="1"/>
  <c r="AG308" i="3"/>
  <c r="K80" i="15" s="1"/>
  <c r="L80" i="15" s="1"/>
  <c r="BA308" i="3"/>
  <c r="Y80" i="15" s="1"/>
  <c r="Z80" i="15" s="1"/>
  <c r="AU308" i="3"/>
  <c r="AY308" i="3" s="1"/>
  <c r="AK308" i="3"/>
  <c r="BP308" i="3" s="1"/>
  <c r="P80" i="15" s="1"/>
  <c r="BT308" i="3"/>
  <c r="AD80" i="15" s="1"/>
  <c r="AE80" i="15" s="1"/>
  <c r="AX308" i="3"/>
  <c r="BN308" i="3"/>
  <c r="I80" i="15" s="1"/>
  <c r="AE308" i="3"/>
  <c r="AW122" i="3"/>
  <c r="BS308" i="3" l="1"/>
  <c r="BH308" i="3"/>
  <c r="BJ308" i="3"/>
  <c r="BR308" i="3"/>
  <c r="W80" i="15" s="1"/>
  <c r="AO308" i="3"/>
  <c r="AV11" i="3" l="1"/>
  <c r="AV157" i="3" l="1"/>
  <c r="AB157" i="3"/>
  <c r="AV100" i="3"/>
  <c r="AV143" i="3"/>
  <c r="BI39" i="3"/>
  <c r="BH39" i="3"/>
  <c r="BJ38" i="3"/>
  <c r="BI38" i="3"/>
  <c r="BH38" i="3"/>
  <c r="BI37" i="3"/>
  <c r="L335" i="3"/>
  <c r="AW325" i="3"/>
  <c r="J28" i="26"/>
  <c r="J27" i="26"/>
  <c r="AY179" i="3"/>
  <c r="AV187" i="3" l="1"/>
  <c r="AV168" i="3"/>
  <c r="AV167" i="3"/>
  <c r="AV166" i="3"/>
  <c r="AV164" i="3"/>
  <c r="AV163" i="3"/>
  <c r="AV162" i="3"/>
  <c r="AV161" i="3"/>
  <c r="AV160" i="3"/>
  <c r="AV286" i="3" l="1"/>
  <c r="AV138" i="3"/>
  <c r="AL138" i="3"/>
  <c r="AY134" i="3"/>
  <c r="AX134" i="3"/>
  <c r="BQ134" i="3"/>
  <c r="AV122" i="3"/>
  <c r="AV13" i="3"/>
  <c r="AL13" i="3"/>
  <c r="AB13" i="3"/>
  <c r="AD13" i="3" s="1"/>
  <c r="D131" i="15"/>
  <c r="AV147" i="3"/>
  <c r="AX100" i="3" l="1"/>
  <c r="AL100" i="3"/>
  <c r="AV87" i="3"/>
  <c r="AX87" i="3" s="1"/>
  <c r="AZ62" i="3" l="1"/>
  <c r="AY62" i="3"/>
  <c r="AX62" i="3"/>
  <c r="BJ12" i="3"/>
  <c r="BJ13" i="3"/>
  <c r="AZ13" i="3"/>
  <c r="J24" i="26"/>
  <c r="J29" i="26"/>
  <c r="J19" i="26"/>
  <c r="Y304" i="15" l="1"/>
  <c r="Z304" i="15" s="1"/>
  <c r="AA304" i="15" s="1"/>
  <c r="W304" i="15"/>
  <c r="X304" i="15" s="1"/>
  <c r="AV19" i="3"/>
  <c r="AX19" i="3" s="1"/>
  <c r="AV14" i="3"/>
  <c r="BJ14" i="3" s="1"/>
  <c r="BQ14" i="3"/>
  <c r="V240" i="15"/>
  <c r="V239" i="15"/>
  <c r="BR14" i="3"/>
  <c r="BR13" i="3"/>
  <c r="BR12" i="3"/>
  <c r="BQ13" i="3"/>
  <c r="BQ12" i="3"/>
  <c r="V229" i="15"/>
  <c r="V210" i="15"/>
  <c r="V209" i="15"/>
  <c r="V208" i="15"/>
  <c r="V165" i="15"/>
  <c r="AZ278" i="3"/>
  <c r="W165" i="15" s="1"/>
  <c r="X165" i="15" s="1"/>
  <c r="AX278" i="3"/>
  <c r="BR39" i="3"/>
  <c r="BQ39" i="3"/>
  <c r="BR38" i="3"/>
  <c r="BQ38" i="3"/>
  <c r="BR37" i="3"/>
  <c r="BQ37" i="3"/>
  <c r="AY35" i="3"/>
  <c r="D36" i="15"/>
  <c r="AX11" i="3"/>
  <c r="AV304" i="3"/>
  <c r="AZ14" i="3" l="1"/>
  <c r="AY14" i="3"/>
  <c r="AX14" i="3"/>
  <c r="AY13" i="3"/>
  <c r="AX13" i="3"/>
  <c r="AZ12" i="3"/>
  <c r="AY12" i="3"/>
  <c r="AX12" i="3"/>
  <c r="W94" i="3" l="1"/>
  <c r="AQ94" i="3" l="1"/>
  <c r="BK94" i="3"/>
  <c r="AV20" i="3"/>
  <c r="AL19" i="3"/>
  <c r="AV285" i="3"/>
  <c r="AV140" i="3" l="1"/>
  <c r="AL140" i="3"/>
  <c r="AV169" i="3" l="1"/>
  <c r="AV217" i="3"/>
  <c r="AV159" i="3"/>
  <c r="AV179" i="3" l="1"/>
  <c r="AV78" i="3" l="1"/>
  <c r="AY122" i="3" l="1"/>
  <c r="AV34" i="3" l="1"/>
  <c r="AV33" i="3"/>
  <c r="AV32" i="3"/>
  <c r="AV30" i="3"/>
  <c r="AV27" i="3"/>
  <c r="AV26" i="3"/>
  <c r="AV24" i="3"/>
  <c r="AV22" i="3"/>
  <c r="AV21" i="3"/>
  <c r="AV16" i="3"/>
  <c r="AV41" i="3"/>
  <c r="AV40" i="3"/>
  <c r="AY39" i="3"/>
  <c r="AX39" i="3"/>
  <c r="AZ38" i="3"/>
  <c r="AY38" i="3"/>
  <c r="AX38" i="3"/>
  <c r="AY37" i="3"/>
  <c r="AX37" i="3"/>
  <c r="AV303" i="3"/>
  <c r="AV10" i="3"/>
  <c r="AV9" i="3"/>
  <c r="AX9" i="3" s="1"/>
  <c r="AV61" i="3" l="1"/>
  <c r="AV60" i="3"/>
  <c r="AV59" i="3"/>
  <c r="AV58" i="3"/>
  <c r="AV56" i="3" l="1"/>
  <c r="AV55" i="3"/>
  <c r="AV54" i="3"/>
  <c r="AV52" i="3"/>
  <c r="AV51" i="3"/>
  <c r="AV108" i="3" l="1"/>
  <c r="AW102" i="3"/>
  <c r="AL270" i="3" l="1"/>
  <c r="AL276" i="3"/>
  <c r="AV178" i="3"/>
  <c r="AV139" i="3"/>
  <c r="AW136" i="3"/>
  <c r="AV136" i="3"/>
  <c r="AV124" i="3"/>
  <c r="AV128" i="3"/>
  <c r="AV123" i="3"/>
  <c r="AV113" i="3"/>
  <c r="AV112" i="3"/>
  <c r="AV111" i="3"/>
  <c r="AZ111" i="3" s="1"/>
  <c r="L97" i="3" l="1"/>
  <c r="L92" i="3"/>
  <c r="L91" i="3"/>
  <c r="AL241" i="3" l="1"/>
  <c r="AV65" i="3"/>
  <c r="AZ241" i="3" l="1"/>
  <c r="BJ239" i="3" l="1"/>
  <c r="BI239" i="3"/>
  <c r="BH239" i="3"/>
  <c r="BJ238" i="3"/>
  <c r="BI238" i="3"/>
  <c r="BH238" i="3"/>
  <c r="BJ237" i="3"/>
  <c r="BI237" i="3"/>
  <c r="BH237" i="3"/>
  <c r="H128" i="15"/>
  <c r="H127" i="15"/>
  <c r="H126" i="15"/>
  <c r="AF239" i="3"/>
  <c r="AE239" i="3"/>
  <c r="AD239" i="3"/>
  <c r="AF238" i="3"/>
  <c r="AE238" i="3"/>
  <c r="AD238" i="3"/>
  <c r="AF237" i="3"/>
  <c r="AE237" i="3"/>
  <c r="AD237" i="3"/>
  <c r="AF303" i="3" l="1"/>
  <c r="AY67" i="3" l="1"/>
  <c r="AY72" i="3"/>
  <c r="AY178" i="3"/>
  <c r="O128" i="15"/>
  <c r="AZ239" i="3"/>
  <c r="AY239" i="3"/>
  <c r="AX239" i="3"/>
  <c r="AZ238" i="3"/>
  <c r="AY238" i="3"/>
  <c r="AX238" i="3"/>
  <c r="AZ237" i="3"/>
  <c r="AY237" i="3"/>
  <c r="AX237" i="3"/>
  <c r="AP239" i="3"/>
  <c r="AO239" i="3"/>
  <c r="AN239" i="3"/>
  <c r="AP238" i="3"/>
  <c r="AO238" i="3"/>
  <c r="AN238" i="3"/>
  <c r="AP237" i="3"/>
  <c r="AO237" i="3"/>
  <c r="AN237" i="3"/>
  <c r="O127" i="15"/>
  <c r="BT239" i="3"/>
  <c r="BS239" i="3"/>
  <c r="BR239" i="3"/>
  <c r="BQ239" i="3"/>
  <c r="BP239" i="3"/>
  <c r="BO239" i="3"/>
  <c r="BN239" i="3"/>
  <c r="BM239" i="3"/>
  <c r="BT238" i="3"/>
  <c r="BS238" i="3"/>
  <c r="BR238" i="3"/>
  <c r="BQ238" i="3"/>
  <c r="BP238" i="3"/>
  <c r="BO238" i="3"/>
  <c r="BN238" i="3"/>
  <c r="BM238" i="3"/>
  <c r="BN237" i="3" l="1"/>
  <c r="BM237" i="3"/>
  <c r="I128" i="15"/>
  <c r="AC379" i="15"/>
  <c r="O379" i="15"/>
  <c r="H379" i="15"/>
  <c r="F379" i="15"/>
  <c r="D379" i="15"/>
  <c r="AC176" i="15"/>
  <c r="V176" i="15"/>
  <c r="O176" i="15"/>
  <c r="H176" i="15"/>
  <c r="F176" i="15"/>
  <c r="D176" i="15"/>
  <c r="AC175" i="15"/>
  <c r="V175" i="15"/>
  <c r="O175" i="15"/>
  <c r="H175" i="15"/>
  <c r="F175" i="15"/>
  <c r="D175" i="15"/>
  <c r="AC378" i="15"/>
  <c r="V378" i="15"/>
  <c r="O378" i="15"/>
  <c r="H378" i="15"/>
  <c r="F378" i="15"/>
  <c r="D378" i="15"/>
  <c r="AV206" i="3" l="1"/>
  <c r="AV146" i="3" l="1"/>
  <c r="AL145" i="3"/>
  <c r="AV145" i="3"/>
  <c r="AV144" i="3"/>
  <c r="AV195" i="3"/>
  <c r="V379" i="15" s="1"/>
  <c r="AV155" i="3"/>
  <c r="AV153" i="3"/>
  <c r="AX153" i="3" s="1"/>
  <c r="AV152" i="3"/>
  <c r="AV151" i="3"/>
  <c r="BJ145" i="3" l="1"/>
  <c r="AZ145" i="3"/>
  <c r="AX145" i="3"/>
  <c r="AV73" i="3"/>
  <c r="AV72" i="3"/>
  <c r="AV70" i="3"/>
  <c r="AV67" i="3"/>
  <c r="L67" i="3"/>
  <c r="AU159" i="3" l="1"/>
  <c r="L159" i="3"/>
  <c r="BE51" i="3"/>
  <c r="L51" i="3"/>
  <c r="AU109" i="3"/>
  <c r="AV110" i="3" l="1"/>
  <c r="AV109" i="3"/>
  <c r="M307" i="3" l="1"/>
  <c r="AP307" i="3"/>
  <c r="R330" i="15" s="1"/>
  <c r="S330" i="15" s="1"/>
  <c r="AZ307" i="3"/>
  <c r="AF145" i="3"/>
  <c r="AD145" i="3"/>
  <c r="AL185" i="3"/>
  <c r="BS145" i="3"/>
  <c r="BQ145" i="3"/>
  <c r="BO145" i="3"/>
  <c r="BM145" i="3"/>
  <c r="AO179" i="3"/>
  <c r="AE179" i="3"/>
  <c r="AC275" i="15"/>
  <c r="V275" i="15"/>
  <c r="O275" i="15"/>
  <c r="H275" i="15"/>
  <c r="F275" i="15"/>
  <c r="D275" i="15"/>
  <c r="AC274" i="15"/>
  <c r="V274" i="15"/>
  <c r="O274" i="15"/>
  <c r="H274" i="15"/>
  <c r="F274" i="15"/>
  <c r="D274" i="15"/>
  <c r="AC362" i="15"/>
  <c r="V362" i="15"/>
  <c r="O362" i="15"/>
  <c r="H362" i="15"/>
  <c r="AC361" i="15"/>
  <c r="V361" i="15"/>
  <c r="O361" i="15"/>
  <c r="H361" i="15"/>
  <c r="AC360" i="15"/>
  <c r="V360" i="15"/>
  <c r="O360" i="15"/>
  <c r="H360" i="15"/>
  <c r="AC359" i="15"/>
  <c r="V359" i="15"/>
  <c r="O359" i="15"/>
  <c r="H359" i="15"/>
  <c r="AC358" i="15"/>
  <c r="V358" i="15"/>
  <c r="O358" i="15"/>
  <c r="H358" i="15"/>
  <c r="F362" i="15"/>
  <c r="F361" i="15"/>
  <c r="F360" i="15"/>
  <c r="F359" i="15"/>
  <c r="F358" i="15"/>
  <c r="D362" i="15"/>
  <c r="D361" i="15"/>
  <c r="D360" i="15"/>
  <c r="D359" i="15"/>
  <c r="D358" i="15"/>
  <c r="AC357" i="15"/>
  <c r="V357" i="15"/>
  <c r="O357" i="15"/>
  <c r="H357" i="15"/>
  <c r="F357" i="15"/>
  <c r="D357" i="15"/>
  <c r="AC162" i="15"/>
  <c r="V162" i="15"/>
  <c r="O162" i="15"/>
  <c r="H162" i="15"/>
  <c r="F162" i="15"/>
  <c r="D162" i="15"/>
  <c r="AC161" i="15"/>
  <c r="V161" i="15"/>
  <c r="O161" i="15"/>
  <c r="H161" i="15"/>
  <c r="F161" i="15"/>
  <c r="D161" i="15"/>
  <c r="AC273" i="15"/>
  <c r="V273" i="15"/>
  <c r="O273" i="15"/>
  <c r="H273" i="15"/>
  <c r="AC272" i="15"/>
  <c r="V272" i="15"/>
  <c r="O272" i="15"/>
  <c r="H272" i="15"/>
  <c r="F273" i="15"/>
  <c r="F272" i="15"/>
  <c r="D273" i="15"/>
  <c r="D272" i="15"/>
  <c r="AC271" i="15"/>
  <c r="V271" i="15"/>
  <c r="O271" i="15"/>
  <c r="H271" i="15"/>
  <c r="F271" i="15"/>
  <c r="D271" i="15"/>
  <c r="AC142" i="15"/>
  <c r="V142" i="15"/>
  <c r="O142" i="15"/>
  <c r="H142" i="15"/>
  <c r="F142" i="15"/>
  <c r="D142" i="15"/>
  <c r="AC182" i="15"/>
  <c r="V182" i="15"/>
  <c r="O182" i="15"/>
  <c r="H182" i="15"/>
  <c r="F182" i="15"/>
  <c r="E182" i="15"/>
  <c r="D182" i="15"/>
  <c r="AC181" i="15"/>
  <c r="V181" i="15"/>
  <c r="O181" i="15"/>
  <c r="H181" i="15"/>
  <c r="F181" i="15"/>
  <c r="E181" i="15"/>
  <c r="D181" i="15"/>
  <c r="AC174" i="15"/>
  <c r="V174" i="15"/>
  <c r="O174" i="15"/>
  <c r="H174" i="15"/>
  <c r="F174" i="15"/>
  <c r="D174" i="15"/>
  <c r="AC149" i="15"/>
  <c r="V149" i="15"/>
  <c r="O149" i="15"/>
  <c r="H149" i="15"/>
  <c r="F149" i="15"/>
  <c r="D149" i="15"/>
  <c r="AC173" i="15"/>
  <c r="V173" i="15"/>
  <c r="O173" i="15"/>
  <c r="H173" i="15"/>
  <c r="F173" i="15"/>
  <c r="D173" i="15"/>
  <c r="AC165" i="15"/>
  <c r="O165" i="15"/>
  <c r="H165" i="15"/>
  <c r="F165" i="15"/>
  <c r="E165" i="15"/>
  <c r="D165" i="15"/>
  <c r="AC355" i="15"/>
  <c r="V355" i="15"/>
  <c r="O355" i="15"/>
  <c r="H355" i="15"/>
  <c r="AC354" i="15"/>
  <c r="V354" i="15"/>
  <c r="O354" i="15"/>
  <c r="H354" i="15"/>
  <c r="AC353" i="15"/>
  <c r="V353" i="15"/>
  <c r="O353" i="15"/>
  <c r="H353" i="15"/>
  <c r="AC352" i="15"/>
  <c r="V352" i="15"/>
  <c r="O352" i="15"/>
  <c r="H352" i="15"/>
  <c r="AC351" i="15"/>
  <c r="V351" i="15"/>
  <c r="O351" i="15"/>
  <c r="H351" i="15"/>
  <c r="AC350" i="15"/>
  <c r="V350" i="15"/>
  <c r="O350" i="15"/>
  <c r="H350" i="15"/>
  <c r="F355" i="15"/>
  <c r="F354" i="15"/>
  <c r="F353" i="15"/>
  <c r="F352" i="15"/>
  <c r="F351" i="15"/>
  <c r="F350" i="15"/>
  <c r="D354" i="15"/>
  <c r="D352" i="15"/>
  <c r="D351" i="15"/>
  <c r="D350" i="15"/>
  <c r="AC349" i="15"/>
  <c r="V349" i="15"/>
  <c r="O349" i="15"/>
  <c r="H349" i="15"/>
  <c r="F349" i="15"/>
  <c r="D349" i="15"/>
  <c r="AC348" i="15"/>
  <c r="V348" i="15"/>
  <c r="O348" i="15"/>
  <c r="H348" i="15"/>
  <c r="F348" i="15"/>
  <c r="D348" i="15"/>
  <c r="AC289" i="15"/>
  <c r="V289" i="15"/>
  <c r="O289" i="15"/>
  <c r="H289" i="15"/>
  <c r="F289" i="15"/>
  <c r="D289" i="15"/>
  <c r="AC136" i="15"/>
  <c r="V136" i="15"/>
  <c r="O136" i="15"/>
  <c r="H136" i="15"/>
  <c r="AC135" i="15"/>
  <c r="V135" i="15"/>
  <c r="O135" i="15"/>
  <c r="H135" i="15"/>
  <c r="F136" i="15"/>
  <c r="F135" i="15"/>
  <c r="F134" i="15"/>
  <c r="D136" i="15"/>
  <c r="D135" i="15"/>
  <c r="AC134" i="15"/>
  <c r="V134" i="15"/>
  <c r="O134" i="15"/>
  <c r="H134" i="15"/>
  <c r="D134" i="15"/>
  <c r="AC160" i="15"/>
  <c r="V160" i="15"/>
  <c r="O160" i="15"/>
  <c r="H160" i="15"/>
  <c r="F160" i="15"/>
  <c r="D160" i="15"/>
  <c r="AC133" i="15"/>
  <c r="V133" i="15"/>
  <c r="O133" i="15"/>
  <c r="H133" i="15"/>
  <c r="F133" i="15"/>
  <c r="D133" i="15"/>
  <c r="AC255" i="15"/>
  <c r="V255" i="15"/>
  <c r="O255" i="15"/>
  <c r="H255" i="15"/>
  <c r="F255" i="15"/>
  <c r="D255" i="15"/>
  <c r="E179" i="15"/>
  <c r="D146" i="15"/>
  <c r="AC148" i="15"/>
  <c r="V148" i="15"/>
  <c r="O148" i="15"/>
  <c r="H148" i="15"/>
  <c r="AC143" i="15"/>
  <c r="V143" i="15"/>
  <c r="O143" i="15"/>
  <c r="H143" i="15"/>
  <c r="AC163" i="15"/>
  <c r="V163" i="15"/>
  <c r="O163" i="15"/>
  <c r="H163" i="15"/>
  <c r="AC141" i="15"/>
  <c r="V141" i="15"/>
  <c r="O141" i="15"/>
  <c r="H141" i="15"/>
  <c r="AC140" i="15"/>
  <c r="V140" i="15"/>
  <c r="O140" i="15"/>
  <c r="H140" i="15"/>
  <c r="F148" i="15"/>
  <c r="F143" i="15"/>
  <c r="F163" i="15"/>
  <c r="F141" i="15"/>
  <c r="F140" i="15"/>
  <c r="D148" i="15"/>
  <c r="D143" i="15"/>
  <c r="D163" i="15"/>
  <c r="D141" i="15"/>
  <c r="D140" i="15"/>
  <c r="AC139" i="15"/>
  <c r="V139" i="15"/>
  <c r="O139" i="15"/>
  <c r="H139" i="15"/>
  <c r="F139" i="15"/>
  <c r="D139" i="15"/>
  <c r="AC138" i="15"/>
  <c r="V138" i="15"/>
  <c r="O138" i="15"/>
  <c r="H138" i="15"/>
  <c r="F138" i="15"/>
  <c r="D138" i="15"/>
  <c r="O270" i="15" l="1"/>
  <c r="AC270" i="15"/>
  <c r="V270" i="15"/>
  <c r="H270" i="15"/>
  <c r="F270" i="15"/>
  <c r="D270" i="15"/>
  <c r="AC137" i="15"/>
  <c r="V137" i="15"/>
  <c r="O137" i="15"/>
  <c r="H137" i="15"/>
  <c r="F137" i="15"/>
  <c r="D137" i="15"/>
  <c r="AC347" i="15"/>
  <c r="V347" i="15"/>
  <c r="O347" i="15"/>
  <c r="H347" i="15"/>
  <c r="F347" i="15"/>
  <c r="D347" i="15"/>
  <c r="AC179" i="15"/>
  <c r="V179" i="15"/>
  <c r="O179" i="15"/>
  <c r="H179" i="15"/>
  <c r="AC150" i="15"/>
  <c r="V150" i="15"/>
  <c r="O150" i="15"/>
  <c r="H150" i="15"/>
  <c r="AC147" i="15"/>
  <c r="V147" i="15"/>
  <c r="O147" i="15"/>
  <c r="H147" i="15"/>
  <c r="AC146" i="15"/>
  <c r="V146" i="15"/>
  <c r="O146" i="15"/>
  <c r="H146" i="15"/>
  <c r="F179" i="15"/>
  <c r="F150" i="15"/>
  <c r="F147" i="15"/>
  <c r="F146" i="15"/>
  <c r="D179" i="15"/>
  <c r="D150" i="15"/>
  <c r="D147" i="15"/>
  <c r="F269" i="15"/>
  <c r="D269" i="15"/>
  <c r="AC269" i="15"/>
  <c r="V269" i="15"/>
  <c r="O269" i="15"/>
  <c r="H269" i="15"/>
  <c r="AC268" i="15"/>
  <c r="V268" i="15"/>
  <c r="O268" i="15"/>
  <c r="H268" i="15"/>
  <c r="F268" i="15"/>
  <c r="D268" i="15"/>
  <c r="AC346" i="15"/>
  <c r="V346" i="15"/>
  <c r="O346" i="15"/>
  <c r="H346" i="15"/>
  <c r="F346" i="15"/>
  <c r="D346" i="15"/>
  <c r="AC345" i="15"/>
  <c r="V345" i="15"/>
  <c r="O345" i="15"/>
  <c r="H345" i="15"/>
  <c r="F345" i="15"/>
  <c r="D345" i="15"/>
  <c r="AC132" i="15"/>
  <c r="V132" i="15"/>
  <c r="O132" i="15"/>
  <c r="H132" i="15"/>
  <c r="AC131" i="15"/>
  <c r="V131" i="15"/>
  <c r="O131" i="15"/>
  <c r="H131" i="15"/>
  <c r="AC130" i="15"/>
  <c r="V130" i="15"/>
  <c r="O130" i="15"/>
  <c r="H130" i="15"/>
  <c r="AC129" i="15"/>
  <c r="V129" i="15"/>
  <c r="O129" i="15"/>
  <c r="H129" i="15"/>
  <c r="AC128" i="15"/>
  <c r="V128" i="15"/>
  <c r="F132" i="15"/>
  <c r="F131" i="15"/>
  <c r="F130" i="15"/>
  <c r="F129" i="15"/>
  <c r="F128" i="15"/>
  <c r="D132" i="15"/>
  <c r="D129" i="15"/>
  <c r="D128" i="15"/>
  <c r="AC127" i="15"/>
  <c r="V127" i="15"/>
  <c r="F127" i="15"/>
  <c r="D127" i="15"/>
  <c r="AC126" i="15"/>
  <c r="V126" i="15"/>
  <c r="O126" i="15"/>
  <c r="F126" i="15"/>
  <c r="D126" i="15"/>
  <c r="AC267" i="15"/>
  <c r="V267" i="15"/>
  <c r="O267" i="15"/>
  <c r="H267" i="15"/>
  <c r="F267" i="15"/>
  <c r="D267" i="15"/>
  <c r="AC381" i="15" l="1"/>
  <c r="V381" i="15"/>
  <c r="O381" i="15"/>
  <c r="H381" i="15"/>
  <c r="F381" i="15"/>
  <c r="E381" i="15"/>
  <c r="D381" i="15"/>
  <c r="AC180" i="15"/>
  <c r="V180" i="15"/>
  <c r="O180" i="15"/>
  <c r="H180" i="15"/>
  <c r="AC178" i="15"/>
  <c r="V178" i="15"/>
  <c r="O178" i="15"/>
  <c r="H178" i="15"/>
  <c r="F180" i="15"/>
  <c r="E180" i="15"/>
  <c r="D180" i="15"/>
  <c r="F178" i="15"/>
  <c r="E178" i="15"/>
  <c r="D178" i="15"/>
  <c r="AC159" i="15"/>
  <c r="V159" i="15"/>
  <c r="O159" i="15"/>
  <c r="H159" i="15"/>
  <c r="BT230" i="3"/>
  <c r="BS230" i="3"/>
  <c r="AD158" i="15" s="1"/>
  <c r="BR230" i="3"/>
  <c r="BQ230" i="3"/>
  <c r="W158" i="15" s="1"/>
  <c r="X158" i="15" s="1"/>
  <c r="BP230" i="3"/>
  <c r="BO230" i="3"/>
  <c r="P158" i="15" s="1"/>
  <c r="BN230" i="3"/>
  <c r="BM230" i="3"/>
  <c r="I158" i="15" s="1"/>
  <c r="BJ230" i="3"/>
  <c r="AF158" i="15" s="1"/>
  <c r="AG158" i="15" s="1"/>
  <c r="BI230" i="3"/>
  <c r="AZ230" i="3"/>
  <c r="Y158" i="15" s="1"/>
  <c r="AY230" i="3"/>
  <c r="AP230" i="3"/>
  <c r="R158" i="15" s="1"/>
  <c r="S158" i="15" s="1"/>
  <c r="AO230" i="3"/>
  <c r="AF230" i="3"/>
  <c r="K158" i="15" s="1"/>
  <c r="L158" i="15" s="1"/>
  <c r="AE230" i="3"/>
  <c r="AC158" i="15"/>
  <c r="V158" i="15"/>
  <c r="O158" i="15"/>
  <c r="H158" i="15"/>
  <c r="F159" i="15"/>
  <c r="F158" i="15"/>
  <c r="D158" i="15"/>
  <c r="AC157" i="15"/>
  <c r="V157" i="15"/>
  <c r="O157" i="15"/>
  <c r="H157" i="15"/>
  <c r="F157" i="15"/>
  <c r="D157" i="15"/>
  <c r="AC172" i="15"/>
  <c r="V172" i="15"/>
  <c r="O172" i="15"/>
  <c r="H172" i="15"/>
  <c r="AC171" i="15"/>
  <c r="V171" i="15"/>
  <c r="O171" i="15"/>
  <c r="H171" i="15"/>
  <c r="AC170" i="15"/>
  <c r="V170" i="15"/>
  <c r="O170" i="15"/>
  <c r="H170" i="15"/>
  <c r="AC169" i="15"/>
  <c r="V169" i="15"/>
  <c r="O169" i="15"/>
  <c r="H169" i="15"/>
  <c r="F177" i="15"/>
  <c r="AC168" i="15"/>
  <c r="V168" i="15"/>
  <c r="O168" i="15"/>
  <c r="H168" i="15"/>
  <c r="AC167" i="15"/>
  <c r="V167" i="15"/>
  <c r="O167" i="15"/>
  <c r="H167" i="15"/>
  <c r="F172" i="15"/>
  <c r="F171" i="15"/>
  <c r="F170" i="15"/>
  <c r="F169" i="15"/>
  <c r="F168" i="15"/>
  <c r="F167" i="15"/>
  <c r="D172" i="15"/>
  <c r="D171" i="15"/>
  <c r="D170" i="15"/>
  <c r="D169" i="15"/>
  <c r="D168" i="15"/>
  <c r="D167" i="15"/>
  <c r="AC302" i="15"/>
  <c r="V302" i="15"/>
  <c r="O302" i="15"/>
  <c r="H302" i="15"/>
  <c r="F302" i="15"/>
  <c r="D302" i="15"/>
  <c r="AC256" i="15"/>
  <c r="V256" i="15"/>
  <c r="O256" i="15"/>
  <c r="H256" i="15"/>
  <c r="F256" i="15"/>
  <c r="D256" i="15"/>
  <c r="AC285" i="15"/>
  <c r="V285" i="15"/>
  <c r="O285" i="15"/>
  <c r="H285" i="15"/>
  <c r="F285" i="15"/>
  <c r="D285" i="15"/>
  <c r="AC284" i="15"/>
  <c r="V284" i="15"/>
  <c r="O284" i="15"/>
  <c r="H284" i="15"/>
  <c r="AC283" i="15"/>
  <c r="V283" i="15"/>
  <c r="O283" i="15"/>
  <c r="H283" i="15"/>
  <c r="F284" i="15"/>
  <c r="F283" i="15"/>
  <c r="D284" i="15"/>
  <c r="D283" i="15"/>
  <c r="AC290" i="15"/>
  <c r="V290" i="15"/>
  <c r="O290" i="15"/>
  <c r="H290" i="15"/>
  <c r="AC288" i="15"/>
  <c r="V288" i="15"/>
  <c r="O288" i="15"/>
  <c r="H288" i="15"/>
  <c r="F290" i="15"/>
  <c r="F288" i="15"/>
  <c r="D290" i="15"/>
  <c r="D288" i="15"/>
  <c r="AC254" i="15"/>
  <c r="V254" i="15"/>
  <c r="O254" i="15"/>
  <c r="H254" i="15"/>
  <c r="AC253" i="15"/>
  <c r="V253" i="15"/>
  <c r="O253" i="15"/>
  <c r="H253" i="15"/>
  <c r="F254" i="15"/>
  <c r="F253" i="15"/>
  <c r="D254" i="15"/>
  <c r="D253" i="15"/>
  <c r="AC250" i="15"/>
  <c r="V250" i="15"/>
  <c r="O250" i="15"/>
  <c r="H250" i="15"/>
  <c r="AC249" i="15"/>
  <c r="V249" i="15"/>
  <c r="O249" i="15"/>
  <c r="H249" i="15"/>
  <c r="F250" i="15"/>
  <c r="F249" i="15"/>
  <c r="D250" i="15"/>
  <c r="D249" i="15"/>
  <c r="AC246" i="15"/>
  <c r="V246" i="15"/>
  <c r="O246" i="15"/>
  <c r="H246" i="15"/>
  <c r="AC245" i="15"/>
  <c r="V245" i="15"/>
  <c r="O245" i="15"/>
  <c r="H245" i="15"/>
  <c r="F246" i="15"/>
  <c r="F245" i="15"/>
  <c r="D246" i="15"/>
  <c r="D245" i="15"/>
  <c r="AC242" i="15"/>
  <c r="V242" i="15"/>
  <c r="O242" i="15"/>
  <c r="H242" i="15"/>
  <c r="AC241" i="15"/>
  <c r="V241" i="15"/>
  <c r="O241" i="15"/>
  <c r="H241" i="15"/>
  <c r="F242" i="15"/>
  <c r="F241" i="15"/>
  <c r="D242" i="15"/>
  <c r="D241" i="15"/>
  <c r="V266" i="15"/>
  <c r="O266" i="15"/>
  <c r="H266" i="15"/>
  <c r="AC265" i="15"/>
  <c r="V265" i="15"/>
  <c r="O265" i="15"/>
  <c r="H265" i="15"/>
  <c r="F266" i="15"/>
  <c r="F265" i="15"/>
  <c r="D266" i="15"/>
  <c r="D265" i="15"/>
  <c r="AC380" i="15"/>
  <c r="V380" i="15"/>
  <c r="O380" i="15"/>
  <c r="H380" i="15"/>
  <c r="AC377" i="15"/>
  <c r="V377" i="15"/>
  <c r="O377" i="15"/>
  <c r="H377" i="15"/>
  <c r="F377" i="15"/>
  <c r="E377" i="15"/>
  <c r="D380" i="15"/>
  <c r="D377" i="15"/>
  <c r="AC301" i="15"/>
  <c r="V301" i="15"/>
  <c r="O301" i="15"/>
  <c r="H301" i="15"/>
  <c r="AC300" i="15"/>
  <c r="V300" i="15"/>
  <c r="O300" i="15"/>
  <c r="H300" i="15"/>
  <c r="AC299" i="15"/>
  <c r="V299" i="15"/>
  <c r="O299" i="15"/>
  <c r="H299" i="15"/>
  <c r="AC298" i="15"/>
  <c r="V298" i="15"/>
  <c r="O298" i="15"/>
  <c r="H298" i="15"/>
  <c r="AC297" i="15"/>
  <c r="V297" i="15"/>
  <c r="O297" i="15"/>
  <c r="H297" i="15"/>
  <c r="AC296" i="15"/>
  <c r="V296" i="15"/>
  <c r="O296" i="15"/>
  <c r="H296" i="15"/>
  <c r="AC295" i="15"/>
  <c r="V295" i="15"/>
  <c r="O295" i="15"/>
  <c r="H295" i="15"/>
  <c r="AC294" i="15"/>
  <c r="V294" i="15"/>
  <c r="O294" i="15"/>
  <c r="H294" i="15"/>
  <c r="AC293" i="15"/>
  <c r="V293" i="15"/>
  <c r="O293" i="15"/>
  <c r="H293" i="15"/>
  <c r="AC292" i="15"/>
  <c r="V292" i="15"/>
  <c r="O292" i="15"/>
  <c r="H292" i="15"/>
  <c r="AC291" i="15"/>
  <c r="V291" i="15"/>
  <c r="O291" i="15"/>
  <c r="H291" i="15"/>
  <c r="F301" i="15"/>
  <c r="F300" i="15"/>
  <c r="F299" i="15"/>
  <c r="F298" i="15"/>
  <c r="F297" i="15"/>
  <c r="F296" i="15"/>
  <c r="F295" i="15"/>
  <c r="F294" i="15"/>
  <c r="F293" i="15"/>
  <c r="F292" i="15"/>
  <c r="F291" i="15"/>
  <c r="E291" i="15"/>
  <c r="D301" i="15"/>
  <c r="D300" i="15"/>
  <c r="D299" i="15"/>
  <c r="D298" i="15"/>
  <c r="D297" i="15"/>
  <c r="D296" i="15"/>
  <c r="D295" i="15"/>
  <c r="D294" i="15"/>
  <c r="D293" i="15"/>
  <c r="D292" i="15"/>
  <c r="D291" i="15"/>
  <c r="D106" i="15"/>
  <c r="Z158" i="15" l="1"/>
  <c r="AA158" i="15" s="1"/>
  <c r="AF145" i="15"/>
  <c r="AG145" i="15" s="1"/>
  <c r="AD145" i="15"/>
  <c r="AE145" i="15" s="1"/>
  <c r="AC145" i="15"/>
  <c r="Y145" i="15"/>
  <c r="W145" i="15"/>
  <c r="X145" i="15" s="1"/>
  <c r="V145" i="15"/>
  <c r="P145" i="15"/>
  <c r="Q145" i="15" s="1"/>
  <c r="O145" i="15"/>
  <c r="I145" i="15"/>
  <c r="H145" i="15"/>
  <c r="F145" i="15"/>
  <c r="AC38" i="15"/>
  <c r="V38" i="15"/>
  <c r="O38" i="15"/>
  <c r="H38" i="15"/>
  <c r="AC375" i="15"/>
  <c r="V375" i="15"/>
  <c r="O375" i="15"/>
  <c r="H375" i="15"/>
  <c r="AC374" i="15"/>
  <c r="V374" i="15"/>
  <c r="O374" i="15"/>
  <c r="H374" i="15"/>
  <c r="AC373" i="15"/>
  <c r="V373" i="15"/>
  <c r="O373" i="15"/>
  <c r="H373" i="15"/>
  <c r="AC372" i="15"/>
  <c r="V372" i="15"/>
  <c r="O372" i="15"/>
  <c r="H372" i="15"/>
  <c r="AC371" i="15"/>
  <c r="V371" i="15"/>
  <c r="O371" i="15"/>
  <c r="H371" i="15"/>
  <c r="AC370" i="15"/>
  <c r="V370" i="15"/>
  <c r="O370" i="15"/>
  <c r="H370" i="15"/>
  <c r="AC369" i="15"/>
  <c r="V369" i="15"/>
  <c r="O369" i="15"/>
  <c r="H369" i="15"/>
  <c r="AC368" i="15"/>
  <c r="V368" i="15"/>
  <c r="O368" i="15"/>
  <c r="H368" i="15"/>
  <c r="AC367" i="15"/>
  <c r="V367" i="15"/>
  <c r="O367" i="15"/>
  <c r="H367" i="15"/>
  <c r="AC366" i="15"/>
  <c r="V366" i="15"/>
  <c r="O366" i="15"/>
  <c r="H366" i="15"/>
  <c r="AC365" i="15"/>
  <c r="V365" i="15"/>
  <c r="O365" i="15"/>
  <c r="H365" i="15"/>
  <c r="AC364" i="15"/>
  <c r="V364" i="15"/>
  <c r="O364" i="15"/>
  <c r="H364" i="15"/>
  <c r="F375" i="15"/>
  <c r="F374" i="15"/>
  <c r="F373" i="15"/>
  <c r="F372" i="15"/>
  <c r="F371" i="15"/>
  <c r="F370" i="15"/>
  <c r="F369" i="15"/>
  <c r="F368" i="15"/>
  <c r="F367" i="15"/>
  <c r="F366" i="15"/>
  <c r="F365" i="15"/>
  <c r="F364" i="15"/>
  <c r="D375" i="15"/>
  <c r="D374" i="15"/>
  <c r="D373" i="15"/>
  <c r="D372" i="15"/>
  <c r="D371" i="15"/>
  <c r="D370" i="15"/>
  <c r="D369" i="15"/>
  <c r="D368" i="15"/>
  <c r="D367" i="15"/>
  <c r="D366" i="15"/>
  <c r="D365" i="15"/>
  <c r="D364" i="15"/>
  <c r="AC344" i="15"/>
  <c r="V344" i="15"/>
  <c r="O344" i="15"/>
  <c r="H344" i="15"/>
  <c r="AC343" i="15"/>
  <c r="V343" i="15"/>
  <c r="O343" i="15"/>
  <c r="H343" i="15"/>
  <c r="V342" i="15"/>
  <c r="O342" i="15"/>
  <c r="H342" i="15"/>
  <c r="AC341" i="15"/>
  <c r="V341" i="15"/>
  <c r="O341" i="15"/>
  <c r="H341" i="15"/>
  <c r="AC340" i="15"/>
  <c r="V340" i="15"/>
  <c r="O340" i="15"/>
  <c r="H340" i="15"/>
  <c r="AC339" i="15"/>
  <c r="V339" i="15"/>
  <c r="O339" i="15"/>
  <c r="H339" i="15"/>
  <c r="AC338" i="15"/>
  <c r="V338" i="15"/>
  <c r="O338" i="15"/>
  <c r="H338" i="15"/>
  <c r="AC337" i="15"/>
  <c r="V337" i="15"/>
  <c r="O337" i="15"/>
  <c r="H337" i="15"/>
  <c r="AC336" i="15"/>
  <c r="V336" i="15"/>
  <c r="O336" i="15"/>
  <c r="H336" i="15"/>
  <c r="AC335" i="15"/>
  <c r="V335" i="15"/>
  <c r="O335" i="15"/>
  <c r="H335" i="15"/>
  <c r="F344" i="15"/>
  <c r="F343" i="15"/>
  <c r="F342" i="15"/>
  <c r="F341" i="15"/>
  <c r="F340" i="15"/>
  <c r="F339" i="15"/>
  <c r="F338" i="15"/>
  <c r="F337" i="15"/>
  <c r="F336" i="15"/>
  <c r="F335" i="15"/>
  <c r="D344" i="15"/>
  <c r="D343" i="15"/>
  <c r="D342" i="15"/>
  <c r="D341" i="15"/>
  <c r="D340" i="15"/>
  <c r="D339" i="15"/>
  <c r="D338" i="15"/>
  <c r="D337" i="15"/>
  <c r="D336" i="15"/>
  <c r="D335" i="15"/>
  <c r="AC319" i="15"/>
  <c r="V319" i="15"/>
  <c r="O319" i="15"/>
  <c r="H319" i="15"/>
  <c r="AC318" i="15"/>
  <c r="V318" i="15"/>
  <c r="O318" i="15"/>
  <c r="H318" i="15"/>
  <c r="AC317" i="15"/>
  <c r="V317" i="15"/>
  <c r="O317" i="15"/>
  <c r="H317" i="15"/>
  <c r="AC316" i="15"/>
  <c r="V316" i="15"/>
  <c r="O316" i="15"/>
  <c r="H316" i="15"/>
  <c r="AC315" i="15"/>
  <c r="V315" i="15"/>
  <c r="O315" i="15"/>
  <c r="H315" i="15"/>
  <c r="AC314" i="15"/>
  <c r="V314" i="15"/>
  <c r="O314" i="15"/>
  <c r="H314" i="15"/>
  <c r="AC313" i="15"/>
  <c r="V313" i="15"/>
  <c r="O313" i="15"/>
  <c r="H313" i="15"/>
  <c r="F319" i="15"/>
  <c r="F318" i="15"/>
  <c r="F317" i="15"/>
  <c r="F316" i="15"/>
  <c r="F315" i="15"/>
  <c r="F314" i="15"/>
  <c r="F313" i="15"/>
  <c r="D319" i="15"/>
  <c r="D318" i="15"/>
  <c r="D317" i="15"/>
  <c r="D316" i="15"/>
  <c r="D315" i="15"/>
  <c r="D314" i="15"/>
  <c r="D313" i="15"/>
  <c r="AC312" i="15"/>
  <c r="V312" i="15"/>
  <c r="O312" i="15"/>
  <c r="H312" i="15"/>
  <c r="AC311" i="15"/>
  <c r="V311" i="15"/>
  <c r="O311" i="15"/>
  <c r="H311" i="15"/>
  <c r="AC310" i="15"/>
  <c r="V310" i="15"/>
  <c r="O310" i="15"/>
  <c r="H310" i="15"/>
  <c r="AC309" i="15"/>
  <c r="V309" i="15"/>
  <c r="O309" i="15"/>
  <c r="H309" i="15"/>
  <c r="F312" i="15"/>
  <c r="F311" i="15"/>
  <c r="F310" i="15"/>
  <c r="F309" i="15"/>
  <c r="D312" i="15"/>
  <c r="D311" i="15"/>
  <c r="D310" i="15"/>
  <c r="D309" i="15"/>
  <c r="AC153" i="15"/>
  <c r="V153" i="15"/>
  <c r="K153" i="15"/>
  <c r="H153" i="15"/>
  <c r="F153" i="15"/>
  <c r="AC330" i="15"/>
  <c r="Y330" i="15"/>
  <c r="Z330" i="15" s="1"/>
  <c r="V330" i="15"/>
  <c r="O330" i="15"/>
  <c r="H330" i="15"/>
  <c r="AC329" i="15"/>
  <c r="V329" i="15"/>
  <c r="O329" i="15"/>
  <c r="H329" i="15"/>
  <c r="F330" i="15"/>
  <c r="F329" i="15"/>
  <c r="D330" i="15"/>
  <c r="D329" i="15"/>
  <c r="X105" i="15"/>
  <c r="D105" i="15"/>
  <c r="D104" i="15"/>
  <c r="BN306" i="3"/>
  <c r="I104" i="15" s="1"/>
  <c r="BS307" i="3"/>
  <c r="AD330" i="15" s="1"/>
  <c r="AE330" i="15" s="1"/>
  <c r="BQ307" i="3"/>
  <c r="W330" i="15" s="1"/>
  <c r="BO307" i="3"/>
  <c r="P330" i="15" s="1"/>
  <c r="BM307" i="3"/>
  <c r="I330" i="15" s="1"/>
  <c r="BS306" i="3"/>
  <c r="AD329" i="15" s="1"/>
  <c r="AE329" i="15" s="1"/>
  <c r="BR306" i="3"/>
  <c r="W104" i="15" s="1"/>
  <c r="X104" i="15" s="1"/>
  <c r="BQ306" i="3"/>
  <c r="W329" i="15" s="1"/>
  <c r="BP306" i="3"/>
  <c r="P104" i="15" s="1"/>
  <c r="BO306" i="3"/>
  <c r="P329" i="15" s="1"/>
  <c r="BM306" i="3"/>
  <c r="I329" i="15" s="1"/>
  <c r="BK306" i="3"/>
  <c r="AF104" i="15" s="1"/>
  <c r="AG104" i="15" s="1"/>
  <c r="BJ307" i="3"/>
  <c r="AF330" i="15" s="1"/>
  <c r="AG330" i="15" s="1"/>
  <c r="BH307" i="3"/>
  <c r="AX307" i="3"/>
  <c r="BA306" i="3"/>
  <c r="Y104" i="15" s="1"/>
  <c r="AZ306" i="3"/>
  <c r="Y329" i="15" s="1"/>
  <c r="Z329" i="15" s="1"/>
  <c r="AY306" i="3"/>
  <c r="V104" i="15" s="1"/>
  <c r="AX306" i="3"/>
  <c r="AG306" i="3"/>
  <c r="K104" i="15" s="1"/>
  <c r="L104" i="15" s="1"/>
  <c r="AF307" i="3"/>
  <c r="K330" i="15" s="1"/>
  <c r="L330" i="15" s="1"/>
  <c r="AD307" i="3"/>
  <c r="D33" i="15"/>
  <c r="D32" i="15"/>
  <c r="AC356" i="15"/>
  <c r="V356" i="15"/>
  <c r="O356" i="15"/>
  <c r="H356" i="15"/>
  <c r="F356" i="15"/>
  <c r="D356" i="15"/>
  <c r="Z104" i="15" l="1"/>
  <c r="AA104" i="15" s="1"/>
  <c r="Z145" i="15"/>
  <c r="AA145" i="15" s="1"/>
  <c r="L153" i="15"/>
  <c r="M153" i="15" s="1"/>
  <c r="D31" i="15"/>
  <c r="AC41" i="15"/>
  <c r="V41" i="15"/>
  <c r="O41" i="15"/>
  <c r="H41" i="15"/>
  <c r="D41" i="15"/>
  <c r="D40" i="15"/>
  <c r="AC40" i="15"/>
  <c r="V40" i="15"/>
  <c r="O40" i="15"/>
  <c r="H40" i="15"/>
  <c r="F40" i="15"/>
  <c r="AC154" i="15"/>
  <c r="V154" i="15"/>
  <c r="O154" i="15"/>
  <c r="H154" i="15"/>
  <c r="F154" i="15"/>
  <c r="D154" i="15"/>
  <c r="E36" i="15"/>
  <c r="BE169" i="3" l="1"/>
  <c r="AU169" i="3"/>
  <c r="AK169" i="3"/>
  <c r="AK109" i="3"/>
  <c r="BI181" i="3" l="1"/>
  <c r="BQ52" i="3" l="1"/>
  <c r="AL163" i="3" l="1"/>
  <c r="AU165" i="3" l="1"/>
  <c r="L160" i="3"/>
  <c r="BE160" i="3"/>
  <c r="AU160" i="3"/>
  <c r="L165" i="3"/>
  <c r="BE166" i="3"/>
  <c r="L166" i="3"/>
  <c r="AU166" i="3"/>
  <c r="AN307" i="3"/>
  <c r="BE306" i="3"/>
  <c r="BH306" i="3"/>
  <c r="AQ306" i="3"/>
  <c r="R104" i="15" s="1"/>
  <c r="S104" i="15" s="1"/>
  <c r="AP306" i="3"/>
  <c r="R329" i="15" s="1"/>
  <c r="S329" i="15" s="1"/>
  <c r="AO306" i="3"/>
  <c r="O104" i="15" s="1"/>
  <c r="AN306" i="3"/>
  <c r="AD306" i="3"/>
  <c r="AF306" i="3"/>
  <c r="AE306" i="3"/>
  <c r="H104" i="15" s="1"/>
  <c r="V306" i="3"/>
  <c r="Z306" i="3" s="1"/>
  <c r="BT306" i="3" l="1"/>
  <c r="AD104" i="15" s="1"/>
  <c r="AE104" i="15" s="1"/>
  <c r="BI306" i="3"/>
  <c r="AC104" i="15" s="1"/>
  <c r="AT306" i="3"/>
  <c r="AJ306" i="3"/>
  <c r="BD306" i="3"/>
  <c r="BJ306" i="3"/>
  <c r="AF329" i="15" s="1"/>
  <c r="AG329" i="15" s="1"/>
  <c r="BQ305" i="3" l="1"/>
  <c r="BP305" i="3"/>
  <c r="P33" i="15" s="1"/>
  <c r="BO305" i="3"/>
  <c r="BN305" i="3"/>
  <c r="I33" i="15" s="1"/>
  <c r="BM305" i="3"/>
  <c r="BE305" i="3"/>
  <c r="AZ305" i="3"/>
  <c r="AX305" i="3"/>
  <c r="AP305" i="3"/>
  <c r="AO305" i="3"/>
  <c r="O33" i="15" s="1"/>
  <c r="AN305" i="3"/>
  <c r="AF305" i="3"/>
  <c r="AE305" i="3"/>
  <c r="H33" i="15" s="1"/>
  <c r="AD305" i="3"/>
  <c r="W305" i="3"/>
  <c r="V305" i="3"/>
  <c r="Z305" i="3" s="1"/>
  <c r="BE159" i="3"/>
  <c r="BI305" i="3" l="1"/>
  <c r="AC33" i="15" s="1"/>
  <c r="BF305" i="3"/>
  <c r="AQ305" i="3"/>
  <c r="R33" i="15" s="1"/>
  <c r="S33" i="15" s="1"/>
  <c r="BK305" i="3"/>
  <c r="AF33" i="15" s="1"/>
  <c r="AG33" i="15" s="1"/>
  <c r="BD305" i="3"/>
  <c r="BA305" i="3"/>
  <c r="Y33" i="15" s="1"/>
  <c r="Z33" i="15" s="1"/>
  <c r="AU305" i="3"/>
  <c r="AT305" i="3"/>
  <c r="AG305" i="3"/>
  <c r="K33" i="15" s="1"/>
  <c r="L33" i="15" s="1"/>
  <c r="AJ305" i="3"/>
  <c r="BT305" i="3"/>
  <c r="AD33" i="15" s="1"/>
  <c r="AE33" i="15" s="1"/>
  <c r="BH305" i="3" l="1"/>
  <c r="BS305" i="3"/>
  <c r="BJ305" i="3"/>
  <c r="AY305" i="3"/>
  <c r="V33" i="15" s="1"/>
  <c r="BR305" i="3"/>
  <c r="W33" i="15" s="1"/>
  <c r="BP304" i="3"/>
  <c r="P41" i="15" s="1"/>
  <c r="BO304" i="3"/>
  <c r="BN304" i="3"/>
  <c r="I41" i="15" s="1"/>
  <c r="BM304" i="3"/>
  <c r="BJ304" i="3"/>
  <c r="AZ304" i="3"/>
  <c r="AP304" i="3"/>
  <c r="AO304" i="3"/>
  <c r="AN304" i="3"/>
  <c r="AF304" i="3"/>
  <c r="AE304" i="3"/>
  <c r="AD304" i="3"/>
  <c r="W304" i="3"/>
  <c r="V304" i="3"/>
  <c r="BK304" i="3" l="1"/>
  <c r="AF41" i="15" s="1"/>
  <c r="AG41" i="15" s="1"/>
  <c r="BE304" i="3"/>
  <c r="BC304" i="3" s="1"/>
  <c r="AU304" i="3"/>
  <c r="AS304" i="3" s="1"/>
  <c r="AG304" i="3"/>
  <c r="K41" i="15" s="1"/>
  <c r="L41" i="15" s="1"/>
  <c r="BA304" i="3"/>
  <c r="Y41" i="15" s="1"/>
  <c r="AJ304" i="3"/>
  <c r="BD304" i="3"/>
  <c r="Z304" i="3"/>
  <c r="AQ304" i="3"/>
  <c r="R41" i="15" s="1"/>
  <c r="S41" i="15" s="1"/>
  <c r="AT304" i="3"/>
  <c r="Z41" i="15" l="1"/>
  <c r="AA41" i="15" s="1"/>
  <c r="BQ304" i="3"/>
  <c r="AX304" i="3"/>
  <c r="BH304" i="3"/>
  <c r="BS304" i="3"/>
  <c r="AY304" i="3"/>
  <c r="BR304" i="3"/>
  <c r="W41" i="15" s="1"/>
  <c r="X41" i="15" s="1"/>
  <c r="BI304" i="3"/>
  <c r="BT304" i="3"/>
  <c r="AD41" i="15" s="1"/>
  <c r="AE41" i="15" s="1"/>
  <c r="BT303" i="3"/>
  <c r="AD40" i="15" s="1"/>
  <c r="BS303" i="3"/>
  <c r="BQ303" i="3"/>
  <c r="BP303" i="3"/>
  <c r="P40" i="15" s="1"/>
  <c r="BO303" i="3"/>
  <c r="BN303" i="3"/>
  <c r="I40" i="15" s="1"/>
  <c r="BM303" i="3"/>
  <c r="BJ303" i="3"/>
  <c r="BI303" i="3"/>
  <c r="BH303" i="3"/>
  <c r="AZ303" i="3"/>
  <c r="AX303" i="3"/>
  <c r="AU303" i="3"/>
  <c r="AP303" i="3"/>
  <c r="AO303" i="3"/>
  <c r="AN303" i="3"/>
  <c r="AE303" i="3"/>
  <c r="AD303" i="3"/>
  <c r="W303" i="3"/>
  <c r="V303" i="3"/>
  <c r="AJ303" i="3" s="1"/>
  <c r="AY303" i="3" l="1"/>
  <c r="BK303" i="3"/>
  <c r="AF40" i="15" s="1"/>
  <c r="AG40" i="15" s="1"/>
  <c r="AT303" i="3"/>
  <c r="AG303" i="3"/>
  <c r="K40" i="15" s="1"/>
  <c r="L40" i="15" s="1"/>
  <c r="BR303" i="3"/>
  <c r="W40" i="15" s="1"/>
  <c r="X40" i="15" s="1"/>
  <c r="BA303" i="3"/>
  <c r="Y40" i="15" s="1"/>
  <c r="Z303" i="3"/>
  <c r="BD303" i="3"/>
  <c r="AQ303" i="3"/>
  <c r="R40" i="15" s="1"/>
  <c r="S40" i="15" s="1"/>
  <c r="Z40" i="15" l="1"/>
  <c r="AA40" i="15" s="1"/>
  <c r="BT302" i="3" l="1"/>
  <c r="BS302" i="3"/>
  <c r="AD275" i="15" s="1"/>
  <c r="BR302" i="3"/>
  <c r="BQ302" i="3"/>
  <c r="W275" i="15" s="1"/>
  <c r="BP302" i="3"/>
  <c r="BO302" i="3"/>
  <c r="P275" i="15" s="1"/>
  <c r="BN302" i="3"/>
  <c r="BM302" i="3"/>
  <c r="I275" i="15" s="1"/>
  <c r="J275" i="15" s="1"/>
  <c r="BJ302" i="3"/>
  <c r="AF275" i="15" s="1"/>
  <c r="BI302" i="3"/>
  <c r="BH302" i="3"/>
  <c r="AZ302" i="3"/>
  <c r="Y275" i="15" s="1"/>
  <c r="Z275" i="15" s="1"/>
  <c r="AA275" i="15" s="1"/>
  <c r="AY302" i="3"/>
  <c r="AX302" i="3"/>
  <c r="AP302" i="3"/>
  <c r="R275" i="15" s="1"/>
  <c r="S275" i="15" s="1"/>
  <c r="T275" i="15" s="1"/>
  <c r="AO302" i="3"/>
  <c r="AN302" i="3"/>
  <c r="AF302" i="3"/>
  <c r="K275" i="15" s="1"/>
  <c r="AE302" i="3"/>
  <c r="AD302" i="3"/>
  <c r="W302" i="3"/>
  <c r="BK302" i="3" s="1"/>
  <c r="V302" i="3"/>
  <c r="BT299" i="3"/>
  <c r="AD32" i="15" s="1"/>
  <c r="BS299" i="3"/>
  <c r="BR299" i="3"/>
  <c r="W32" i="15" s="1"/>
  <c r="BQ299" i="3"/>
  <c r="W356" i="15" s="1"/>
  <c r="BP299" i="3"/>
  <c r="P32" i="15" s="1"/>
  <c r="BO299" i="3"/>
  <c r="P356" i="15" s="1"/>
  <c r="BN299" i="3"/>
  <c r="I32" i="15" s="1"/>
  <c r="BM299" i="3"/>
  <c r="I356" i="15" s="1"/>
  <c r="BJ299" i="3"/>
  <c r="BI299" i="3"/>
  <c r="AC32" i="15" s="1"/>
  <c r="BH299" i="3"/>
  <c r="AZ299" i="3"/>
  <c r="Y356" i="15" s="1"/>
  <c r="Z356" i="15" s="1"/>
  <c r="AY299" i="3"/>
  <c r="V32" i="15" s="1"/>
  <c r="AX299" i="3"/>
  <c r="AP299" i="3"/>
  <c r="R356" i="15" s="1"/>
  <c r="S356" i="15" s="1"/>
  <c r="AO299" i="3"/>
  <c r="O32" i="15" s="1"/>
  <c r="AN299" i="3"/>
  <c r="AF299" i="3"/>
  <c r="AE299" i="3"/>
  <c r="H32" i="15" s="1"/>
  <c r="AD299" i="3"/>
  <c r="W299" i="3"/>
  <c r="V299" i="3"/>
  <c r="Z299" i="3" s="1"/>
  <c r="BT298" i="3"/>
  <c r="BS298" i="3"/>
  <c r="AD274" i="15" s="1"/>
  <c r="AE274" i="15" s="1"/>
  <c r="BR298" i="3"/>
  <c r="BQ298" i="3"/>
  <c r="W274" i="15" s="1"/>
  <c r="BP298" i="3"/>
  <c r="BO298" i="3"/>
  <c r="P274" i="15" s="1"/>
  <c r="BN298" i="3"/>
  <c r="BM298" i="3"/>
  <c r="I274" i="15" s="1"/>
  <c r="BJ298" i="3"/>
  <c r="AF274" i="15" s="1"/>
  <c r="AG274" i="15" s="1"/>
  <c r="BI298" i="3"/>
  <c r="BH298" i="3"/>
  <c r="AZ298" i="3"/>
  <c r="Y274" i="15" s="1"/>
  <c r="Z274" i="15" s="1"/>
  <c r="AY298" i="3"/>
  <c r="AX298" i="3"/>
  <c r="AP298" i="3"/>
  <c r="R274" i="15" s="1"/>
  <c r="S274" i="15" s="1"/>
  <c r="AO298" i="3"/>
  <c r="AN298" i="3"/>
  <c r="AF298" i="3"/>
  <c r="K274" i="15" s="1"/>
  <c r="L274" i="15" s="1"/>
  <c r="AE298" i="3"/>
  <c r="AD298" i="3"/>
  <c r="W298" i="3"/>
  <c r="V298" i="3"/>
  <c r="BD298" i="3" s="1"/>
  <c r="BT297" i="3"/>
  <c r="BS297" i="3"/>
  <c r="AD362" i="15" s="1"/>
  <c r="AE362" i="15" s="1"/>
  <c r="BR297" i="3"/>
  <c r="BQ297" i="3"/>
  <c r="W362" i="15" s="1"/>
  <c r="BP297" i="3"/>
  <c r="BO297" i="3"/>
  <c r="P362" i="15" s="1"/>
  <c r="BN297" i="3"/>
  <c r="BM297" i="3"/>
  <c r="I362" i="15" s="1"/>
  <c r="BJ297" i="3"/>
  <c r="AF362" i="15" s="1"/>
  <c r="AG362" i="15" s="1"/>
  <c r="BI297" i="3"/>
  <c r="BH297" i="3"/>
  <c r="AZ297" i="3"/>
  <c r="Y362" i="15" s="1"/>
  <c r="Z362" i="15" s="1"/>
  <c r="AY297" i="3"/>
  <c r="AX297" i="3"/>
  <c r="AP297" i="3"/>
  <c r="R362" i="15" s="1"/>
  <c r="S362" i="15" s="1"/>
  <c r="AO297" i="3"/>
  <c r="AN297" i="3"/>
  <c r="AF297" i="3"/>
  <c r="K362" i="15" s="1"/>
  <c r="L362" i="15" s="1"/>
  <c r="AE297" i="3"/>
  <c r="AD297" i="3"/>
  <c r="W297" i="3"/>
  <c r="V297" i="3"/>
  <c r="AT297" i="3" s="1"/>
  <c r="BT296" i="3"/>
  <c r="BS296" i="3"/>
  <c r="AD361" i="15" s="1"/>
  <c r="AE361" i="15" s="1"/>
  <c r="BR296" i="3"/>
  <c r="BQ296" i="3"/>
  <c r="W361" i="15" s="1"/>
  <c r="BP296" i="3"/>
  <c r="BO296" i="3"/>
  <c r="P361" i="15" s="1"/>
  <c r="BN296" i="3"/>
  <c r="BM296" i="3"/>
  <c r="I361" i="15" s="1"/>
  <c r="BJ296" i="3"/>
  <c r="AF361" i="15" s="1"/>
  <c r="AG361" i="15" s="1"/>
  <c r="BI296" i="3"/>
  <c r="BH296" i="3"/>
  <c r="AZ296" i="3"/>
  <c r="Y361" i="15" s="1"/>
  <c r="Z361" i="15" s="1"/>
  <c r="AY296" i="3"/>
  <c r="AX296" i="3"/>
  <c r="AP296" i="3"/>
  <c r="R361" i="15" s="1"/>
  <c r="S361" i="15" s="1"/>
  <c r="AO296" i="3"/>
  <c r="AN296" i="3"/>
  <c r="AF296" i="3"/>
  <c r="K361" i="15" s="1"/>
  <c r="L361" i="15" s="1"/>
  <c r="AE296" i="3"/>
  <c r="AD296" i="3"/>
  <c r="W296" i="3"/>
  <c r="V296" i="3"/>
  <c r="BD296" i="3" s="1"/>
  <c r="BT295" i="3"/>
  <c r="BS295" i="3"/>
  <c r="AD360" i="15" s="1"/>
  <c r="AE360" i="15" s="1"/>
  <c r="BR295" i="3"/>
  <c r="BQ295" i="3"/>
  <c r="W360" i="15" s="1"/>
  <c r="BP295" i="3"/>
  <c r="BO295" i="3"/>
  <c r="P360" i="15" s="1"/>
  <c r="BN295" i="3"/>
  <c r="BM295" i="3"/>
  <c r="I360" i="15" s="1"/>
  <c r="BJ295" i="3"/>
  <c r="AF360" i="15" s="1"/>
  <c r="AG360" i="15" s="1"/>
  <c r="BI295" i="3"/>
  <c r="BH295" i="3"/>
  <c r="AZ295" i="3"/>
  <c r="Y360" i="15" s="1"/>
  <c r="Z360" i="15" s="1"/>
  <c r="AY295" i="3"/>
  <c r="AX295" i="3"/>
  <c r="AP295" i="3"/>
  <c r="R360" i="15" s="1"/>
  <c r="S360" i="15" s="1"/>
  <c r="AO295" i="3"/>
  <c r="AN295" i="3"/>
  <c r="AF295" i="3"/>
  <c r="K360" i="15" s="1"/>
  <c r="L360" i="15" s="1"/>
  <c r="AE295" i="3"/>
  <c r="AD295" i="3"/>
  <c r="W295" i="3"/>
  <c r="V295" i="3"/>
  <c r="AT295" i="3" s="1"/>
  <c r="BT294" i="3"/>
  <c r="BS294" i="3"/>
  <c r="AD359" i="15" s="1"/>
  <c r="AE359" i="15" s="1"/>
  <c r="BR294" i="3"/>
  <c r="BQ294" i="3"/>
  <c r="W359" i="15" s="1"/>
  <c r="BP294" i="3"/>
  <c r="BO294" i="3"/>
  <c r="P359" i="15" s="1"/>
  <c r="BN294" i="3"/>
  <c r="BM294" i="3"/>
  <c r="I359" i="15" s="1"/>
  <c r="BJ294" i="3"/>
  <c r="AF359" i="15" s="1"/>
  <c r="AG359" i="15" s="1"/>
  <c r="BI294" i="3"/>
  <c r="BH294" i="3"/>
  <c r="AZ294" i="3"/>
  <c r="Y359" i="15" s="1"/>
  <c r="Z359" i="15" s="1"/>
  <c r="AY294" i="3"/>
  <c r="AX294" i="3"/>
  <c r="AP294" i="3"/>
  <c r="R359" i="15" s="1"/>
  <c r="S359" i="15" s="1"/>
  <c r="AO294" i="3"/>
  <c r="AN294" i="3"/>
  <c r="AF294" i="3"/>
  <c r="K359" i="15" s="1"/>
  <c r="L359" i="15" s="1"/>
  <c r="AE294" i="3"/>
  <c r="AD294" i="3"/>
  <c r="W294" i="3"/>
  <c r="V294" i="3"/>
  <c r="BT293" i="3"/>
  <c r="BS293" i="3"/>
  <c r="AD358" i="15" s="1"/>
  <c r="AE358" i="15" s="1"/>
  <c r="BR293" i="3"/>
  <c r="BQ293" i="3"/>
  <c r="W358" i="15" s="1"/>
  <c r="BP293" i="3"/>
  <c r="BO293" i="3"/>
  <c r="P358" i="15" s="1"/>
  <c r="BN293" i="3"/>
  <c r="BM293" i="3"/>
  <c r="I358" i="15" s="1"/>
  <c r="BJ293" i="3"/>
  <c r="AF358" i="15" s="1"/>
  <c r="AG358" i="15" s="1"/>
  <c r="BI293" i="3"/>
  <c r="BH293" i="3"/>
  <c r="AZ293" i="3"/>
  <c r="Y358" i="15" s="1"/>
  <c r="Z358" i="15" s="1"/>
  <c r="AY293" i="3"/>
  <c r="AX293" i="3"/>
  <c r="AP293" i="3"/>
  <c r="R358" i="15" s="1"/>
  <c r="S358" i="15" s="1"/>
  <c r="AO293" i="3"/>
  <c r="AN293" i="3"/>
  <c r="AF293" i="3"/>
  <c r="K358" i="15" s="1"/>
  <c r="L358" i="15" s="1"/>
  <c r="AE293" i="3"/>
  <c r="AD293" i="3"/>
  <c r="W293" i="3"/>
  <c r="V293" i="3"/>
  <c r="AT293" i="3" s="1"/>
  <c r="BT292" i="3"/>
  <c r="BS292" i="3"/>
  <c r="AD357" i="15" s="1"/>
  <c r="AE357" i="15" s="1"/>
  <c r="BR292" i="3"/>
  <c r="BQ292" i="3"/>
  <c r="W357" i="15" s="1"/>
  <c r="BP292" i="3"/>
  <c r="BO292" i="3"/>
  <c r="P357" i="15" s="1"/>
  <c r="BN292" i="3"/>
  <c r="BM292" i="3"/>
  <c r="I357" i="15" s="1"/>
  <c r="BJ292" i="3"/>
  <c r="AF357" i="15" s="1"/>
  <c r="AG357" i="15" s="1"/>
  <c r="BI292" i="3"/>
  <c r="BH292" i="3"/>
  <c r="AZ292" i="3"/>
  <c r="Y357" i="15" s="1"/>
  <c r="Z357" i="15" s="1"/>
  <c r="AY292" i="3"/>
  <c r="AX292" i="3"/>
  <c r="AP292" i="3"/>
  <c r="R357" i="15" s="1"/>
  <c r="S357" i="15" s="1"/>
  <c r="AO292" i="3"/>
  <c r="AN292" i="3"/>
  <c r="AF292" i="3"/>
  <c r="K357" i="15" s="1"/>
  <c r="L357" i="15" s="1"/>
  <c r="AE292" i="3"/>
  <c r="AD292" i="3"/>
  <c r="W292" i="3"/>
  <c r="V292" i="3"/>
  <c r="BT289" i="3"/>
  <c r="BS289" i="3"/>
  <c r="AD162" i="15" s="1"/>
  <c r="AE162" i="15" s="1"/>
  <c r="BR289" i="3"/>
  <c r="BQ289" i="3"/>
  <c r="W162" i="15" s="1"/>
  <c r="BP289" i="3"/>
  <c r="BO289" i="3"/>
  <c r="P162" i="15" s="1"/>
  <c r="BN289" i="3"/>
  <c r="BM289" i="3"/>
  <c r="I162" i="15" s="1"/>
  <c r="BJ289" i="3"/>
  <c r="AF162" i="15" s="1"/>
  <c r="AG162" i="15" s="1"/>
  <c r="BI289" i="3"/>
  <c r="BH289" i="3"/>
  <c r="AZ289" i="3"/>
  <c r="Y162" i="15" s="1"/>
  <c r="Z162" i="15" s="1"/>
  <c r="AY289" i="3"/>
  <c r="AX289" i="3"/>
  <c r="AP289" i="3"/>
  <c r="R162" i="15" s="1"/>
  <c r="S162" i="15" s="1"/>
  <c r="AO289" i="3"/>
  <c r="AN289" i="3"/>
  <c r="AF289" i="3"/>
  <c r="K162" i="15" s="1"/>
  <c r="L162" i="15" s="1"/>
  <c r="AE289" i="3"/>
  <c r="AD289" i="3"/>
  <c r="W289" i="3"/>
  <c r="V289" i="3"/>
  <c r="Z289" i="3" s="1"/>
  <c r="BT288" i="3"/>
  <c r="BS288" i="3"/>
  <c r="AD161" i="15" s="1"/>
  <c r="BR288" i="3"/>
  <c r="BQ288" i="3"/>
  <c r="W161" i="15" s="1"/>
  <c r="X161" i="15" s="1"/>
  <c r="BP288" i="3"/>
  <c r="BO288" i="3"/>
  <c r="P161" i="15" s="1"/>
  <c r="BN288" i="3"/>
  <c r="BM288" i="3"/>
  <c r="I161" i="15" s="1"/>
  <c r="BJ288" i="3"/>
  <c r="AF161" i="15" s="1"/>
  <c r="AG161" i="15" s="1"/>
  <c r="BI288" i="3"/>
  <c r="BH288" i="3"/>
  <c r="AZ288" i="3"/>
  <c r="Y161" i="15" s="1"/>
  <c r="AY288" i="3"/>
  <c r="AX288" i="3"/>
  <c r="AP288" i="3"/>
  <c r="R161" i="15" s="1"/>
  <c r="S161" i="15" s="1"/>
  <c r="AO288" i="3"/>
  <c r="AN288" i="3"/>
  <c r="AF288" i="3"/>
  <c r="K161" i="15" s="1"/>
  <c r="L161" i="15" s="1"/>
  <c r="AE288" i="3"/>
  <c r="AD288" i="3"/>
  <c r="W288" i="3"/>
  <c r="V288" i="3"/>
  <c r="Z288" i="3" s="1"/>
  <c r="BT287" i="3"/>
  <c r="BS287" i="3"/>
  <c r="AD273" i="15" s="1"/>
  <c r="BR287" i="3"/>
  <c r="BQ287" i="3"/>
  <c r="W273" i="15" s="1"/>
  <c r="X273" i="15" s="1"/>
  <c r="BP287" i="3"/>
  <c r="BO287" i="3"/>
  <c r="P273" i="15" s="1"/>
  <c r="BN287" i="3"/>
  <c r="BM287" i="3"/>
  <c r="I273" i="15" s="1"/>
  <c r="BK287" i="3"/>
  <c r="BJ287" i="3"/>
  <c r="AF273" i="15" s="1"/>
  <c r="AG273" i="15" s="1"/>
  <c r="BI287" i="3"/>
  <c r="BH287" i="3"/>
  <c r="BA287" i="3"/>
  <c r="AZ287" i="3"/>
  <c r="Y273" i="15" s="1"/>
  <c r="AY287" i="3"/>
  <c r="AX287" i="3"/>
  <c r="AQ287" i="3"/>
  <c r="AP287" i="3"/>
  <c r="R273" i="15" s="1"/>
  <c r="S273" i="15" s="1"/>
  <c r="AO287" i="3"/>
  <c r="AN287" i="3"/>
  <c r="AG287" i="3"/>
  <c r="AF287" i="3"/>
  <c r="K273" i="15" s="1"/>
  <c r="L273" i="15" s="1"/>
  <c r="AE287" i="3"/>
  <c r="AD287" i="3"/>
  <c r="V287" i="3"/>
  <c r="BD287" i="3" s="1"/>
  <c r="BT286" i="3"/>
  <c r="AD31" i="15" s="1"/>
  <c r="AE31" i="15" s="1"/>
  <c r="BS286" i="3"/>
  <c r="BR286" i="3"/>
  <c r="W31" i="15" s="1"/>
  <c r="X31" i="15" s="1"/>
  <c r="BQ286" i="3"/>
  <c r="BP286" i="3"/>
  <c r="P31" i="15" s="1"/>
  <c r="BO286" i="3"/>
  <c r="BN286" i="3"/>
  <c r="I31" i="15" s="1"/>
  <c r="BM286" i="3"/>
  <c r="BJ286" i="3"/>
  <c r="BI286" i="3"/>
  <c r="AC31" i="15" s="1"/>
  <c r="BH286" i="3"/>
  <c r="AZ286" i="3"/>
  <c r="AY286" i="3"/>
  <c r="V31" i="15" s="1"/>
  <c r="AX286" i="3"/>
  <c r="AP286" i="3"/>
  <c r="AO286" i="3"/>
  <c r="O31" i="15" s="1"/>
  <c r="AN286" i="3"/>
  <c r="AF286" i="3"/>
  <c r="AE286" i="3"/>
  <c r="H31" i="15" s="1"/>
  <c r="AD286" i="3"/>
  <c r="W286" i="3"/>
  <c r="V286" i="3"/>
  <c r="BD286" i="3" s="1"/>
  <c r="BT285" i="3"/>
  <c r="BS285" i="3"/>
  <c r="AD271" i="15" s="1"/>
  <c r="AE271" i="15" s="1"/>
  <c r="BR285" i="3"/>
  <c r="BQ285" i="3"/>
  <c r="BP285" i="3"/>
  <c r="BO285" i="3"/>
  <c r="P271" i="15" s="1"/>
  <c r="BN285" i="3"/>
  <c r="BM285" i="3"/>
  <c r="I271" i="15" s="1"/>
  <c r="BJ285" i="3"/>
  <c r="AF271" i="15" s="1"/>
  <c r="AG271" i="15" s="1"/>
  <c r="BI285" i="3"/>
  <c r="BH285" i="3"/>
  <c r="AZ285" i="3"/>
  <c r="AY285" i="3"/>
  <c r="AX285" i="3"/>
  <c r="AP285" i="3"/>
  <c r="R271" i="15" s="1"/>
  <c r="S271" i="15" s="1"/>
  <c r="AO285" i="3"/>
  <c r="AN285" i="3"/>
  <c r="AF285" i="3"/>
  <c r="K271" i="15" s="1"/>
  <c r="L271" i="15" s="1"/>
  <c r="AE285" i="3"/>
  <c r="AD285" i="3"/>
  <c r="W285" i="3"/>
  <c r="V285" i="3"/>
  <c r="AT285" i="3" s="1"/>
  <c r="BT284" i="3"/>
  <c r="BS284" i="3"/>
  <c r="AD142" i="15" s="1"/>
  <c r="BR284" i="3"/>
  <c r="BQ284" i="3"/>
  <c r="BP284" i="3"/>
  <c r="BO284" i="3"/>
  <c r="P142" i="15" s="1"/>
  <c r="BN284" i="3"/>
  <c r="BM284" i="3"/>
  <c r="I142" i="15" s="1"/>
  <c r="BJ284" i="3"/>
  <c r="AF142" i="15" s="1"/>
  <c r="BI284" i="3"/>
  <c r="BH284" i="3"/>
  <c r="AZ284" i="3"/>
  <c r="Y142" i="15" s="1"/>
  <c r="Z142" i="15" s="1"/>
  <c r="AY284" i="3"/>
  <c r="AX284" i="3"/>
  <c r="AP284" i="3"/>
  <c r="R142" i="15" s="1"/>
  <c r="S142" i="15" s="1"/>
  <c r="AO284" i="3"/>
  <c r="AN284" i="3"/>
  <c r="AF284" i="3"/>
  <c r="K142" i="15" s="1"/>
  <c r="L142" i="15" s="1"/>
  <c r="AE284" i="3"/>
  <c r="AD284" i="3"/>
  <c r="W284" i="3"/>
  <c r="V284" i="3"/>
  <c r="BD284" i="3" s="1"/>
  <c r="BT283" i="3"/>
  <c r="BS283" i="3"/>
  <c r="AD182" i="15" s="1"/>
  <c r="AE182" i="15" s="1"/>
  <c r="BR283" i="3"/>
  <c r="BQ283" i="3"/>
  <c r="W182" i="15" s="1"/>
  <c r="BP283" i="3"/>
  <c r="BO283" i="3"/>
  <c r="P182" i="15" s="1"/>
  <c r="BN283" i="3"/>
  <c r="BM283" i="3"/>
  <c r="I182" i="15" s="1"/>
  <c r="BJ283" i="3"/>
  <c r="AF182" i="15" s="1"/>
  <c r="AG182" i="15" s="1"/>
  <c r="BI283" i="3"/>
  <c r="BH283" i="3"/>
  <c r="AZ283" i="3"/>
  <c r="Y182" i="15" s="1"/>
  <c r="Z182" i="15" s="1"/>
  <c r="AY283" i="3"/>
  <c r="AX283" i="3"/>
  <c r="AP283" i="3"/>
  <c r="R182" i="15" s="1"/>
  <c r="S182" i="15" s="1"/>
  <c r="AO283" i="3"/>
  <c r="AN283" i="3"/>
  <c r="AF283" i="3"/>
  <c r="K182" i="15" s="1"/>
  <c r="L182" i="15" s="1"/>
  <c r="AE283" i="3"/>
  <c r="AD283" i="3"/>
  <c r="W283" i="3"/>
  <c r="V283" i="3"/>
  <c r="BT282" i="3"/>
  <c r="BS282" i="3"/>
  <c r="AD181" i="15" s="1"/>
  <c r="AE181" i="15" s="1"/>
  <c r="BR282" i="3"/>
  <c r="BQ282" i="3"/>
  <c r="W181" i="15" s="1"/>
  <c r="BP282" i="3"/>
  <c r="BO282" i="3"/>
  <c r="P181" i="15" s="1"/>
  <c r="BN282" i="3"/>
  <c r="BM282" i="3"/>
  <c r="I181" i="15" s="1"/>
  <c r="BJ282" i="3"/>
  <c r="AF181" i="15" s="1"/>
  <c r="AG181" i="15" s="1"/>
  <c r="BI282" i="3"/>
  <c r="BH282" i="3"/>
  <c r="AZ282" i="3"/>
  <c r="Y181" i="15" s="1"/>
  <c r="Z181" i="15" s="1"/>
  <c r="AY282" i="3"/>
  <c r="AX282" i="3"/>
  <c r="AP282" i="3"/>
  <c r="R181" i="15" s="1"/>
  <c r="S181" i="15" s="1"/>
  <c r="AO282" i="3"/>
  <c r="AN282" i="3"/>
  <c r="AF282" i="3"/>
  <c r="K181" i="15" s="1"/>
  <c r="L181" i="15" s="1"/>
  <c r="AE282" i="3"/>
  <c r="AD282" i="3"/>
  <c r="W282" i="3"/>
  <c r="V282" i="3"/>
  <c r="AT282" i="3" s="1"/>
  <c r="BT281" i="3"/>
  <c r="BS281" i="3"/>
  <c r="AD174" i="15" s="1"/>
  <c r="AE174" i="15" s="1"/>
  <c r="BR281" i="3"/>
  <c r="BQ281" i="3"/>
  <c r="W174" i="15" s="1"/>
  <c r="BP281" i="3"/>
  <c r="BO281" i="3"/>
  <c r="P174" i="15" s="1"/>
  <c r="BN281" i="3"/>
  <c r="BM281" i="3"/>
  <c r="I174" i="15" s="1"/>
  <c r="BJ281" i="3"/>
  <c r="AF174" i="15" s="1"/>
  <c r="AG174" i="15" s="1"/>
  <c r="BI281" i="3"/>
  <c r="BH281" i="3"/>
  <c r="AZ281" i="3"/>
  <c r="Y174" i="15" s="1"/>
  <c r="Z174" i="15" s="1"/>
  <c r="AY281" i="3"/>
  <c r="AX281" i="3"/>
  <c r="AP281" i="3"/>
  <c r="R174" i="15" s="1"/>
  <c r="S174" i="15" s="1"/>
  <c r="AO281" i="3"/>
  <c r="AN281" i="3"/>
  <c r="AF281" i="3"/>
  <c r="K174" i="15" s="1"/>
  <c r="L174" i="15" s="1"/>
  <c r="AE281" i="3"/>
  <c r="AD281" i="3"/>
  <c r="W281" i="3"/>
  <c r="V281" i="3"/>
  <c r="Z281" i="3" s="1"/>
  <c r="BT280" i="3"/>
  <c r="BS280" i="3"/>
  <c r="AD149" i="15" s="1"/>
  <c r="BR280" i="3"/>
  <c r="BQ280" i="3"/>
  <c r="W149" i="15" s="1"/>
  <c r="BP280" i="3"/>
  <c r="BO280" i="3"/>
  <c r="P149" i="15" s="1"/>
  <c r="BN280" i="3"/>
  <c r="BM280" i="3"/>
  <c r="I149" i="15" s="1"/>
  <c r="J149" i="15" s="1"/>
  <c r="BJ280" i="3"/>
  <c r="AF149" i="15" s="1"/>
  <c r="AG149" i="15" s="1"/>
  <c r="BI280" i="3"/>
  <c r="BH280" i="3"/>
  <c r="AZ280" i="3"/>
  <c r="Y149" i="15" s="1"/>
  <c r="Z149" i="15" s="1"/>
  <c r="AA149" i="15" s="1"/>
  <c r="AY280" i="3"/>
  <c r="AX280" i="3"/>
  <c r="AP280" i="3"/>
  <c r="R149" i="15" s="1"/>
  <c r="S149" i="15" s="1"/>
  <c r="T149" i="15" s="1"/>
  <c r="AO280" i="3"/>
  <c r="AN280" i="3"/>
  <c r="AF280" i="3"/>
  <c r="K149" i="15" s="1"/>
  <c r="AE280" i="3"/>
  <c r="AD280" i="3"/>
  <c r="W280" i="3"/>
  <c r="V280" i="3"/>
  <c r="Z280" i="3" s="1"/>
  <c r="BT279" i="3"/>
  <c r="BS279" i="3"/>
  <c r="AD173" i="15" s="1"/>
  <c r="BR279" i="3"/>
  <c r="BQ279" i="3"/>
  <c r="W173" i="15" s="1"/>
  <c r="BP279" i="3"/>
  <c r="BO279" i="3"/>
  <c r="P173" i="15" s="1"/>
  <c r="Q173" i="15" s="1"/>
  <c r="BN279" i="3"/>
  <c r="BM279" i="3"/>
  <c r="I173" i="15" s="1"/>
  <c r="BJ279" i="3"/>
  <c r="AF173" i="15" s="1"/>
  <c r="AG173" i="15" s="1"/>
  <c r="BI279" i="3"/>
  <c r="BH279" i="3"/>
  <c r="AZ279" i="3"/>
  <c r="Y173" i="15" s="1"/>
  <c r="Z173" i="15" s="1"/>
  <c r="AA173" i="15" s="1"/>
  <c r="AY279" i="3"/>
  <c r="AX279" i="3"/>
  <c r="AP279" i="3"/>
  <c r="R173" i="15" s="1"/>
  <c r="S173" i="15" s="1"/>
  <c r="T173" i="15" s="1"/>
  <c r="AO279" i="3"/>
  <c r="AN279" i="3"/>
  <c r="AF279" i="3"/>
  <c r="K173" i="15" s="1"/>
  <c r="L173" i="15" s="1"/>
  <c r="AE279" i="3"/>
  <c r="AD279" i="3"/>
  <c r="W279" i="3"/>
  <c r="V279" i="3"/>
  <c r="BD279" i="3" s="1"/>
  <c r="BT278" i="3"/>
  <c r="BS278" i="3"/>
  <c r="AD165" i="15" s="1"/>
  <c r="AE165" i="15" s="1"/>
  <c r="BR278" i="3"/>
  <c r="BQ278" i="3"/>
  <c r="BP278" i="3"/>
  <c r="BO278" i="3"/>
  <c r="P165" i="15" s="1"/>
  <c r="BN278" i="3"/>
  <c r="BM278" i="3"/>
  <c r="I165" i="15" s="1"/>
  <c r="BJ278" i="3"/>
  <c r="AF165" i="15" s="1"/>
  <c r="AG165" i="15" s="1"/>
  <c r="BI278" i="3"/>
  <c r="BH278" i="3"/>
  <c r="Y165" i="15"/>
  <c r="Z165" i="15" s="1"/>
  <c r="AA165" i="15" s="1"/>
  <c r="AY278" i="3"/>
  <c r="AP278" i="3"/>
  <c r="R165" i="15" s="1"/>
  <c r="S165" i="15" s="1"/>
  <c r="AO278" i="3"/>
  <c r="AN278" i="3"/>
  <c r="AF278" i="3"/>
  <c r="K165" i="15" s="1"/>
  <c r="L165" i="15" s="1"/>
  <c r="AE278" i="3"/>
  <c r="AD278" i="3"/>
  <c r="W278" i="3"/>
  <c r="V278" i="3"/>
  <c r="AT278" i="3" s="1"/>
  <c r="BT277" i="3"/>
  <c r="BS277" i="3"/>
  <c r="AD355" i="15" s="1"/>
  <c r="AE355" i="15" s="1"/>
  <c r="BR277" i="3"/>
  <c r="BQ277" i="3"/>
  <c r="W355" i="15" s="1"/>
  <c r="X355" i="15" s="1"/>
  <c r="BP277" i="3"/>
  <c r="BO277" i="3"/>
  <c r="P355" i="15" s="1"/>
  <c r="BN277" i="3"/>
  <c r="BM277" i="3"/>
  <c r="I355" i="15" s="1"/>
  <c r="BJ277" i="3"/>
  <c r="BH277" i="3"/>
  <c r="AZ277" i="3"/>
  <c r="Y355" i="15" s="1"/>
  <c r="AX277" i="3"/>
  <c r="AP277" i="3"/>
  <c r="R355" i="15" s="1"/>
  <c r="S355" i="15" s="1"/>
  <c r="AN277" i="3"/>
  <c r="AF277" i="3"/>
  <c r="K355" i="15" s="1"/>
  <c r="L355" i="15" s="1"/>
  <c r="AD277" i="3"/>
  <c r="BT276" i="3"/>
  <c r="BS276" i="3"/>
  <c r="AD354" i="15" s="1"/>
  <c r="AE354" i="15" s="1"/>
  <c r="BR276" i="3"/>
  <c r="BQ276" i="3"/>
  <c r="W354" i="15" s="1"/>
  <c r="X354" i="15" s="1"/>
  <c r="BP276" i="3"/>
  <c r="BO276" i="3"/>
  <c r="BN276" i="3"/>
  <c r="BM276" i="3"/>
  <c r="I354" i="15" s="1"/>
  <c r="BK276" i="3"/>
  <c r="BJ276" i="3"/>
  <c r="BI276" i="3"/>
  <c r="BH276" i="3"/>
  <c r="BA276" i="3"/>
  <c r="AZ276" i="3"/>
  <c r="Y354" i="15" s="1"/>
  <c r="AY276" i="3"/>
  <c r="AX276" i="3"/>
  <c r="AQ276" i="3"/>
  <c r="AP276" i="3"/>
  <c r="AO276" i="3"/>
  <c r="AN276" i="3"/>
  <c r="AG276" i="3"/>
  <c r="AF276" i="3"/>
  <c r="K354" i="15" s="1"/>
  <c r="L354" i="15" s="1"/>
  <c r="AE276" i="3"/>
  <c r="AD276" i="3"/>
  <c r="W276" i="3"/>
  <c r="V276" i="3"/>
  <c r="AT276" i="3" s="1"/>
  <c r="BT275" i="3"/>
  <c r="BS275" i="3"/>
  <c r="AD353" i="15" s="1"/>
  <c r="AE353" i="15" s="1"/>
  <c r="BR275" i="3"/>
  <c r="BQ275" i="3"/>
  <c r="W353" i="15" s="1"/>
  <c r="BP275" i="3"/>
  <c r="BO275" i="3"/>
  <c r="P353" i="15" s="1"/>
  <c r="BN275" i="3"/>
  <c r="BM275" i="3"/>
  <c r="I353" i="15" s="1"/>
  <c r="BJ275" i="3"/>
  <c r="BH275" i="3"/>
  <c r="AZ275" i="3"/>
  <c r="Y353" i="15" s="1"/>
  <c r="Z353" i="15" s="1"/>
  <c r="AX275" i="3"/>
  <c r="AP275" i="3"/>
  <c r="R353" i="15" s="1"/>
  <c r="S353" i="15" s="1"/>
  <c r="AN275" i="3"/>
  <c r="AF275" i="3"/>
  <c r="K353" i="15" s="1"/>
  <c r="L353" i="15" s="1"/>
  <c r="AD275" i="3"/>
  <c r="BT274" i="3"/>
  <c r="BS274" i="3"/>
  <c r="AD352" i="15" s="1"/>
  <c r="AE352" i="15" s="1"/>
  <c r="BR274" i="3"/>
  <c r="BQ274" i="3"/>
  <c r="BP274" i="3"/>
  <c r="BO274" i="3"/>
  <c r="P352" i="15" s="1"/>
  <c r="BN274" i="3"/>
  <c r="BM274" i="3"/>
  <c r="I352" i="15" s="1"/>
  <c r="BJ274" i="3"/>
  <c r="BI274" i="3"/>
  <c r="BH274" i="3"/>
  <c r="AZ274" i="3"/>
  <c r="AY274" i="3"/>
  <c r="AX274" i="3"/>
  <c r="AP274" i="3"/>
  <c r="R352" i="15" s="1"/>
  <c r="S352" i="15" s="1"/>
  <c r="AO274" i="3"/>
  <c r="AN274" i="3"/>
  <c r="AF274" i="3"/>
  <c r="K352" i="15" s="1"/>
  <c r="L352" i="15" s="1"/>
  <c r="AE274" i="3"/>
  <c r="AD274" i="3"/>
  <c r="W274" i="3"/>
  <c r="V274" i="3"/>
  <c r="AT274" i="3" s="1"/>
  <c r="BT273" i="3"/>
  <c r="BS273" i="3"/>
  <c r="AD351" i="15" s="1"/>
  <c r="BR273" i="3"/>
  <c r="BQ273" i="3"/>
  <c r="BP273" i="3"/>
  <c r="BO273" i="3"/>
  <c r="P351" i="15" s="1"/>
  <c r="Q351" i="15" s="1"/>
  <c r="BN273" i="3"/>
  <c r="BM273" i="3"/>
  <c r="I351" i="15" s="1"/>
  <c r="BJ273" i="3"/>
  <c r="BI273" i="3"/>
  <c r="BH273" i="3"/>
  <c r="AZ273" i="3"/>
  <c r="AY273" i="3"/>
  <c r="AX273" i="3"/>
  <c r="AP273" i="3"/>
  <c r="R351" i="15" s="1"/>
  <c r="AO273" i="3"/>
  <c r="AN273" i="3"/>
  <c r="AF273" i="3"/>
  <c r="K351" i="15" s="1"/>
  <c r="L351" i="15" s="1"/>
  <c r="AE273" i="3"/>
  <c r="AD273" i="3"/>
  <c r="W273" i="3"/>
  <c r="V273" i="3"/>
  <c r="Z273" i="3" s="1"/>
  <c r="BT272" i="3"/>
  <c r="BS272" i="3"/>
  <c r="AD350" i="15" s="1"/>
  <c r="BR272" i="3"/>
  <c r="BQ272" i="3"/>
  <c r="W350" i="15" s="1"/>
  <c r="BP272" i="3"/>
  <c r="BO272" i="3"/>
  <c r="P350" i="15" s="1"/>
  <c r="Q350" i="15" s="1"/>
  <c r="BN272" i="3"/>
  <c r="BM272" i="3"/>
  <c r="I350" i="15" s="1"/>
  <c r="BJ272" i="3"/>
  <c r="BI272" i="3"/>
  <c r="BH272" i="3"/>
  <c r="AZ272" i="3"/>
  <c r="Y350" i="15" s="1"/>
  <c r="Z350" i="15" s="1"/>
  <c r="AA350" i="15" s="1"/>
  <c r="AY272" i="3"/>
  <c r="AX272" i="3"/>
  <c r="AP272" i="3"/>
  <c r="R350" i="15" s="1"/>
  <c r="AO272" i="3"/>
  <c r="AN272" i="3"/>
  <c r="AF272" i="3"/>
  <c r="K350" i="15" s="1"/>
  <c r="L350" i="15" s="1"/>
  <c r="AE272" i="3"/>
  <c r="AD272" i="3"/>
  <c r="W272" i="3"/>
  <c r="V272" i="3"/>
  <c r="Z272" i="3" s="1"/>
  <c r="BT271" i="3"/>
  <c r="BS271" i="3"/>
  <c r="AD349" i="15" s="1"/>
  <c r="AE349" i="15" s="1"/>
  <c r="BR271" i="3"/>
  <c r="BQ271" i="3"/>
  <c r="W349" i="15" s="1"/>
  <c r="BP271" i="3"/>
  <c r="BO271" i="3"/>
  <c r="P349" i="15" s="1"/>
  <c r="BN271" i="3"/>
  <c r="BM271" i="3"/>
  <c r="I349" i="15" s="1"/>
  <c r="BJ271" i="3"/>
  <c r="BI271" i="3"/>
  <c r="BH271" i="3"/>
  <c r="AZ271" i="3"/>
  <c r="Y349" i="15" s="1"/>
  <c r="Z349" i="15" s="1"/>
  <c r="AY271" i="3"/>
  <c r="AX271" i="3"/>
  <c r="AP271" i="3"/>
  <c r="R349" i="15" s="1"/>
  <c r="S349" i="15" s="1"/>
  <c r="AO271" i="3"/>
  <c r="AN271" i="3"/>
  <c r="AF271" i="3"/>
  <c r="K349" i="15" s="1"/>
  <c r="L349" i="15" s="1"/>
  <c r="AE271" i="3"/>
  <c r="AD271" i="3"/>
  <c r="W271" i="3"/>
  <c r="V271" i="3"/>
  <c r="BD271" i="3" s="1"/>
  <c r="BT270" i="3"/>
  <c r="BS270" i="3"/>
  <c r="AD348" i="15" s="1"/>
  <c r="BR270" i="3"/>
  <c r="BQ270" i="3"/>
  <c r="W348" i="15" s="1"/>
  <c r="BP270" i="3"/>
  <c r="BO270" i="3"/>
  <c r="P348" i="15" s="1"/>
  <c r="Q348" i="15" s="1"/>
  <c r="BN270" i="3"/>
  <c r="BM270" i="3"/>
  <c r="I348" i="15" s="1"/>
  <c r="BJ270" i="3"/>
  <c r="BI270" i="3"/>
  <c r="BH270" i="3"/>
  <c r="AZ270" i="3"/>
  <c r="Y348" i="15" s="1"/>
  <c r="Z348" i="15" s="1"/>
  <c r="AA348" i="15" s="1"/>
  <c r="AY270" i="3"/>
  <c r="AX270" i="3"/>
  <c r="AP270" i="3"/>
  <c r="R348" i="15" s="1"/>
  <c r="AO270" i="3"/>
  <c r="AN270" i="3"/>
  <c r="AF270" i="3"/>
  <c r="K348" i="15" s="1"/>
  <c r="L348" i="15" s="1"/>
  <c r="AE270" i="3"/>
  <c r="AD270" i="3"/>
  <c r="W270" i="3"/>
  <c r="V270" i="3"/>
  <c r="AT270" i="3" s="1"/>
  <c r="BT269" i="3"/>
  <c r="BS269" i="3"/>
  <c r="AD289" i="15" s="1"/>
  <c r="AE289" i="15" s="1"/>
  <c r="BR269" i="3"/>
  <c r="BQ269" i="3"/>
  <c r="W289" i="15" s="1"/>
  <c r="BP269" i="3"/>
  <c r="BO269" i="3"/>
  <c r="P289" i="15" s="1"/>
  <c r="BN269" i="3"/>
  <c r="BM269" i="3"/>
  <c r="I289" i="15" s="1"/>
  <c r="BJ269" i="3"/>
  <c r="AF289" i="15" s="1"/>
  <c r="AG289" i="15" s="1"/>
  <c r="BI269" i="3"/>
  <c r="BH269" i="3"/>
  <c r="AZ269" i="3"/>
  <c r="Y289" i="15" s="1"/>
  <c r="Z289" i="15" s="1"/>
  <c r="AY269" i="3"/>
  <c r="AX269" i="3"/>
  <c r="AP269" i="3"/>
  <c r="R289" i="15" s="1"/>
  <c r="S289" i="15" s="1"/>
  <c r="AO269" i="3"/>
  <c r="AN269" i="3"/>
  <c r="AF269" i="3"/>
  <c r="K289" i="15" s="1"/>
  <c r="L289" i="15" s="1"/>
  <c r="AE269" i="3"/>
  <c r="AD269" i="3"/>
  <c r="W269" i="3"/>
  <c r="V269" i="3"/>
  <c r="BD269" i="3" s="1"/>
  <c r="BS268" i="3"/>
  <c r="AD154" i="15" s="1"/>
  <c r="AE154" i="15" s="1"/>
  <c r="BQ268" i="3"/>
  <c r="W154" i="15" s="1"/>
  <c r="BP268" i="3"/>
  <c r="P36" i="15" s="1"/>
  <c r="BO268" i="3"/>
  <c r="P154" i="15" s="1"/>
  <c r="BN268" i="3"/>
  <c r="I36" i="15" s="1"/>
  <c r="BM268" i="3"/>
  <c r="I154" i="15" s="1"/>
  <c r="BJ268" i="3"/>
  <c r="AF154" i="15" s="1"/>
  <c r="AG154" i="15" s="1"/>
  <c r="BH268" i="3"/>
  <c r="AZ268" i="3"/>
  <c r="Y154" i="15" s="1"/>
  <c r="Z154" i="15" s="1"/>
  <c r="AX268" i="3"/>
  <c r="AP268" i="3"/>
  <c r="R154" i="15" s="1"/>
  <c r="S154" i="15" s="1"/>
  <c r="AO268" i="3"/>
  <c r="O36" i="15" s="1"/>
  <c r="AN268" i="3"/>
  <c r="AF268" i="3"/>
  <c r="K154" i="15" s="1"/>
  <c r="L154" i="15" s="1"/>
  <c r="AE268" i="3"/>
  <c r="H36" i="15" s="1"/>
  <c r="AD268" i="3"/>
  <c r="W268" i="3"/>
  <c r="V268" i="3"/>
  <c r="AT268" i="3" s="1"/>
  <c r="BT267" i="3"/>
  <c r="BS267" i="3"/>
  <c r="AD136" i="15" s="1"/>
  <c r="BR267" i="3"/>
  <c r="BQ267" i="3"/>
  <c r="W136" i="15" s="1"/>
  <c r="X136" i="15" s="1"/>
  <c r="BP267" i="3"/>
  <c r="BO267" i="3"/>
  <c r="P136" i="15" s="1"/>
  <c r="BN267" i="3"/>
  <c r="BM267" i="3"/>
  <c r="I136" i="15" s="1"/>
  <c r="J136" i="15" s="1"/>
  <c r="BJ267" i="3"/>
  <c r="AF136" i="15" s="1"/>
  <c r="AG136" i="15" s="1"/>
  <c r="BI267" i="3"/>
  <c r="BH267" i="3"/>
  <c r="AZ267" i="3"/>
  <c r="Y136" i="15" s="1"/>
  <c r="AY267" i="3"/>
  <c r="AX267" i="3"/>
  <c r="AP267" i="3"/>
  <c r="R136" i="15" s="1"/>
  <c r="S136" i="15" s="1"/>
  <c r="T136" i="15" s="1"/>
  <c r="AO267" i="3"/>
  <c r="AN267" i="3"/>
  <c r="AF267" i="3"/>
  <c r="K136" i="15" s="1"/>
  <c r="AE267" i="3"/>
  <c r="AD267" i="3"/>
  <c r="W267" i="3"/>
  <c r="V267" i="3"/>
  <c r="Z267" i="3" s="1"/>
  <c r="BT266" i="3"/>
  <c r="BS266" i="3"/>
  <c r="AD135" i="15" s="1"/>
  <c r="BR266" i="3"/>
  <c r="BQ266" i="3"/>
  <c r="W135" i="15" s="1"/>
  <c r="BP266" i="3"/>
  <c r="BO266" i="3"/>
  <c r="P135" i="15" s="1"/>
  <c r="BN266" i="3"/>
  <c r="BM266" i="3"/>
  <c r="I135" i="15" s="1"/>
  <c r="J135" i="15" s="1"/>
  <c r="BJ266" i="3"/>
  <c r="AF135" i="15" s="1"/>
  <c r="AG135" i="15" s="1"/>
  <c r="BI266" i="3"/>
  <c r="BH266" i="3"/>
  <c r="AZ266" i="3"/>
  <c r="Y135" i="15" s="1"/>
  <c r="Z135" i="15" s="1"/>
  <c r="AA135" i="15" s="1"/>
  <c r="AY266" i="3"/>
  <c r="AX266" i="3"/>
  <c r="AP266" i="3"/>
  <c r="R135" i="15" s="1"/>
  <c r="S135" i="15" s="1"/>
  <c r="T135" i="15" s="1"/>
  <c r="AO266" i="3"/>
  <c r="AN266" i="3"/>
  <c r="AF266" i="3"/>
  <c r="K135" i="15" s="1"/>
  <c r="AE266" i="3"/>
  <c r="AD266" i="3"/>
  <c r="W266" i="3"/>
  <c r="V266" i="3"/>
  <c r="Z266" i="3" s="1"/>
  <c r="BT265" i="3"/>
  <c r="BS265" i="3"/>
  <c r="AD134" i="15" s="1"/>
  <c r="BR265" i="3"/>
  <c r="BQ265" i="3"/>
  <c r="W134" i="15" s="1"/>
  <c r="X134" i="15" s="1"/>
  <c r="BP265" i="3"/>
  <c r="BO265" i="3"/>
  <c r="P134" i="15" s="1"/>
  <c r="BN265" i="3"/>
  <c r="BM265" i="3"/>
  <c r="I134" i="15" s="1"/>
  <c r="BJ265" i="3"/>
  <c r="AF134" i="15" s="1"/>
  <c r="AG134" i="15" s="1"/>
  <c r="BI265" i="3"/>
  <c r="BH265" i="3"/>
  <c r="AZ265" i="3"/>
  <c r="Y134" i="15" s="1"/>
  <c r="AY265" i="3"/>
  <c r="AX265" i="3"/>
  <c r="AP265" i="3"/>
  <c r="R134" i="15" s="1"/>
  <c r="S134" i="15" s="1"/>
  <c r="AO265" i="3"/>
  <c r="AN265" i="3"/>
  <c r="AF265" i="3"/>
  <c r="K134" i="15" s="1"/>
  <c r="L134" i="15" s="1"/>
  <c r="AE265" i="3"/>
  <c r="AD265" i="3"/>
  <c r="W265" i="3"/>
  <c r="V265" i="3"/>
  <c r="BD265" i="3" s="1"/>
  <c r="BT264" i="3"/>
  <c r="BS264" i="3"/>
  <c r="AD160" i="15" s="1"/>
  <c r="AE160" i="15" s="1"/>
  <c r="BR264" i="3"/>
  <c r="BQ264" i="3"/>
  <c r="W160" i="15" s="1"/>
  <c r="BP264" i="3"/>
  <c r="BO264" i="3"/>
  <c r="P160" i="15" s="1"/>
  <c r="BN264" i="3"/>
  <c r="BM264" i="3"/>
  <c r="I160" i="15" s="1"/>
  <c r="BJ264" i="3"/>
  <c r="AF160" i="15" s="1"/>
  <c r="AG160" i="15" s="1"/>
  <c r="BI264" i="3"/>
  <c r="BH264" i="3"/>
  <c r="AZ264" i="3"/>
  <c r="Y160" i="15" s="1"/>
  <c r="Z160" i="15" s="1"/>
  <c r="AY264" i="3"/>
  <c r="AX264" i="3"/>
  <c r="AP264" i="3"/>
  <c r="R160" i="15" s="1"/>
  <c r="S160" i="15" s="1"/>
  <c r="AO264" i="3"/>
  <c r="AN264" i="3"/>
  <c r="AF264" i="3"/>
  <c r="K160" i="15" s="1"/>
  <c r="L160" i="15" s="1"/>
  <c r="AE264" i="3"/>
  <c r="AD264" i="3"/>
  <c r="W264" i="3"/>
  <c r="V264" i="3"/>
  <c r="AT264" i="3" s="1"/>
  <c r="BT263" i="3"/>
  <c r="BS263" i="3"/>
  <c r="AD133" i="15" s="1"/>
  <c r="BR263" i="3"/>
  <c r="BQ263" i="3"/>
  <c r="W133" i="15" s="1"/>
  <c r="BP263" i="3"/>
  <c r="BO263" i="3"/>
  <c r="P133" i="15" s="1"/>
  <c r="BN263" i="3"/>
  <c r="BM263" i="3"/>
  <c r="I133" i="15" s="1"/>
  <c r="J133" i="15" s="1"/>
  <c r="BJ263" i="3"/>
  <c r="AF133" i="15" s="1"/>
  <c r="AG133" i="15" s="1"/>
  <c r="BI263" i="3"/>
  <c r="BH263" i="3"/>
  <c r="AZ263" i="3"/>
  <c r="Y133" i="15" s="1"/>
  <c r="Z133" i="15" s="1"/>
  <c r="AY263" i="3"/>
  <c r="AX263" i="3"/>
  <c r="AP263" i="3"/>
  <c r="R133" i="15" s="1"/>
  <c r="S133" i="15" s="1"/>
  <c r="T133" i="15" s="1"/>
  <c r="AO263" i="3"/>
  <c r="AN263" i="3"/>
  <c r="AF263" i="3"/>
  <c r="K133" i="15" s="1"/>
  <c r="AE263" i="3"/>
  <c r="AD263" i="3"/>
  <c r="W263" i="3"/>
  <c r="V263" i="3"/>
  <c r="BD263" i="3" s="1"/>
  <c r="BT262" i="3"/>
  <c r="BS262" i="3"/>
  <c r="AD255" i="15" s="1"/>
  <c r="BR262" i="3"/>
  <c r="BQ262" i="3"/>
  <c r="W255" i="15" s="1"/>
  <c r="X255" i="15" s="1"/>
  <c r="BP262" i="3"/>
  <c r="BO262" i="3"/>
  <c r="P255" i="15" s="1"/>
  <c r="BN262" i="3"/>
  <c r="BM262" i="3"/>
  <c r="I255" i="15" s="1"/>
  <c r="BJ262" i="3"/>
  <c r="AF255" i="15" s="1"/>
  <c r="AG255" i="15" s="1"/>
  <c r="BI262" i="3"/>
  <c r="BH262" i="3"/>
  <c r="AZ262" i="3"/>
  <c r="Y255" i="15" s="1"/>
  <c r="AY262" i="3"/>
  <c r="AX262" i="3"/>
  <c r="AP262" i="3"/>
  <c r="R255" i="15" s="1"/>
  <c r="S255" i="15" s="1"/>
  <c r="AO262" i="3"/>
  <c r="AN262" i="3"/>
  <c r="AF262" i="3"/>
  <c r="K255" i="15" s="1"/>
  <c r="L255" i="15" s="1"/>
  <c r="AE262" i="3"/>
  <c r="AD262" i="3"/>
  <c r="W262" i="3"/>
  <c r="V262" i="3"/>
  <c r="AT262" i="3" s="1"/>
  <c r="BT261" i="3"/>
  <c r="BS261" i="3"/>
  <c r="AD148" i="15" s="1"/>
  <c r="AE148" i="15" s="1"/>
  <c r="BR261" i="3"/>
  <c r="BQ261" i="3"/>
  <c r="W148" i="15" s="1"/>
  <c r="BP261" i="3"/>
  <c r="BO261" i="3"/>
  <c r="P148" i="15" s="1"/>
  <c r="BN261" i="3"/>
  <c r="BM261" i="3"/>
  <c r="I148" i="15" s="1"/>
  <c r="BJ261" i="3"/>
  <c r="AF148" i="15" s="1"/>
  <c r="AG148" i="15" s="1"/>
  <c r="BI261" i="3"/>
  <c r="BH261" i="3"/>
  <c r="AZ261" i="3"/>
  <c r="Y148" i="15" s="1"/>
  <c r="Z148" i="15" s="1"/>
  <c r="AY261" i="3"/>
  <c r="AX261" i="3"/>
  <c r="AP261" i="3"/>
  <c r="R148" i="15" s="1"/>
  <c r="S148" i="15" s="1"/>
  <c r="AO261" i="3"/>
  <c r="AN261" i="3"/>
  <c r="AF261" i="3"/>
  <c r="K148" i="15" s="1"/>
  <c r="L148" i="15" s="1"/>
  <c r="AE261" i="3"/>
  <c r="AD261" i="3"/>
  <c r="W261" i="3"/>
  <c r="V261" i="3"/>
  <c r="BT260" i="3"/>
  <c r="BS260" i="3"/>
  <c r="AD143" i="15" s="1"/>
  <c r="BR260" i="3"/>
  <c r="BQ260" i="3"/>
  <c r="W143" i="15" s="1"/>
  <c r="X143" i="15" s="1"/>
  <c r="BP260" i="3"/>
  <c r="BO260" i="3"/>
  <c r="P143" i="15" s="1"/>
  <c r="Q143" i="15" s="1"/>
  <c r="BN260" i="3"/>
  <c r="BM260" i="3"/>
  <c r="I143" i="15" s="1"/>
  <c r="J143" i="15" s="1"/>
  <c r="BJ260" i="3"/>
  <c r="BI260" i="3"/>
  <c r="BH260" i="3"/>
  <c r="AZ260" i="3"/>
  <c r="Y143" i="15" s="1"/>
  <c r="AY260" i="3"/>
  <c r="AX260" i="3"/>
  <c r="AP260" i="3"/>
  <c r="R143" i="15" s="1"/>
  <c r="AO260" i="3"/>
  <c r="AN260" i="3"/>
  <c r="AF260" i="3"/>
  <c r="K143" i="15" s="1"/>
  <c r="L143" i="15" s="1"/>
  <c r="AE260" i="3"/>
  <c r="AD260" i="3"/>
  <c r="W260" i="3"/>
  <c r="V260" i="3"/>
  <c r="BD260" i="3" s="1"/>
  <c r="BT259" i="3"/>
  <c r="BS259" i="3"/>
  <c r="BR259" i="3"/>
  <c r="BQ259" i="3"/>
  <c r="BP259" i="3"/>
  <c r="BO259" i="3"/>
  <c r="BN259" i="3"/>
  <c r="BM259" i="3"/>
  <c r="I163" i="15" s="1"/>
  <c r="BJ259" i="3"/>
  <c r="BI259" i="3"/>
  <c r="BH259" i="3"/>
  <c r="AZ259" i="3"/>
  <c r="AY259" i="3"/>
  <c r="AX259" i="3"/>
  <c r="AP259" i="3"/>
  <c r="AO259" i="3"/>
  <c r="AN259" i="3"/>
  <c r="AF259" i="3"/>
  <c r="K163" i="15" s="1"/>
  <c r="L163" i="15" s="1"/>
  <c r="AE259" i="3"/>
  <c r="AD259" i="3"/>
  <c r="W259" i="3"/>
  <c r="V259" i="3"/>
  <c r="Z259" i="3" s="1"/>
  <c r="BT258" i="3"/>
  <c r="BS258" i="3"/>
  <c r="AD141" i="15" s="1"/>
  <c r="AE141" i="15" s="1"/>
  <c r="BR258" i="3"/>
  <c r="BQ258" i="3"/>
  <c r="W141" i="15" s="1"/>
  <c r="BP258" i="3"/>
  <c r="BO258" i="3"/>
  <c r="P141" i="15" s="1"/>
  <c r="BN258" i="3"/>
  <c r="BM258" i="3"/>
  <c r="I141" i="15" s="1"/>
  <c r="BJ258" i="3"/>
  <c r="BI258" i="3"/>
  <c r="BH258" i="3"/>
  <c r="AZ258" i="3"/>
  <c r="Y141" i="15" s="1"/>
  <c r="Z141" i="15" s="1"/>
  <c r="AY258" i="3"/>
  <c r="AX258" i="3"/>
  <c r="AP258" i="3"/>
  <c r="R141" i="15" s="1"/>
  <c r="S141" i="15" s="1"/>
  <c r="AO258" i="3"/>
  <c r="AN258" i="3"/>
  <c r="AF258" i="3"/>
  <c r="K141" i="15" s="1"/>
  <c r="L141" i="15" s="1"/>
  <c r="AE258" i="3"/>
  <c r="AD258" i="3"/>
  <c r="W258" i="3"/>
  <c r="V258" i="3"/>
  <c r="Z258" i="3" s="1"/>
  <c r="BT257" i="3"/>
  <c r="BS257" i="3"/>
  <c r="AD140" i="15" s="1"/>
  <c r="BR257" i="3"/>
  <c r="BQ257" i="3"/>
  <c r="W140" i="15" s="1"/>
  <c r="X140" i="15" s="1"/>
  <c r="BP257" i="3"/>
  <c r="BO257" i="3"/>
  <c r="P140" i="15" s="1"/>
  <c r="BN257" i="3"/>
  <c r="BM257" i="3"/>
  <c r="I140" i="15" s="1"/>
  <c r="BJ257" i="3"/>
  <c r="BI257" i="3"/>
  <c r="BH257" i="3"/>
  <c r="AZ257" i="3"/>
  <c r="Y140" i="15" s="1"/>
  <c r="AY257" i="3"/>
  <c r="AX257" i="3"/>
  <c r="AP257" i="3"/>
  <c r="R140" i="15" s="1"/>
  <c r="S140" i="15" s="1"/>
  <c r="AO257" i="3"/>
  <c r="AN257" i="3"/>
  <c r="AF257" i="3"/>
  <c r="K140" i="15" s="1"/>
  <c r="L140" i="15" s="1"/>
  <c r="AE257" i="3"/>
  <c r="AD257" i="3"/>
  <c r="W257" i="3"/>
  <c r="V257" i="3"/>
  <c r="BD257" i="3" s="1"/>
  <c r="BT256" i="3"/>
  <c r="BS256" i="3"/>
  <c r="AD139" i="15" s="1"/>
  <c r="AE139" i="15" s="1"/>
  <c r="BR256" i="3"/>
  <c r="BQ256" i="3"/>
  <c r="W139" i="15" s="1"/>
  <c r="BP256" i="3"/>
  <c r="BO256" i="3"/>
  <c r="P139" i="15" s="1"/>
  <c r="BN256" i="3"/>
  <c r="BM256" i="3"/>
  <c r="I139" i="15" s="1"/>
  <c r="BJ256" i="3"/>
  <c r="BI256" i="3"/>
  <c r="BH256" i="3"/>
  <c r="AZ256" i="3"/>
  <c r="Y139" i="15" s="1"/>
  <c r="Z139" i="15" s="1"/>
  <c r="AY256" i="3"/>
  <c r="AX256" i="3"/>
  <c r="AP256" i="3"/>
  <c r="R139" i="15" s="1"/>
  <c r="S139" i="15" s="1"/>
  <c r="AO256" i="3"/>
  <c r="AN256" i="3"/>
  <c r="AF256" i="3"/>
  <c r="K139" i="15" s="1"/>
  <c r="L139" i="15" s="1"/>
  <c r="AE256" i="3"/>
  <c r="AD256" i="3"/>
  <c r="W256" i="3"/>
  <c r="V256" i="3"/>
  <c r="AT256" i="3" s="1"/>
  <c r="BT255" i="3"/>
  <c r="BS255" i="3"/>
  <c r="AD138" i="15" s="1"/>
  <c r="AE138" i="15" s="1"/>
  <c r="BR255" i="3"/>
  <c r="BQ255" i="3"/>
  <c r="W138" i="15" s="1"/>
  <c r="X138" i="15" s="1"/>
  <c r="BP255" i="3"/>
  <c r="BO255" i="3"/>
  <c r="P138" i="15" s="1"/>
  <c r="Q138" i="15" s="1"/>
  <c r="BN255" i="3"/>
  <c r="BM255" i="3"/>
  <c r="I138" i="15" s="1"/>
  <c r="J138" i="15" s="1"/>
  <c r="BJ255" i="3"/>
  <c r="BI255" i="3"/>
  <c r="BH255" i="3"/>
  <c r="AZ255" i="3"/>
  <c r="Y138" i="15" s="1"/>
  <c r="AY255" i="3"/>
  <c r="AX255" i="3"/>
  <c r="AP255" i="3"/>
  <c r="R138" i="15" s="1"/>
  <c r="AO255" i="3"/>
  <c r="AN255" i="3"/>
  <c r="AF255" i="3"/>
  <c r="K138" i="15" s="1"/>
  <c r="AE255" i="3"/>
  <c r="AD255" i="3"/>
  <c r="W255" i="3"/>
  <c r="V255" i="3"/>
  <c r="BD255" i="3" s="1"/>
  <c r="BT254" i="3"/>
  <c r="BS254" i="3"/>
  <c r="AD270" i="15" s="1"/>
  <c r="BR254" i="3"/>
  <c r="BQ254" i="3"/>
  <c r="W270" i="15" s="1"/>
  <c r="BP254" i="3"/>
  <c r="BO254" i="3"/>
  <c r="P270" i="15" s="1"/>
  <c r="Q270" i="15" s="1"/>
  <c r="BN254" i="3"/>
  <c r="BM254" i="3"/>
  <c r="I270" i="15" s="1"/>
  <c r="J270" i="15" s="1"/>
  <c r="BJ254" i="3"/>
  <c r="BI254" i="3"/>
  <c r="BH254" i="3"/>
  <c r="AZ254" i="3"/>
  <c r="Y270" i="15" s="1"/>
  <c r="Z270" i="15" s="1"/>
  <c r="AA270" i="15" s="1"/>
  <c r="AY254" i="3"/>
  <c r="AX254" i="3"/>
  <c r="AP254" i="3"/>
  <c r="R270" i="15" s="1"/>
  <c r="AO254" i="3"/>
  <c r="AN254" i="3"/>
  <c r="AF254" i="3"/>
  <c r="K270" i="15" s="1"/>
  <c r="AE254" i="3"/>
  <c r="AD254" i="3"/>
  <c r="W254" i="3"/>
  <c r="V254" i="3"/>
  <c r="AT254" i="3" s="1"/>
  <c r="BT253" i="3"/>
  <c r="BS253" i="3"/>
  <c r="AD137" i="15" s="1"/>
  <c r="BR253" i="3"/>
  <c r="BQ253" i="3"/>
  <c r="W137" i="15" s="1"/>
  <c r="BP253" i="3"/>
  <c r="BO253" i="3"/>
  <c r="P137" i="15" s="1"/>
  <c r="BN253" i="3"/>
  <c r="BM253" i="3"/>
  <c r="I137" i="15" s="1"/>
  <c r="J137" i="15" s="1"/>
  <c r="BJ253" i="3"/>
  <c r="BI253" i="3"/>
  <c r="BH253" i="3"/>
  <c r="AZ253" i="3"/>
  <c r="Y137" i="15" s="1"/>
  <c r="Z137" i="15" s="1"/>
  <c r="AA137" i="15" s="1"/>
  <c r="AY253" i="3"/>
  <c r="AX253" i="3"/>
  <c r="AP253" i="3"/>
  <c r="R137" i="15" s="1"/>
  <c r="S137" i="15" s="1"/>
  <c r="T137" i="15" s="1"/>
  <c r="AO253" i="3"/>
  <c r="AN253" i="3"/>
  <c r="AF253" i="3"/>
  <c r="K137" i="15" s="1"/>
  <c r="AE253" i="3"/>
  <c r="AD253" i="3"/>
  <c r="W253" i="3"/>
  <c r="V253" i="3"/>
  <c r="BT252" i="3"/>
  <c r="BS252" i="3"/>
  <c r="AD347" i="15" s="1"/>
  <c r="AE347" i="15" s="1"/>
  <c r="BR252" i="3"/>
  <c r="BQ252" i="3"/>
  <c r="W347" i="15" s="1"/>
  <c r="X347" i="15" s="1"/>
  <c r="BP252" i="3"/>
  <c r="BO252" i="3"/>
  <c r="P347" i="15" s="1"/>
  <c r="BN252" i="3"/>
  <c r="BM252" i="3"/>
  <c r="I347" i="15" s="1"/>
  <c r="BJ252" i="3"/>
  <c r="AF347" i="15" s="1"/>
  <c r="AG347" i="15" s="1"/>
  <c r="BI252" i="3"/>
  <c r="BH252" i="3"/>
  <c r="AZ252" i="3"/>
  <c r="Y347" i="15" s="1"/>
  <c r="AY252" i="3"/>
  <c r="AX252" i="3"/>
  <c r="AP252" i="3"/>
  <c r="R347" i="15" s="1"/>
  <c r="S347" i="15" s="1"/>
  <c r="AO252" i="3"/>
  <c r="AN252" i="3"/>
  <c r="AF252" i="3"/>
  <c r="K347" i="15" s="1"/>
  <c r="L347" i="15" s="1"/>
  <c r="AE252" i="3"/>
  <c r="AD252" i="3"/>
  <c r="W252" i="3"/>
  <c r="V252" i="3"/>
  <c r="BD252" i="3" s="1"/>
  <c r="BT251" i="3"/>
  <c r="BS251" i="3"/>
  <c r="AD179" i="15" s="1"/>
  <c r="BR251" i="3"/>
  <c r="BQ251" i="3"/>
  <c r="BP251" i="3"/>
  <c r="BO251" i="3"/>
  <c r="P179" i="15" s="1"/>
  <c r="Q179" i="15" s="1"/>
  <c r="BN251" i="3"/>
  <c r="BM251" i="3"/>
  <c r="I179" i="15" s="1"/>
  <c r="BJ251" i="3"/>
  <c r="AF179" i="15" s="1"/>
  <c r="AG179" i="15" s="1"/>
  <c r="BI251" i="3"/>
  <c r="BH251" i="3"/>
  <c r="AZ251" i="3"/>
  <c r="AY251" i="3"/>
  <c r="AX251" i="3"/>
  <c r="AP251" i="3"/>
  <c r="R179" i="15" s="1"/>
  <c r="AO251" i="3"/>
  <c r="AN251" i="3"/>
  <c r="AF251" i="3"/>
  <c r="K179" i="15" s="1"/>
  <c r="L179" i="15" s="1"/>
  <c r="AE251" i="3"/>
  <c r="AD251" i="3"/>
  <c r="W251" i="3"/>
  <c r="V251" i="3"/>
  <c r="Z251" i="3" s="1"/>
  <c r="BT250" i="3"/>
  <c r="BS250" i="3"/>
  <c r="AD150" i="15" s="1"/>
  <c r="AE150" i="15" s="1"/>
  <c r="BR250" i="3"/>
  <c r="BQ250" i="3"/>
  <c r="W150" i="15" s="1"/>
  <c r="BP250" i="3"/>
  <c r="BO250" i="3"/>
  <c r="P150" i="15" s="1"/>
  <c r="BN250" i="3"/>
  <c r="BM250" i="3"/>
  <c r="I150" i="15" s="1"/>
  <c r="BJ250" i="3"/>
  <c r="AF150" i="15" s="1"/>
  <c r="AG150" i="15" s="1"/>
  <c r="BI250" i="3"/>
  <c r="BH250" i="3"/>
  <c r="AZ250" i="3"/>
  <c r="Y150" i="15" s="1"/>
  <c r="Z150" i="15" s="1"/>
  <c r="AY250" i="3"/>
  <c r="AX250" i="3"/>
  <c r="AP250" i="3"/>
  <c r="R150" i="15" s="1"/>
  <c r="S150" i="15" s="1"/>
  <c r="AO250" i="3"/>
  <c r="AN250" i="3"/>
  <c r="AF250" i="3"/>
  <c r="K150" i="15" s="1"/>
  <c r="L150" i="15" s="1"/>
  <c r="AE250" i="3"/>
  <c r="AD250" i="3"/>
  <c r="W250" i="3"/>
  <c r="V250" i="3"/>
  <c r="Z250" i="3" s="1"/>
  <c r="BT249" i="3"/>
  <c r="BS249" i="3"/>
  <c r="AD147" i="15" s="1"/>
  <c r="AE147" i="15" s="1"/>
  <c r="BR249" i="3"/>
  <c r="BQ249" i="3"/>
  <c r="W147" i="15" s="1"/>
  <c r="BP249" i="3"/>
  <c r="BO249" i="3"/>
  <c r="P147" i="15" s="1"/>
  <c r="BN249" i="3"/>
  <c r="BM249" i="3"/>
  <c r="I147" i="15" s="1"/>
  <c r="BJ249" i="3"/>
  <c r="AF147" i="15" s="1"/>
  <c r="AG147" i="15" s="1"/>
  <c r="BI249" i="3"/>
  <c r="BH249" i="3"/>
  <c r="AZ249" i="3"/>
  <c r="Y147" i="15" s="1"/>
  <c r="Z147" i="15" s="1"/>
  <c r="AY249" i="3"/>
  <c r="AX249" i="3"/>
  <c r="AP249" i="3"/>
  <c r="R147" i="15" s="1"/>
  <c r="S147" i="15" s="1"/>
  <c r="AO249" i="3"/>
  <c r="AN249" i="3"/>
  <c r="AF249" i="3"/>
  <c r="K147" i="15" s="1"/>
  <c r="L147" i="15" s="1"/>
  <c r="AE249" i="3"/>
  <c r="AD249" i="3"/>
  <c r="W249" i="3"/>
  <c r="V249" i="3"/>
  <c r="BD249" i="3" s="1"/>
  <c r="BT248" i="3"/>
  <c r="BS248" i="3"/>
  <c r="AD146" i="15" s="1"/>
  <c r="BR248" i="3"/>
  <c r="BQ248" i="3"/>
  <c r="W146" i="15" s="1"/>
  <c r="BP248" i="3"/>
  <c r="BO248" i="3"/>
  <c r="P146" i="15" s="1"/>
  <c r="Q146" i="15" s="1"/>
  <c r="BN248" i="3"/>
  <c r="BM248" i="3"/>
  <c r="I146" i="15" s="1"/>
  <c r="BJ248" i="3"/>
  <c r="AF146" i="15" s="1"/>
  <c r="AG146" i="15" s="1"/>
  <c r="BI248" i="3"/>
  <c r="BH248" i="3"/>
  <c r="AZ248" i="3"/>
  <c r="Y146" i="15" s="1"/>
  <c r="Z146" i="15" s="1"/>
  <c r="AA146" i="15" s="1"/>
  <c r="AY248" i="3"/>
  <c r="AX248" i="3"/>
  <c r="AP248" i="3"/>
  <c r="R146" i="15" s="1"/>
  <c r="AO248" i="3"/>
  <c r="AN248" i="3"/>
  <c r="AF248" i="3"/>
  <c r="K146" i="15" s="1"/>
  <c r="L146" i="15" s="1"/>
  <c r="AE248" i="3"/>
  <c r="AD248" i="3"/>
  <c r="W248" i="3"/>
  <c r="V248" i="3"/>
  <c r="AT248" i="3" s="1"/>
  <c r="BT247" i="3"/>
  <c r="BS247" i="3"/>
  <c r="AD269" i="15" s="1"/>
  <c r="BR247" i="3"/>
  <c r="BQ247" i="3"/>
  <c r="W269" i="15" s="1"/>
  <c r="BP247" i="3"/>
  <c r="BO247" i="3"/>
  <c r="P269" i="15" s="1"/>
  <c r="BN247" i="3"/>
  <c r="BM247" i="3"/>
  <c r="I269" i="15" s="1"/>
  <c r="J269" i="15" s="1"/>
  <c r="BJ247" i="3"/>
  <c r="AF269" i="15" s="1"/>
  <c r="AG269" i="15" s="1"/>
  <c r="BI247" i="3"/>
  <c r="BH247" i="3"/>
  <c r="AZ247" i="3"/>
  <c r="Y269" i="15" s="1"/>
  <c r="Z269" i="15" s="1"/>
  <c r="AA269" i="15" s="1"/>
  <c r="AY247" i="3"/>
  <c r="AX247" i="3"/>
  <c r="AP247" i="3"/>
  <c r="R269" i="15" s="1"/>
  <c r="S269" i="15" s="1"/>
  <c r="T269" i="15" s="1"/>
  <c r="AO247" i="3"/>
  <c r="AN247" i="3"/>
  <c r="AF247" i="3"/>
  <c r="K269" i="15" s="1"/>
  <c r="AE247" i="3"/>
  <c r="AD247" i="3"/>
  <c r="W247" i="3"/>
  <c r="V247" i="3"/>
  <c r="BD247" i="3" s="1"/>
  <c r="BT246" i="3"/>
  <c r="BS246" i="3"/>
  <c r="AD268" i="15" s="1"/>
  <c r="BR246" i="3"/>
  <c r="BQ246" i="3"/>
  <c r="W268" i="15" s="1"/>
  <c r="BP246" i="3"/>
  <c r="BO246" i="3"/>
  <c r="P268" i="15" s="1"/>
  <c r="Q268" i="15" s="1"/>
  <c r="BN246" i="3"/>
  <c r="BM246" i="3"/>
  <c r="I268" i="15" s="1"/>
  <c r="BJ246" i="3"/>
  <c r="AF268" i="15" s="1"/>
  <c r="AG268" i="15" s="1"/>
  <c r="BI246" i="3"/>
  <c r="BH246" i="3"/>
  <c r="AZ246" i="3"/>
  <c r="Y268" i="15" s="1"/>
  <c r="Z268" i="15" s="1"/>
  <c r="AA268" i="15" s="1"/>
  <c r="AY246" i="3"/>
  <c r="AX246" i="3"/>
  <c r="AP246" i="3"/>
  <c r="R268" i="15" s="1"/>
  <c r="AO246" i="3"/>
  <c r="AN246" i="3"/>
  <c r="AF246" i="3"/>
  <c r="K268" i="15" s="1"/>
  <c r="L268" i="15" s="1"/>
  <c r="AE246" i="3"/>
  <c r="AD246" i="3"/>
  <c r="W246" i="3"/>
  <c r="V246" i="3"/>
  <c r="AT246" i="3" s="1"/>
  <c r="BT245" i="3"/>
  <c r="BS245" i="3"/>
  <c r="AD346" i="15" s="1"/>
  <c r="AE346" i="15" s="1"/>
  <c r="BR245" i="3"/>
  <c r="BQ245" i="3"/>
  <c r="W346" i="15" s="1"/>
  <c r="X346" i="15" s="1"/>
  <c r="BP245" i="3"/>
  <c r="BO245" i="3"/>
  <c r="P346" i="15" s="1"/>
  <c r="BN245" i="3"/>
  <c r="BM245" i="3"/>
  <c r="I346" i="15" s="1"/>
  <c r="BJ245" i="3"/>
  <c r="AF346" i="15" s="1"/>
  <c r="AG346" i="15" s="1"/>
  <c r="BI245" i="3"/>
  <c r="BH245" i="3"/>
  <c r="AZ245" i="3"/>
  <c r="Y346" i="15" s="1"/>
  <c r="AY245" i="3"/>
  <c r="AX245" i="3"/>
  <c r="AP245" i="3"/>
  <c r="R346" i="15" s="1"/>
  <c r="S346" i="15" s="1"/>
  <c r="AO245" i="3"/>
  <c r="AN245" i="3"/>
  <c r="AF245" i="3"/>
  <c r="K346" i="15" s="1"/>
  <c r="L346" i="15" s="1"/>
  <c r="AE245" i="3"/>
  <c r="AD245" i="3"/>
  <c r="W245" i="3"/>
  <c r="V245" i="3"/>
  <c r="BT244" i="3"/>
  <c r="BS244" i="3"/>
  <c r="AD345" i="15" s="1"/>
  <c r="AE345" i="15" s="1"/>
  <c r="BR244" i="3"/>
  <c r="BQ244" i="3"/>
  <c r="W345" i="15" s="1"/>
  <c r="X345" i="15" s="1"/>
  <c r="BP244" i="3"/>
  <c r="BO244" i="3"/>
  <c r="P345" i="15" s="1"/>
  <c r="BN244" i="3"/>
  <c r="BM244" i="3"/>
  <c r="I345" i="15" s="1"/>
  <c r="BJ244" i="3"/>
  <c r="AF345" i="15" s="1"/>
  <c r="AG345" i="15" s="1"/>
  <c r="BI244" i="3"/>
  <c r="BH244" i="3"/>
  <c r="AZ244" i="3"/>
  <c r="Y345" i="15" s="1"/>
  <c r="AY244" i="3"/>
  <c r="AX244" i="3"/>
  <c r="AP244" i="3"/>
  <c r="R345" i="15" s="1"/>
  <c r="S345" i="15" s="1"/>
  <c r="AO244" i="3"/>
  <c r="AN244" i="3"/>
  <c r="AF244" i="3"/>
  <c r="K345" i="15" s="1"/>
  <c r="L345" i="15" s="1"/>
  <c r="AE244" i="3"/>
  <c r="AD244" i="3"/>
  <c r="W244" i="3"/>
  <c r="V244" i="3"/>
  <c r="BD244" i="3" s="1"/>
  <c r="BT243" i="3"/>
  <c r="BS243" i="3"/>
  <c r="AD132" i="15" s="1"/>
  <c r="BR243" i="3"/>
  <c r="BQ243" i="3"/>
  <c r="W132" i="15" s="1"/>
  <c r="X132" i="15" s="1"/>
  <c r="BP243" i="3"/>
  <c r="BO243" i="3"/>
  <c r="P132" i="15" s="1"/>
  <c r="BN243" i="3"/>
  <c r="BM243" i="3"/>
  <c r="I132" i="15" s="1"/>
  <c r="BJ243" i="3"/>
  <c r="AF132" i="15" s="1"/>
  <c r="AG132" i="15" s="1"/>
  <c r="BI243" i="3"/>
  <c r="BH243" i="3"/>
  <c r="AZ243" i="3"/>
  <c r="Y132" i="15" s="1"/>
  <c r="AY243" i="3"/>
  <c r="AX243" i="3"/>
  <c r="AP243" i="3"/>
  <c r="R132" i="15" s="1"/>
  <c r="S132" i="15" s="1"/>
  <c r="AO243" i="3"/>
  <c r="AN243" i="3"/>
  <c r="AF243" i="3"/>
  <c r="K132" i="15" s="1"/>
  <c r="L132" i="15" s="1"/>
  <c r="AE243" i="3"/>
  <c r="AD243" i="3"/>
  <c r="W243" i="3"/>
  <c r="V243" i="3"/>
  <c r="Z243" i="3" s="1"/>
  <c r="BT242" i="3"/>
  <c r="BS242" i="3"/>
  <c r="AD131" i="15" s="1"/>
  <c r="BR242" i="3"/>
  <c r="BQ242" i="3"/>
  <c r="W131" i="15" s="1"/>
  <c r="BP242" i="3"/>
  <c r="BO242" i="3"/>
  <c r="P131" i="15" s="1"/>
  <c r="BN242" i="3"/>
  <c r="BM242" i="3"/>
  <c r="I131" i="15" s="1"/>
  <c r="J131" i="15" s="1"/>
  <c r="BJ242" i="3"/>
  <c r="AF131" i="15" s="1"/>
  <c r="AG131" i="15" s="1"/>
  <c r="BI242" i="3"/>
  <c r="BH242" i="3"/>
  <c r="AZ242" i="3"/>
  <c r="Y131" i="15" s="1"/>
  <c r="Z131" i="15" s="1"/>
  <c r="AY242" i="3"/>
  <c r="AX242" i="3"/>
  <c r="AP242" i="3"/>
  <c r="R131" i="15" s="1"/>
  <c r="S131" i="15" s="1"/>
  <c r="T131" i="15" s="1"/>
  <c r="AO242" i="3"/>
  <c r="AN242" i="3"/>
  <c r="AF242" i="3"/>
  <c r="K131" i="15" s="1"/>
  <c r="AE242" i="3"/>
  <c r="AD242" i="3"/>
  <c r="W242" i="3"/>
  <c r="V242" i="3"/>
  <c r="Z242" i="3" s="1"/>
  <c r="BT241" i="3"/>
  <c r="BS241" i="3"/>
  <c r="AD130" i="15" s="1"/>
  <c r="AE130" i="15" s="1"/>
  <c r="BR241" i="3"/>
  <c r="BQ241" i="3"/>
  <c r="W130" i="15" s="1"/>
  <c r="X130" i="15" s="1"/>
  <c r="BP241" i="3"/>
  <c r="BO241" i="3"/>
  <c r="P130" i="15" s="1"/>
  <c r="Q130" i="15" s="1"/>
  <c r="BN241" i="3"/>
  <c r="BM241" i="3"/>
  <c r="I130" i="15" s="1"/>
  <c r="BJ241" i="3"/>
  <c r="AF130" i="15" s="1"/>
  <c r="AG130" i="15" s="1"/>
  <c r="BH241" i="3"/>
  <c r="Y130" i="15"/>
  <c r="AX241" i="3"/>
  <c r="AP241" i="3"/>
  <c r="R130" i="15" s="1"/>
  <c r="AN241" i="3"/>
  <c r="AF241" i="3"/>
  <c r="K130" i="15" s="1"/>
  <c r="L130" i="15" s="1"/>
  <c r="AD241" i="3"/>
  <c r="BT240" i="3"/>
  <c r="BS240" i="3"/>
  <c r="AD129" i="15" s="1"/>
  <c r="AE129" i="15" s="1"/>
  <c r="BR240" i="3"/>
  <c r="BQ240" i="3"/>
  <c r="W129" i="15" s="1"/>
  <c r="X129" i="15" s="1"/>
  <c r="BP240" i="3"/>
  <c r="BO240" i="3"/>
  <c r="P129" i="15" s="1"/>
  <c r="Q129" i="15" s="1"/>
  <c r="BN240" i="3"/>
  <c r="BM240" i="3"/>
  <c r="I129" i="15" s="1"/>
  <c r="BJ240" i="3"/>
  <c r="AF129" i="15" s="1"/>
  <c r="AG129" i="15" s="1"/>
  <c r="BI240" i="3"/>
  <c r="BH240" i="3"/>
  <c r="AZ240" i="3"/>
  <c r="Y129" i="15" s="1"/>
  <c r="AY240" i="3"/>
  <c r="AX240" i="3"/>
  <c r="AP240" i="3"/>
  <c r="R129" i="15" s="1"/>
  <c r="AO240" i="3"/>
  <c r="AN240" i="3"/>
  <c r="AF240" i="3"/>
  <c r="K129" i="15" s="1"/>
  <c r="L129" i="15" s="1"/>
  <c r="AE240" i="3"/>
  <c r="AD240" i="3"/>
  <c r="W240" i="3"/>
  <c r="V240" i="3"/>
  <c r="BD240" i="3" s="1"/>
  <c r="AD128" i="15"/>
  <c r="W128" i="15"/>
  <c r="P128" i="15"/>
  <c r="Q128" i="15" s="1"/>
  <c r="AF128" i="15"/>
  <c r="AG128" i="15" s="1"/>
  <c r="Y128" i="15"/>
  <c r="Z128" i="15" s="1"/>
  <c r="R128" i="15"/>
  <c r="K128" i="15"/>
  <c r="L128" i="15" s="1"/>
  <c r="W239" i="3"/>
  <c r="V239" i="3"/>
  <c r="AT239" i="3" s="1"/>
  <c r="AD127" i="15"/>
  <c r="W127" i="15"/>
  <c r="P127" i="15"/>
  <c r="Q127" i="15" s="1"/>
  <c r="I127" i="15"/>
  <c r="AF127" i="15"/>
  <c r="AG127" i="15" s="1"/>
  <c r="Y127" i="15"/>
  <c r="Z127" i="15" s="1"/>
  <c r="R127" i="15"/>
  <c r="K127" i="15"/>
  <c r="L127" i="15" s="1"/>
  <c r="W238" i="3"/>
  <c r="V238" i="3"/>
  <c r="BD238" i="3" s="1"/>
  <c r="BT237" i="3"/>
  <c r="BS237" i="3"/>
  <c r="AD126" i="15" s="1"/>
  <c r="AE126" i="15" s="1"/>
  <c r="BR237" i="3"/>
  <c r="BQ237" i="3"/>
  <c r="W126" i="15" s="1"/>
  <c r="BP237" i="3"/>
  <c r="BO237" i="3"/>
  <c r="P126" i="15" s="1"/>
  <c r="I126" i="15"/>
  <c r="AF126" i="15"/>
  <c r="AG126" i="15" s="1"/>
  <c r="Y126" i="15"/>
  <c r="Z126" i="15" s="1"/>
  <c r="R126" i="15"/>
  <c r="S126" i="15" s="1"/>
  <c r="K126" i="15"/>
  <c r="L126" i="15" s="1"/>
  <c r="W237" i="3"/>
  <c r="V237" i="3"/>
  <c r="AT237" i="3" s="1"/>
  <c r="BT236" i="3"/>
  <c r="BS236" i="3"/>
  <c r="AD267" i="15" s="1"/>
  <c r="AE267" i="15" s="1"/>
  <c r="BR236" i="3"/>
  <c r="BQ236" i="3"/>
  <c r="W267" i="15" s="1"/>
  <c r="BP236" i="3"/>
  <c r="BO236" i="3"/>
  <c r="P267" i="15" s="1"/>
  <c r="BN236" i="3"/>
  <c r="BM236" i="3"/>
  <c r="I267" i="15" s="1"/>
  <c r="BJ236" i="3"/>
  <c r="AF267" i="15" s="1"/>
  <c r="AG267" i="15" s="1"/>
  <c r="BI236" i="3"/>
  <c r="BH236" i="3"/>
  <c r="AZ236" i="3"/>
  <c r="Y267" i="15" s="1"/>
  <c r="Z267" i="15" s="1"/>
  <c r="AY236" i="3"/>
  <c r="AX236" i="3"/>
  <c r="AP236" i="3"/>
  <c r="R267" i="15" s="1"/>
  <c r="S267" i="15" s="1"/>
  <c r="AO236" i="3"/>
  <c r="AN236" i="3"/>
  <c r="AF236" i="3"/>
  <c r="K267" i="15" s="1"/>
  <c r="L267" i="15" s="1"/>
  <c r="AE236" i="3"/>
  <c r="AD236" i="3"/>
  <c r="W236" i="3"/>
  <c r="V236" i="3"/>
  <c r="BT235" i="3"/>
  <c r="BS235" i="3"/>
  <c r="AD172" i="15" s="1"/>
  <c r="AE172" i="15" s="1"/>
  <c r="BR235" i="3"/>
  <c r="BQ235" i="3"/>
  <c r="W172" i="15" s="1"/>
  <c r="BP235" i="3"/>
  <c r="BO235" i="3"/>
  <c r="P172" i="15" s="1"/>
  <c r="BN235" i="3"/>
  <c r="BM235" i="3"/>
  <c r="I172" i="15" s="1"/>
  <c r="BJ235" i="3"/>
  <c r="AF172" i="15" s="1"/>
  <c r="AG172" i="15" s="1"/>
  <c r="BI235" i="3"/>
  <c r="BH235" i="3"/>
  <c r="AZ235" i="3"/>
  <c r="Y172" i="15" s="1"/>
  <c r="Z172" i="15" s="1"/>
  <c r="AY235" i="3"/>
  <c r="AX235" i="3"/>
  <c r="AP235" i="3"/>
  <c r="R172" i="15" s="1"/>
  <c r="S172" i="15" s="1"/>
  <c r="AO235" i="3"/>
  <c r="AN235" i="3"/>
  <c r="AF235" i="3"/>
  <c r="K172" i="15" s="1"/>
  <c r="L172" i="15" s="1"/>
  <c r="AE235" i="3"/>
  <c r="AD235" i="3"/>
  <c r="W235" i="3"/>
  <c r="V235" i="3"/>
  <c r="AT235" i="3" s="1"/>
  <c r="BT234" i="3"/>
  <c r="BS234" i="3"/>
  <c r="AD171" i="15" s="1"/>
  <c r="AE171" i="15" s="1"/>
  <c r="BR234" i="3"/>
  <c r="BQ234" i="3"/>
  <c r="W171" i="15" s="1"/>
  <c r="BP234" i="3"/>
  <c r="BO234" i="3"/>
  <c r="P171" i="15" s="1"/>
  <c r="BN234" i="3"/>
  <c r="BM234" i="3"/>
  <c r="I171" i="15" s="1"/>
  <c r="BJ234" i="3"/>
  <c r="AF171" i="15" s="1"/>
  <c r="AG171" i="15" s="1"/>
  <c r="BI234" i="3"/>
  <c r="BH234" i="3"/>
  <c r="AZ234" i="3"/>
  <c r="Y171" i="15" s="1"/>
  <c r="Z171" i="15" s="1"/>
  <c r="AY234" i="3"/>
  <c r="AX234" i="3"/>
  <c r="AP234" i="3"/>
  <c r="R171" i="15" s="1"/>
  <c r="S171" i="15" s="1"/>
  <c r="AO234" i="3"/>
  <c r="AN234" i="3"/>
  <c r="AF234" i="3"/>
  <c r="K171" i="15" s="1"/>
  <c r="L171" i="15" s="1"/>
  <c r="AE234" i="3"/>
  <c r="AD234" i="3"/>
  <c r="W234" i="3"/>
  <c r="V234" i="3"/>
  <c r="Z234" i="3" s="1"/>
  <c r="BT233" i="3"/>
  <c r="BS233" i="3"/>
  <c r="AD170" i="15" s="1"/>
  <c r="AE170" i="15" s="1"/>
  <c r="BR233" i="3"/>
  <c r="BQ233" i="3"/>
  <c r="W170" i="15" s="1"/>
  <c r="BP233" i="3"/>
  <c r="BO233" i="3"/>
  <c r="P170" i="15" s="1"/>
  <c r="BN233" i="3"/>
  <c r="BM233" i="3"/>
  <c r="I170" i="15" s="1"/>
  <c r="BJ233" i="3"/>
  <c r="AF170" i="15" s="1"/>
  <c r="AG170" i="15" s="1"/>
  <c r="BI233" i="3"/>
  <c r="BH233" i="3"/>
  <c r="AZ233" i="3"/>
  <c r="Y170" i="15" s="1"/>
  <c r="Z170" i="15" s="1"/>
  <c r="AY233" i="3"/>
  <c r="AX233" i="3"/>
  <c r="AP233" i="3"/>
  <c r="R170" i="15" s="1"/>
  <c r="S170" i="15" s="1"/>
  <c r="AO233" i="3"/>
  <c r="AN233" i="3"/>
  <c r="AF233" i="3"/>
  <c r="K170" i="15" s="1"/>
  <c r="L170" i="15" s="1"/>
  <c r="AE233" i="3"/>
  <c r="AD233" i="3"/>
  <c r="W233" i="3"/>
  <c r="V233" i="3"/>
  <c r="Z233" i="3" s="1"/>
  <c r="BT232" i="3"/>
  <c r="BS232" i="3"/>
  <c r="AD169" i="15" s="1"/>
  <c r="AE169" i="15" s="1"/>
  <c r="BR232" i="3"/>
  <c r="BQ232" i="3"/>
  <c r="W169" i="15" s="1"/>
  <c r="BP232" i="3"/>
  <c r="BO232" i="3"/>
  <c r="P169" i="15" s="1"/>
  <c r="BN232" i="3"/>
  <c r="BM232" i="3"/>
  <c r="I169" i="15" s="1"/>
  <c r="BJ232" i="3"/>
  <c r="AF169" i="15" s="1"/>
  <c r="AG169" i="15" s="1"/>
  <c r="BI232" i="3"/>
  <c r="BH232" i="3"/>
  <c r="AZ232" i="3"/>
  <c r="Y169" i="15" s="1"/>
  <c r="Z169" i="15" s="1"/>
  <c r="AY232" i="3"/>
  <c r="AX232" i="3"/>
  <c r="AP232" i="3"/>
  <c r="R169" i="15" s="1"/>
  <c r="S169" i="15" s="1"/>
  <c r="AO232" i="3"/>
  <c r="AN232" i="3"/>
  <c r="AF232" i="3"/>
  <c r="K169" i="15" s="1"/>
  <c r="L169" i="15" s="1"/>
  <c r="AE232" i="3"/>
  <c r="AD232" i="3"/>
  <c r="W232" i="3"/>
  <c r="V232" i="3"/>
  <c r="BT231" i="3"/>
  <c r="BS231" i="3"/>
  <c r="AD159" i="15" s="1"/>
  <c r="BR231" i="3"/>
  <c r="BQ231" i="3"/>
  <c r="W159" i="15" s="1"/>
  <c r="X159" i="15" s="1"/>
  <c r="BP231" i="3"/>
  <c r="BO231" i="3"/>
  <c r="P159" i="15" s="1"/>
  <c r="BN231" i="3"/>
  <c r="BM231" i="3"/>
  <c r="I159" i="15" s="1"/>
  <c r="BJ231" i="3"/>
  <c r="AF159" i="15" s="1"/>
  <c r="AG159" i="15" s="1"/>
  <c r="BI231" i="3"/>
  <c r="BH231" i="3"/>
  <c r="AZ231" i="3"/>
  <c r="Y159" i="15" s="1"/>
  <c r="AY231" i="3"/>
  <c r="AX231" i="3"/>
  <c r="AP231" i="3"/>
  <c r="R159" i="15" s="1"/>
  <c r="S159" i="15" s="1"/>
  <c r="AO231" i="3"/>
  <c r="AN231" i="3"/>
  <c r="AF231" i="3"/>
  <c r="K159" i="15" s="1"/>
  <c r="L159" i="15" s="1"/>
  <c r="AE231" i="3"/>
  <c r="AD231" i="3"/>
  <c r="BH230" i="3"/>
  <c r="AX230" i="3"/>
  <c r="AN230" i="3"/>
  <c r="AD230" i="3"/>
  <c r="W230" i="3"/>
  <c r="V230" i="3"/>
  <c r="BT229" i="3"/>
  <c r="BS229" i="3"/>
  <c r="AD381" i="15" s="1"/>
  <c r="AE381" i="15" s="1"/>
  <c r="BR229" i="3"/>
  <c r="BQ229" i="3"/>
  <c r="W381" i="15" s="1"/>
  <c r="BP229" i="3"/>
  <c r="BO229" i="3"/>
  <c r="P381" i="15" s="1"/>
  <c r="BN229" i="3"/>
  <c r="BM229" i="3"/>
  <c r="I381" i="15" s="1"/>
  <c r="BJ229" i="3"/>
  <c r="AF381" i="15" s="1"/>
  <c r="AG381" i="15" s="1"/>
  <c r="BI229" i="3"/>
  <c r="BH229" i="3"/>
  <c r="AZ229" i="3"/>
  <c r="Y381" i="15" s="1"/>
  <c r="Z381" i="15" s="1"/>
  <c r="AY229" i="3"/>
  <c r="AX229" i="3"/>
  <c r="AP229" i="3"/>
  <c r="R381" i="15" s="1"/>
  <c r="S381" i="15" s="1"/>
  <c r="AO229" i="3"/>
  <c r="AN229" i="3"/>
  <c r="AF229" i="3"/>
  <c r="K381" i="15" s="1"/>
  <c r="L381" i="15" s="1"/>
  <c r="AE229" i="3"/>
  <c r="AD229" i="3"/>
  <c r="W229" i="3"/>
  <c r="V229" i="3"/>
  <c r="Z229" i="3" s="1"/>
  <c r="BT228" i="3"/>
  <c r="BS228" i="3"/>
  <c r="AD178" i="15" s="1"/>
  <c r="AE178" i="15" s="1"/>
  <c r="BR228" i="3"/>
  <c r="BQ228" i="3"/>
  <c r="W178" i="15" s="1"/>
  <c r="BP228" i="3"/>
  <c r="BO228" i="3"/>
  <c r="P178" i="15" s="1"/>
  <c r="BN228" i="3"/>
  <c r="BM228" i="3"/>
  <c r="I178" i="15" s="1"/>
  <c r="BJ228" i="3"/>
  <c r="AF178" i="15" s="1"/>
  <c r="AG178" i="15" s="1"/>
  <c r="BI228" i="3"/>
  <c r="BH228" i="3"/>
  <c r="AZ228" i="3"/>
  <c r="Y178" i="15" s="1"/>
  <c r="Z178" i="15" s="1"/>
  <c r="AY228" i="3"/>
  <c r="AX228" i="3"/>
  <c r="AP228" i="3"/>
  <c r="R178" i="15" s="1"/>
  <c r="S178" i="15" s="1"/>
  <c r="AO228" i="3"/>
  <c r="AN228" i="3"/>
  <c r="AF228" i="3"/>
  <c r="K178" i="15" s="1"/>
  <c r="L178" i="15" s="1"/>
  <c r="AE228" i="3"/>
  <c r="AD228" i="3"/>
  <c r="W228" i="3"/>
  <c r="V228" i="3"/>
  <c r="BT227" i="3"/>
  <c r="BS227" i="3"/>
  <c r="AD157" i="15" s="1"/>
  <c r="AE157" i="15" s="1"/>
  <c r="BR227" i="3"/>
  <c r="BQ227" i="3"/>
  <c r="W157" i="15" s="1"/>
  <c r="BP227" i="3"/>
  <c r="BO227" i="3"/>
  <c r="P157" i="15" s="1"/>
  <c r="BN227" i="3"/>
  <c r="BM227" i="3"/>
  <c r="I157" i="15" s="1"/>
  <c r="BJ227" i="3"/>
  <c r="AF157" i="15" s="1"/>
  <c r="AG157" i="15" s="1"/>
  <c r="BI227" i="3"/>
  <c r="BH227" i="3"/>
  <c r="AZ227" i="3"/>
  <c r="Y157" i="15" s="1"/>
  <c r="Z157" i="15" s="1"/>
  <c r="AY227" i="3"/>
  <c r="AX227" i="3"/>
  <c r="AP227" i="3"/>
  <c r="R157" i="15" s="1"/>
  <c r="S157" i="15" s="1"/>
  <c r="AO227" i="3"/>
  <c r="AN227" i="3"/>
  <c r="AF227" i="3"/>
  <c r="K157" i="15" s="1"/>
  <c r="L157" i="15" s="1"/>
  <c r="AE227" i="3"/>
  <c r="AD227" i="3"/>
  <c r="W227" i="3"/>
  <c r="V227" i="3"/>
  <c r="BD227" i="3" s="1"/>
  <c r="BT226" i="3"/>
  <c r="BS226" i="3"/>
  <c r="AD168" i="15" s="1"/>
  <c r="AE168" i="15" s="1"/>
  <c r="BR226" i="3"/>
  <c r="BQ226" i="3"/>
  <c r="W168" i="15" s="1"/>
  <c r="BP226" i="3"/>
  <c r="BO226" i="3"/>
  <c r="P168" i="15" s="1"/>
  <c r="BN226" i="3"/>
  <c r="BM226" i="3"/>
  <c r="I168" i="15" s="1"/>
  <c r="BJ226" i="3"/>
  <c r="AF168" i="15" s="1"/>
  <c r="AG168" i="15" s="1"/>
  <c r="BI226" i="3"/>
  <c r="BH226" i="3"/>
  <c r="AZ226" i="3"/>
  <c r="Y168" i="15" s="1"/>
  <c r="Z168" i="15" s="1"/>
  <c r="AY226" i="3"/>
  <c r="AX226" i="3"/>
  <c r="AP226" i="3"/>
  <c r="R168" i="15" s="1"/>
  <c r="S168" i="15" s="1"/>
  <c r="AO226" i="3"/>
  <c r="AN226" i="3"/>
  <c r="AF226" i="3"/>
  <c r="K168" i="15" s="1"/>
  <c r="L168" i="15" s="1"/>
  <c r="AE226" i="3"/>
  <c r="AD226" i="3"/>
  <c r="W226" i="3"/>
  <c r="V226" i="3"/>
  <c r="BT225" i="3"/>
  <c r="BS225" i="3"/>
  <c r="AD180" i="15" s="1"/>
  <c r="BR225" i="3"/>
  <c r="BQ225" i="3"/>
  <c r="W180" i="15" s="1"/>
  <c r="BP225" i="3"/>
  <c r="BO225" i="3"/>
  <c r="P180" i="15" s="1"/>
  <c r="Q180" i="15" s="1"/>
  <c r="BN225" i="3"/>
  <c r="BM225" i="3"/>
  <c r="I180" i="15" s="1"/>
  <c r="BJ225" i="3"/>
  <c r="AF180" i="15" s="1"/>
  <c r="AG180" i="15" s="1"/>
  <c r="BI225" i="3"/>
  <c r="BH225" i="3"/>
  <c r="AZ225" i="3"/>
  <c r="AY225" i="3"/>
  <c r="AX225" i="3"/>
  <c r="AP225" i="3"/>
  <c r="R180" i="15" s="1"/>
  <c r="AO225" i="3"/>
  <c r="AN225" i="3"/>
  <c r="AF225" i="3"/>
  <c r="K180" i="15" s="1"/>
  <c r="L180" i="15" s="1"/>
  <c r="AE225" i="3"/>
  <c r="AD225" i="3"/>
  <c r="W225" i="3"/>
  <c r="V225" i="3"/>
  <c r="BT224" i="3"/>
  <c r="BS224" i="3"/>
  <c r="AD167" i="15" s="1"/>
  <c r="BR224" i="3"/>
  <c r="BQ224" i="3"/>
  <c r="W167" i="15" s="1"/>
  <c r="BP224" i="3"/>
  <c r="BO224" i="3"/>
  <c r="P167" i="15" s="1"/>
  <c r="Q167" i="15" s="1"/>
  <c r="BN224" i="3"/>
  <c r="BM224" i="3"/>
  <c r="I167" i="15" s="1"/>
  <c r="BJ224" i="3"/>
  <c r="AF167" i="15" s="1"/>
  <c r="AG167" i="15" s="1"/>
  <c r="BI224" i="3"/>
  <c r="BH224" i="3"/>
  <c r="AZ224" i="3"/>
  <c r="Y167" i="15" s="1"/>
  <c r="Z167" i="15" s="1"/>
  <c r="AA167" i="15" s="1"/>
  <c r="AY224" i="3"/>
  <c r="AX224" i="3"/>
  <c r="AP224" i="3"/>
  <c r="R167" i="15" s="1"/>
  <c r="AO224" i="3"/>
  <c r="AN224" i="3"/>
  <c r="AF224" i="3"/>
  <c r="K167" i="15" s="1"/>
  <c r="L167" i="15" s="1"/>
  <c r="AE224" i="3"/>
  <c r="AD224" i="3"/>
  <c r="W224" i="3"/>
  <c r="V224" i="3"/>
  <c r="AT224" i="3" s="1"/>
  <c r="BT223" i="3"/>
  <c r="BS223" i="3"/>
  <c r="AD302" i="15" s="1"/>
  <c r="AE302" i="15" s="1"/>
  <c r="BR223" i="3"/>
  <c r="BQ223" i="3"/>
  <c r="W302" i="15" s="1"/>
  <c r="BP223" i="3"/>
  <c r="BO223" i="3"/>
  <c r="P302" i="15" s="1"/>
  <c r="BN223" i="3"/>
  <c r="BM223" i="3"/>
  <c r="I302" i="15" s="1"/>
  <c r="BJ223" i="3"/>
  <c r="AF302" i="15" s="1"/>
  <c r="AG302" i="15" s="1"/>
  <c r="BI223" i="3"/>
  <c r="BH223" i="3"/>
  <c r="AZ223" i="3"/>
  <c r="Y302" i="15" s="1"/>
  <c r="Z302" i="15" s="1"/>
  <c r="AY223" i="3"/>
  <c r="AX223" i="3"/>
  <c r="AP223" i="3"/>
  <c r="R302" i="15" s="1"/>
  <c r="S302" i="15" s="1"/>
  <c r="AO223" i="3"/>
  <c r="AN223" i="3"/>
  <c r="AF223" i="3"/>
  <c r="K302" i="15" s="1"/>
  <c r="L302" i="15" s="1"/>
  <c r="AE223" i="3"/>
  <c r="AD223" i="3"/>
  <c r="W223" i="3"/>
  <c r="V223" i="3"/>
  <c r="BD223" i="3" s="1"/>
  <c r="BT222" i="3"/>
  <c r="BS222" i="3"/>
  <c r="AD256" i="15" s="1"/>
  <c r="AE256" i="15" s="1"/>
  <c r="BR222" i="3"/>
  <c r="BQ222" i="3"/>
  <c r="W256" i="15" s="1"/>
  <c r="BP222" i="3"/>
  <c r="BO222" i="3"/>
  <c r="P256" i="15" s="1"/>
  <c r="BN222" i="3"/>
  <c r="BM222" i="3"/>
  <c r="I256" i="15" s="1"/>
  <c r="BJ222" i="3"/>
  <c r="AF256" i="15" s="1"/>
  <c r="AG256" i="15" s="1"/>
  <c r="BI222" i="3"/>
  <c r="BH222" i="3"/>
  <c r="AZ222" i="3"/>
  <c r="Y256" i="15" s="1"/>
  <c r="Z256" i="15" s="1"/>
  <c r="AY222" i="3"/>
  <c r="AX222" i="3"/>
  <c r="AP222" i="3"/>
  <c r="R256" i="15" s="1"/>
  <c r="S256" i="15" s="1"/>
  <c r="AO222" i="3"/>
  <c r="AN222" i="3"/>
  <c r="AF222" i="3"/>
  <c r="K256" i="15" s="1"/>
  <c r="L256" i="15" s="1"/>
  <c r="AE222" i="3"/>
  <c r="AD222" i="3"/>
  <c r="W222" i="3"/>
  <c r="V222" i="3"/>
  <c r="Z222" i="3" s="1"/>
  <c r="BT221" i="3"/>
  <c r="BS221" i="3"/>
  <c r="AD285" i="15" s="1"/>
  <c r="BR221" i="3"/>
  <c r="BQ221" i="3"/>
  <c r="W285" i="15" s="1"/>
  <c r="X285" i="15" s="1"/>
  <c r="BP221" i="3"/>
  <c r="BO221" i="3"/>
  <c r="P285" i="15" s="1"/>
  <c r="Q285" i="15" s="1"/>
  <c r="BN221" i="3"/>
  <c r="BM221" i="3"/>
  <c r="I285" i="15" s="1"/>
  <c r="BJ221" i="3"/>
  <c r="AF285" i="15" s="1"/>
  <c r="AG285" i="15" s="1"/>
  <c r="BI221" i="3"/>
  <c r="BH221" i="3"/>
  <c r="AZ221" i="3"/>
  <c r="Y285" i="15" s="1"/>
  <c r="AY221" i="3"/>
  <c r="AX221" i="3"/>
  <c r="AP221" i="3"/>
  <c r="R285" i="15" s="1"/>
  <c r="AO221" i="3"/>
  <c r="AN221" i="3"/>
  <c r="AF221" i="3"/>
  <c r="K285" i="15" s="1"/>
  <c r="L285" i="15" s="1"/>
  <c r="AE221" i="3"/>
  <c r="AD221" i="3"/>
  <c r="W221" i="3"/>
  <c r="V221" i="3"/>
  <c r="BD221" i="3" s="1"/>
  <c r="BT220" i="3"/>
  <c r="BS220" i="3"/>
  <c r="AD284" i="15" s="1"/>
  <c r="AE284" i="15" s="1"/>
  <c r="BR220" i="3"/>
  <c r="BQ220" i="3"/>
  <c r="W284" i="15" s="1"/>
  <c r="X284" i="15" s="1"/>
  <c r="BP220" i="3"/>
  <c r="BO220" i="3"/>
  <c r="P284" i="15" s="1"/>
  <c r="BN220" i="3"/>
  <c r="BM220" i="3"/>
  <c r="I284" i="15" s="1"/>
  <c r="BJ220" i="3"/>
  <c r="AF284" i="15" s="1"/>
  <c r="AG284" i="15" s="1"/>
  <c r="BI220" i="3"/>
  <c r="BH220" i="3"/>
  <c r="AZ220" i="3"/>
  <c r="Y284" i="15" s="1"/>
  <c r="AY220" i="3"/>
  <c r="AX220" i="3"/>
  <c r="AP220" i="3"/>
  <c r="R284" i="15" s="1"/>
  <c r="S284" i="15" s="1"/>
  <c r="AO220" i="3"/>
  <c r="AN220" i="3"/>
  <c r="AF220" i="3"/>
  <c r="K284" i="15" s="1"/>
  <c r="L284" i="15" s="1"/>
  <c r="AE220" i="3"/>
  <c r="AD220" i="3"/>
  <c r="W220" i="3"/>
  <c r="V220" i="3"/>
  <c r="AT220" i="3" s="1"/>
  <c r="BT219" i="3"/>
  <c r="BS219" i="3"/>
  <c r="AD283" i="15" s="1"/>
  <c r="AE283" i="15" s="1"/>
  <c r="BR219" i="3"/>
  <c r="BQ219" i="3"/>
  <c r="W283" i="15" s="1"/>
  <c r="X283" i="15" s="1"/>
  <c r="BP219" i="3"/>
  <c r="BO219" i="3"/>
  <c r="P283" i="15" s="1"/>
  <c r="BN219" i="3"/>
  <c r="BM219" i="3"/>
  <c r="I283" i="15" s="1"/>
  <c r="BJ219" i="3"/>
  <c r="AF283" i="15" s="1"/>
  <c r="AG283" i="15" s="1"/>
  <c r="BI219" i="3"/>
  <c r="BH219" i="3"/>
  <c r="AZ219" i="3"/>
  <c r="Y283" i="15" s="1"/>
  <c r="AY219" i="3"/>
  <c r="AX219" i="3"/>
  <c r="AP219" i="3"/>
  <c r="R283" i="15" s="1"/>
  <c r="S283" i="15" s="1"/>
  <c r="AO219" i="3"/>
  <c r="AN219" i="3"/>
  <c r="AF219" i="3"/>
  <c r="K283" i="15" s="1"/>
  <c r="L283" i="15" s="1"/>
  <c r="AE219" i="3"/>
  <c r="AD219" i="3"/>
  <c r="W219" i="3"/>
  <c r="V219" i="3"/>
  <c r="Z219" i="3" s="1"/>
  <c r="BT218" i="3"/>
  <c r="BS218" i="3"/>
  <c r="BR218" i="3"/>
  <c r="BQ218" i="3"/>
  <c r="BP218" i="3"/>
  <c r="BO218" i="3"/>
  <c r="P290" i="15" s="1"/>
  <c r="BN218" i="3"/>
  <c r="BM218" i="3"/>
  <c r="I290" i="15" s="1"/>
  <c r="BJ218" i="3"/>
  <c r="BI218" i="3"/>
  <c r="BH218" i="3"/>
  <c r="AZ218" i="3"/>
  <c r="Y290" i="15" s="1"/>
  <c r="AY218" i="3"/>
  <c r="AX218" i="3"/>
  <c r="AP218" i="3"/>
  <c r="R290" i="15" s="1"/>
  <c r="S290" i="15" s="1"/>
  <c r="AO218" i="3"/>
  <c r="AN218" i="3"/>
  <c r="AF218" i="3"/>
  <c r="K290" i="15" s="1"/>
  <c r="L290" i="15" s="1"/>
  <c r="AE218" i="3"/>
  <c r="AD218" i="3"/>
  <c r="W218" i="3"/>
  <c r="V218" i="3"/>
  <c r="BD218" i="3" s="1"/>
  <c r="BT217" i="3"/>
  <c r="BS217" i="3"/>
  <c r="AD288" i="15" s="1"/>
  <c r="AE288" i="15" s="1"/>
  <c r="BR217" i="3"/>
  <c r="BQ217" i="3"/>
  <c r="W288" i="15" s="1"/>
  <c r="X288" i="15" s="1"/>
  <c r="BP217" i="3"/>
  <c r="BO217" i="3"/>
  <c r="P288" i="15" s="1"/>
  <c r="BN217" i="3"/>
  <c r="BM217" i="3"/>
  <c r="I288" i="15" s="1"/>
  <c r="BJ217" i="3"/>
  <c r="AF288" i="15" s="1"/>
  <c r="AG288" i="15" s="1"/>
  <c r="BI217" i="3"/>
  <c r="BH217" i="3"/>
  <c r="AZ217" i="3"/>
  <c r="Y288" i="15" s="1"/>
  <c r="AY217" i="3"/>
  <c r="AX217" i="3"/>
  <c r="AP217" i="3"/>
  <c r="R288" i="15" s="1"/>
  <c r="S288" i="15" s="1"/>
  <c r="AO217" i="3"/>
  <c r="AN217" i="3"/>
  <c r="AF217" i="3"/>
  <c r="AE217" i="3"/>
  <c r="AD217" i="3"/>
  <c r="W217" i="3"/>
  <c r="V217" i="3"/>
  <c r="BT216" i="3"/>
  <c r="BS216" i="3"/>
  <c r="AD250" i="15" s="1"/>
  <c r="AE250" i="15" s="1"/>
  <c r="BR216" i="3"/>
  <c r="BQ216" i="3"/>
  <c r="BP216" i="3"/>
  <c r="BO216" i="3"/>
  <c r="P250" i="15" s="1"/>
  <c r="BN216" i="3"/>
  <c r="BM216" i="3"/>
  <c r="I250" i="15" s="1"/>
  <c r="BJ216" i="3"/>
  <c r="AG250" i="15" s="1"/>
  <c r="BI216" i="3"/>
  <c r="BH216" i="3"/>
  <c r="AZ216" i="3"/>
  <c r="Y250" i="15" s="1"/>
  <c r="Z250" i="15" s="1"/>
  <c r="AY216" i="3"/>
  <c r="AX216" i="3"/>
  <c r="AP216" i="3"/>
  <c r="AO216" i="3"/>
  <c r="AN216" i="3"/>
  <c r="AF216" i="3"/>
  <c r="K250" i="15" s="1"/>
  <c r="L250" i="15" s="1"/>
  <c r="AE216" i="3"/>
  <c r="AD216" i="3"/>
  <c r="W216" i="3"/>
  <c r="V216" i="3"/>
  <c r="AT216" i="3" s="1"/>
  <c r="BT215" i="3"/>
  <c r="BS215" i="3"/>
  <c r="AD249" i="15" s="1"/>
  <c r="AE249" i="15" s="1"/>
  <c r="BR215" i="3"/>
  <c r="BQ215" i="3"/>
  <c r="W249" i="15" s="1"/>
  <c r="X249" i="15" s="1"/>
  <c r="BP215" i="3"/>
  <c r="BO215" i="3"/>
  <c r="P249" i="15" s="1"/>
  <c r="BN215" i="3"/>
  <c r="BM215" i="3"/>
  <c r="I249" i="15" s="1"/>
  <c r="BJ215" i="3"/>
  <c r="AF249" i="15" s="1"/>
  <c r="AG249" i="15" s="1"/>
  <c r="BI215" i="3"/>
  <c r="BH215" i="3"/>
  <c r="AZ215" i="3"/>
  <c r="Y249" i="15" s="1"/>
  <c r="AY215" i="3"/>
  <c r="AX215" i="3"/>
  <c r="AP215" i="3"/>
  <c r="AO215" i="3"/>
  <c r="AN215" i="3"/>
  <c r="AF215" i="3"/>
  <c r="K249" i="15" s="1"/>
  <c r="L249" i="15" s="1"/>
  <c r="AE215" i="3"/>
  <c r="AD215" i="3"/>
  <c r="W215" i="3"/>
  <c r="V215" i="3"/>
  <c r="Z215" i="3" s="1"/>
  <c r="BT214" i="3"/>
  <c r="BS214" i="3"/>
  <c r="AD246" i="15" s="1"/>
  <c r="AE246" i="15" s="1"/>
  <c r="BR214" i="3"/>
  <c r="BQ214" i="3"/>
  <c r="BP214" i="3"/>
  <c r="BO214" i="3"/>
  <c r="P246" i="15" s="1"/>
  <c r="BN214" i="3"/>
  <c r="BM214" i="3"/>
  <c r="I246" i="15" s="1"/>
  <c r="BJ214" i="3"/>
  <c r="AG246" i="15" s="1"/>
  <c r="BI214" i="3"/>
  <c r="BH214" i="3"/>
  <c r="AZ214" i="3"/>
  <c r="Y246" i="15" s="1"/>
  <c r="Z246" i="15" s="1"/>
  <c r="AY214" i="3"/>
  <c r="AX214" i="3"/>
  <c r="AP214" i="3"/>
  <c r="R246" i="15" s="1"/>
  <c r="S246" i="15" s="1"/>
  <c r="AO214" i="3"/>
  <c r="AN214" i="3"/>
  <c r="AF214" i="3"/>
  <c r="K246" i="15" s="1"/>
  <c r="L246" i="15" s="1"/>
  <c r="AE214" i="3"/>
  <c r="AD214" i="3"/>
  <c r="W214" i="3"/>
  <c r="V214" i="3"/>
  <c r="AJ214" i="3" s="1"/>
  <c r="BT213" i="3"/>
  <c r="BS213" i="3"/>
  <c r="AD245" i="15" s="1"/>
  <c r="AE245" i="15" s="1"/>
  <c r="BR213" i="3"/>
  <c r="BQ213" i="3"/>
  <c r="W245" i="15" s="1"/>
  <c r="X245" i="15" s="1"/>
  <c r="BP213" i="3"/>
  <c r="BO213" i="3"/>
  <c r="P245" i="15" s="1"/>
  <c r="BN213" i="3"/>
  <c r="BM213" i="3"/>
  <c r="I245" i="15" s="1"/>
  <c r="BJ213" i="3"/>
  <c r="AF245" i="15" s="1"/>
  <c r="AG245" i="15" s="1"/>
  <c r="BI213" i="3"/>
  <c r="BH213" i="3"/>
  <c r="AZ213" i="3"/>
  <c r="Y245" i="15" s="1"/>
  <c r="AY213" i="3"/>
  <c r="AX213" i="3"/>
  <c r="AP213" i="3"/>
  <c r="R245" i="15" s="1"/>
  <c r="S245" i="15" s="1"/>
  <c r="AO213" i="3"/>
  <c r="AN213" i="3"/>
  <c r="AF213" i="3"/>
  <c r="K245" i="15" s="1"/>
  <c r="L245" i="15" s="1"/>
  <c r="AE213" i="3"/>
  <c r="AD213" i="3"/>
  <c r="W213" i="3"/>
  <c r="V213" i="3"/>
  <c r="BD213" i="3" s="1"/>
  <c r="BT212" i="3"/>
  <c r="BS212" i="3"/>
  <c r="AD254" i="15" s="1"/>
  <c r="AE254" i="15" s="1"/>
  <c r="BR212" i="3"/>
  <c r="BQ212" i="3"/>
  <c r="BP212" i="3"/>
  <c r="BO212" i="3"/>
  <c r="P254" i="15" s="1"/>
  <c r="BN212" i="3"/>
  <c r="BM212" i="3"/>
  <c r="I254" i="15" s="1"/>
  <c r="BJ212" i="3"/>
  <c r="AG254" i="15" s="1"/>
  <c r="BI212" i="3"/>
  <c r="BH212" i="3"/>
  <c r="AZ212" i="3"/>
  <c r="Y254" i="15" s="1"/>
  <c r="Z254" i="15" s="1"/>
  <c r="AY212" i="3"/>
  <c r="AX212" i="3"/>
  <c r="AP212" i="3"/>
  <c r="R254" i="15" s="1"/>
  <c r="S254" i="15" s="1"/>
  <c r="AO212" i="3"/>
  <c r="AN212" i="3"/>
  <c r="AF212" i="3"/>
  <c r="K254" i="15" s="1"/>
  <c r="L254" i="15" s="1"/>
  <c r="AE212" i="3"/>
  <c r="AD212" i="3"/>
  <c r="W212" i="3"/>
  <c r="V212" i="3"/>
  <c r="AT212" i="3" s="1"/>
  <c r="BT211" i="3"/>
  <c r="BS211" i="3"/>
  <c r="AD253" i="15" s="1"/>
  <c r="AE253" i="15" s="1"/>
  <c r="BR211" i="3"/>
  <c r="BQ211" i="3"/>
  <c r="W253" i="15" s="1"/>
  <c r="X253" i="15" s="1"/>
  <c r="BP211" i="3"/>
  <c r="BO211" i="3"/>
  <c r="P253" i="15" s="1"/>
  <c r="BN211" i="3"/>
  <c r="BM211" i="3"/>
  <c r="I253" i="15" s="1"/>
  <c r="BJ211" i="3"/>
  <c r="AF253" i="15" s="1"/>
  <c r="AG253" i="15" s="1"/>
  <c r="BI211" i="3"/>
  <c r="BH211" i="3"/>
  <c r="AZ211" i="3"/>
  <c r="Y253" i="15" s="1"/>
  <c r="AY211" i="3"/>
  <c r="AX211" i="3"/>
  <c r="AP211" i="3"/>
  <c r="R253" i="15" s="1"/>
  <c r="S253" i="15" s="1"/>
  <c r="AO211" i="3"/>
  <c r="AN211" i="3"/>
  <c r="AF211" i="3"/>
  <c r="K253" i="15" s="1"/>
  <c r="L253" i="15" s="1"/>
  <c r="AE211" i="3"/>
  <c r="AD211" i="3"/>
  <c r="W211" i="3"/>
  <c r="V211" i="3"/>
  <c r="AJ211" i="3" s="1"/>
  <c r="BT210" i="3"/>
  <c r="BS210" i="3"/>
  <c r="AD242" i="15" s="1"/>
  <c r="AE242" i="15" s="1"/>
  <c r="BR210" i="3"/>
  <c r="BQ210" i="3"/>
  <c r="BP210" i="3"/>
  <c r="BO210" i="3"/>
  <c r="P242" i="15" s="1"/>
  <c r="BN210" i="3"/>
  <c r="BM210" i="3"/>
  <c r="I242" i="15" s="1"/>
  <c r="BJ210" i="3"/>
  <c r="BI210" i="3"/>
  <c r="BH210" i="3"/>
  <c r="AZ210" i="3"/>
  <c r="Y242" i="15" s="1"/>
  <c r="Z242" i="15" s="1"/>
  <c r="AY210" i="3"/>
  <c r="AX210" i="3"/>
  <c r="AP210" i="3"/>
  <c r="R242" i="15" s="1"/>
  <c r="S242" i="15" s="1"/>
  <c r="AO210" i="3"/>
  <c r="AN210" i="3"/>
  <c r="AF210" i="3"/>
  <c r="K242" i="15" s="1"/>
  <c r="L242" i="15" s="1"/>
  <c r="AE210" i="3"/>
  <c r="AD210" i="3"/>
  <c r="W210" i="3"/>
  <c r="V210" i="3"/>
  <c r="AT210" i="3" s="1"/>
  <c r="BT209" i="3"/>
  <c r="BS209" i="3"/>
  <c r="AD241" i="15" s="1"/>
  <c r="AE241" i="15" s="1"/>
  <c r="BR209" i="3"/>
  <c r="BQ209" i="3"/>
  <c r="W241" i="15" s="1"/>
  <c r="X241" i="15" s="1"/>
  <c r="BP209" i="3"/>
  <c r="BO209" i="3"/>
  <c r="P241" i="15" s="1"/>
  <c r="BN209" i="3"/>
  <c r="BM209" i="3"/>
  <c r="I241" i="15" s="1"/>
  <c r="BJ209" i="3"/>
  <c r="AF241" i="15" s="1"/>
  <c r="AG241" i="15" s="1"/>
  <c r="BI209" i="3"/>
  <c r="BH209" i="3"/>
  <c r="AZ209" i="3"/>
  <c r="Y241" i="15" s="1"/>
  <c r="AY209" i="3"/>
  <c r="AX209" i="3"/>
  <c r="AP209" i="3"/>
  <c r="R241" i="15" s="1"/>
  <c r="S241" i="15" s="1"/>
  <c r="AO209" i="3"/>
  <c r="AN209" i="3"/>
  <c r="AF209" i="3"/>
  <c r="K241" i="15" s="1"/>
  <c r="L241" i="15" s="1"/>
  <c r="AE209" i="3"/>
  <c r="AD209" i="3"/>
  <c r="W209" i="3"/>
  <c r="V209" i="3"/>
  <c r="BT208" i="3"/>
  <c r="BS208" i="3"/>
  <c r="BR208" i="3"/>
  <c r="BQ208" i="3"/>
  <c r="W266" i="15" s="1"/>
  <c r="X266" i="15" s="1"/>
  <c r="BP208" i="3"/>
  <c r="BO208" i="3"/>
  <c r="P266" i="15" s="1"/>
  <c r="BN208" i="3"/>
  <c r="BM208" i="3"/>
  <c r="I266" i="15" s="1"/>
  <c r="BJ208" i="3"/>
  <c r="BI208" i="3"/>
  <c r="BH208" i="3"/>
  <c r="AZ208" i="3"/>
  <c r="Y266" i="15" s="1"/>
  <c r="AY208" i="3"/>
  <c r="AX208" i="3"/>
  <c r="AP208" i="3"/>
  <c r="R266" i="15" s="1"/>
  <c r="S266" i="15" s="1"/>
  <c r="AO208" i="3"/>
  <c r="AN208" i="3"/>
  <c r="AF208" i="3"/>
  <c r="K266" i="15" s="1"/>
  <c r="L266" i="15" s="1"/>
  <c r="AE208" i="3"/>
  <c r="AD208" i="3"/>
  <c r="W208" i="3"/>
  <c r="V208" i="3"/>
  <c r="BD208" i="3" s="1"/>
  <c r="BT207" i="3"/>
  <c r="BS207" i="3"/>
  <c r="AD265" i="15" s="1"/>
  <c r="AE265" i="15" s="1"/>
  <c r="BR207" i="3"/>
  <c r="BQ207" i="3"/>
  <c r="W265" i="15" s="1"/>
  <c r="X265" i="15" s="1"/>
  <c r="BP207" i="3"/>
  <c r="BO207" i="3"/>
  <c r="P265" i="15" s="1"/>
  <c r="BN207" i="3"/>
  <c r="BM207" i="3"/>
  <c r="I265" i="15" s="1"/>
  <c r="BJ207" i="3"/>
  <c r="AF265" i="15" s="1"/>
  <c r="AG265" i="15" s="1"/>
  <c r="BI207" i="3"/>
  <c r="BH207" i="3"/>
  <c r="AZ207" i="3"/>
  <c r="Y265" i="15" s="1"/>
  <c r="AY207" i="3"/>
  <c r="AX207" i="3"/>
  <c r="AP207" i="3"/>
  <c r="R265" i="15" s="1"/>
  <c r="S265" i="15" s="1"/>
  <c r="AO207" i="3"/>
  <c r="AN207" i="3"/>
  <c r="AF207" i="3"/>
  <c r="K265" i="15" s="1"/>
  <c r="L265" i="15" s="1"/>
  <c r="AE207" i="3"/>
  <c r="AD207" i="3"/>
  <c r="W207" i="3"/>
  <c r="V207" i="3"/>
  <c r="BD207" i="3" s="1"/>
  <c r="BT206" i="3"/>
  <c r="BS206" i="3"/>
  <c r="AD301" i="15" s="1"/>
  <c r="AE301" i="15" s="1"/>
  <c r="BR206" i="3"/>
  <c r="BQ206" i="3"/>
  <c r="W301" i="15" s="1"/>
  <c r="X301" i="15" s="1"/>
  <c r="BP206" i="3"/>
  <c r="BO206" i="3"/>
  <c r="P301" i="15" s="1"/>
  <c r="BN206" i="3"/>
  <c r="BM206" i="3"/>
  <c r="I301" i="15" s="1"/>
  <c r="BJ206" i="3"/>
  <c r="AF301" i="15" s="1"/>
  <c r="AG301" i="15" s="1"/>
  <c r="BI206" i="3"/>
  <c r="BH206" i="3"/>
  <c r="AZ206" i="3"/>
  <c r="Y301" i="15" s="1"/>
  <c r="AY206" i="3"/>
  <c r="AX206" i="3"/>
  <c r="AP206" i="3"/>
  <c r="R301" i="15" s="1"/>
  <c r="S301" i="15" s="1"/>
  <c r="AO206" i="3"/>
  <c r="AN206" i="3"/>
  <c r="AF206" i="3"/>
  <c r="K301" i="15" s="1"/>
  <c r="L301" i="15" s="1"/>
  <c r="AE206" i="3"/>
  <c r="AD206" i="3"/>
  <c r="W206" i="3"/>
  <c r="V206" i="3"/>
  <c r="Z206" i="3" s="1"/>
  <c r="BT205" i="3"/>
  <c r="BS205" i="3"/>
  <c r="BR205" i="3"/>
  <c r="BQ205" i="3"/>
  <c r="BP205" i="3"/>
  <c r="BO205" i="3"/>
  <c r="P300" i="15" s="1"/>
  <c r="BN205" i="3"/>
  <c r="BM205" i="3"/>
  <c r="I300" i="15" s="1"/>
  <c r="BJ205" i="3"/>
  <c r="BI205" i="3"/>
  <c r="BH205" i="3"/>
  <c r="AZ205" i="3"/>
  <c r="Y300" i="15" s="1"/>
  <c r="Z300" i="15" s="1"/>
  <c r="AY205" i="3"/>
  <c r="AX205" i="3"/>
  <c r="AP205" i="3"/>
  <c r="R300" i="15" s="1"/>
  <c r="S300" i="15" s="1"/>
  <c r="AO205" i="3"/>
  <c r="AN205" i="3"/>
  <c r="AF205" i="3"/>
  <c r="K300" i="15" s="1"/>
  <c r="L300" i="15" s="1"/>
  <c r="AE205" i="3"/>
  <c r="AD205" i="3"/>
  <c r="W205" i="3"/>
  <c r="V205" i="3"/>
  <c r="Z205" i="3" s="1"/>
  <c r="BT204" i="3"/>
  <c r="BS204" i="3"/>
  <c r="AD299" i="15" s="1"/>
  <c r="AE299" i="15" s="1"/>
  <c r="BR204" i="3"/>
  <c r="BQ204" i="3"/>
  <c r="W299" i="15" s="1"/>
  <c r="X299" i="15" s="1"/>
  <c r="BP204" i="3"/>
  <c r="BO204" i="3"/>
  <c r="P299" i="15" s="1"/>
  <c r="BN204" i="3"/>
  <c r="BM204" i="3"/>
  <c r="I299" i="15" s="1"/>
  <c r="BJ204" i="3"/>
  <c r="AF299" i="15" s="1"/>
  <c r="AG299" i="15" s="1"/>
  <c r="BI204" i="3"/>
  <c r="BH204" i="3"/>
  <c r="AZ204" i="3"/>
  <c r="Y299" i="15" s="1"/>
  <c r="AY204" i="3"/>
  <c r="AX204" i="3"/>
  <c r="AP204" i="3"/>
  <c r="R299" i="15" s="1"/>
  <c r="S299" i="15" s="1"/>
  <c r="AO204" i="3"/>
  <c r="AN204" i="3"/>
  <c r="AF204" i="3"/>
  <c r="K299" i="15" s="1"/>
  <c r="L299" i="15" s="1"/>
  <c r="AE204" i="3"/>
  <c r="AD204" i="3"/>
  <c r="W204" i="3"/>
  <c r="V204" i="3"/>
  <c r="BT203" i="3"/>
  <c r="BS203" i="3"/>
  <c r="BR203" i="3"/>
  <c r="BQ203" i="3"/>
  <c r="BP203" i="3"/>
  <c r="BO203" i="3"/>
  <c r="P380" i="15" s="1"/>
  <c r="BN203" i="3"/>
  <c r="BM203" i="3"/>
  <c r="I380" i="15" s="1"/>
  <c r="BJ203" i="3"/>
  <c r="AF380" i="15" s="1"/>
  <c r="AG380" i="15" s="1"/>
  <c r="BI203" i="3"/>
  <c r="BH203" i="3"/>
  <c r="AZ203" i="3"/>
  <c r="Y380" i="15" s="1"/>
  <c r="Z380" i="15" s="1"/>
  <c r="AY203" i="3"/>
  <c r="AX203" i="3"/>
  <c r="AP203" i="3"/>
  <c r="R380" i="15" s="1"/>
  <c r="S380" i="15" s="1"/>
  <c r="AO203" i="3"/>
  <c r="AN203" i="3"/>
  <c r="AF203" i="3"/>
  <c r="K380" i="15" s="1"/>
  <c r="L380" i="15" s="1"/>
  <c r="AE203" i="3"/>
  <c r="AD203" i="3"/>
  <c r="W203" i="3"/>
  <c r="V203" i="3"/>
  <c r="BT202" i="3"/>
  <c r="BS202" i="3"/>
  <c r="AD176" i="15" s="1"/>
  <c r="BR202" i="3"/>
  <c r="BQ202" i="3"/>
  <c r="W176" i="15" s="1"/>
  <c r="BP202" i="3"/>
  <c r="BO202" i="3"/>
  <c r="P176" i="15" s="1"/>
  <c r="Q176" i="15" s="1"/>
  <c r="BN202" i="3"/>
  <c r="BM202" i="3"/>
  <c r="I176" i="15" s="1"/>
  <c r="BJ202" i="3"/>
  <c r="AF176" i="15" s="1"/>
  <c r="AG176" i="15" s="1"/>
  <c r="BI202" i="3"/>
  <c r="BH202" i="3"/>
  <c r="AZ202" i="3"/>
  <c r="Y176" i="15" s="1"/>
  <c r="Z176" i="15" s="1"/>
  <c r="AA176" i="15" s="1"/>
  <c r="AY202" i="3"/>
  <c r="AX202" i="3"/>
  <c r="AP202" i="3"/>
  <c r="R176" i="15" s="1"/>
  <c r="AO202" i="3"/>
  <c r="AN202" i="3"/>
  <c r="AF202" i="3"/>
  <c r="K176" i="15" s="1"/>
  <c r="L176" i="15" s="1"/>
  <c r="AE202" i="3"/>
  <c r="AD202" i="3"/>
  <c r="W202" i="3"/>
  <c r="V202" i="3"/>
  <c r="BT201" i="3"/>
  <c r="BS201" i="3"/>
  <c r="AD377" i="15" s="1"/>
  <c r="BR201" i="3"/>
  <c r="BQ201" i="3"/>
  <c r="W377" i="15" s="1"/>
  <c r="BP201" i="3"/>
  <c r="BO201" i="3"/>
  <c r="P377" i="15" s="1"/>
  <c r="Q377" i="15" s="1"/>
  <c r="BN201" i="3"/>
  <c r="BM201" i="3"/>
  <c r="I377" i="15" s="1"/>
  <c r="BJ201" i="3"/>
  <c r="AF377" i="15" s="1"/>
  <c r="AG377" i="15" s="1"/>
  <c r="BI201" i="3"/>
  <c r="BH201" i="3"/>
  <c r="AZ201" i="3"/>
  <c r="Y377" i="15" s="1"/>
  <c r="Z377" i="15" s="1"/>
  <c r="AA377" i="15" s="1"/>
  <c r="AY201" i="3"/>
  <c r="AX201" i="3"/>
  <c r="AP201" i="3"/>
  <c r="R377" i="15" s="1"/>
  <c r="AO201" i="3"/>
  <c r="AN201" i="3"/>
  <c r="AF201" i="3"/>
  <c r="K377" i="15" s="1"/>
  <c r="L377" i="15" s="1"/>
  <c r="AE201" i="3"/>
  <c r="AD201" i="3"/>
  <c r="W201" i="3"/>
  <c r="V201" i="3"/>
  <c r="BT200" i="3"/>
  <c r="BS200" i="3"/>
  <c r="AD298" i="15" s="1"/>
  <c r="BR200" i="3"/>
  <c r="BQ200" i="3"/>
  <c r="W298" i="15" s="1"/>
  <c r="BP200" i="3"/>
  <c r="BO200" i="3"/>
  <c r="P298" i="15" s="1"/>
  <c r="Q298" i="15" s="1"/>
  <c r="BN200" i="3"/>
  <c r="BM200" i="3"/>
  <c r="I298" i="15" s="1"/>
  <c r="BJ200" i="3"/>
  <c r="AF298" i="15" s="1"/>
  <c r="AG298" i="15" s="1"/>
  <c r="BI200" i="3"/>
  <c r="BH200" i="3"/>
  <c r="AZ200" i="3"/>
  <c r="Y298" i="15" s="1"/>
  <c r="Z298" i="15" s="1"/>
  <c r="AA298" i="15" s="1"/>
  <c r="AY200" i="3"/>
  <c r="AX200" i="3"/>
  <c r="AP200" i="3"/>
  <c r="R298" i="15" s="1"/>
  <c r="AO200" i="3"/>
  <c r="AN200" i="3"/>
  <c r="AF200" i="3"/>
  <c r="K298" i="15" s="1"/>
  <c r="L298" i="15" s="1"/>
  <c r="AE200" i="3"/>
  <c r="AD200" i="3"/>
  <c r="W200" i="3"/>
  <c r="V200" i="3"/>
  <c r="BT199" i="3"/>
  <c r="BS199" i="3"/>
  <c r="AD297" i="15" s="1"/>
  <c r="BR199" i="3"/>
  <c r="BQ199" i="3"/>
  <c r="W297" i="15" s="1"/>
  <c r="BP199" i="3"/>
  <c r="BO199" i="3"/>
  <c r="P297" i="15" s="1"/>
  <c r="Q297" i="15" s="1"/>
  <c r="BN199" i="3"/>
  <c r="BM199" i="3"/>
  <c r="I297" i="15" s="1"/>
  <c r="BJ199" i="3"/>
  <c r="AF297" i="15" s="1"/>
  <c r="AG297" i="15" s="1"/>
  <c r="BI199" i="3"/>
  <c r="BH199" i="3"/>
  <c r="AZ199" i="3"/>
  <c r="Y297" i="15" s="1"/>
  <c r="Z297" i="15" s="1"/>
  <c r="AA297" i="15" s="1"/>
  <c r="AY199" i="3"/>
  <c r="AX199" i="3"/>
  <c r="AP199" i="3"/>
  <c r="R297" i="15" s="1"/>
  <c r="AO199" i="3"/>
  <c r="AN199" i="3"/>
  <c r="AF199" i="3"/>
  <c r="K297" i="15" s="1"/>
  <c r="L297" i="15" s="1"/>
  <c r="AE199" i="3"/>
  <c r="AD199" i="3"/>
  <c r="W199" i="3"/>
  <c r="V199" i="3"/>
  <c r="BT198" i="3"/>
  <c r="BS198" i="3"/>
  <c r="AD296" i="15" s="1"/>
  <c r="BR198" i="3"/>
  <c r="BQ198" i="3"/>
  <c r="W296" i="15" s="1"/>
  <c r="X296" i="15" s="1"/>
  <c r="BP198" i="3"/>
  <c r="BO198" i="3"/>
  <c r="P296" i="15" s="1"/>
  <c r="BN198" i="3"/>
  <c r="BM198" i="3"/>
  <c r="I296" i="15" s="1"/>
  <c r="BJ198" i="3"/>
  <c r="AF296" i="15" s="1"/>
  <c r="AG296" i="15" s="1"/>
  <c r="BI198" i="3"/>
  <c r="BH198" i="3"/>
  <c r="AZ198" i="3"/>
  <c r="Y296" i="15" s="1"/>
  <c r="AY198" i="3"/>
  <c r="AX198" i="3"/>
  <c r="AP198" i="3"/>
  <c r="R296" i="15" s="1"/>
  <c r="S296" i="15" s="1"/>
  <c r="AO198" i="3"/>
  <c r="AN198" i="3"/>
  <c r="AF198" i="3"/>
  <c r="K296" i="15" s="1"/>
  <c r="L296" i="15" s="1"/>
  <c r="AE198" i="3"/>
  <c r="AD198" i="3"/>
  <c r="W198" i="3"/>
  <c r="V198" i="3"/>
  <c r="Z198" i="3" s="1"/>
  <c r="BT197" i="3"/>
  <c r="BS197" i="3"/>
  <c r="AD295" i="15" s="1"/>
  <c r="BR197" i="3"/>
  <c r="BQ197" i="3"/>
  <c r="W295" i="15" s="1"/>
  <c r="X295" i="15" s="1"/>
  <c r="BP197" i="3"/>
  <c r="BO197" i="3"/>
  <c r="BN197" i="3"/>
  <c r="BM197" i="3"/>
  <c r="I295" i="15" s="1"/>
  <c r="BJ197" i="3"/>
  <c r="AF295" i="15" s="1"/>
  <c r="AG295" i="15" s="1"/>
  <c r="BI197" i="3"/>
  <c r="BH197" i="3"/>
  <c r="AZ197" i="3"/>
  <c r="Y295" i="15" s="1"/>
  <c r="AY197" i="3"/>
  <c r="AX197" i="3"/>
  <c r="AP197" i="3"/>
  <c r="AO197" i="3"/>
  <c r="AN197" i="3"/>
  <c r="AF197" i="3"/>
  <c r="K295" i="15" s="1"/>
  <c r="L295" i="15" s="1"/>
  <c r="AE197" i="3"/>
  <c r="AD197" i="3"/>
  <c r="W197" i="3"/>
  <c r="V197" i="3"/>
  <c r="AT197" i="3" s="1"/>
  <c r="BT196" i="3"/>
  <c r="BS196" i="3"/>
  <c r="AD294" i="15" s="1"/>
  <c r="BR196" i="3"/>
  <c r="BQ196" i="3"/>
  <c r="W294" i="15" s="1"/>
  <c r="BP196" i="3"/>
  <c r="BO196" i="3"/>
  <c r="P294" i="15" s="1"/>
  <c r="Q294" i="15" s="1"/>
  <c r="BN196" i="3"/>
  <c r="BM196" i="3"/>
  <c r="I294" i="15" s="1"/>
  <c r="BJ196" i="3"/>
  <c r="AF294" i="15" s="1"/>
  <c r="AG294" i="15" s="1"/>
  <c r="BI196" i="3"/>
  <c r="BH196" i="3"/>
  <c r="AZ196" i="3"/>
  <c r="Y294" i="15" s="1"/>
  <c r="Z294" i="15" s="1"/>
  <c r="AA294" i="15" s="1"/>
  <c r="AY196" i="3"/>
  <c r="AX196" i="3"/>
  <c r="AP196" i="3"/>
  <c r="R294" i="15" s="1"/>
  <c r="AO196" i="3"/>
  <c r="AN196" i="3"/>
  <c r="AF196" i="3"/>
  <c r="K294" i="15" s="1"/>
  <c r="L294" i="15" s="1"/>
  <c r="AE196" i="3"/>
  <c r="AD196" i="3"/>
  <c r="W196" i="3"/>
  <c r="V196" i="3"/>
  <c r="BT195" i="3"/>
  <c r="BS195" i="3"/>
  <c r="AD379" i="15" s="1"/>
  <c r="BR195" i="3"/>
  <c r="BQ195" i="3"/>
  <c r="BP195" i="3"/>
  <c r="BO195" i="3"/>
  <c r="P379" i="15" s="1"/>
  <c r="Q379" i="15" s="1"/>
  <c r="BN195" i="3"/>
  <c r="BM195" i="3"/>
  <c r="I379" i="15" s="1"/>
  <c r="BJ195" i="3"/>
  <c r="AF379" i="15" s="1"/>
  <c r="AG379" i="15" s="1"/>
  <c r="BI195" i="3"/>
  <c r="BH195" i="3"/>
  <c r="AZ195" i="3"/>
  <c r="AY195" i="3"/>
  <c r="AX195" i="3"/>
  <c r="AP195" i="3"/>
  <c r="R379" i="15" s="1"/>
  <c r="AO195" i="3"/>
  <c r="AN195" i="3"/>
  <c r="AF195" i="3"/>
  <c r="K379" i="15" s="1"/>
  <c r="L379" i="15" s="1"/>
  <c r="AE195" i="3"/>
  <c r="AD195" i="3"/>
  <c r="W195" i="3"/>
  <c r="V195" i="3"/>
  <c r="BT194" i="3"/>
  <c r="BS194" i="3"/>
  <c r="AD293" i="15" s="1"/>
  <c r="BR194" i="3"/>
  <c r="BQ194" i="3"/>
  <c r="W293" i="15" s="1"/>
  <c r="BP194" i="3"/>
  <c r="BO194" i="3"/>
  <c r="P293" i="15" s="1"/>
  <c r="Q293" i="15" s="1"/>
  <c r="BN194" i="3"/>
  <c r="BM194" i="3"/>
  <c r="I293" i="15" s="1"/>
  <c r="BJ194" i="3"/>
  <c r="AF293" i="15" s="1"/>
  <c r="AG293" i="15" s="1"/>
  <c r="BI194" i="3"/>
  <c r="BH194" i="3"/>
  <c r="AZ194" i="3"/>
  <c r="Y293" i="15" s="1"/>
  <c r="Z293" i="15" s="1"/>
  <c r="AA293" i="15" s="1"/>
  <c r="AY194" i="3"/>
  <c r="AX194" i="3"/>
  <c r="AP194" i="3"/>
  <c r="R293" i="15" s="1"/>
  <c r="AO194" i="3"/>
  <c r="AN194" i="3"/>
  <c r="AF194" i="3"/>
  <c r="K293" i="15" s="1"/>
  <c r="L293" i="15" s="1"/>
  <c r="AE194" i="3"/>
  <c r="AD194" i="3"/>
  <c r="W194" i="3"/>
  <c r="V194" i="3"/>
  <c r="BT193" i="3"/>
  <c r="BS193" i="3"/>
  <c r="AD175" i="15" s="1"/>
  <c r="BR193" i="3"/>
  <c r="BQ193" i="3"/>
  <c r="W175" i="15" s="1"/>
  <c r="BP193" i="3"/>
  <c r="BO193" i="3"/>
  <c r="P175" i="15" s="1"/>
  <c r="Q175" i="15" s="1"/>
  <c r="BN193" i="3"/>
  <c r="BM193" i="3"/>
  <c r="I175" i="15" s="1"/>
  <c r="BJ193" i="3"/>
  <c r="AF175" i="15" s="1"/>
  <c r="AG175" i="15" s="1"/>
  <c r="BI193" i="3"/>
  <c r="BH193" i="3"/>
  <c r="AZ193" i="3"/>
  <c r="Y175" i="15" s="1"/>
  <c r="Z175" i="15" s="1"/>
  <c r="AA175" i="15" s="1"/>
  <c r="AY193" i="3"/>
  <c r="AX193" i="3"/>
  <c r="AP193" i="3"/>
  <c r="R175" i="15" s="1"/>
  <c r="AO193" i="3"/>
  <c r="AN193" i="3"/>
  <c r="AF193" i="3"/>
  <c r="K175" i="15" s="1"/>
  <c r="L175" i="15" s="1"/>
  <c r="AE193" i="3"/>
  <c r="AD193" i="3"/>
  <c r="W193" i="3"/>
  <c r="V193" i="3"/>
  <c r="BT192" i="3"/>
  <c r="BS192" i="3"/>
  <c r="AD378" i="15" s="1"/>
  <c r="BR192" i="3"/>
  <c r="BQ192" i="3"/>
  <c r="BP192" i="3"/>
  <c r="BO192" i="3"/>
  <c r="P378" i="15" s="1"/>
  <c r="Q378" i="15" s="1"/>
  <c r="BN192" i="3"/>
  <c r="BM192" i="3"/>
  <c r="I378" i="15" s="1"/>
  <c r="BJ192" i="3"/>
  <c r="BI192" i="3"/>
  <c r="BH192" i="3"/>
  <c r="AZ192" i="3"/>
  <c r="AY192" i="3"/>
  <c r="AX192" i="3"/>
  <c r="AP192" i="3"/>
  <c r="R378" i="15" s="1"/>
  <c r="AO192" i="3"/>
  <c r="AN192" i="3"/>
  <c r="AF192" i="3"/>
  <c r="K378" i="15" s="1"/>
  <c r="L378" i="15" s="1"/>
  <c r="AE192" i="3"/>
  <c r="AD192" i="3"/>
  <c r="W192" i="3"/>
  <c r="V192" i="3"/>
  <c r="BT191" i="3"/>
  <c r="BS191" i="3"/>
  <c r="AD292" i="15" s="1"/>
  <c r="BR191" i="3"/>
  <c r="BQ191" i="3"/>
  <c r="W292" i="15" s="1"/>
  <c r="BP191" i="3"/>
  <c r="BO191" i="3"/>
  <c r="P292" i="15" s="1"/>
  <c r="Q292" i="15" s="1"/>
  <c r="BN191" i="3"/>
  <c r="BM191" i="3"/>
  <c r="I292" i="15" s="1"/>
  <c r="BJ191" i="3"/>
  <c r="AF292" i="15" s="1"/>
  <c r="AG292" i="15" s="1"/>
  <c r="BI191" i="3"/>
  <c r="BH191" i="3"/>
  <c r="AZ191" i="3"/>
  <c r="Y292" i="15" s="1"/>
  <c r="Z292" i="15" s="1"/>
  <c r="AA292" i="15" s="1"/>
  <c r="AY191" i="3"/>
  <c r="AX191" i="3"/>
  <c r="AP191" i="3"/>
  <c r="R292" i="15" s="1"/>
  <c r="AO191" i="3"/>
  <c r="AN191" i="3"/>
  <c r="AF191" i="3"/>
  <c r="K292" i="15" s="1"/>
  <c r="L292" i="15" s="1"/>
  <c r="AE191" i="3"/>
  <c r="AD191" i="3"/>
  <c r="W191" i="3"/>
  <c r="V191" i="3"/>
  <c r="BD191" i="3" s="1"/>
  <c r="BT190" i="3"/>
  <c r="BS190" i="3"/>
  <c r="AD291" i="15" s="1"/>
  <c r="BR190" i="3"/>
  <c r="BQ190" i="3"/>
  <c r="W291" i="15" s="1"/>
  <c r="BP190" i="3"/>
  <c r="BO190" i="3"/>
  <c r="P291" i="15" s="1"/>
  <c r="BN190" i="3"/>
  <c r="BM190" i="3"/>
  <c r="I291" i="15" s="1"/>
  <c r="J291" i="15" s="1"/>
  <c r="BJ190" i="3"/>
  <c r="AF291" i="15" s="1"/>
  <c r="AG291" i="15" s="1"/>
  <c r="BI190" i="3"/>
  <c r="BH190" i="3"/>
  <c r="AZ190" i="3"/>
  <c r="Y291" i="15" s="1"/>
  <c r="Z291" i="15" s="1"/>
  <c r="AA291" i="15" s="1"/>
  <c r="AY190" i="3"/>
  <c r="AX190" i="3"/>
  <c r="AP190" i="3"/>
  <c r="R291" i="15" s="1"/>
  <c r="S291" i="15" s="1"/>
  <c r="AO190" i="3"/>
  <c r="AN190" i="3"/>
  <c r="AF190" i="3"/>
  <c r="K291" i="15" s="1"/>
  <c r="AE190" i="3"/>
  <c r="AD190" i="3"/>
  <c r="W190" i="3"/>
  <c r="V190" i="3"/>
  <c r="Z190" i="3" s="1"/>
  <c r="AP145" i="3"/>
  <c r="R145" i="15" s="1"/>
  <c r="AN145" i="3"/>
  <c r="K145" i="15"/>
  <c r="L145" i="15" s="1"/>
  <c r="BS135" i="3"/>
  <c r="AD38" i="15" s="1"/>
  <c r="AE38" i="15" s="1"/>
  <c r="BR135" i="3"/>
  <c r="BQ135" i="3"/>
  <c r="W38" i="15" s="1"/>
  <c r="BP135" i="3"/>
  <c r="BO135" i="3"/>
  <c r="P38" i="15" s="1"/>
  <c r="BN135" i="3"/>
  <c r="BM135" i="3"/>
  <c r="I38" i="15" s="1"/>
  <c r="BJ135" i="3"/>
  <c r="AF38" i="15" s="1"/>
  <c r="AG38" i="15" s="1"/>
  <c r="BH135" i="3"/>
  <c r="AZ135" i="3"/>
  <c r="Y38" i="15" s="1"/>
  <c r="Z38" i="15" s="1"/>
  <c r="AY135" i="3"/>
  <c r="AX135" i="3"/>
  <c r="AP135" i="3"/>
  <c r="R38" i="15" s="1"/>
  <c r="S38" i="15" s="1"/>
  <c r="AO135" i="3"/>
  <c r="AN135" i="3"/>
  <c r="AF135" i="3"/>
  <c r="K38" i="15" s="1"/>
  <c r="L38" i="15" s="1"/>
  <c r="AE135" i="3"/>
  <c r="AD135" i="3"/>
  <c r="Z135" i="3"/>
  <c r="W135" i="3"/>
  <c r="V135" i="3"/>
  <c r="BD135" i="3" s="1"/>
  <c r="BS134" i="3"/>
  <c r="AD375" i="15" s="1"/>
  <c r="AE375" i="15" s="1"/>
  <c r="BR134" i="3"/>
  <c r="W375" i="15"/>
  <c r="BP134" i="3"/>
  <c r="BO134" i="3"/>
  <c r="P375" i="15" s="1"/>
  <c r="BN134" i="3"/>
  <c r="BM134" i="3"/>
  <c r="I375" i="15" s="1"/>
  <c r="BJ134" i="3"/>
  <c r="AF375" i="15" s="1"/>
  <c r="AG375" i="15" s="1"/>
  <c r="BH134" i="3"/>
  <c r="AZ134" i="3"/>
  <c r="Y375" i="15" s="1"/>
  <c r="Z375" i="15" s="1"/>
  <c r="AP134" i="3"/>
  <c r="R375" i="15" s="1"/>
  <c r="S375" i="15" s="1"/>
  <c r="AO134" i="3"/>
  <c r="AN134" i="3"/>
  <c r="AF134" i="3"/>
  <c r="K375" i="15" s="1"/>
  <c r="L375" i="15" s="1"/>
  <c r="AE134" i="3"/>
  <c r="AD134" i="3"/>
  <c r="Z134" i="3"/>
  <c r="W134" i="3"/>
  <c r="V134" i="3"/>
  <c r="BD134" i="3" s="1"/>
  <c r="BS133" i="3"/>
  <c r="AD374" i="15" s="1"/>
  <c r="AE374" i="15" s="1"/>
  <c r="BR133" i="3"/>
  <c r="BQ133" i="3"/>
  <c r="W374" i="15" s="1"/>
  <c r="BP133" i="3"/>
  <c r="BO133" i="3"/>
  <c r="P374" i="15" s="1"/>
  <c r="BN133" i="3"/>
  <c r="BM133" i="3"/>
  <c r="I374" i="15" s="1"/>
  <c r="BJ133" i="3"/>
  <c r="AF374" i="15" s="1"/>
  <c r="AG374" i="15" s="1"/>
  <c r="BH133" i="3"/>
  <c r="AZ133" i="3"/>
  <c r="Y374" i="15" s="1"/>
  <c r="Z374" i="15" s="1"/>
  <c r="AY133" i="3"/>
  <c r="AX133" i="3"/>
  <c r="AP133" i="3"/>
  <c r="R374" i="15" s="1"/>
  <c r="S374" i="15" s="1"/>
  <c r="AO133" i="3"/>
  <c r="AN133" i="3"/>
  <c r="AF133" i="3"/>
  <c r="K374" i="15" s="1"/>
  <c r="L374" i="15" s="1"/>
  <c r="AE133" i="3"/>
  <c r="AD133" i="3"/>
  <c r="Z133" i="3"/>
  <c r="W133" i="3"/>
  <c r="V133" i="3"/>
  <c r="BS132" i="3"/>
  <c r="AD373" i="15" s="1"/>
  <c r="AE373" i="15" s="1"/>
  <c r="BR132" i="3"/>
  <c r="BQ132" i="3"/>
  <c r="W373" i="15" s="1"/>
  <c r="BP132" i="3"/>
  <c r="BO132" i="3"/>
  <c r="P373" i="15" s="1"/>
  <c r="BN132" i="3"/>
  <c r="BM132" i="3"/>
  <c r="I373" i="15" s="1"/>
  <c r="BJ132" i="3"/>
  <c r="AF373" i="15" s="1"/>
  <c r="AG373" i="15" s="1"/>
  <c r="BH132" i="3"/>
  <c r="AZ132" i="3"/>
  <c r="Y373" i="15" s="1"/>
  <c r="Z373" i="15" s="1"/>
  <c r="AY132" i="3"/>
  <c r="AX132" i="3"/>
  <c r="AP132" i="3"/>
  <c r="R373" i="15" s="1"/>
  <c r="S373" i="15" s="1"/>
  <c r="AO132" i="3"/>
  <c r="AN132" i="3"/>
  <c r="AF132" i="3"/>
  <c r="K373" i="15" s="1"/>
  <c r="L373" i="15" s="1"/>
  <c r="AE132" i="3"/>
  <c r="AD132" i="3"/>
  <c r="Z132" i="3"/>
  <c r="W132" i="3"/>
  <c r="V132" i="3"/>
  <c r="AJ132" i="3" s="1"/>
  <c r="BS131" i="3"/>
  <c r="AD372" i="15" s="1"/>
  <c r="AE372" i="15" s="1"/>
  <c r="BR131" i="3"/>
  <c r="BQ131" i="3"/>
  <c r="W372" i="15" s="1"/>
  <c r="BP131" i="3"/>
  <c r="BO131" i="3"/>
  <c r="P372" i="15" s="1"/>
  <c r="BN131" i="3"/>
  <c r="BM131" i="3"/>
  <c r="I372" i="15" s="1"/>
  <c r="BJ131" i="3"/>
  <c r="AF372" i="15" s="1"/>
  <c r="AG372" i="15" s="1"/>
  <c r="BH131" i="3"/>
  <c r="BD131" i="3"/>
  <c r="AZ131" i="3"/>
  <c r="Y372" i="15" s="1"/>
  <c r="Z372" i="15" s="1"/>
  <c r="AY131" i="3"/>
  <c r="AX131" i="3"/>
  <c r="AP131" i="3"/>
  <c r="R372" i="15" s="1"/>
  <c r="S372" i="15" s="1"/>
  <c r="AO131" i="3"/>
  <c r="AN131" i="3"/>
  <c r="AF131" i="3"/>
  <c r="K372" i="15" s="1"/>
  <c r="L372" i="15" s="1"/>
  <c r="AE131" i="3"/>
  <c r="AD131" i="3"/>
  <c r="W131" i="3"/>
  <c r="BS130" i="3"/>
  <c r="AD371" i="15" s="1"/>
  <c r="AE371" i="15" s="1"/>
  <c r="BR130" i="3"/>
  <c r="BQ130" i="3"/>
  <c r="W371" i="15" s="1"/>
  <c r="BP130" i="3"/>
  <c r="BO130" i="3"/>
  <c r="P371" i="15" s="1"/>
  <c r="BN130" i="3"/>
  <c r="BM130" i="3"/>
  <c r="I371" i="15" s="1"/>
  <c r="BJ130" i="3"/>
  <c r="AF371" i="15" s="1"/>
  <c r="AG371" i="15" s="1"/>
  <c r="BH130" i="3"/>
  <c r="BD130" i="3"/>
  <c r="AZ130" i="3"/>
  <c r="Y371" i="15" s="1"/>
  <c r="Z371" i="15" s="1"/>
  <c r="AY130" i="3"/>
  <c r="AX130" i="3"/>
  <c r="AP130" i="3"/>
  <c r="R371" i="15" s="1"/>
  <c r="S371" i="15" s="1"/>
  <c r="AO130" i="3"/>
  <c r="AN130" i="3"/>
  <c r="AF130" i="3"/>
  <c r="K371" i="15" s="1"/>
  <c r="L371" i="15" s="1"/>
  <c r="AE130" i="3"/>
  <c r="AD130" i="3"/>
  <c r="W130" i="3"/>
  <c r="BS129" i="3"/>
  <c r="AD370" i="15" s="1"/>
  <c r="AE370" i="15" s="1"/>
  <c r="BR129" i="3"/>
  <c r="BQ129" i="3"/>
  <c r="W370" i="15" s="1"/>
  <c r="BP129" i="3"/>
  <c r="BO129" i="3"/>
  <c r="P370" i="15" s="1"/>
  <c r="BN129" i="3"/>
  <c r="BM129" i="3"/>
  <c r="I370" i="15" s="1"/>
  <c r="BJ129" i="3"/>
  <c r="AF370" i="15" s="1"/>
  <c r="AG370" i="15" s="1"/>
  <c r="BH129" i="3"/>
  <c r="AZ129" i="3"/>
  <c r="Y370" i="15" s="1"/>
  <c r="Z370" i="15" s="1"/>
  <c r="AY129" i="3"/>
  <c r="AX129" i="3"/>
  <c r="AP129" i="3"/>
  <c r="R370" i="15" s="1"/>
  <c r="S370" i="15" s="1"/>
  <c r="AO129" i="3"/>
  <c r="AN129" i="3"/>
  <c r="AF129" i="3"/>
  <c r="K370" i="15" s="1"/>
  <c r="L370" i="15" s="1"/>
  <c r="AE129" i="3"/>
  <c r="AD129" i="3"/>
  <c r="Z129" i="3"/>
  <c r="W129" i="3"/>
  <c r="V129" i="3"/>
  <c r="BS128" i="3"/>
  <c r="AD369" i="15" s="1"/>
  <c r="AE369" i="15" s="1"/>
  <c r="BR128" i="3"/>
  <c r="BQ128" i="3"/>
  <c r="BP128" i="3"/>
  <c r="BO128" i="3"/>
  <c r="P369" i="15" s="1"/>
  <c r="BN128" i="3"/>
  <c r="BM128" i="3"/>
  <c r="I369" i="15" s="1"/>
  <c r="BJ128" i="3"/>
  <c r="AF369" i="15" s="1"/>
  <c r="AG369" i="15" s="1"/>
  <c r="BH128" i="3"/>
  <c r="AZ128" i="3"/>
  <c r="AY128" i="3"/>
  <c r="AX128" i="3"/>
  <c r="AP128" i="3"/>
  <c r="R369" i="15" s="1"/>
  <c r="S369" i="15" s="1"/>
  <c r="AO128" i="3"/>
  <c r="AN128" i="3"/>
  <c r="AF128" i="3"/>
  <c r="AE128" i="3"/>
  <c r="AD128" i="3"/>
  <c r="Z128" i="3"/>
  <c r="W128" i="3"/>
  <c r="V128" i="3"/>
  <c r="BD128" i="3" s="1"/>
  <c r="BS127" i="3"/>
  <c r="AD368" i="15" s="1"/>
  <c r="AE368" i="15" s="1"/>
  <c r="BR127" i="3"/>
  <c r="BQ127" i="3"/>
  <c r="W368" i="15" s="1"/>
  <c r="BP127" i="3"/>
  <c r="BO127" i="3"/>
  <c r="P368" i="15" s="1"/>
  <c r="BN127" i="3"/>
  <c r="BM127" i="3"/>
  <c r="I368" i="15" s="1"/>
  <c r="BJ127" i="3"/>
  <c r="AF368" i="15" s="1"/>
  <c r="AG368" i="15" s="1"/>
  <c r="BH127" i="3"/>
  <c r="AZ127" i="3"/>
  <c r="Y368" i="15" s="1"/>
  <c r="Z368" i="15" s="1"/>
  <c r="AY127" i="3"/>
  <c r="AX127" i="3"/>
  <c r="AP127" i="3"/>
  <c r="R368" i="15" s="1"/>
  <c r="S368" i="15" s="1"/>
  <c r="AO127" i="3"/>
  <c r="AN127" i="3"/>
  <c r="AF127" i="3"/>
  <c r="AE127" i="3"/>
  <c r="AD127" i="3"/>
  <c r="Z127" i="3"/>
  <c r="W127" i="3"/>
  <c r="V127" i="3"/>
  <c r="BS126" i="3"/>
  <c r="AD367" i="15" s="1"/>
  <c r="AE367" i="15" s="1"/>
  <c r="BR126" i="3"/>
  <c r="BQ126" i="3"/>
  <c r="W367" i="15" s="1"/>
  <c r="BP126" i="3"/>
  <c r="BO126" i="3"/>
  <c r="P367" i="15" s="1"/>
  <c r="BN126" i="3"/>
  <c r="BM126" i="3"/>
  <c r="I367" i="15" s="1"/>
  <c r="BJ126" i="3"/>
  <c r="AF367" i="15" s="1"/>
  <c r="AG367" i="15" s="1"/>
  <c r="BH126" i="3"/>
  <c r="AZ126" i="3"/>
  <c r="Y367" i="15" s="1"/>
  <c r="Z367" i="15" s="1"/>
  <c r="AY126" i="3"/>
  <c r="AX126" i="3"/>
  <c r="AP126" i="3"/>
  <c r="AO126" i="3"/>
  <c r="AN126" i="3"/>
  <c r="AF126" i="3"/>
  <c r="K367" i="15" s="1"/>
  <c r="L367" i="15" s="1"/>
  <c r="AE126" i="3"/>
  <c r="AD126" i="3"/>
  <c r="Z126" i="3"/>
  <c r="W126" i="3"/>
  <c r="V126" i="3"/>
  <c r="BD126" i="3" s="1"/>
  <c r="BS125" i="3"/>
  <c r="AD366" i="15" s="1"/>
  <c r="AE366" i="15" s="1"/>
  <c r="BR125" i="3"/>
  <c r="BQ125" i="3"/>
  <c r="W366" i="15" s="1"/>
  <c r="BP125" i="3"/>
  <c r="BO125" i="3"/>
  <c r="P366" i="15" s="1"/>
  <c r="BN125" i="3"/>
  <c r="BM125" i="3"/>
  <c r="I366" i="15" s="1"/>
  <c r="BJ125" i="3"/>
  <c r="AF366" i="15" s="1"/>
  <c r="AG366" i="15" s="1"/>
  <c r="BH125" i="3"/>
  <c r="AZ125" i="3"/>
  <c r="Y366" i="15" s="1"/>
  <c r="Z366" i="15" s="1"/>
  <c r="AY125" i="3"/>
  <c r="AX125" i="3"/>
  <c r="AP125" i="3"/>
  <c r="AO125" i="3"/>
  <c r="AN125" i="3"/>
  <c r="AF125" i="3"/>
  <c r="K366" i="15" s="1"/>
  <c r="L366" i="15" s="1"/>
  <c r="AE125" i="3"/>
  <c r="AD125" i="3"/>
  <c r="Z125" i="3"/>
  <c r="W125" i="3"/>
  <c r="V125" i="3"/>
  <c r="AJ125" i="3" s="1"/>
  <c r="BS124" i="3"/>
  <c r="AD365" i="15" s="1"/>
  <c r="AE365" i="15" s="1"/>
  <c r="BR124" i="3"/>
  <c r="BQ124" i="3"/>
  <c r="W365" i="15" s="1"/>
  <c r="BP124" i="3"/>
  <c r="BO124" i="3"/>
  <c r="P365" i="15" s="1"/>
  <c r="BN124" i="3"/>
  <c r="BM124" i="3"/>
  <c r="I365" i="15" s="1"/>
  <c r="BJ124" i="3"/>
  <c r="AF365" i="15" s="1"/>
  <c r="AG365" i="15" s="1"/>
  <c r="BH124" i="3"/>
  <c r="AZ124" i="3"/>
  <c r="Y365" i="15" s="1"/>
  <c r="Z365" i="15" s="1"/>
  <c r="AY124" i="3"/>
  <c r="AX124" i="3"/>
  <c r="AP124" i="3"/>
  <c r="R365" i="15" s="1"/>
  <c r="S365" i="15" s="1"/>
  <c r="AO124" i="3"/>
  <c r="AN124" i="3"/>
  <c r="AF124" i="3"/>
  <c r="K365" i="15" s="1"/>
  <c r="L365" i="15" s="1"/>
  <c r="AE124" i="3"/>
  <c r="AD124" i="3"/>
  <c r="Z124" i="3"/>
  <c r="W124" i="3"/>
  <c r="V124" i="3"/>
  <c r="BD124" i="3" s="1"/>
  <c r="BS123" i="3"/>
  <c r="AD364" i="15" s="1"/>
  <c r="AE364" i="15" s="1"/>
  <c r="BR123" i="3"/>
  <c r="BQ123" i="3"/>
  <c r="BP123" i="3"/>
  <c r="BO123" i="3"/>
  <c r="P364" i="15" s="1"/>
  <c r="BN123" i="3"/>
  <c r="BM123" i="3"/>
  <c r="I364" i="15" s="1"/>
  <c r="BJ123" i="3"/>
  <c r="AF364" i="15" s="1"/>
  <c r="AG364" i="15" s="1"/>
  <c r="BH123" i="3"/>
  <c r="AZ123" i="3"/>
  <c r="AY123" i="3"/>
  <c r="AX123" i="3"/>
  <c r="AP123" i="3"/>
  <c r="R364" i="15" s="1"/>
  <c r="S364" i="15" s="1"/>
  <c r="AO123" i="3"/>
  <c r="AN123" i="3"/>
  <c r="AF123" i="3"/>
  <c r="K364" i="15" s="1"/>
  <c r="L364" i="15" s="1"/>
  <c r="AE123" i="3"/>
  <c r="AD123" i="3"/>
  <c r="Z123" i="3"/>
  <c r="W123" i="3"/>
  <c r="V123" i="3"/>
  <c r="BD123" i="3" s="1"/>
  <c r="BT121" i="3"/>
  <c r="BS121" i="3"/>
  <c r="AD344" i="15" s="1"/>
  <c r="AE344" i="15" s="1"/>
  <c r="BR121" i="3"/>
  <c r="BQ121" i="3"/>
  <c r="W344" i="15" s="1"/>
  <c r="BP121" i="3"/>
  <c r="BO121" i="3"/>
  <c r="P344" i="15" s="1"/>
  <c r="BN121" i="3"/>
  <c r="BM121" i="3"/>
  <c r="I344" i="15" s="1"/>
  <c r="BJ121" i="3"/>
  <c r="AF344" i="15" s="1"/>
  <c r="AG344" i="15" s="1"/>
  <c r="BH121" i="3"/>
  <c r="AZ121" i="3"/>
  <c r="Y344" i="15" s="1"/>
  <c r="Z344" i="15" s="1"/>
  <c r="AX121" i="3"/>
  <c r="AP121" i="3"/>
  <c r="R344" i="15" s="1"/>
  <c r="S344" i="15" s="1"/>
  <c r="AN121" i="3"/>
  <c r="AF121" i="3"/>
  <c r="K344" i="15" s="1"/>
  <c r="L344" i="15" s="1"/>
  <c r="AD121" i="3"/>
  <c r="BT120" i="3"/>
  <c r="BS120" i="3"/>
  <c r="AD343" i="15" s="1"/>
  <c r="AE343" i="15" s="1"/>
  <c r="BR120" i="3"/>
  <c r="BQ120" i="3"/>
  <c r="W343" i="15" s="1"/>
  <c r="BP120" i="3"/>
  <c r="BO120" i="3"/>
  <c r="P343" i="15" s="1"/>
  <c r="BN120" i="3"/>
  <c r="BM120" i="3"/>
  <c r="I343" i="15" s="1"/>
  <c r="BJ120" i="3"/>
  <c r="AF343" i="15" s="1"/>
  <c r="AG343" i="15" s="1"/>
  <c r="BH120" i="3"/>
  <c r="AZ120" i="3"/>
  <c r="Y343" i="15" s="1"/>
  <c r="Z343" i="15" s="1"/>
  <c r="AX120" i="3"/>
  <c r="AP120" i="3"/>
  <c r="R343" i="15" s="1"/>
  <c r="S343" i="15" s="1"/>
  <c r="AN120" i="3"/>
  <c r="AF120" i="3"/>
  <c r="K343" i="15" s="1"/>
  <c r="L343" i="15" s="1"/>
  <c r="AD120" i="3"/>
  <c r="BT119" i="3"/>
  <c r="BR119" i="3"/>
  <c r="BQ119" i="3"/>
  <c r="W342" i="15" s="1"/>
  <c r="BP119" i="3"/>
  <c r="BO119" i="3"/>
  <c r="P342" i="15" s="1"/>
  <c r="BN119" i="3"/>
  <c r="BM119" i="3"/>
  <c r="I342" i="15" s="1"/>
  <c r="AZ119" i="3"/>
  <c r="Y342" i="15" s="1"/>
  <c r="Z342" i="15" s="1"/>
  <c r="AX119" i="3"/>
  <c r="AP119" i="3"/>
  <c r="R342" i="15" s="1"/>
  <c r="S342" i="15" s="1"/>
  <c r="AN119" i="3"/>
  <c r="AF119" i="3"/>
  <c r="K342" i="15" s="1"/>
  <c r="L342" i="15" s="1"/>
  <c r="AD119" i="3"/>
  <c r="BT118" i="3"/>
  <c r="BS118" i="3"/>
  <c r="BR118" i="3"/>
  <c r="BQ118" i="3"/>
  <c r="W341" i="15" s="1"/>
  <c r="BP118" i="3"/>
  <c r="BO118" i="3"/>
  <c r="P341" i="15" s="1"/>
  <c r="BN118" i="3"/>
  <c r="BM118" i="3"/>
  <c r="I341" i="15" s="1"/>
  <c r="BJ118" i="3"/>
  <c r="BH118" i="3"/>
  <c r="AZ118" i="3"/>
  <c r="Y341" i="15" s="1"/>
  <c r="Z341" i="15" s="1"/>
  <c r="AX118" i="3"/>
  <c r="AP118" i="3"/>
  <c r="R341" i="15" s="1"/>
  <c r="S341" i="15" s="1"/>
  <c r="AN118" i="3"/>
  <c r="AF118" i="3"/>
  <c r="K341" i="15" s="1"/>
  <c r="L341" i="15" s="1"/>
  <c r="AD118" i="3"/>
  <c r="BT117" i="3"/>
  <c r="BS117" i="3"/>
  <c r="AD340" i="15" s="1"/>
  <c r="AE340" i="15" s="1"/>
  <c r="BR117" i="3"/>
  <c r="BQ117" i="3"/>
  <c r="W340" i="15" s="1"/>
  <c r="BP117" i="3"/>
  <c r="BO117" i="3"/>
  <c r="P340" i="15" s="1"/>
  <c r="BN117" i="3"/>
  <c r="BM117" i="3"/>
  <c r="I340" i="15" s="1"/>
  <c r="BJ117" i="3"/>
  <c r="AF340" i="15" s="1"/>
  <c r="AG340" i="15" s="1"/>
  <c r="BH117" i="3"/>
  <c r="AZ117" i="3"/>
  <c r="Y340" i="15" s="1"/>
  <c r="Z340" i="15" s="1"/>
  <c r="AX117" i="3"/>
  <c r="AP117" i="3"/>
  <c r="R340" i="15" s="1"/>
  <c r="S340" i="15" s="1"/>
  <c r="AN117" i="3"/>
  <c r="AF117" i="3"/>
  <c r="K340" i="15" s="1"/>
  <c r="L340" i="15" s="1"/>
  <c r="AD117" i="3"/>
  <c r="BT116" i="3"/>
  <c r="BS116" i="3"/>
  <c r="AD339" i="15" s="1"/>
  <c r="AE339" i="15" s="1"/>
  <c r="BR116" i="3"/>
  <c r="BQ116" i="3"/>
  <c r="W339" i="15" s="1"/>
  <c r="BP116" i="3"/>
  <c r="BO116" i="3"/>
  <c r="P339" i="15" s="1"/>
  <c r="BN116" i="3"/>
  <c r="BM116" i="3"/>
  <c r="I339" i="15" s="1"/>
  <c r="BJ116" i="3"/>
  <c r="AF339" i="15" s="1"/>
  <c r="AG339" i="15" s="1"/>
  <c r="BH116" i="3"/>
  <c r="AZ116" i="3"/>
  <c r="Y339" i="15" s="1"/>
  <c r="Z339" i="15" s="1"/>
  <c r="AX116" i="3"/>
  <c r="AP116" i="3"/>
  <c r="R339" i="15" s="1"/>
  <c r="S339" i="15" s="1"/>
  <c r="AN116" i="3"/>
  <c r="AF116" i="3"/>
  <c r="K339" i="15" s="1"/>
  <c r="L339" i="15" s="1"/>
  <c r="AD116" i="3"/>
  <c r="BS115" i="3"/>
  <c r="AD338" i="15" s="1"/>
  <c r="AE338" i="15" s="1"/>
  <c r="BR115" i="3"/>
  <c r="BQ115" i="3"/>
  <c r="BP115" i="3"/>
  <c r="BO115" i="3"/>
  <c r="P338" i="15" s="1"/>
  <c r="BN115" i="3"/>
  <c r="BM115" i="3"/>
  <c r="I338" i="15" s="1"/>
  <c r="BJ115" i="3"/>
  <c r="AF338" i="15" s="1"/>
  <c r="AG338" i="15" s="1"/>
  <c r="BH115" i="3"/>
  <c r="AZ115" i="3"/>
  <c r="AY115" i="3"/>
  <c r="AX115" i="3"/>
  <c r="AP115" i="3"/>
  <c r="R338" i="15" s="1"/>
  <c r="S338" i="15" s="1"/>
  <c r="AO115" i="3"/>
  <c r="AN115" i="3"/>
  <c r="AF115" i="3"/>
  <c r="K338" i="15" s="1"/>
  <c r="L338" i="15" s="1"/>
  <c r="AE115" i="3"/>
  <c r="AD115" i="3"/>
  <c r="W115" i="3"/>
  <c r="BE115" i="3" s="1"/>
  <c r="V115" i="3"/>
  <c r="AT115" i="3" s="1"/>
  <c r="BS114" i="3"/>
  <c r="AD337" i="15" s="1"/>
  <c r="AE337" i="15" s="1"/>
  <c r="BR114" i="3"/>
  <c r="BQ114" i="3"/>
  <c r="W337" i="15" s="1"/>
  <c r="BP114" i="3"/>
  <c r="BO114" i="3"/>
  <c r="P337" i="15" s="1"/>
  <c r="BN114" i="3"/>
  <c r="BM114" i="3"/>
  <c r="I337" i="15" s="1"/>
  <c r="BJ114" i="3"/>
  <c r="AF337" i="15" s="1"/>
  <c r="AG337" i="15" s="1"/>
  <c r="BH114" i="3"/>
  <c r="AZ114" i="3"/>
  <c r="Y337" i="15" s="1"/>
  <c r="Z337" i="15" s="1"/>
  <c r="AY114" i="3"/>
  <c r="AX114" i="3"/>
  <c r="AP114" i="3"/>
  <c r="R337" i="15" s="1"/>
  <c r="S337" i="15" s="1"/>
  <c r="AO114" i="3"/>
  <c r="AN114" i="3"/>
  <c r="AF114" i="3"/>
  <c r="K337" i="15" s="1"/>
  <c r="L337" i="15" s="1"/>
  <c r="AE114" i="3"/>
  <c r="AD114" i="3"/>
  <c r="W114" i="3"/>
  <c r="BE114" i="3" s="1"/>
  <c r="V114" i="3"/>
  <c r="BS113" i="3"/>
  <c r="AD336" i="15" s="1"/>
  <c r="AE336" i="15" s="1"/>
  <c r="BQ113" i="3"/>
  <c r="BO113" i="3"/>
  <c r="P336" i="15" s="1"/>
  <c r="BM113" i="3"/>
  <c r="I336" i="15" s="1"/>
  <c r="BJ113" i="3"/>
  <c r="AF336" i="15" s="1"/>
  <c r="AG336" i="15" s="1"/>
  <c r="BH113" i="3"/>
  <c r="AZ113" i="3"/>
  <c r="AX113" i="3"/>
  <c r="AP113" i="3"/>
  <c r="R336" i="15" s="1"/>
  <c r="S336" i="15" s="1"/>
  <c r="AN113" i="3"/>
  <c r="AF113" i="3"/>
  <c r="K336" i="15" s="1"/>
  <c r="L336" i="15" s="1"/>
  <c r="AD113" i="3"/>
  <c r="BS112" i="3"/>
  <c r="AD335" i="15" s="1"/>
  <c r="AE335" i="15" s="1"/>
  <c r="BR112" i="3"/>
  <c r="BQ112" i="3"/>
  <c r="BP112" i="3"/>
  <c r="BO112" i="3"/>
  <c r="P335" i="15" s="1"/>
  <c r="BN112" i="3"/>
  <c r="BM112" i="3"/>
  <c r="I335" i="15" s="1"/>
  <c r="BJ112" i="3"/>
  <c r="AF335" i="15" s="1"/>
  <c r="AG335" i="15" s="1"/>
  <c r="BH112" i="3"/>
  <c r="AZ112" i="3"/>
  <c r="AY112" i="3"/>
  <c r="AX112" i="3"/>
  <c r="AP112" i="3"/>
  <c r="R335" i="15" s="1"/>
  <c r="S335" i="15" s="1"/>
  <c r="AO112" i="3"/>
  <c r="AN112" i="3"/>
  <c r="AF112" i="3"/>
  <c r="K335" i="15" s="1"/>
  <c r="L335" i="15" s="1"/>
  <c r="AE112" i="3"/>
  <c r="AD112" i="3"/>
  <c r="W112" i="3"/>
  <c r="BE112" i="3" s="1"/>
  <c r="V112" i="3"/>
  <c r="V122" i="3"/>
  <c r="AD122" i="3"/>
  <c r="AF122" i="3"/>
  <c r="AL122" i="3"/>
  <c r="AN122" i="3" s="1"/>
  <c r="AO122" i="3"/>
  <c r="AX122" i="3"/>
  <c r="BH122" i="3"/>
  <c r="BM122" i="3"/>
  <c r="BP122" i="3"/>
  <c r="BQ122" i="3"/>
  <c r="BR122" i="3"/>
  <c r="BS122" i="3"/>
  <c r="V136" i="3"/>
  <c r="AJ136" i="3" s="1"/>
  <c r="AL136" i="3"/>
  <c r="AN136" i="3" s="1"/>
  <c r="AO136" i="3"/>
  <c r="AX136" i="3"/>
  <c r="AY136" i="3"/>
  <c r="BH136" i="3"/>
  <c r="BI136" i="3"/>
  <c r="BP136" i="3"/>
  <c r="BQ136" i="3"/>
  <c r="BR136" i="3"/>
  <c r="BS136" i="3"/>
  <c r="BT136" i="3"/>
  <c r="V137" i="3"/>
  <c r="AJ137" i="3" s="1"/>
  <c r="W137" i="3"/>
  <c r="AD137" i="3"/>
  <c r="AE137" i="3"/>
  <c r="AF137" i="3"/>
  <c r="AN137" i="3"/>
  <c r="AO137" i="3"/>
  <c r="AP137" i="3"/>
  <c r="AX137" i="3"/>
  <c r="AY137" i="3"/>
  <c r="AZ137" i="3"/>
  <c r="BH137" i="3"/>
  <c r="BI137" i="3"/>
  <c r="BJ137" i="3"/>
  <c r="BM137" i="3"/>
  <c r="BN137" i="3"/>
  <c r="BO137" i="3"/>
  <c r="BP137" i="3"/>
  <c r="BQ137" i="3"/>
  <c r="BR137" i="3"/>
  <c r="BS137" i="3"/>
  <c r="BT137" i="3"/>
  <c r="V138" i="3"/>
  <c r="Z138" i="3" s="1"/>
  <c r="W138" i="3"/>
  <c r="AD138" i="3"/>
  <c r="AE138" i="3"/>
  <c r="AF138" i="3"/>
  <c r="AN138" i="3"/>
  <c r="AO138" i="3"/>
  <c r="AX138" i="3"/>
  <c r="AY138" i="3"/>
  <c r="BH138" i="3"/>
  <c r="BI138" i="3"/>
  <c r="BM138" i="3"/>
  <c r="BN138" i="3"/>
  <c r="BP138" i="3"/>
  <c r="BQ138" i="3"/>
  <c r="BR138" i="3"/>
  <c r="BS138" i="3"/>
  <c r="BT138" i="3"/>
  <c r="AC73" i="15"/>
  <c r="V73" i="15"/>
  <c r="O73" i="15"/>
  <c r="H73" i="15"/>
  <c r="F73" i="15"/>
  <c r="D73" i="15"/>
  <c r="BT90" i="3"/>
  <c r="BS90" i="3"/>
  <c r="AD319" i="15" s="1"/>
  <c r="AE319" i="15" s="1"/>
  <c r="BR90" i="3"/>
  <c r="BQ90" i="3"/>
  <c r="W319" i="15" s="1"/>
  <c r="BP90" i="3"/>
  <c r="BO90" i="3"/>
  <c r="P319" i="15" s="1"/>
  <c r="BN90" i="3"/>
  <c r="BM90" i="3"/>
  <c r="I319" i="15" s="1"/>
  <c r="BJ90" i="3"/>
  <c r="AF319" i="15" s="1"/>
  <c r="AG319" i="15" s="1"/>
  <c r="BI90" i="3"/>
  <c r="BH90" i="3"/>
  <c r="AZ90" i="3"/>
  <c r="Y319" i="15" s="1"/>
  <c r="Z319" i="15" s="1"/>
  <c r="AY90" i="3"/>
  <c r="AX90" i="3"/>
  <c r="AP90" i="3"/>
  <c r="R319" i="15" s="1"/>
  <c r="S319" i="15" s="1"/>
  <c r="AO90" i="3"/>
  <c r="AN90" i="3"/>
  <c r="AF90" i="3"/>
  <c r="K319" i="15" s="1"/>
  <c r="L319" i="15" s="1"/>
  <c r="AE90" i="3"/>
  <c r="AD90" i="3"/>
  <c r="W90" i="3"/>
  <c r="V90" i="3"/>
  <c r="BT89" i="3"/>
  <c r="BS89" i="3"/>
  <c r="AD318" i="15" s="1"/>
  <c r="AE318" i="15" s="1"/>
  <c r="BR89" i="3"/>
  <c r="BQ89" i="3"/>
  <c r="W318" i="15" s="1"/>
  <c r="BP89" i="3"/>
  <c r="BO89" i="3"/>
  <c r="P318" i="15" s="1"/>
  <c r="BN89" i="3"/>
  <c r="BM89" i="3"/>
  <c r="I318" i="15" s="1"/>
  <c r="BJ89" i="3"/>
  <c r="AF318" i="15" s="1"/>
  <c r="AG318" i="15" s="1"/>
  <c r="BI89" i="3"/>
  <c r="BH89" i="3"/>
  <c r="AZ89" i="3"/>
  <c r="Y318" i="15" s="1"/>
  <c r="Z318" i="15" s="1"/>
  <c r="AY89" i="3"/>
  <c r="AX89" i="3"/>
  <c r="AP89" i="3"/>
  <c r="R318" i="15" s="1"/>
  <c r="S318" i="15" s="1"/>
  <c r="AO89" i="3"/>
  <c r="AN89" i="3"/>
  <c r="AF89" i="3"/>
  <c r="K318" i="15" s="1"/>
  <c r="L318" i="15" s="1"/>
  <c r="AE89" i="3"/>
  <c r="AD89" i="3"/>
  <c r="W89" i="3"/>
  <c r="V89" i="3"/>
  <c r="BD89" i="3" s="1"/>
  <c r="BT88" i="3"/>
  <c r="BS88" i="3"/>
  <c r="AD317" i="15" s="1"/>
  <c r="BR88" i="3"/>
  <c r="BQ88" i="3"/>
  <c r="W317" i="15" s="1"/>
  <c r="X317" i="15" s="1"/>
  <c r="BP88" i="3"/>
  <c r="BO88" i="3"/>
  <c r="P317" i="15" s="1"/>
  <c r="BN88" i="3"/>
  <c r="BM88" i="3"/>
  <c r="I317" i="15" s="1"/>
  <c r="BJ88" i="3"/>
  <c r="AF317" i="15" s="1"/>
  <c r="AG317" i="15" s="1"/>
  <c r="BI88" i="3"/>
  <c r="BH88" i="3"/>
  <c r="AZ88" i="3"/>
  <c r="Y317" i="15" s="1"/>
  <c r="AY88" i="3"/>
  <c r="AX88" i="3"/>
  <c r="AP88" i="3"/>
  <c r="R317" i="15" s="1"/>
  <c r="S317" i="15" s="1"/>
  <c r="AO88" i="3"/>
  <c r="AN88" i="3"/>
  <c r="AF88" i="3"/>
  <c r="K317" i="15" s="1"/>
  <c r="L317" i="15" s="1"/>
  <c r="AE88" i="3"/>
  <c r="AD88" i="3"/>
  <c r="W88" i="3"/>
  <c r="V88" i="3"/>
  <c r="AT88" i="3" s="1"/>
  <c r="BT87" i="3"/>
  <c r="BS87" i="3"/>
  <c r="AD316" i="15" s="1"/>
  <c r="AE316" i="15" s="1"/>
  <c r="BR87" i="3"/>
  <c r="BQ87" i="3"/>
  <c r="W316" i="15" s="1"/>
  <c r="X316" i="15" s="1"/>
  <c r="BP87" i="3"/>
  <c r="BO87" i="3"/>
  <c r="P316" i="15" s="1"/>
  <c r="BN87" i="3"/>
  <c r="BM87" i="3"/>
  <c r="I316" i="15" s="1"/>
  <c r="BJ87" i="3"/>
  <c r="AF316" i="15" s="1"/>
  <c r="AG316" i="15" s="1"/>
  <c r="BI87" i="3"/>
  <c r="BH87" i="3"/>
  <c r="AZ87" i="3"/>
  <c r="Y316" i="15" s="1"/>
  <c r="AY87" i="3"/>
  <c r="AP87" i="3"/>
  <c r="R316" i="15" s="1"/>
  <c r="S316" i="15" s="1"/>
  <c r="AO87" i="3"/>
  <c r="AN87" i="3"/>
  <c r="AF87" i="3"/>
  <c r="K316" i="15" s="1"/>
  <c r="L316" i="15" s="1"/>
  <c r="AE87" i="3"/>
  <c r="AD87" i="3"/>
  <c r="W87" i="3"/>
  <c r="V87" i="3"/>
  <c r="Z87" i="3" s="1"/>
  <c r="BT86" i="3"/>
  <c r="BS86" i="3"/>
  <c r="AD315" i="15" s="1"/>
  <c r="AE315" i="15" s="1"/>
  <c r="BR86" i="3"/>
  <c r="BQ86" i="3"/>
  <c r="W315" i="15" s="1"/>
  <c r="BP86" i="3"/>
  <c r="BO86" i="3"/>
  <c r="P315" i="15" s="1"/>
  <c r="BN86" i="3"/>
  <c r="BM86" i="3"/>
  <c r="I315" i="15" s="1"/>
  <c r="BJ86" i="3"/>
  <c r="AF315" i="15" s="1"/>
  <c r="AG315" i="15" s="1"/>
  <c r="BI86" i="3"/>
  <c r="BH86" i="3"/>
  <c r="AZ86" i="3"/>
  <c r="Y315" i="15" s="1"/>
  <c r="Z315" i="15" s="1"/>
  <c r="AY86" i="3"/>
  <c r="AX86" i="3"/>
  <c r="AP86" i="3"/>
  <c r="R315" i="15" s="1"/>
  <c r="S315" i="15" s="1"/>
  <c r="AO86" i="3"/>
  <c r="AN86" i="3"/>
  <c r="AF86" i="3"/>
  <c r="K315" i="15" s="1"/>
  <c r="L315" i="15" s="1"/>
  <c r="AE86" i="3"/>
  <c r="AD86" i="3"/>
  <c r="W86" i="3"/>
  <c r="V86" i="3"/>
  <c r="AT86" i="3" s="1"/>
  <c r="BT85" i="3"/>
  <c r="BS85" i="3"/>
  <c r="AD314" i="15" s="1"/>
  <c r="BR85" i="3"/>
  <c r="BQ85" i="3"/>
  <c r="W314" i="15" s="1"/>
  <c r="X314" i="15" s="1"/>
  <c r="BP85" i="3"/>
  <c r="BO85" i="3"/>
  <c r="P314" i="15" s="1"/>
  <c r="BN85" i="3"/>
  <c r="BM85" i="3"/>
  <c r="I314" i="15" s="1"/>
  <c r="BJ85" i="3"/>
  <c r="AF314" i="15" s="1"/>
  <c r="AG314" i="15" s="1"/>
  <c r="BI85" i="3"/>
  <c r="BH85" i="3"/>
  <c r="AZ85" i="3"/>
  <c r="Y314" i="15" s="1"/>
  <c r="AY85" i="3"/>
  <c r="AX85" i="3"/>
  <c r="AP85" i="3"/>
  <c r="R314" i="15" s="1"/>
  <c r="S314" i="15" s="1"/>
  <c r="AO85" i="3"/>
  <c r="AN85" i="3"/>
  <c r="AF85" i="3"/>
  <c r="K314" i="15" s="1"/>
  <c r="L314" i="15" s="1"/>
  <c r="AE85" i="3"/>
  <c r="AD85" i="3"/>
  <c r="W85" i="3"/>
  <c r="V85" i="3"/>
  <c r="BT84" i="3"/>
  <c r="BS84" i="3"/>
  <c r="AD313" i="15" s="1"/>
  <c r="BR84" i="3"/>
  <c r="BQ84" i="3"/>
  <c r="W313" i="15" s="1"/>
  <c r="X313" i="15" s="1"/>
  <c r="BP84" i="3"/>
  <c r="BO84" i="3"/>
  <c r="P313" i="15" s="1"/>
  <c r="Q313" i="15" s="1"/>
  <c r="BN84" i="3"/>
  <c r="BM84" i="3"/>
  <c r="I313" i="15" s="1"/>
  <c r="BJ84" i="3"/>
  <c r="AF313" i="15" s="1"/>
  <c r="AG313" i="15" s="1"/>
  <c r="BI84" i="3"/>
  <c r="BH84" i="3"/>
  <c r="AZ84" i="3"/>
  <c r="Y313" i="15" s="1"/>
  <c r="AY84" i="3"/>
  <c r="AX84" i="3"/>
  <c r="AP84" i="3"/>
  <c r="R313" i="15" s="1"/>
  <c r="AO84" i="3"/>
  <c r="AN84" i="3"/>
  <c r="AF84" i="3"/>
  <c r="K313" i="15" s="1"/>
  <c r="L313" i="15" s="1"/>
  <c r="AE84" i="3"/>
  <c r="AD84" i="3"/>
  <c r="W84" i="3"/>
  <c r="V84" i="3"/>
  <c r="AT84" i="3" s="1"/>
  <c r="BS83" i="3"/>
  <c r="BQ83" i="3"/>
  <c r="BP83" i="3"/>
  <c r="P73" i="15" s="1"/>
  <c r="BO83" i="3"/>
  <c r="BN83" i="3"/>
  <c r="I73" i="15" s="1"/>
  <c r="BM83" i="3"/>
  <c r="BJ83" i="3"/>
  <c r="BH83" i="3"/>
  <c r="AZ83" i="3"/>
  <c r="AX83" i="3"/>
  <c r="AP83" i="3"/>
  <c r="AO83" i="3"/>
  <c r="AN83" i="3"/>
  <c r="AF83" i="3"/>
  <c r="AE83" i="3"/>
  <c r="AD83" i="3"/>
  <c r="W83" i="3"/>
  <c r="V83" i="3"/>
  <c r="BT82" i="3"/>
  <c r="BS82" i="3"/>
  <c r="AD312" i="15" s="1"/>
  <c r="AE312" i="15" s="1"/>
  <c r="BR82" i="3"/>
  <c r="BQ82" i="3"/>
  <c r="W312" i="15" s="1"/>
  <c r="BP82" i="3"/>
  <c r="BO82" i="3"/>
  <c r="P312" i="15" s="1"/>
  <c r="BN82" i="3"/>
  <c r="BM82" i="3"/>
  <c r="I312" i="15" s="1"/>
  <c r="BJ82" i="3"/>
  <c r="AF312" i="15" s="1"/>
  <c r="AG312" i="15" s="1"/>
  <c r="BI82" i="3"/>
  <c r="BH82" i="3"/>
  <c r="AZ82" i="3"/>
  <c r="Y312" i="15" s="1"/>
  <c r="Z312" i="15" s="1"/>
  <c r="AY82" i="3"/>
  <c r="AX82" i="3"/>
  <c r="AP82" i="3"/>
  <c r="R312" i="15" s="1"/>
  <c r="S312" i="15" s="1"/>
  <c r="AO82" i="3"/>
  <c r="AN82" i="3"/>
  <c r="AF82" i="3"/>
  <c r="K312" i="15" s="1"/>
  <c r="L312" i="15" s="1"/>
  <c r="AE82" i="3"/>
  <c r="AD82" i="3"/>
  <c r="W82" i="3"/>
  <c r="V82" i="3"/>
  <c r="AT82" i="3" s="1"/>
  <c r="BT81" i="3"/>
  <c r="BS81" i="3"/>
  <c r="AD311" i="15" s="1"/>
  <c r="AE311" i="15" s="1"/>
  <c r="BR81" i="3"/>
  <c r="BQ81" i="3"/>
  <c r="W311" i="15" s="1"/>
  <c r="BP81" i="3"/>
  <c r="BO81" i="3"/>
  <c r="P311" i="15" s="1"/>
  <c r="BN81" i="3"/>
  <c r="BM81" i="3"/>
  <c r="I311" i="15" s="1"/>
  <c r="BJ81" i="3"/>
  <c r="AF311" i="15" s="1"/>
  <c r="AG311" i="15" s="1"/>
  <c r="BI81" i="3"/>
  <c r="BH81" i="3"/>
  <c r="AZ81" i="3"/>
  <c r="Y311" i="15" s="1"/>
  <c r="Z311" i="15" s="1"/>
  <c r="AY81" i="3"/>
  <c r="AX81" i="3"/>
  <c r="AP81" i="3"/>
  <c r="R311" i="15" s="1"/>
  <c r="S311" i="15" s="1"/>
  <c r="AO81" i="3"/>
  <c r="AN81" i="3"/>
  <c r="AF81" i="3"/>
  <c r="K311" i="15" s="1"/>
  <c r="L311" i="15" s="1"/>
  <c r="AE81" i="3"/>
  <c r="AD81" i="3"/>
  <c r="W81" i="3"/>
  <c r="V81" i="3"/>
  <c r="BT80" i="3"/>
  <c r="BS80" i="3"/>
  <c r="AD310" i="15" s="1"/>
  <c r="AE310" i="15" s="1"/>
  <c r="BR80" i="3"/>
  <c r="BQ80" i="3"/>
  <c r="W310" i="15" s="1"/>
  <c r="X310" i="15" s="1"/>
  <c r="BP80" i="3"/>
  <c r="BO80" i="3"/>
  <c r="P310" i="15" s="1"/>
  <c r="BN80" i="3"/>
  <c r="BM80" i="3"/>
  <c r="I310" i="15" s="1"/>
  <c r="BJ80" i="3"/>
  <c r="AF310" i="15" s="1"/>
  <c r="AG310" i="15" s="1"/>
  <c r="BI80" i="3"/>
  <c r="BH80" i="3"/>
  <c r="AZ80" i="3"/>
  <c r="Y310" i="15" s="1"/>
  <c r="AY80" i="3"/>
  <c r="AX80" i="3"/>
  <c r="AP80" i="3"/>
  <c r="R310" i="15" s="1"/>
  <c r="S310" i="15" s="1"/>
  <c r="AO80" i="3"/>
  <c r="AN80" i="3"/>
  <c r="AF80" i="3"/>
  <c r="K310" i="15" s="1"/>
  <c r="L310" i="15" s="1"/>
  <c r="AE80" i="3"/>
  <c r="AD80" i="3"/>
  <c r="W80" i="3"/>
  <c r="V80" i="3"/>
  <c r="BT79" i="3"/>
  <c r="BS79" i="3"/>
  <c r="AD309" i="15" s="1"/>
  <c r="BR79" i="3"/>
  <c r="BQ79" i="3"/>
  <c r="W309" i="15" s="1"/>
  <c r="BP79" i="3"/>
  <c r="BO79" i="3"/>
  <c r="P309" i="15" s="1"/>
  <c r="Q309" i="15" s="1"/>
  <c r="BN79" i="3"/>
  <c r="BM79" i="3"/>
  <c r="I309" i="15" s="1"/>
  <c r="BJ79" i="3"/>
  <c r="AF309" i="15" s="1"/>
  <c r="AG309" i="15" s="1"/>
  <c r="BI79" i="3"/>
  <c r="BH79" i="3"/>
  <c r="AZ79" i="3"/>
  <c r="Y309" i="15" s="1"/>
  <c r="Z309" i="15" s="1"/>
  <c r="AA309" i="15" s="1"/>
  <c r="AY79" i="3"/>
  <c r="AX79" i="3"/>
  <c r="AP79" i="3"/>
  <c r="R309" i="15" s="1"/>
  <c r="AO79" i="3"/>
  <c r="AN79" i="3"/>
  <c r="AF79" i="3"/>
  <c r="K309" i="15" s="1"/>
  <c r="L309" i="15" s="1"/>
  <c r="AE79" i="3"/>
  <c r="AD79" i="3"/>
  <c r="W79" i="3"/>
  <c r="AQ79" i="3" s="1"/>
  <c r="V79" i="3"/>
  <c r="AF242" i="15" l="1"/>
  <c r="AG242" i="15" s="1"/>
  <c r="AF305" i="15"/>
  <c r="AG305" i="15" s="1"/>
  <c r="AD341" i="15"/>
  <c r="AE341" i="15" s="1"/>
  <c r="AD342" i="15"/>
  <c r="AE342" i="15" s="1"/>
  <c r="AF341" i="15"/>
  <c r="AG341" i="15" s="1"/>
  <c r="AF342" i="15"/>
  <c r="AG342" i="15" s="1"/>
  <c r="BE111" i="3"/>
  <c r="Z347" i="15"/>
  <c r="AA347" i="15" s="1"/>
  <c r="Z140" i="15"/>
  <c r="AA140" i="15" s="1"/>
  <c r="S351" i="15"/>
  <c r="T351" i="15" s="1"/>
  <c r="Y364" i="15"/>
  <c r="Z364" i="15" s="1"/>
  <c r="AA364" i="15" s="1"/>
  <c r="W364" i="15"/>
  <c r="X364" i="15" s="1"/>
  <c r="Y335" i="15"/>
  <c r="Z335" i="15" s="1"/>
  <c r="AA335" i="15" s="1"/>
  <c r="W335" i="15"/>
  <c r="X335" i="15" s="1"/>
  <c r="S145" i="15"/>
  <c r="T145" i="15" s="1"/>
  <c r="S292" i="15"/>
  <c r="T292" i="15" s="1"/>
  <c r="S378" i="15"/>
  <c r="T378" i="15" s="1"/>
  <c r="S175" i="15"/>
  <c r="T175" i="15" s="1"/>
  <c r="S293" i="15"/>
  <c r="T293" i="15" s="1"/>
  <c r="S379" i="15"/>
  <c r="T379" i="15" s="1"/>
  <c r="S294" i="15"/>
  <c r="T294" i="15" s="1"/>
  <c r="R295" i="15"/>
  <c r="S295" i="15" s="1"/>
  <c r="T295" i="15" s="1"/>
  <c r="P295" i="15"/>
  <c r="Q295" i="15" s="1"/>
  <c r="S297" i="15"/>
  <c r="T297" i="15" s="1"/>
  <c r="S298" i="15"/>
  <c r="T298" i="15" s="1"/>
  <c r="S377" i="15"/>
  <c r="T377" i="15" s="1"/>
  <c r="S176" i="15"/>
  <c r="T176" i="15" s="1"/>
  <c r="S285" i="15"/>
  <c r="T285" i="15" s="1"/>
  <c r="S167" i="15"/>
  <c r="T167" i="15" s="1"/>
  <c r="S180" i="15"/>
  <c r="T180" i="15" s="1"/>
  <c r="Z159" i="15"/>
  <c r="AA159" i="15" s="1"/>
  <c r="S127" i="15"/>
  <c r="T127" i="15" s="1"/>
  <c r="L131" i="15"/>
  <c r="M131" i="15" s="1"/>
  <c r="L269" i="15"/>
  <c r="M269" i="15" s="1"/>
  <c r="L137" i="15"/>
  <c r="M137" i="15" s="1"/>
  <c r="L270" i="15"/>
  <c r="M270" i="15" s="1"/>
  <c r="L138" i="15"/>
  <c r="M138" i="15" s="1"/>
  <c r="L133" i="15"/>
  <c r="M133" i="15" s="1"/>
  <c r="L135" i="15"/>
  <c r="M135" i="15" s="1"/>
  <c r="L136" i="15"/>
  <c r="M136" i="15" s="1"/>
  <c r="R354" i="15"/>
  <c r="S354" i="15" s="1"/>
  <c r="T354" i="15" s="1"/>
  <c r="P354" i="15"/>
  <c r="Q354" i="15" s="1"/>
  <c r="L149" i="15"/>
  <c r="M149" i="15" s="1"/>
  <c r="Z345" i="15"/>
  <c r="AA345" i="15" s="1"/>
  <c r="S348" i="15"/>
  <c r="T348" i="15" s="1"/>
  <c r="S350" i="15"/>
  <c r="T350" i="15" s="1"/>
  <c r="Z310" i="15"/>
  <c r="AA310" i="15" s="1"/>
  <c r="S313" i="15"/>
  <c r="T313" i="15" s="1"/>
  <c r="Z130" i="15"/>
  <c r="AA130" i="15" s="1"/>
  <c r="Y351" i="15"/>
  <c r="Z351" i="15" s="1"/>
  <c r="AA351" i="15" s="1"/>
  <c r="W351" i="15"/>
  <c r="X351" i="15" s="1"/>
  <c r="Y352" i="15"/>
  <c r="Z352" i="15" s="1"/>
  <c r="AA352" i="15" s="1"/>
  <c r="W352" i="15"/>
  <c r="X352" i="15" s="1"/>
  <c r="Z355" i="15"/>
  <c r="AA355" i="15" s="1"/>
  <c r="Z161" i="15"/>
  <c r="AA161" i="15" s="1"/>
  <c r="S309" i="15"/>
  <c r="T309" i="15" s="1"/>
  <c r="AF378" i="15"/>
  <c r="AG378" i="15" s="1"/>
  <c r="Z346" i="15"/>
  <c r="AA346" i="15" s="1"/>
  <c r="Z143" i="15"/>
  <c r="AA143" i="15" s="1"/>
  <c r="Z255" i="15"/>
  <c r="AA255" i="15" s="1"/>
  <c r="Y336" i="15"/>
  <c r="Z336" i="15" s="1"/>
  <c r="AA336" i="15" s="1"/>
  <c r="W336" i="15"/>
  <c r="X336" i="15" s="1"/>
  <c r="Y338" i="15"/>
  <c r="Z338" i="15" s="1"/>
  <c r="AA338" i="15" s="1"/>
  <c r="W338" i="15"/>
  <c r="X338" i="15" s="1"/>
  <c r="Y369" i="15"/>
  <c r="Z369" i="15" s="1"/>
  <c r="AA369" i="15" s="1"/>
  <c r="W369" i="15"/>
  <c r="X369" i="15" s="1"/>
  <c r="Z129" i="15"/>
  <c r="AA129" i="15" s="1"/>
  <c r="Z138" i="15"/>
  <c r="AA138" i="15" s="1"/>
  <c r="Y271" i="15"/>
  <c r="Z271" i="15" s="1"/>
  <c r="AA271" i="15" s="1"/>
  <c r="W271" i="15"/>
  <c r="X271" i="15" s="1"/>
  <c r="Y378" i="15"/>
  <c r="Z378" i="15" s="1"/>
  <c r="AA378" i="15" s="1"/>
  <c r="W378" i="15"/>
  <c r="X378" i="15" s="1"/>
  <c r="Y379" i="15"/>
  <c r="Z379" i="15" s="1"/>
  <c r="AA379" i="15" s="1"/>
  <c r="W379" i="15"/>
  <c r="X379" i="15" s="1"/>
  <c r="Z295" i="15"/>
  <c r="AA295" i="15" s="1"/>
  <c r="Z296" i="15"/>
  <c r="AA296" i="15" s="1"/>
  <c r="Z299" i="15"/>
  <c r="AA299" i="15" s="1"/>
  <c r="Z301" i="15"/>
  <c r="AA301" i="15" s="1"/>
  <c r="Z265" i="15"/>
  <c r="AA265" i="15" s="1"/>
  <c r="Z266" i="15"/>
  <c r="AA266" i="15" s="1"/>
  <c r="Z241" i="15"/>
  <c r="AA241" i="15" s="1"/>
  <c r="Z253" i="15"/>
  <c r="AA253" i="15" s="1"/>
  <c r="Z245" i="15"/>
  <c r="AA245" i="15" s="1"/>
  <c r="Z249" i="15"/>
  <c r="AA249" i="15" s="1"/>
  <c r="Z288" i="15"/>
  <c r="AA288" i="15" s="1"/>
  <c r="Z290" i="15"/>
  <c r="Z283" i="15"/>
  <c r="AA283" i="15" s="1"/>
  <c r="Z284" i="15"/>
  <c r="AA284" i="15" s="1"/>
  <c r="Z285" i="15"/>
  <c r="AA285" i="15" s="1"/>
  <c r="S129" i="15"/>
  <c r="T129" i="15" s="1"/>
  <c r="S268" i="15"/>
  <c r="T268" i="15" s="1"/>
  <c r="S146" i="15"/>
  <c r="T146" i="15" s="1"/>
  <c r="S179" i="15"/>
  <c r="T179" i="15" s="1"/>
  <c r="S270" i="15"/>
  <c r="T270" i="15" s="1"/>
  <c r="S138" i="15"/>
  <c r="T138" i="15" s="1"/>
  <c r="S143" i="15"/>
  <c r="T143" i="15" s="1"/>
  <c r="Y179" i="15"/>
  <c r="Z179" i="15" s="1"/>
  <c r="AA179" i="15" s="1"/>
  <c r="W179" i="15"/>
  <c r="X179" i="15" s="1"/>
  <c r="Z134" i="15"/>
  <c r="AA134" i="15" s="1"/>
  <c r="Z136" i="15"/>
  <c r="AA136" i="15" s="1"/>
  <c r="S130" i="15"/>
  <c r="T130" i="15" s="1"/>
  <c r="Z273" i="15"/>
  <c r="AA273" i="15" s="1"/>
  <c r="Z316" i="15"/>
  <c r="AA316" i="15" s="1"/>
  <c r="Z317" i="15"/>
  <c r="AA317" i="15" s="1"/>
  <c r="Z313" i="15"/>
  <c r="AA313" i="15" s="1"/>
  <c r="Z314" i="15"/>
  <c r="AA314" i="15" s="1"/>
  <c r="S128" i="15"/>
  <c r="T128" i="15" s="1"/>
  <c r="Z354" i="15"/>
  <c r="AA354" i="15" s="1"/>
  <c r="Z132" i="15"/>
  <c r="AA132" i="15" s="1"/>
  <c r="L291" i="15"/>
  <c r="M291" i="15" s="1"/>
  <c r="AJ129" i="3"/>
  <c r="AT131" i="3"/>
  <c r="AT130" i="3"/>
  <c r="AT230" i="3"/>
  <c r="Z230" i="3"/>
  <c r="Y180" i="15"/>
  <c r="Z180" i="15" s="1"/>
  <c r="AA180" i="15" s="1"/>
  <c r="AG239" i="3"/>
  <c r="BK239" i="3"/>
  <c r="BK237" i="3"/>
  <c r="AG237" i="3"/>
  <c r="AD380" i="15"/>
  <c r="AE380" i="15" s="1"/>
  <c r="BK238" i="3"/>
  <c r="AG238" i="3"/>
  <c r="BA239" i="3"/>
  <c r="AQ239" i="3"/>
  <c r="BA237" i="3"/>
  <c r="AQ237" i="3"/>
  <c r="AQ238" i="3"/>
  <c r="BA238" i="3"/>
  <c r="AG142" i="15"/>
  <c r="Y272" i="15"/>
  <c r="K272" i="15"/>
  <c r="L272" i="15" s="1"/>
  <c r="AD272" i="15"/>
  <c r="AE272" i="15" s="1"/>
  <c r="W272" i="15"/>
  <c r="X272" i="15" s="1"/>
  <c r="AF272" i="15"/>
  <c r="AG272" i="15" s="1"/>
  <c r="I272" i="15"/>
  <c r="K356" i="15"/>
  <c r="L356" i="15" s="1"/>
  <c r="R272" i="15"/>
  <c r="S272" i="15" s="1"/>
  <c r="AG275" i="15"/>
  <c r="P272" i="15"/>
  <c r="AD163" i="15"/>
  <c r="AE163" i="15" s="1"/>
  <c r="AE142" i="15"/>
  <c r="R163" i="15"/>
  <c r="S163" i="15" s="1"/>
  <c r="P163" i="15"/>
  <c r="Y163" i="15"/>
  <c r="Z163" i="15" s="1"/>
  <c r="W163" i="15"/>
  <c r="W142" i="15"/>
  <c r="AF137" i="15"/>
  <c r="AG137" i="15" s="1"/>
  <c r="AF348" i="15"/>
  <c r="AG348" i="15" s="1"/>
  <c r="AF270" i="15"/>
  <c r="AG270" i="15" s="1"/>
  <c r="AF349" i="15"/>
  <c r="AG349" i="15" s="1"/>
  <c r="AF138" i="15"/>
  <c r="AG138" i="15" s="1"/>
  <c r="AF350" i="15"/>
  <c r="AG350" i="15" s="1"/>
  <c r="AF351" i="15"/>
  <c r="AG351" i="15" s="1"/>
  <c r="AF139" i="15"/>
  <c r="AG139" i="15" s="1"/>
  <c r="AF352" i="15"/>
  <c r="AG352" i="15" s="1"/>
  <c r="AF140" i="15"/>
  <c r="AG140" i="15" s="1"/>
  <c r="AF353" i="15"/>
  <c r="AG353" i="15" s="1"/>
  <c r="AF141" i="15"/>
  <c r="AG141" i="15" s="1"/>
  <c r="AF354" i="15"/>
  <c r="AG354" i="15" s="1"/>
  <c r="AF163" i="15"/>
  <c r="AG163" i="15" s="1"/>
  <c r="AF143" i="15"/>
  <c r="AG143" i="15" s="1"/>
  <c r="AF355" i="15"/>
  <c r="AG355" i="15" s="1"/>
  <c r="F380" i="15"/>
  <c r="R250" i="15"/>
  <c r="S250" i="15" s="1"/>
  <c r="R367" i="15"/>
  <c r="S367" i="15" s="1"/>
  <c r="R249" i="15"/>
  <c r="S249" i="15" s="1"/>
  <c r="R366" i="15"/>
  <c r="S366" i="15" s="1"/>
  <c r="BK230" i="3"/>
  <c r="AG230" i="3"/>
  <c r="AQ230" i="3"/>
  <c r="BA230" i="3"/>
  <c r="K369" i="15"/>
  <c r="L369" i="15" s="1"/>
  <c r="K288" i="15"/>
  <c r="L288" i="15" s="1"/>
  <c r="K368" i="15"/>
  <c r="L368" i="15" s="1"/>
  <c r="BE132" i="3"/>
  <c r="BI132" i="3" s="1"/>
  <c r="AG138" i="3"/>
  <c r="AG137" i="3"/>
  <c r="BT115" i="3"/>
  <c r="BA129" i="3"/>
  <c r="BA190" i="3"/>
  <c r="BA191" i="3"/>
  <c r="BA192" i="3"/>
  <c r="BA193" i="3"/>
  <c r="BA194" i="3"/>
  <c r="BA195" i="3"/>
  <c r="BK196" i="3"/>
  <c r="AQ197" i="3"/>
  <c r="AG198" i="3"/>
  <c r="BA199" i="3"/>
  <c r="BA200" i="3"/>
  <c r="BA201" i="3"/>
  <c r="BA202" i="3"/>
  <c r="BA203" i="3"/>
  <c r="AQ204" i="3"/>
  <c r="AQ205" i="3"/>
  <c r="AQ206" i="3"/>
  <c r="BA207" i="3"/>
  <c r="BK208" i="3"/>
  <c r="AG209" i="3"/>
  <c r="AQ210" i="3"/>
  <c r="AG211" i="3"/>
  <c r="AG212" i="3"/>
  <c r="AQ213" i="3"/>
  <c r="AG214" i="3"/>
  <c r="BK215" i="3"/>
  <c r="BA216" i="3"/>
  <c r="AG219" i="3"/>
  <c r="AG220" i="3"/>
  <c r="AQ221" i="3"/>
  <c r="AG222" i="3"/>
  <c r="BK223" i="3"/>
  <c r="BA224" i="3"/>
  <c r="AG226" i="3"/>
  <c r="AG227" i="3"/>
  <c r="AQ228" i="3"/>
  <c r="AG229" i="3"/>
  <c r="BA231" i="3"/>
  <c r="AG269" i="3"/>
  <c r="BA270" i="3"/>
  <c r="AG271" i="3"/>
  <c r="AG272" i="3"/>
  <c r="BK273" i="3"/>
  <c r="BK292" i="3"/>
  <c r="BA293" i="3"/>
  <c r="BK294" i="3"/>
  <c r="AG295" i="3"/>
  <c r="BK296" i="3"/>
  <c r="BA297" i="3"/>
  <c r="AG298" i="3"/>
  <c r="BA299" i="3"/>
  <c r="BA302" i="3"/>
  <c r="BA84" i="3"/>
  <c r="BK85" i="3"/>
  <c r="AQ86" i="3"/>
  <c r="AG87" i="3"/>
  <c r="BA88" i="3"/>
  <c r="BA89" i="3"/>
  <c r="BA90" i="3"/>
  <c r="BK128" i="3"/>
  <c r="AG288" i="3"/>
  <c r="BK289" i="3"/>
  <c r="AQ127" i="3"/>
  <c r="BA114" i="3"/>
  <c r="AQ126" i="3"/>
  <c r="BA112" i="3"/>
  <c r="BK125" i="3"/>
  <c r="BK135" i="3"/>
  <c r="BA79" i="3"/>
  <c r="BK124" i="3"/>
  <c r="AQ134" i="3"/>
  <c r="AQ232" i="3"/>
  <c r="AG233" i="3"/>
  <c r="BK234" i="3"/>
  <c r="BK235" i="3"/>
  <c r="AQ240" i="3"/>
  <c r="AG242" i="3"/>
  <c r="BA243" i="3"/>
  <c r="BA244" i="3"/>
  <c r="BK245" i="3"/>
  <c r="AG246" i="3"/>
  <c r="AG247" i="3"/>
  <c r="BA248" i="3"/>
  <c r="AQ249" i="3"/>
  <c r="AG250" i="3"/>
  <c r="AG251" i="3"/>
  <c r="BA252" i="3"/>
  <c r="BK253" i="3"/>
  <c r="AG254" i="3"/>
  <c r="AG255" i="3"/>
  <c r="BA256" i="3"/>
  <c r="AQ257" i="3"/>
  <c r="AG258" i="3"/>
  <c r="BA259" i="3"/>
  <c r="BA260" i="3"/>
  <c r="BK261" i="3"/>
  <c r="AG262" i="3"/>
  <c r="AG263" i="3"/>
  <c r="BA264" i="3"/>
  <c r="AG265" i="3"/>
  <c r="AG266" i="3"/>
  <c r="BK267" i="3"/>
  <c r="BA268" i="3"/>
  <c r="Y36" i="15" s="1"/>
  <c r="BA80" i="3"/>
  <c r="BK81" i="3"/>
  <c r="BA82" i="3"/>
  <c r="AG83" i="3"/>
  <c r="K73" i="15" s="1"/>
  <c r="L73" i="15" s="1"/>
  <c r="AQ123" i="3"/>
  <c r="BA130" i="3"/>
  <c r="AG131" i="3"/>
  <c r="AQ133" i="3"/>
  <c r="BA278" i="3"/>
  <c r="AQ279" i="3"/>
  <c r="AG280" i="3"/>
  <c r="BK281" i="3"/>
  <c r="BA282" i="3"/>
  <c r="BK283" i="3"/>
  <c r="AG284" i="3"/>
  <c r="BA285" i="3"/>
  <c r="AG286" i="3"/>
  <c r="K31" i="15" s="1"/>
  <c r="L31" i="15" s="1"/>
  <c r="W122" i="3"/>
  <c r="AG122" i="3" s="1"/>
  <c r="AQ289" i="3"/>
  <c r="Z235" i="3"/>
  <c r="Z225" i="3"/>
  <c r="AG281" i="3"/>
  <c r="AG232" i="3"/>
  <c r="AA122" i="3"/>
  <c r="AG216" i="3"/>
  <c r="Z239" i="3"/>
  <c r="BK257" i="3"/>
  <c r="AJ258" i="3"/>
  <c r="AJ220" i="3"/>
  <c r="AG231" i="3"/>
  <c r="BK249" i="3"/>
  <c r="BK282" i="3"/>
  <c r="BA266" i="3"/>
  <c r="BA249" i="3"/>
  <c r="AJ268" i="3"/>
  <c r="Z256" i="3"/>
  <c r="BD193" i="3"/>
  <c r="AT199" i="3"/>
  <c r="BK204" i="3"/>
  <c r="AG205" i="3"/>
  <c r="BA206" i="3"/>
  <c r="AJ219" i="3"/>
  <c r="AT243" i="3"/>
  <c r="AG244" i="3"/>
  <c r="Z248" i="3"/>
  <c r="BK251" i="3"/>
  <c r="AJ252" i="3"/>
  <c r="AJ259" i="3"/>
  <c r="Z263" i="3"/>
  <c r="AQ263" i="3"/>
  <c r="AJ264" i="3"/>
  <c r="AT267" i="3"/>
  <c r="AT280" i="3"/>
  <c r="AJ281" i="3"/>
  <c r="AG294" i="3"/>
  <c r="BD294" i="3"/>
  <c r="Z296" i="3"/>
  <c r="BD195" i="3"/>
  <c r="AG206" i="3"/>
  <c r="Z216" i="3"/>
  <c r="BD220" i="3"/>
  <c r="Z223" i="3"/>
  <c r="BK232" i="3"/>
  <c r="AG234" i="3"/>
  <c r="Z238" i="3"/>
  <c r="AJ239" i="3"/>
  <c r="BA242" i="3"/>
  <c r="BA271" i="3"/>
  <c r="AG282" i="3"/>
  <c r="AG267" i="3"/>
  <c r="AT208" i="3"/>
  <c r="AQ267" i="3"/>
  <c r="Z201" i="3"/>
  <c r="Z217" i="3"/>
  <c r="AJ256" i="3"/>
  <c r="AJ267" i="3"/>
  <c r="AT193" i="3"/>
  <c r="AG196" i="3"/>
  <c r="AJ243" i="3"/>
  <c r="Z244" i="3"/>
  <c r="AQ244" i="3"/>
  <c r="AJ248" i="3"/>
  <c r="AG257" i="3"/>
  <c r="AQ259" i="3"/>
  <c r="AJ263" i="3"/>
  <c r="Z264" i="3"/>
  <c r="BA267" i="3"/>
  <c r="BK279" i="3"/>
  <c r="AJ280" i="3"/>
  <c r="Z294" i="3"/>
  <c r="AT294" i="3"/>
  <c r="BD192" i="3"/>
  <c r="Z193" i="3"/>
  <c r="AJ230" i="3"/>
  <c r="BA232" i="3"/>
  <c r="AJ238" i="3"/>
  <c r="BK271" i="3"/>
  <c r="AJ198" i="3"/>
  <c r="Z202" i="3"/>
  <c r="BK205" i="3"/>
  <c r="AQ207" i="3"/>
  <c r="AJ212" i="3"/>
  <c r="AJ234" i="3"/>
  <c r="AQ251" i="3"/>
  <c r="BD268" i="3"/>
  <c r="BA272" i="3"/>
  <c r="AG279" i="3"/>
  <c r="AJ288" i="3"/>
  <c r="BA288" i="3"/>
  <c r="AQ296" i="3"/>
  <c r="BD302" i="3"/>
  <c r="AT215" i="3"/>
  <c r="AQ219" i="3"/>
  <c r="AT233" i="3"/>
  <c r="AT191" i="3"/>
  <c r="BA198" i="3"/>
  <c r="AQ199" i="3"/>
  <c r="BK199" i="3"/>
  <c r="Z207" i="3"/>
  <c r="AT207" i="3"/>
  <c r="AG208" i="3"/>
  <c r="BA214" i="3"/>
  <c r="BA226" i="3"/>
  <c r="Z227" i="3"/>
  <c r="BD239" i="3"/>
  <c r="BA258" i="3"/>
  <c r="AJ260" i="3"/>
  <c r="Z278" i="3"/>
  <c r="Z283" i="3"/>
  <c r="AJ284" i="3"/>
  <c r="BA284" i="3"/>
  <c r="AQ297" i="3"/>
  <c r="AJ302" i="3"/>
  <c r="BD202" i="3"/>
  <c r="AG213" i="3"/>
  <c r="BA280" i="3"/>
  <c r="BD293" i="3"/>
  <c r="AT273" i="3"/>
  <c r="AJ190" i="3"/>
  <c r="AT192" i="3"/>
  <c r="BD209" i="3"/>
  <c r="AQ216" i="3"/>
  <c r="BA219" i="3"/>
  <c r="AJ233" i="3"/>
  <c r="BA233" i="3"/>
  <c r="AQ252" i="3"/>
  <c r="BK252" i="3"/>
  <c r="AG273" i="3"/>
  <c r="AQ281" i="3"/>
  <c r="BD283" i="3"/>
  <c r="AJ293" i="3"/>
  <c r="AG296" i="3"/>
  <c r="Z192" i="3"/>
  <c r="AQ198" i="3"/>
  <c r="AT206" i="3"/>
  <c r="BK206" i="3"/>
  <c r="AJ209" i="3"/>
  <c r="BA210" i="3"/>
  <c r="Z212" i="3"/>
  <c r="AQ234" i="3"/>
  <c r="AJ251" i="3"/>
  <c r="AT252" i="3"/>
  <c r="BK260" i="3"/>
  <c r="BD278" i="3"/>
  <c r="AT288" i="3"/>
  <c r="AJ296" i="3"/>
  <c r="Z298" i="3"/>
  <c r="AG191" i="3"/>
  <c r="AT198" i="3"/>
  <c r="BK198" i="3"/>
  <c r="AJ199" i="3"/>
  <c r="AT201" i="3"/>
  <c r="Z208" i="3"/>
  <c r="AQ208" i="3"/>
  <c r="BA229" i="3"/>
  <c r="AT250" i="3"/>
  <c r="AG259" i="3"/>
  <c r="Z260" i="3"/>
  <c r="AQ260" i="3"/>
  <c r="AJ278" i="3"/>
  <c r="AQ282" i="3"/>
  <c r="Z284" i="3"/>
  <c r="AQ284" i="3"/>
  <c r="Z302" i="3"/>
  <c r="AT302" i="3"/>
  <c r="AQ302" i="3"/>
  <c r="AG302" i="3"/>
  <c r="AG190" i="3"/>
  <c r="BK192" i="3"/>
  <c r="BD199" i="3"/>
  <c r="BA204" i="3"/>
  <c r="AJ207" i="3"/>
  <c r="BA208" i="3"/>
  <c r="Z209" i="3"/>
  <c r="AT209" i="3"/>
  <c r="BK209" i="3"/>
  <c r="BD210" i="3"/>
  <c r="AT214" i="3"/>
  <c r="BK214" i="3"/>
  <c r="AT218" i="3"/>
  <c r="Z220" i="3"/>
  <c r="AG223" i="3"/>
  <c r="AQ226" i="3"/>
  <c r="AJ227" i="3"/>
  <c r="BA227" i="3"/>
  <c r="BA228" i="3"/>
  <c r="AT229" i="3"/>
  <c r="BK229" i="3"/>
  <c r="AT234" i="3"/>
  <c r="AG235" i="3"/>
  <c r="BA235" i="3"/>
  <c r="AQ243" i="3"/>
  <c r="BK244" i="3"/>
  <c r="BD245" i="3"/>
  <c r="BA251" i="3"/>
  <c r="AT253" i="3"/>
  <c r="AT259" i="3"/>
  <c r="BK259" i="3"/>
  <c r="AT260" i="3"/>
  <c r="BD261" i="3"/>
  <c r="BK265" i="3"/>
  <c r="AJ266" i="3"/>
  <c r="Z268" i="3"/>
  <c r="AJ269" i="3"/>
  <c r="BA269" i="3"/>
  <c r="AJ273" i="3"/>
  <c r="BK274" i="3"/>
  <c r="AT281" i="3"/>
  <c r="BA286" i="3"/>
  <c r="Y31" i="15" s="1"/>
  <c r="AG292" i="3"/>
  <c r="BA292" i="3"/>
  <c r="Z293" i="3"/>
  <c r="AT296" i="3"/>
  <c r="BK298" i="3"/>
  <c r="AJ299" i="3"/>
  <c r="BD299" i="3"/>
  <c r="Z194" i="3"/>
  <c r="AG197" i="3"/>
  <c r="BA197" i="3"/>
  <c r="AQ200" i="3"/>
  <c r="AG204" i="3"/>
  <c r="AT205" i="3"/>
  <c r="AG215" i="3"/>
  <c r="AJ222" i="3"/>
  <c r="AJ223" i="3"/>
  <c r="AG228" i="3"/>
  <c r="BK233" i="3"/>
  <c r="Z236" i="3"/>
  <c r="AT236" i="3"/>
  <c r="BK243" i="3"/>
  <c r="AT244" i="3"/>
  <c r="AJ250" i="3"/>
  <c r="BA250" i="3"/>
  <c r="Z253" i="3"/>
  <c r="BA257" i="3"/>
  <c r="AT258" i="3"/>
  <c r="BK258" i="3"/>
  <c r="AQ268" i="3"/>
  <c r="R36" i="15" s="1"/>
  <c r="S36" i="15" s="1"/>
  <c r="Z270" i="3"/>
  <c r="Z274" i="3"/>
  <c r="AQ274" i="3"/>
  <c r="BA279" i="3"/>
  <c r="BK280" i="3"/>
  <c r="BD282" i="3"/>
  <c r="AT283" i="3"/>
  <c r="AQ293" i="3"/>
  <c r="BK293" i="3"/>
  <c r="AQ295" i="3"/>
  <c r="BK295" i="3"/>
  <c r="AJ297" i="3"/>
  <c r="BD297" i="3"/>
  <c r="AJ197" i="3"/>
  <c r="Z199" i="3"/>
  <c r="Z200" i="3"/>
  <c r="AT200" i="3"/>
  <c r="BK200" i="3"/>
  <c r="BA211" i="3"/>
  <c r="AJ215" i="3"/>
  <c r="BK216" i="3"/>
  <c r="BD217" i="3"/>
  <c r="BA222" i="3"/>
  <c r="Z224" i="3"/>
  <c r="AQ224" i="3"/>
  <c r="BK224" i="3"/>
  <c r="BD225" i="3"/>
  <c r="BA240" i="3"/>
  <c r="AT242" i="3"/>
  <c r="BK242" i="3"/>
  <c r="BA246" i="3"/>
  <c r="Z247" i="3"/>
  <c r="AQ247" i="3"/>
  <c r="BD248" i="3"/>
  <c r="Z252" i="3"/>
  <c r="AQ254" i="3"/>
  <c r="AJ255" i="3"/>
  <c r="BA255" i="3"/>
  <c r="AG260" i="3"/>
  <c r="BA262" i="3"/>
  <c r="BD264" i="3"/>
  <c r="AU268" i="3"/>
  <c r="BK268" i="3"/>
  <c r="AF36" i="15" s="1"/>
  <c r="AG36" i="15" s="1"/>
  <c r="AJ272" i="3"/>
  <c r="AT289" i="3"/>
  <c r="AQ192" i="3"/>
  <c r="BE134" i="3"/>
  <c r="BT134" i="3" s="1"/>
  <c r="Z191" i="3"/>
  <c r="AQ191" i="3"/>
  <c r="BK191" i="3"/>
  <c r="BD194" i="3"/>
  <c r="BD201" i="3"/>
  <c r="AG240" i="3"/>
  <c r="AG243" i="3"/>
  <c r="BK288" i="3"/>
  <c r="AG134" i="3"/>
  <c r="AQ193" i="3"/>
  <c r="AQ227" i="3"/>
  <c r="BK228" i="3"/>
  <c r="AJ229" i="3"/>
  <c r="AQ235" i="3"/>
  <c r="AJ244" i="3"/>
  <c r="AT245" i="3"/>
  <c r="AT251" i="3"/>
  <c r="BD253" i="3"/>
  <c r="AT261" i="3"/>
  <c r="BA265" i="3"/>
  <c r="AT266" i="3"/>
  <c r="BK266" i="3"/>
  <c r="AG268" i="3"/>
  <c r="K36" i="15" s="1"/>
  <c r="L36" i="15" s="1"/>
  <c r="Z269" i="3"/>
  <c r="AQ269" i="3"/>
  <c r="BD270" i="3"/>
  <c r="AQ273" i="3"/>
  <c r="BA281" i="3"/>
  <c r="Z285" i="3"/>
  <c r="AJ285" i="3" s="1"/>
  <c r="BK286" i="3"/>
  <c r="AF31" i="15" s="1"/>
  <c r="AG31" i="15" s="1"/>
  <c r="AG289" i="3"/>
  <c r="AQ292" i="3"/>
  <c r="AG293" i="3"/>
  <c r="BA296" i="3"/>
  <c r="BA298" i="3"/>
  <c r="AT299" i="3"/>
  <c r="AQ190" i="3"/>
  <c r="BK190" i="3"/>
  <c r="BK197" i="3"/>
  <c r="AJ205" i="3"/>
  <c r="BD205" i="3"/>
  <c r="BK207" i="3"/>
  <c r="AQ222" i="3"/>
  <c r="AQ223" i="3"/>
  <c r="AJ236" i="3"/>
  <c r="BD236" i="3"/>
  <c r="Z245" i="3"/>
  <c r="BK250" i="3"/>
  <c r="Z261" i="3"/>
  <c r="AJ270" i="3"/>
  <c r="AG274" i="3"/>
  <c r="Z282" i="3"/>
  <c r="AJ289" i="3"/>
  <c r="BA295" i="3"/>
  <c r="Z297" i="3"/>
  <c r="AT190" i="3"/>
  <c r="BA196" i="3"/>
  <c r="AG199" i="3"/>
  <c r="BD200" i="3"/>
  <c r="AQ201" i="3"/>
  <c r="BD203" i="3"/>
  <c r="AQ211" i="3"/>
  <c r="BD212" i="3"/>
  <c r="AQ215" i="3"/>
  <c r="AT217" i="3"/>
  <c r="AT222" i="3"/>
  <c r="BK222" i="3"/>
  <c r="AT223" i="3"/>
  <c r="AG224" i="3"/>
  <c r="BD224" i="3"/>
  <c r="AT225" i="3"/>
  <c r="BD230" i="3"/>
  <c r="BK240" i="3"/>
  <c r="AJ242" i="3"/>
  <c r="AQ246" i="3"/>
  <c r="AJ247" i="3"/>
  <c r="BA247" i="3"/>
  <c r="AG249" i="3"/>
  <c r="AG252" i="3"/>
  <c r="BA254" i="3"/>
  <c r="Z255" i="3"/>
  <c r="AQ255" i="3"/>
  <c r="BD256" i="3"/>
  <c r="AQ262" i="3"/>
  <c r="BA263" i="3"/>
  <c r="BE268" i="3"/>
  <c r="AT272" i="3"/>
  <c r="BK272" i="3"/>
  <c r="BD285" i="3"/>
  <c r="BD292" i="3"/>
  <c r="AJ294" i="3"/>
  <c r="AQ298" i="3"/>
  <c r="Z292" i="3"/>
  <c r="BA294" i="3"/>
  <c r="AJ295" i="3"/>
  <c r="BK297" i="3"/>
  <c r="AT298" i="3"/>
  <c r="AQ299" i="3"/>
  <c r="AG297" i="3"/>
  <c r="AT292" i="3"/>
  <c r="BD295" i="3"/>
  <c r="BK299" i="3"/>
  <c r="AQ294" i="3"/>
  <c r="Z295" i="3"/>
  <c r="AJ298" i="3"/>
  <c r="AG299" i="3"/>
  <c r="AJ292" i="3"/>
  <c r="AQ194" i="3"/>
  <c r="Z195" i="3"/>
  <c r="BD196" i="3"/>
  <c r="AQ202" i="3"/>
  <c r="Z203" i="3"/>
  <c r="BD204" i="3"/>
  <c r="BA205" i="3"/>
  <c r="AJ206" i="3"/>
  <c r="AG207" i="3"/>
  <c r="Z211" i="3"/>
  <c r="AJ213" i="3"/>
  <c r="AT213" i="3"/>
  <c r="Z213" i="3"/>
  <c r="BA220" i="3"/>
  <c r="BK220" i="3"/>
  <c r="AQ220" i="3"/>
  <c r="BA221" i="3"/>
  <c r="BD228" i="3"/>
  <c r="AJ228" i="3"/>
  <c r="AT228" i="3"/>
  <c r="Z228" i="3"/>
  <c r="AG218" i="3"/>
  <c r="BK218" i="3"/>
  <c r="AJ191" i="3"/>
  <c r="AG192" i="3"/>
  <c r="BK193" i="3"/>
  <c r="AT194" i="3"/>
  <c r="AQ195" i="3"/>
  <c r="Z196" i="3"/>
  <c r="BD197" i="3"/>
  <c r="AG200" i="3"/>
  <c r="BK201" i="3"/>
  <c r="AT202" i="3"/>
  <c r="AQ203" i="3"/>
  <c r="Z204" i="3"/>
  <c r="BK213" i="3"/>
  <c r="AG221" i="3"/>
  <c r="BD232" i="3"/>
  <c r="AJ232" i="3"/>
  <c r="AT232" i="3"/>
  <c r="Z232" i="3"/>
  <c r="BD190" i="3"/>
  <c r="AJ192" i="3"/>
  <c r="AG193" i="3"/>
  <c r="BK194" i="3"/>
  <c r="AT195" i="3"/>
  <c r="AQ196" i="3"/>
  <c r="Z197" i="3"/>
  <c r="BD198" i="3"/>
  <c r="AJ200" i="3"/>
  <c r="AG201" i="3"/>
  <c r="BK202" i="3"/>
  <c r="AT203" i="3"/>
  <c r="BD206" i="3"/>
  <c r="AJ208" i="3"/>
  <c r="Z210" i="3"/>
  <c r="AJ210" i="3"/>
  <c r="BD219" i="3"/>
  <c r="AT219" i="3"/>
  <c r="BK225" i="3"/>
  <c r="AQ225" i="3"/>
  <c r="BA225" i="3"/>
  <c r="AG225" i="3"/>
  <c r="AJ193" i="3"/>
  <c r="AG194" i="3"/>
  <c r="BK195" i="3"/>
  <c r="AT196" i="3"/>
  <c r="AJ201" i="3"/>
  <c r="AG202" i="3"/>
  <c r="BK203" i="3"/>
  <c r="AT204" i="3"/>
  <c r="AG210" i="3"/>
  <c r="BK210" i="3"/>
  <c r="AQ217" i="3"/>
  <c r="BA217" i="3"/>
  <c r="AG217" i="3"/>
  <c r="BK217" i="3"/>
  <c r="BA218" i="3"/>
  <c r="AJ194" i="3"/>
  <c r="AG195" i="3"/>
  <c r="AJ202" i="3"/>
  <c r="AG203" i="3"/>
  <c r="BA212" i="3"/>
  <c r="BK212" i="3"/>
  <c r="AQ212" i="3"/>
  <c r="BA213" i="3"/>
  <c r="Z214" i="3"/>
  <c r="BD214" i="3"/>
  <c r="AJ221" i="3"/>
  <c r="AT221" i="3"/>
  <c r="Z221" i="3"/>
  <c r="AT226" i="3"/>
  <c r="Z226" i="3"/>
  <c r="BD226" i="3"/>
  <c r="AJ226" i="3"/>
  <c r="BK236" i="3"/>
  <c r="AQ236" i="3"/>
  <c r="BA236" i="3"/>
  <c r="AG236" i="3"/>
  <c r="AJ195" i="3"/>
  <c r="AJ203" i="3"/>
  <c r="AQ209" i="3"/>
  <c r="BA209" i="3"/>
  <c r="BK221" i="3"/>
  <c r="AJ196" i="3"/>
  <c r="AJ204" i="3"/>
  <c r="BD211" i="3"/>
  <c r="AT211" i="3"/>
  <c r="Z218" i="3"/>
  <c r="AJ218" i="3"/>
  <c r="AQ218" i="3"/>
  <c r="BA215" i="3"/>
  <c r="AJ216" i="3"/>
  <c r="BD222" i="3"/>
  <c r="BA223" i="3"/>
  <c r="AJ224" i="3"/>
  <c r="BK226" i="3"/>
  <c r="AT227" i="3"/>
  <c r="BD229" i="3"/>
  <c r="Z231" i="3"/>
  <c r="AQ231" i="3"/>
  <c r="BD233" i="3"/>
  <c r="BA234" i="3"/>
  <c r="AJ235" i="3"/>
  <c r="AT238" i="3"/>
  <c r="Z240" i="3"/>
  <c r="BD242" i="3"/>
  <c r="AG245" i="3"/>
  <c r="BK246" i="3"/>
  <c r="AT247" i="3"/>
  <c r="AQ248" i="3"/>
  <c r="Z249" i="3"/>
  <c r="BD250" i="3"/>
  <c r="AG253" i="3"/>
  <c r="BK254" i="3"/>
  <c r="AT255" i="3"/>
  <c r="AQ256" i="3"/>
  <c r="Z257" i="3"/>
  <c r="BD258" i="3"/>
  <c r="AG261" i="3"/>
  <c r="BK262" i="3"/>
  <c r="AT263" i="3"/>
  <c r="AQ264" i="3"/>
  <c r="Z265" i="3"/>
  <c r="BD266" i="3"/>
  <c r="AT269" i="3"/>
  <c r="AQ270" i="3"/>
  <c r="Z271" i="3"/>
  <c r="BD272" i="3"/>
  <c r="BA273" i="3"/>
  <c r="AJ274" i="3"/>
  <c r="AQ278" i="3"/>
  <c r="Z279" i="3"/>
  <c r="BD280" i="3"/>
  <c r="AJ282" i="3"/>
  <c r="AG283" i="3"/>
  <c r="AT284" i="3"/>
  <c r="AQ285" i="3"/>
  <c r="Z286" i="3"/>
  <c r="Z287" i="3"/>
  <c r="BD288" i="3"/>
  <c r="BA289" i="3"/>
  <c r="BK211" i="3"/>
  <c r="BD215" i="3"/>
  <c r="AJ217" i="3"/>
  <c r="BK219" i="3"/>
  <c r="AJ225" i="3"/>
  <c r="BK227" i="3"/>
  <c r="BD234" i="3"/>
  <c r="BD243" i="3"/>
  <c r="AJ245" i="3"/>
  <c r="BK247" i="3"/>
  <c r="BD251" i="3"/>
  <c r="AJ253" i="3"/>
  <c r="BK255" i="3"/>
  <c r="BD259" i="3"/>
  <c r="AJ261" i="3"/>
  <c r="BK263" i="3"/>
  <c r="AQ265" i="3"/>
  <c r="BD267" i="3"/>
  <c r="BK269" i="3"/>
  <c r="AQ271" i="3"/>
  <c r="BD273" i="3"/>
  <c r="BA274" i="3"/>
  <c r="BD281" i="3"/>
  <c r="AJ283" i="3"/>
  <c r="BK284" i="3"/>
  <c r="AQ286" i="3"/>
  <c r="R31" i="15" s="1"/>
  <c r="S31" i="15" s="1"/>
  <c r="BD289" i="3"/>
  <c r="AQ214" i="3"/>
  <c r="BD216" i="3"/>
  <c r="AQ229" i="3"/>
  <c r="BK231" i="3"/>
  <c r="AQ233" i="3"/>
  <c r="BD235" i="3"/>
  <c r="AJ237" i="3"/>
  <c r="AT240" i="3"/>
  <c r="AQ242" i="3"/>
  <c r="BA245" i="3"/>
  <c r="AJ246" i="3"/>
  <c r="BK248" i="3"/>
  <c r="AT249" i="3"/>
  <c r="AQ250" i="3"/>
  <c r="BA253" i="3"/>
  <c r="AJ254" i="3"/>
  <c r="BK256" i="3"/>
  <c r="AT257" i="3"/>
  <c r="AQ258" i="3"/>
  <c r="BA261" i="3"/>
  <c r="AJ262" i="3"/>
  <c r="BK264" i="3"/>
  <c r="AT265" i="3"/>
  <c r="AQ266" i="3"/>
  <c r="BK270" i="3"/>
  <c r="AT271" i="3"/>
  <c r="AQ272" i="3"/>
  <c r="BD274" i="3"/>
  <c r="AJ276" i="3"/>
  <c r="BK278" i="3"/>
  <c r="AT279" i="3"/>
  <c r="AQ280" i="3"/>
  <c r="BA283" i="3"/>
  <c r="BK285" i="3"/>
  <c r="AT286" i="3"/>
  <c r="AT287" i="3"/>
  <c r="AQ288" i="3"/>
  <c r="AG248" i="3"/>
  <c r="AG256" i="3"/>
  <c r="AG264" i="3"/>
  <c r="AG270" i="3"/>
  <c r="AG278" i="3"/>
  <c r="AG285" i="3"/>
  <c r="BD237" i="3"/>
  <c r="BD246" i="3"/>
  <c r="BD254" i="3"/>
  <c r="BD262" i="3"/>
  <c r="BD276" i="3"/>
  <c r="Z237" i="3"/>
  <c r="AJ240" i="3"/>
  <c r="AQ245" i="3"/>
  <c r="Z246" i="3"/>
  <c r="AJ249" i="3"/>
  <c r="AQ253" i="3"/>
  <c r="Z254" i="3"/>
  <c r="AJ257" i="3"/>
  <c r="AQ261" i="3"/>
  <c r="Z262" i="3"/>
  <c r="AJ265" i="3"/>
  <c r="AJ271" i="3"/>
  <c r="Z276" i="3"/>
  <c r="AJ279" i="3"/>
  <c r="AQ283" i="3"/>
  <c r="AJ286" i="3"/>
  <c r="AJ287" i="3"/>
  <c r="BK82" i="3"/>
  <c r="AJ88" i="3"/>
  <c r="AQ129" i="3"/>
  <c r="AG115" i="3"/>
  <c r="BD88" i="3"/>
  <c r="AZ138" i="3"/>
  <c r="AQ132" i="3"/>
  <c r="BK132" i="3"/>
  <c r="AT123" i="3"/>
  <c r="AG132" i="3"/>
  <c r="BA132" i="3"/>
  <c r="BD114" i="3"/>
  <c r="BA115" i="3"/>
  <c r="BK129" i="3"/>
  <c r="BE124" i="3"/>
  <c r="BT124" i="3" s="1"/>
  <c r="BE125" i="3"/>
  <c r="BI125" i="3" s="1"/>
  <c r="AG123" i="3"/>
  <c r="AG126" i="3"/>
  <c r="AG129" i="3"/>
  <c r="BE129" i="3"/>
  <c r="BI129" i="3" s="1"/>
  <c r="AJ134" i="3"/>
  <c r="BK126" i="3"/>
  <c r="AJ127" i="3"/>
  <c r="AT133" i="3"/>
  <c r="BA83" i="3"/>
  <c r="Y73" i="15" s="1"/>
  <c r="Z73" i="15" s="1"/>
  <c r="BD127" i="3"/>
  <c r="BA135" i="3"/>
  <c r="AQ137" i="3"/>
  <c r="AG125" i="3"/>
  <c r="BA125" i="3"/>
  <c r="BE127" i="3"/>
  <c r="AG130" i="3"/>
  <c r="BA131" i="3"/>
  <c r="BE135" i="3"/>
  <c r="BT135" i="3" s="1"/>
  <c r="AQ128" i="3"/>
  <c r="BK137" i="3"/>
  <c r="AQ124" i="3"/>
  <c r="AT126" i="3"/>
  <c r="BA128" i="3"/>
  <c r="BE131" i="3"/>
  <c r="BT131" i="3" s="1"/>
  <c r="AG133" i="3"/>
  <c r="BD133" i="3"/>
  <c r="AT134" i="3"/>
  <c r="AJ123" i="3"/>
  <c r="BE123" i="3"/>
  <c r="AT127" i="3"/>
  <c r="BE128" i="3"/>
  <c r="BT128" i="3" s="1"/>
  <c r="Z114" i="3"/>
  <c r="AJ114" i="3" s="1"/>
  <c r="AQ125" i="3"/>
  <c r="BA124" i="3"/>
  <c r="BK133" i="3"/>
  <c r="BD125" i="3"/>
  <c r="AJ126" i="3"/>
  <c r="BD129" i="3"/>
  <c r="BE130" i="3"/>
  <c r="AQ131" i="3"/>
  <c r="BD132" i="3"/>
  <c r="AJ133" i="3"/>
  <c r="AQ135" i="3"/>
  <c r="BK123" i="3"/>
  <c r="AT124" i="3"/>
  <c r="BA126" i="3"/>
  <c r="AG127" i="3"/>
  <c r="BK127" i="3"/>
  <c r="AT128" i="3"/>
  <c r="AQ130" i="3"/>
  <c r="BA133" i="3"/>
  <c r="BK134" i="3"/>
  <c r="AT135" i="3"/>
  <c r="BA123" i="3"/>
  <c r="AG124" i="3"/>
  <c r="AT125" i="3"/>
  <c r="BE126" i="3"/>
  <c r="BA127" i="3"/>
  <c r="AG128" i="3"/>
  <c r="AT129" i="3"/>
  <c r="BK131" i="3"/>
  <c r="AT132" i="3"/>
  <c r="BE133" i="3"/>
  <c r="BA134" i="3"/>
  <c r="AG135" i="3"/>
  <c r="AJ124" i="3"/>
  <c r="AJ128" i="3"/>
  <c r="BK130" i="3"/>
  <c r="AJ135" i="3"/>
  <c r="BD136" i="3"/>
  <c r="BA137" i="3"/>
  <c r="AG85" i="3"/>
  <c r="BD85" i="3"/>
  <c r="BO138" i="3"/>
  <c r="BD112" i="3"/>
  <c r="AT87" i="3"/>
  <c r="BD86" i="3"/>
  <c r="AZ122" i="3"/>
  <c r="AP138" i="3"/>
  <c r="BK115" i="3"/>
  <c r="BJ138" i="3"/>
  <c r="AQ115" i="3"/>
  <c r="AU83" i="3"/>
  <c r="Z85" i="3"/>
  <c r="AT85" i="3"/>
  <c r="BO122" i="3"/>
  <c r="AP122" i="3"/>
  <c r="BD80" i="3"/>
  <c r="AG84" i="3"/>
  <c r="BD138" i="3"/>
  <c r="BJ122" i="3"/>
  <c r="BT114" i="3"/>
  <c r="Z112" i="3"/>
  <c r="AT112" i="3" s="1"/>
  <c r="AQ114" i="3"/>
  <c r="BD115" i="3"/>
  <c r="AQ112" i="3"/>
  <c r="AT114" i="3"/>
  <c r="Z115" i="3"/>
  <c r="AJ115" i="3" s="1"/>
  <c r="AG114" i="3"/>
  <c r="BK114" i="3"/>
  <c r="AG112" i="3"/>
  <c r="BK112" i="3"/>
  <c r="AJ112" i="3"/>
  <c r="BA138" i="3"/>
  <c r="AT136" i="3"/>
  <c r="AJ138" i="3"/>
  <c r="AJ122" i="3"/>
  <c r="BK138" i="3"/>
  <c r="Z136" i="3"/>
  <c r="AT138" i="3"/>
  <c r="AT122" i="3"/>
  <c r="AB136" i="3"/>
  <c r="BJ136" i="3" s="1"/>
  <c r="AE136" i="3"/>
  <c r="BN136" i="3"/>
  <c r="AQ138" i="3"/>
  <c r="W136" i="3"/>
  <c r="AT137" i="3"/>
  <c r="BD122" i="3"/>
  <c r="Z137" i="3"/>
  <c r="Z122" i="3"/>
  <c r="BD137" i="3"/>
  <c r="BO136" i="3"/>
  <c r="Z79" i="3"/>
  <c r="BA81" i="3"/>
  <c r="AQ82" i="3"/>
  <c r="AJ84" i="3"/>
  <c r="BD84" i="3"/>
  <c r="Z89" i="3"/>
  <c r="AG81" i="3"/>
  <c r="BD90" i="3"/>
  <c r="AG82" i="3"/>
  <c r="Z84" i="3"/>
  <c r="BK86" i="3"/>
  <c r="BA87" i="3"/>
  <c r="Z88" i="3"/>
  <c r="AQ88" i="3"/>
  <c r="AJ79" i="3"/>
  <c r="AJ82" i="3"/>
  <c r="AQ84" i="3"/>
  <c r="BK84" i="3"/>
  <c r="BD79" i="3"/>
  <c r="AQ87" i="3"/>
  <c r="AT79" i="3"/>
  <c r="Z80" i="3"/>
  <c r="BD81" i="3"/>
  <c r="BE83" i="3"/>
  <c r="AJ85" i="3"/>
  <c r="AG86" i="3"/>
  <c r="BK87" i="3"/>
  <c r="AQ89" i="3"/>
  <c r="Z90" i="3"/>
  <c r="AQ80" i="3"/>
  <c r="Z81" i="3"/>
  <c r="BD82" i="3"/>
  <c r="BA85" i="3"/>
  <c r="AJ86" i="3"/>
  <c r="BK88" i="3"/>
  <c r="AT89" i="3"/>
  <c r="AQ90" i="3"/>
  <c r="AG79" i="3"/>
  <c r="BK79" i="3"/>
  <c r="AT80" i="3"/>
  <c r="AQ81" i="3"/>
  <c r="Z82" i="3"/>
  <c r="AQ83" i="3"/>
  <c r="R73" i="15" s="1"/>
  <c r="S73" i="15" s="1"/>
  <c r="BA86" i="3"/>
  <c r="AJ87" i="3"/>
  <c r="AG88" i="3"/>
  <c r="BK89" i="3"/>
  <c r="AT90" i="3"/>
  <c r="BK80" i="3"/>
  <c r="AT81" i="3"/>
  <c r="AG89" i="3"/>
  <c r="BK90" i="3"/>
  <c r="AG80" i="3"/>
  <c r="BK83" i="3"/>
  <c r="AF73" i="15" s="1"/>
  <c r="AG73" i="15" s="1"/>
  <c r="AQ85" i="3"/>
  <c r="Z86" i="3"/>
  <c r="BD87" i="3"/>
  <c r="AJ89" i="3"/>
  <c r="AG90" i="3"/>
  <c r="AJ80" i="3"/>
  <c r="AJ90" i="3"/>
  <c r="AJ81" i="3"/>
  <c r="BE122" i="3" l="1"/>
  <c r="Z36" i="15"/>
  <c r="AA36" i="15" s="1"/>
  <c r="Z31" i="15"/>
  <c r="AA31" i="15" s="1"/>
  <c r="Z272" i="15"/>
  <c r="AA272" i="15" s="1"/>
  <c r="L275" i="15"/>
  <c r="M275" i="15" s="1"/>
  <c r="BN122" i="3"/>
  <c r="BR268" i="3"/>
  <c r="W36" i="15" s="1"/>
  <c r="X36" i="15" s="1"/>
  <c r="AY83" i="3"/>
  <c r="AY268" i="3"/>
  <c r="V36" i="15" s="1"/>
  <c r="AQ122" i="3"/>
  <c r="AE122" i="3"/>
  <c r="BA122" i="3"/>
  <c r="W26" i="15" s="1"/>
  <c r="X26" i="15" s="1"/>
  <c r="BK122" i="3"/>
  <c r="BT132" i="3"/>
  <c r="BI115" i="3"/>
  <c r="BI134" i="3"/>
  <c r="BI124" i="3"/>
  <c r="BT268" i="3"/>
  <c r="AD36" i="15" s="1"/>
  <c r="AE36" i="15" s="1"/>
  <c r="BI268" i="3"/>
  <c r="AC36" i="15" s="1"/>
  <c r="BR83" i="3"/>
  <c r="W73" i="15" s="1"/>
  <c r="BT125" i="3"/>
  <c r="BI128" i="3"/>
  <c r="BT129" i="3"/>
  <c r="BI135" i="3"/>
  <c r="BI131" i="3"/>
  <c r="BI114" i="3"/>
  <c r="BT127" i="3"/>
  <c r="BI127" i="3"/>
  <c r="BT123" i="3"/>
  <c r="BI123" i="3"/>
  <c r="BI126" i="3"/>
  <c r="BT126" i="3"/>
  <c r="BI133" i="3"/>
  <c r="BT133" i="3"/>
  <c r="BT130" i="3"/>
  <c r="BI130" i="3"/>
  <c r="BT112" i="3"/>
  <c r="BI112" i="3"/>
  <c r="AD136" i="3"/>
  <c r="AF136" i="3"/>
  <c r="AZ136" i="3"/>
  <c r="BM136" i="3"/>
  <c r="AP136" i="3"/>
  <c r="BA136" i="3"/>
  <c r="AQ136" i="3"/>
  <c r="AG136" i="3"/>
  <c r="BK136" i="3"/>
  <c r="BT83" i="3"/>
  <c r="AD73" i="15" s="1"/>
  <c r="BI83" i="3"/>
  <c r="BT122" i="3" l="1"/>
  <c r="BI122" i="3"/>
  <c r="AA67" i="3" l="1"/>
  <c r="M95" i="15"/>
  <c r="M96" i="15"/>
  <c r="M97" i="15"/>
  <c r="M100" i="15"/>
  <c r="M101" i="15"/>
  <c r="J95" i="15"/>
  <c r="J96" i="15"/>
  <c r="J97" i="15"/>
  <c r="J100" i="15"/>
  <c r="J101" i="15"/>
  <c r="V102" i="3" l="1"/>
  <c r="Z102" i="3" s="1"/>
  <c r="BD102" i="3" l="1"/>
  <c r="AJ102" i="3"/>
  <c r="AT102" i="3"/>
  <c r="AB140" i="3" l="1"/>
  <c r="AL183" i="3"/>
  <c r="AP140" i="3" l="1"/>
  <c r="F17" i="15"/>
  <c r="F18" i="15"/>
  <c r="AP14" i="3"/>
  <c r="R240" i="15" s="1"/>
  <c r="S240" i="15" s="1"/>
  <c r="AI11" i="29" l="1"/>
  <c r="AO51" i="3" l="1"/>
  <c r="AL153" i="3" l="1"/>
  <c r="AN153" i="3" s="1"/>
  <c r="AL147" i="3" l="1"/>
  <c r="AL143" i="3" l="1"/>
  <c r="AO47" i="3" l="1"/>
  <c r="AB64" i="3"/>
  <c r="AL45" i="3"/>
  <c r="AB45" i="3"/>
  <c r="AP153" i="3"/>
  <c r="AO140" i="3" l="1"/>
  <c r="AK188" i="3" l="1"/>
  <c r="L188" i="3"/>
  <c r="AL188" i="3" l="1"/>
  <c r="AG11" i="16"/>
  <c r="AC264" i="15" l="1"/>
  <c r="V264" i="15"/>
  <c r="H264" i="15"/>
  <c r="F264" i="15"/>
  <c r="D264" i="15"/>
  <c r="AC263" i="15"/>
  <c r="V263" i="15"/>
  <c r="H263" i="15"/>
  <c r="F263" i="15"/>
  <c r="D263" i="15"/>
  <c r="AC125" i="15"/>
  <c r="V125" i="15"/>
  <c r="F125" i="15"/>
  <c r="D125" i="15"/>
  <c r="K91" i="15"/>
  <c r="L91" i="15" s="1"/>
  <c r="BO182" i="3"/>
  <c r="BM182" i="3"/>
  <c r="BM181" i="3"/>
  <c r="AD180" i="3"/>
  <c r="C18" i="26"/>
  <c r="O263" i="15" l="1"/>
  <c r="AL146" i="3"/>
  <c r="O125" i="15" s="1"/>
  <c r="AL144" i="3"/>
  <c r="AM160" i="3" l="1"/>
  <c r="AL187" i="3" l="1"/>
  <c r="AL186" i="3"/>
  <c r="AL169" i="3"/>
  <c r="AM169" i="3"/>
  <c r="AO169" i="3" s="1"/>
  <c r="AL168" i="3"/>
  <c r="AL167" i="3"/>
  <c r="AL166" i="3"/>
  <c r="AL165" i="3"/>
  <c r="AL160" i="3"/>
  <c r="AL164" i="3"/>
  <c r="AL162" i="3"/>
  <c r="AL161" i="3"/>
  <c r="C23" i="26" l="1"/>
  <c r="C22" i="26"/>
  <c r="C17" i="26"/>
  <c r="L325" i="3"/>
  <c r="C27" i="26" l="1"/>
  <c r="E37" i="15"/>
  <c r="E35" i="15"/>
  <c r="D37" i="15"/>
  <c r="D35" i="15"/>
  <c r="AC164" i="15"/>
  <c r="V164" i="15"/>
  <c r="O164" i="15"/>
  <c r="H164" i="15"/>
  <c r="F164" i="15"/>
  <c r="E164" i="15"/>
  <c r="D164" i="15"/>
  <c r="AC156" i="15"/>
  <c r="V156" i="15"/>
  <c r="O156" i="15"/>
  <c r="H156" i="15"/>
  <c r="F156" i="15"/>
  <c r="E156" i="15"/>
  <c r="D156" i="15"/>
  <c r="F19" i="26" l="1"/>
  <c r="AL11" i="3"/>
  <c r="AZ11" i="3" s="1"/>
  <c r="Y153" i="15" s="1"/>
  <c r="Z153" i="15" s="1"/>
  <c r="AL10" i="3"/>
  <c r="AL9" i="3"/>
  <c r="AA153" i="15" l="1"/>
  <c r="AP11" i="3"/>
  <c r="R153" i="15" s="1"/>
  <c r="BJ11" i="3"/>
  <c r="AF153" i="15" s="1"/>
  <c r="AG153" i="15" s="1"/>
  <c r="O153" i="15"/>
  <c r="AN11" i="3"/>
  <c r="W36" i="3"/>
  <c r="W35" i="3"/>
  <c r="BA35" i="3" s="1"/>
  <c r="W34" i="3"/>
  <c r="W33" i="3"/>
  <c r="W32" i="3"/>
  <c r="W31" i="3"/>
  <c r="Y31" i="3" s="1"/>
  <c r="W30" i="3"/>
  <c r="W29" i="3"/>
  <c r="W28" i="3"/>
  <c r="W27" i="3"/>
  <c r="W26" i="3"/>
  <c r="W25" i="3"/>
  <c r="W24" i="3"/>
  <c r="W23" i="3"/>
  <c r="W22" i="3"/>
  <c r="W21" i="3"/>
  <c r="W20" i="3"/>
  <c r="W19" i="3"/>
  <c r="W18" i="3"/>
  <c r="W17" i="3"/>
  <c r="AI17" i="3" s="1"/>
  <c r="AL17" i="3" s="1"/>
  <c r="W16" i="3"/>
  <c r="W15" i="3"/>
  <c r="AL36" i="3"/>
  <c r="AL35" i="3"/>
  <c r="AL34" i="3"/>
  <c r="AL33" i="3"/>
  <c r="AL32" i="3"/>
  <c r="AL30" i="3"/>
  <c r="AL27" i="3"/>
  <c r="AL26" i="3"/>
  <c r="AL24" i="3"/>
  <c r="AL22" i="3"/>
  <c r="AL21" i="3"/>
  <c r="AL16" i="3"/>
  <c r="BC23" i="3" l="1"/>
  <c r="BF23" i="3" s="1"/>
  <c r="S153" i="15"/>
  <c r="T153" i="15" s="1"/>
  <c r="BA19" i="3"/>
  <c r="AI28" i="3"/>
  <c r="AL28" i="3" s="1"/>
  <c r="Y28" i="3"/>
  <c r="BC18" i="3"/>
  <c r="BF18" i="3" s="1"/>
  <c r="Y18" i="3"/>
  <c r="AS18" i="3"/>
  <c r="AV18" i="3" s="1"/>
  <c r="AI18" i="3"/>
  <c r="AL18" i="3" s="1"/>
  <c r="AS28" i="3"/>
  <c r="AV28" i="3" s="1"/>
  <c r="AS25" i="3"/>
  <c r="AV25" i="3" s="1"/>
  <c r="AI25" i="3"/>
  <c r="AL29" i="3"/>
  <c r="AI31" i="3"/>
  <c r="AL31" i="3" s="1"/>
  <c r="BC28" i="3"/>
  <c r="BF28" i="3" s="1"/>
  <c r="AI20" i="3"/>
  <c r="AL20" i="3" s="1"/>
  <c r="AI23" i="3"/>
  <c r="AL23" i="3" s="1"/>
  <c r="AL55" i="3"/>
  <c r="AN55" i="3" s="1"/>
  <c r="AL54" i="3"/>
  <c r="AN54" i="3" s="1"/>
  <c r="AL53" i="3"/>
  <c r="AN53" i="3" s="1"/>
  <c r="AL56" i="3"/>
  <c r="AN56" i="3" s="1"/>
  <c r="AL52" i="3"/>
  <c r="AL51" i="3"/>
  <c r="AN45" i="3"/>
  <c r="AN44" i="3"/>
  <c r="AN46" i="3"/>
  <c r="AN47" i="3"/>
  <c r="AN48" i="3"/>
  <c r="AN49" i="3"/>
  <c r="AN50" i="3"/>
  <c r="BC25" i="3" l="1"/>
  <c r="BF25" i="3" s="1"/>
  <c r="BC17" i="3"/>
  <c r="BF17" i="3" s="1"/>
  <c r="AN52" i="3"/>
  <c r="AV31" i="3"/>
  <c r="AS17" i="3"/>
  <c r="AV17" i="3" s="1"/>
  <c r="AS23" i="3"/>
  <c r="AV23" i="3" s="1"/>
  <c r="AV29" i="3"/>
  <c r="AL25" i="3"/>
  <c r="AN51" i="3"/>
  <c r="L169" i="3"/>
  <c r="AM91" i="3" l="1"/>
  <c r="W75" i="3" l="1"/>
  <c r="W76" i="3"/>
  <c r="W77" i="3"/>
  <c r="W78" i="3"/>
  <c r="V78" i="3"/>
  <c r="BD78" i="3" l="1"/>
  <c r="Z78" i="3"/>
  <c r="AJ78" i="3"/>
  <c r="AT78" i="3"/>
  <c r="AL181" i="3"/>
  <c r="AL179" i="3"/>
  <c r="BO180" i="3" s="1"/>
  <c r="AL173" i="3"/>
  <c r="AL172" i="3"/>
  <c r="AL171" i="3"/>
  <c r="AP172" i="3" l="1"/>
  <c r="R90" i="15" s="1"/>
  <c r="AN172" i="3"/>
  <c r="BT301" i="3"/>
  <c r="AD37" i="15" s="1"/>
  <c r="AE37" i="15" s="1"/>
  <c r="BS301" i="3"/>
  <c r="AD164" i="15" s="1"/>
  <c r="AE164" i="15" s="1"/>
  <c r="BR301" i="3"/>
  <c r="W37" i="15" s="1"/>
  <c r="BQ301" i="3"/>
  <c r="W164" i="15" s="1"/>
  <c r="BP301" i="3"/>
  <c r="P37" i="15" s="1"/>
  <c r="BO301" i="3"/>
  <c r="P164" i="15" s="1"/>
  <c r="BN301" i="3"/>
  <c r="I37" i="15" s="1"/>
  <c r="BM301" i="3"/>
  <c r="I164" i="15" s="1"/>
  <c r="BJ301" i="3"/>
  <c r="AF164" i="15" s="1"/>
  <c r="AG164" i="15" s="1"/>
  <c r="BI301" i="3"/>
  <c r="AC37" i="15" s="1"/>
  <c r="BH301" i="3"/>
  <c r="AZ301" i="3"/>
  <c r="Y164" i="15" s="1"/>
  <c r="Z164" i="15" s="1"/>
  <c r="AY301" i="3"/>
  <c r="V37" i="15" s="1"/>
  <c r="AX301" i="3"/>
  <c r="AP301" i="3"/>
  <c r="R164" i="15" s="1"/>
  <c r="S164" i="15" s="1"/>
  <c r="AO301" i="3"/>
  <c r="O37" i="15" s="1"/>
  <c r="AN301" i="3"/>
  <c r="AF301" i="3"/>
  <c r="K164" i="15" s="1"/>
  <c r="L164" i="15" s="1"/>
  <c r="AE301" i="3"/>
  <c r="H37" i="15" s="1"/>
  <c r="AD301" i="3"/>
  <c r="W301" i="3"/>
  <c r="V301" i="3"/>
  <c r="C316" i="3"/>
  <c r="BS300" i="3"/>
  <c r="AD156" i="15" s="1"/>
  <c r="AE156" i="15" s="1"/>
  <c r="BQ300" i="3"/>
  <c r="W156" i="15" s="1"/>
  <c r="X156" i="15" s="1"/>
  <c r="BP300" i="3"/>
  <c r="P35" i="15" s="1"/>
  <c r="BO300" i="3"/>
  <c r="P156" i="15" s="1"/>
  <c r="BN300" i="3"/>
  <c r="I35" i="15" s="1"/>
  <c r="BM300" i="3"/>
  <c r="I156" i="15" s="1"/>
  <c r="BK300" i="3"/>
  <c r="AF35" i="15" s="1"/>
  <c r="AG35" i="15" s="1"/>
  <c r="BJ300" i="3"/>
  <c r="AF156" i="15" s="1"/>
  <c r="AG156" i="15" s="1"/>
  <c r="BH300" i="3"/>
  <c r="BE300" i="3"/>
  <c r="BT300" i="3" s="1"/>
  <c r="AD35" i="15" s="1"/>
  <c r="AE35" i="15" s="1"/>
  <c r="BA300" i="3"/>
  <c r="Y35" i="15" s="1"/>
  <c r="Z35" i="15" s="1"/>
  <c r="AZ300" i="3"/>
  <c r="Y156" i="15" s="1"/>
  <c r="AX300" i="3"/>
  <c r="AU300" i="3"/>
  <c r="AQ300" i="3"/>
  <c r="R35" i="15" s="1"/>
  <c r="S35" i="15" s="1"/>
  <c r="AP300" i="3"/>
  <c r="R156" i="15" s="1"/>
  <c r="S156" i="15" s="1"/>
  <c r="AO300" i="3"/>
  <c r="O35" i="15" s="1"/>
  <c r="AN300" i="3"/>
  <c r="AG300" i="3"/>
  <c r="K35" i="15" s="1"/>
  <c r="L35" i="15" s="1"/>
  <c r="AF300" i="3"/>
  <c r="K156" i="15" s="1"/>
  <c r="L156" i="15" s="1"/>
  <c r="AE300" i="3"/>
  <c r="H35" i="15" s="1"/>
  <c r="AD300" i="3"/>
  <c r="V300" i="3"/>
  <c r="Z156" i="15" l="1"/>
  <c r="AA156" i="15" s="1"/>
  <c r="S90" i="15"/>
  <c r="T90" i="15" s="1"/>
  <c r="AA35" i="15"/>
  <c r="AY300" i="3"/>
  <c r="V35" i="15" s="1"/>
  <c r="AG301" i="3"/>
  <c r="K37" i="15" s="1"/>
  <c r="L37" i="15" s="1"/>
  <c r="BD301" i="3"/>
  <c r="Z301" i="3"/>
  <c r="AJ301" i="3"/>
  <c r="AT301" i="3"/>
  <c r="AT300" i="3"/>
  <c r="BD300" i="3"/>
  <c r="Z300" i="3"/>
  <c r="AJ300" i="3"/>
  <c r="BA301" i="3"/>
  <c r="Y37" i="15" s="1"/>
  <c r="Z37" i="15" s="1"/>
  <c r="BK301" i="3"/>
  <c r="AF37" i="15" s="1"/>
  <c r="AG37" i="15" s="1"/>
  <c r="AQ301" i="3"/>
  <c r="R37" i="15" s="1"/>
  <c r="S37" i="15" s="1"/>
  <c r="BI300" i="3"/>
  <c r="AC35" i="15" s="1"/>
  <c r="BR300" i="3"/>
  <c r="W35" i="15" s="1"/>
  <c r="X35" i="15" s="1"/>
  <c r="AL61" i="3" l="1"/>
  <c r="AL60" i="3"/>
  <c r="AL59" i="3"/>
  <c r="AL58" i="3"/>
  <c r="O79" i="15" l="1"/>
  <c r="AC78" i="15"/>
  <c r="V78" i="15"/>
  <c r="O78" i="15"/>
  <c r="H79" i="15"/>
  <c r="H78" i="15"/>
  <c r="F79" i="15"/>
  <c r="F78" i="15"/>
  <c r="D79" i="15"/>
  <c r="D78" i="15"/>
  <c r="AL73" i="3" l="1"/>
  <c r="AL72" i="3"/>
  <c r="AL70" i="3"/>
  <c r="AL67" i="3"/>
  <c r="AL41" i="3" l="1"/>
  <c r="AL40" i="3"/>
  <c r="AL139" i="3" l="1"/>
  <c r="O264" i="15" s="1"/>
  <c r="AL110" i="3" l="1"/>
  <c r="AM109" i="3"/>
  <c r="AL109" i="3"/>
  <c r="AL108" i="3" l="1"/>
  <c r="AM102" i="3"/>
  <c r="AL155" i="3" l="1"/>
  <c r="AL152" i="3"/>
  <c r="AN152" i="3" s="1"/>
  <c r="AL151" i="3"/>
  <c r="AL149" i="3"/>
  <c r="AM176" i="3" l="1"/>
  <c r="AL176" i="3" s="1"/>
  <c r="BO291" i="3" l="1"/>
  <c r="BM291" i="3"/>
  <c r="AP291" i="3"/>
  <c r="AN291" i="3"/>
  <c r="AF291" i="3"/>
  <c r="AD291" i="3"/>
  <c r="AA291" i="3"/>
  <c r="AE291" i="3" s="1"/>
  <c r="W291" i="3"/>
  <c r="AV291" i="3" s="1"/>
  <c r="V79" i="15" s="1"/>
  <c r="V291" i="3"/>
  <c r="BT290" i="3"/>
  <c r="AD78" i="15" s="1"/>
  <c r="BS290" i="3"/>
  <c r="BR290" i="3"/>
  <c r="W78" i="15" s="1"/>
  <c r="X78" i="15" s="1"/>
  <c r="BQ290" i="3"/>
  <c r="BP290" i="3"/>
  <c r="P78" i="15" s="1"/>
  <c r="BO290" i="3"/>
  <c r="BM290" i="3"/>
  <c r="BJ290" i="3"/>
  <c r="BI290" i="3"/>
  <c r="BH290" i="3"/>
  <c r="AZ290" i="3"/>
  <c r="AY290" i="3"/>
  <c r="AX290" i="3"/>
  <c r="AP290" i="3"/>
  <c r="AF290" i="3"/>
  <c r="AD290" i="3"/>
  <c r="AA290" i="3"/>
  <c r="W290" i="3"/>
  <c r="V290" i="3"/>
  <c r="BT98" i="3"/>
  <c r="BS98" i="3"/>
  <c r="BR98" i="3"/>
  <c r="BP98" i="3"/>
  <c r="P77" i="15" s="1"/>
  <c r="Q77" i="15" s="1"/>
  <c r="BI98" i="3"/>
  <c r="BH98" i="3"/>
  <c r="AY98" i="3"/>
  <c r="AO98" i="3"/>
  <c r="AL98" i="3"/>
  <c r="BO98" i="3" s="1"/>
  <c r="AC98" i="3"/>
  <c r="V98" i="3"/>
  <c r="L98" i="3"/>
  <c r="W98" i="3" s="1"/>
  <c r="AV98" i="3" s="1"/>
  <c r="BQ98" i="3" s="1"/>
  <c r="AC97" i="3"/>
  <c r="V97" i="3"/>
  <c r="W97" i="3"/>
  <c r="AV97" i="3" s="1"/>
  <c r="BT96" i="3"/>
  <c r="BS96" i="3"/>
  <c r="BR96" i="3"/>
  <c r="BQ96" i="3"/>
  <c r="BP96" i="3"/>
  <c r="P75" i="15" s="1"/>
  <c r="Q75" i="15" s="1"/>
  <c r="BI96" i="3"/>
  <c r="BH96" i="3"/>
  <c r="AY96" i="3"/>
  <c r="AX96" i="3"/>
  <c r="AO96" i="3"/>
  <c r="AL96" i="3"/>
  <c r="AN96" i="3" s="1"/>
  <c r="AC96" i="3"/>
  <c r="W96" i="3"/>
  <c r="V96" i="3"/>
  <c r="BT95" i="3"/>
  <c r="BS95" i="3"/>
  <c r="BR95" i="3"/>
  <c r="BQ95" i="3"/>
  <c r="BP95" i="3"/>
  <c r="P74" i="15" s="1"/>
  <c r="Q74" i="15" s="1"/>
  <c r="BI95" i="3"/>
  <c r="BH95" i="3"/>
  <c r="AY95" i="3"/>
  <c r="AX95" i="3"/>
  <c r="AO95" i="3"/>
  <c r="AL95" i="3"/>
  <c r="BO95" i="3" s="1"/>
  <c r="AC95" i="3"/>
  <c r="W95" i="3"/>
  <c r="V95" i="3"/>
  <c r="BS94" i="3"/>
  <c r="BQ94" i="3"/>
  <c r="BO94" i="3"/>
  <c r="BN94" i="3"/>
  <c r="BM94" i="3"/>
  <c r="BJ94" i="3"/>
  <c r="BH94" i="3"/>
  <c r="AZ94" i="3"/>
  <c r="AX94" i="3"/>
  <c r="AP94" i="3"/>
  <c r="AN94" i="3"/>
  <c r="AF94" i="3"/>
  <c r="AE94" i="3"/>
  <c r="H84" i="15" s="1"/>
  <c r="AD94" i="3"/>
  <c r="V94" i="3"/>
  <c r="BQ93" i="3"/>
  <c r="AX93" i="3"/>
  <c r="AM93" i="3"/>
  <c r="AM325" i="3" s="1"/>
  <c r="AN326" i="3" s="1"/>
  <c r="AP326" i="3" s="1"/>
  <c r="BO93" i="3"/>
  <c r="AC93" i="3"/>
  <c r="V93" i="3"/>
  <c r="L93" i="3"/>
  <c r="W93" i="3" s="1"/>
  <c r="BN92" i="3"/>
  <c r="BM92" i="3"/>
  <c r="AF92" i="3"/>
  <c r="AE92" i="3"/>
  <c r="AD92" i="3"/>
  <c r="V92" i="3"/>
  <c r="W92" i="3"/>
  <c r="AI92" i="3" s="1"/>
  <c r="V91" i="3"/>
  <c r="AE96" i="3" l="1"/>
  <c r="AZ291" i="3"/>
  <c r="AX98" i="3"/>
  <c r="BQ291" i="3"/>
  <c r="AX291" i="3"/>
  <c r="BE97" i="3"/>
  <c r="BF97" i="3" s="1"/>
  <c r="AE290" i="3"/>
  <c r="BK291" i="3"/>
  <c r="AF79" i="15" s="1"/>
  <c r="AG79" i="15" s="1"/>
  <c r="AG98" i="3"/>
  <c r="BK290" i="3"/>
  <c r="AF78" i="15" s="1"/>
  <c r="AG78" i="15" s="1"/>
  <c r="Y93" i="3"/>
  <c r="AA98" i="3"/>
  <c r="AT291" i="3"/>
  <c r="BD291" i="3"/>
  <c r="Z291" i="3"/>
  <c r="AJ291" i="3"/>
  <c r="AT91" i="3"/>
  <c r="Z91" i="3"/>
  <c r="BD91" i="3"/>
  <c r="AJ91" i="3"/>
  <c r="AT94" i="3"/>
  <c r="Z94" i="3"/>
  <c r="BD94" i="3"/>
  <c r="AJ94" i="3"/>
  <c r="AT290" i="3"/>
  <c r="BD290" i="3"/>
  <c r="AJ290" i="3"/>
  <c r="Z290" i="3"/>
  <c r="Z95" i="3"/>
  <c r="BD95" i="3"/>
  <c r="AT95" i="3"/>
  <c r="AJ95" i="3"/>
  <c r="BD96" i="3"/>
  <c r="Z96" i="3"/>
  <c r="AJ96" i="3"/>
  <c r="AT96" i="3"/>
  <c r="AT98" i="3"/>
  <c r="Z98" i="3"/>
  <c r="BD98" i="3"/>
  <c r="AJ98" i="3"/>
  <c r="AT93" i="3"/>
  <c r="BD93" i="3"/>
  <c r="AJ93" i="3"/>
  <c r="Z93" i="3"/>
  <c r="BD97" i="3"/>
  <c r="Z97" i="3"/>
  <c r="AJ97" i="3"/>
  <c r="AT97" i="3"/>
  <c r="AT92" i="3"/>
  <c r="AJ92" i="3"/>
  <c r="BD92" i="3"/>
  <c r="Z92" i="3"/>
  <c r="BA95" i="3"/>
  <c r="AG96" i="3"/>
  <c r="BN96" i="3"/>
  <c r="AQ290" i="3"/>
  <c r="R78" i="15" s="1"/>
  <c r="S78" i="15" s="1"/>
  <c r="BA96" i="3"/>
  <c r="BA94" i="3"/>
  <c r="BA290" i="3"/>
  <c r="Y78" i="15" s="1"/>
  <c r="AG290" i="3"/>
  <c r="K78" i="15" s="1"/>
  <c r="L78" i="15" s="1"/>
  <c r="AU291" i="3"/>
  <c r="AG94" i="3"/>
  <c r="BE94" i="3"/>
  <c r="BP94" i="3"/>
  <c r="BO96" i="3"/>
  <c r="BA291" i="3"/>
  <c r="Y79" i="15" s="1"/>
  <c r="AG291" i="3"/>
  <c r="K79" i="15" s="1"/>
  <c r="L79" i="15" s="1"/>
  <c r="AU94" i="3"/>
  <c r="BE291" i="3"/>
  <c r="AG95" i="3"/>
  <c r="AQ291" i="3"/>
  <c r="R79" i="15" s="1"/>
  <c r="BN290" i="3"/>
  <c r="I78" i="15" s="1"/>
  <c r="AK291" i="3"/>
  <c r="BN291" i="3"/>
  <c r="I79" i="15" s="1"/>
  <c r="BA97" i="3"/>
  <c r="AB97" i="3"/>
  <c r="AG97" i="3"/>
  <c r="AQ97" i="3"/>
  <c r="BK97" i="3"/>
  <c r="AN98" i="3"/>
  <c r="AB96" i="3"/>
  <c r="AP96" i="3" s="1"/>
  <c r="BA98" i="3"/>
  <c r="BK98" i="3"/>
  <c r="AQ96" i="3"/>
  <c r="BK96" i="3"/>
  <c r="AQ98" i="3"/>
  <c r="AB95" i="3"/>
  <c r="AP95" i="3" s="1"/>
  <c r="AQ95" i="3"/>
  <c r="BK95" i="3"/>
  <c r="AN95" i="3"/>
  <c r="AE95" i="3"/>
  <c r="BN95" i="3"/>
  <c r="BA93" i="3"/>
  <c r="AU93" i="3"/>
  <c r="AY93" i="3" s="1"/>
  <c r="AG93" i="3"/>
  <c r="AQ93" i="3"/>
  <c r="AK93" i="3"/>
  <c r="BK93" i="3"/>
  <c r="AN93" i="3"/>
  <c r="BA92" i="3"/>
  <c r="BK92" i="3"/>
  <c r="AG92" i="3"/>
  <c r="AQ92" i="3"/>
  <c r="W91" i="3"/>
  <c r="AV91" i="3" s="1"/>
  <c r="BS97" i="3" l="1"/>
  <c r="BH97" i="3"/>
  <c r="BT291" i="3"/>
  <c r="AD79" i="15" s="1"/>
  <c r="AE79" i="15" s="1"/>
  <c r="BF291" i="3"/>
  <c r="Z78" i="15"/>
  <c r="AA78" i="15" s="1"/>
  <c r="Z79" i="15"/>
  <c r="AA79" i="15" s="1"/>
  <c r="S79" i="15"/>
  <c r="T79" i="15" s="1"/>
  <c r="BQ91" i="3"/>
  <c r="AX91" i="3"/>
  <c r="BC93" i="3"/>
  <c r="AZ93" i="3"/>
  <c r="AU91" i="3"/>
  <c r="AI91" i="3"/>
  <c r="BR94" i="3"/>
  <c r="AY291" i="3"/>
  <c r="AE98" i="3"/>
  <c r="AB98" i="3"/>
  <c r="BJ98" i="3" s="1"/>
  <c r="BN98" i="3"/>
  <c r="BJ96" i="3"/>
  <c r="AY94" i="3"/>
  <c r="BI291" i="3"/>
  <c r="BR291" i="3"/>
  <c r="W79" i="15" s="1"/>
  <c r="X79" i="15" s="1"/>
  <c r="AO94" i="3"/>
  <c r="BI94" i="3"/>
  <c r="BT94" i="3"/>
  <c r="AO291" i="3"/>
  <c r="BP291" i="3"/>
  <c r="P79" i="15" s="1"/>
  <c r="Q79" i="15" s="1"/>
  <c r="BP97" i="3"/>
  <c r="P76" i="15" s="1"/>
  <c r="Q76" i="15" s="1"/>
  <c r="AO97" i="3"/>
  <c r="AL97" i="3"/>
  <c r="AN97" i="3" s="1"/>
  <c r="AD97" i="3"/>
  <c r="BM97" i="3"/>
  <c r="AF97" i="3"/>
  <c r="AF96" i="3"/>
  <c r="BM96" i="3"/>
  <c r="AD96" i="3"/>
  <c r="AZ96" i="3"/>
  <c r="AE97" i="3"/>
  <c r="BN97" i="3"/>
  <c r="BI97" i="3"/>
  <c r="BT97" i="3"/>
  <c r="AZ95" i="3"/>
  <c r="AF95" i="3"/>
  <c r="BM95" i="3"/>
  <c r="AD95" i="3"/>
  <c r="BJ95" i="3"/>
  <c r="BP93" i="3"/>
  <c r="AO93" i="3"/>
  <c r="BN93" i="3"/>
  <c r="AE93" i="3"/>
  <c r="BR93" i="3"/>
  <c r="AL92" i="3"/>
  <c r="BP92" i="3"/>
  <c r="P72" i="15" s="1"/>
  <c r="Q72" i="15" s="1"/>
  <c r="AO92" i="3"/>
  <c r="AQ91" i="3"/>
  <c r="AG91" i="3"/>
  <c r="BK91" i="3"/>
  <c r="BA91" i="3"/>
  <c r="AC79" i="15" l="1"/>
  <c r="BS291" i="3"/>
  <c r="BH291" i="3"/>
  <c r="BJ291" i="3"/>
  <c r="BE93" i="3"/>
  <c r="AD98" i="3"/>
  <c r="AF98" i="3"/>
  <c r="AZ98" i="3"/>
  <c r="AP98" i="3"/>
  <c r="BM98" i="3"/>
  <c r="AP97" i="3"/>
  <c r="AZ97" i="3"/>
  <c r="BO97" i="3"/>
  <c r="BJ97" i="3"/>
  <c r="BM93" i="3"/>
  <c r="AF93" i="3"/>
  <c r="AP93" i="3"/>
  <c r="AD93" i="3"/>
  <c r="BO92" i="3"/>
  <c r="AN92" i="3"/>
  <c r="AP92" i="3"/>
  <c r="AY91" i="3"/>
  <c r="BR91" i="3"/>
  <c r="BP91" i="3"/>
  <c r="P71" i="15" s="1"/>
  <c r="Q71" i="15" s="1"/>
  <c r="AO91" i="3"/>
  <c r="AL91" i="3"/>
  <c r="BI93" i="3" l="1"/>
  <c r="BT93" i="3"/>
  <c r="BO91" i="3"/>
  <c r="AN91" i="3"/>
  <c r="BH93" i="3" l="1"/>
  <c r="BS93" i="3"/>
  <c r="BJ93" i="3"/>
  <c r="AL78" i="3"/>
  <c r="AL76" i="3"/>
  <c r="AL159" i="3" l="1"/>
  <c r="C24" i="26" l="1"/>
  <c r="C28" i="26"/>
  <c r="C19" i="26" l="1"/>
  <c r="C29" i="26"/>
  <c r="AC326" i="15"/>
  <c r="V326" i="15"/>
  <c r="O326" i="15"/>
  <c r="BH11" i="3"/>
  <c r="BH10" i="3"/>
  <c r="AX10" i="3"/>
  <c r="AN10" i="3"/>
  <c r="AC51" i="3" l="1"/>
  <c r="AC47" i="3"/>
  <c r="AC159" i="3"/>
  <c r="AE51" i="3" l="1"/>
  <c r="BT99" i="3"/>
  <c r="BS99" i="3"/>
  <c r="BR99" i="3"/>
  <c r="BQ99" i="3"/>
  <c r="BP99" i="3"/>
  <c r="BO99" i="3"/>
  <c r="BN99" i="3"/>
  <c r="BM99" i="3"/>
  <c r="AD165" i="3" l="1"/>
  <c r="H326" i="15"/>
  <c r="F326" i="15"/>
  <c r="D326" i="15"/>
  <c r="D98" i="15"/>
  <c r="AC160" i="3"/>
  <c r="L184" i="3"/>
  <c r="W184" i="3" s="1"/>
  <c r="AV184" i="3" l="1"/>
  <c r="V87" i="15" s="1"/>
  <c r="BF184" i="3"/>
  <c r="AC87" i="15" s="1"/>
  <c r="D114" i="15"/>
  <c r="D24" i="15"/>
  <c r="AC88" i="15"/>
  <c r="V88" i="15"/>
  <c r="O88" i="15"/>
  <c r="E116" i="15"/>
  <c r="E108" i="15"/>
  <c r="D111" i="15" l="1"/>
  <c r="AB109" i="3"/>
  <c r="L189" i="3" l="1"/>
  <c r="BT189" i="3" l="1"/>
  <c r="AD114" i="15" s="1"/>
  <c r="BS189" i="3"/>
  <c r="BR189" i="3"/>
  <c r="BO189" i="3"/>
  <c r="BI189" i="3"/>
  <c r="AC114" i="15" s="1"/>
  <c r="BH189" i="3"/>
  <c r="AY189" i="3"/>
  <c r="V114" i="15" s="1"/>
  <c r="AN189" i="3"/>
  <c r="W189" i="3"/>
  <c r="V189" i="3"/>
  <c r="AV189" i="3" l="1"/>
  <c r="AX189" i="3" s="1"/>
  <c r="AJ189" i="3"/>
  <c r="AT189" i="3"/>
  <c r="BD189" i="3"/>
  <c r="Z189" i="3"/>
  <c r="BA189" i="3"/>
  <c r="AA189" i="3"/>
  <c r="AG189" i="3"/>
  <c r="K114" i="15" s="1"/>
  <c r="AK189" i="3"/>
  <c r="BP189" i="3" s="1"/>
  <c r="P114" i="15" s="1"/>
  <c r="Q114" i="15" s="1"/>
  <c r="BK189" i="3"/>
  <c r="AF114" i="15" s="1"/>
  <c r="AG114" i="15" s="1"/>
  <c r="AQ189" i="3"/>
  <c r="R114" i="15" s="1"/>
  <c r="L114" i="15" l="1"/>
  <c r="M114" i="15" s="1"/>
  <c r="Y114" i="15"/>
  <c r="Z114" i="15" s="1"/>
  <c r="AA114" i="15" s="1"/>
  <c r="W114" i="15"/>
  <c r="X114" i="15" s="1"/>
  <c r="S114" i="15"/>
  <c r="T114" i="15" s="1"/>
  <c r="BQ189" i="3"/>
  <c r="AB189" i="3"/>
  <c r="BN189" i="3"/>
  <c r="I114" i="15" s="1"/>
  <c r="J114" i="15" s="1"/>
  <c r="AE189" i="3"/>
  <c r="H114" i="15" s="1"/>
  <c r="AO189" i="3"/>
  <c r="O114" i="15" s="1"/>
  <c r="V104" i="3"/>
  <c r="V103" i="3"/>
  <c r="Z103" i="3" l="1"/>
  <c r="BD103" i="3"/>
  <c r="AT103" i="3"/>
  <c r="AJ103" i="3"/>
  <c r="BD104" i="3"/>
  <c r="AT104" i="3"/>
  <c r="AJ104" i="3"/>
  <c r="Z104" i="3"/>
  <c r="BJ189" i="3"/>
  <c r="AF189" i="3"/>
  <c r="AP189" i="3"/>
  <c r="BM189" i="3"/>
  <c r="AD189" i="3"/>
  <c r="AZ189" i="3"/>
  <c r="AB100" i="3"/>
  <c r="AG184" i="3" l="1"/>
  <c r="K87" i="15" s="1"/>
  <c r="BH185" i="3"/>
  <c r="BS185" i="3"/>
  <c r="BP185" i="3"/>
  <c r="P88" i="15" s="1"/>
  <c r="BO185" i="3"/>
  <c r="BN185" i="3"/>
  <c r="I88" i="15" s="1"/>
  <c r="J88" i="15" s="1"/>
  <c r="AU185" i="3"/>
  <c r="AE185" i="3"/>
  <c r="H88" i="15" s="1"/>
  <c r="AB185" i="3"/>
  <c r="AP185" i="3" s="1"/>
  <c r="BE185" i="3"/>
  <c r="BT185" i="3" s="1"/>
  <c r="AD88" i="15" s="1"/>
  <c r="AE88" i="15" s="1"/>
  <c r="AO185" i="3"/>
  <c r="AN185" i="3"/>
  <c r="W185" i="3"/>
  <c r="V185" i="3"/>
  <c r="AC169" i="3"/>
  <c r="BT184" i="3"/>
  <c r="AD87" i="15" s="1"/>
  <c r="AE87" i="15" s="1"/>
  <c r="BS184" i="3"/>
  <c r="BR184" i="3"/>
  <c r="W87" i="15" s="1"/>
  <c r="X87" i="15" s="1"/>
  <c r="BQ184" i="3"/>
  <c r="BI184" i="3"/>
  <c r="BH184" i="3"/>
  <c r="AY184" i="3"/>
  <c r="AX184" i="3"/>
  <c r="BT165" i="3"/>
  <c r="AD98" i="15" s="1"/>
  <c r="AE98" i="15" s="1"/>
  <c r="BR165" i="3"/>
  <c r="W98" i="15" s="1"/>
  <c r="X98" i="15" s="1"/>
  <c r="BP165" i="3"/>
  <c r="P98" i="15" s="1"/>
  <c r="Q98" i="15" s="1"/>
  <c r="W165" i="3"/>
  <c r="V184" i="3"/>
  <c r="BS165" i="3"/>
  <c r="AD326" i="15" s="1"/>
  <c r="AE326" i="15" s="1"/>
  <c r="BQ165" i="3"/>
  <c r="W326" i="15" s="1"/>
  <c r="X326" i="15" s="1"/>
  <c r="BO165" i="3"/>
  <c r="P326" i="15" s="1"/>
  <c r="Q326" i="15" s="1"/>
  <c r="BM165" i="3"/>
  <c r="I326" i="15" s="1"/>
  <c r="J326" i="15" s="1"/>
  <c r="BJ165" i="3"/>
  <c r="AF326" i="15" s="1"/>
  <c r="AG326" i="15" s="1"/>
  <c r="BI165" i="3"/>
  <c r="AC98" i="15" s="1"/>
  <c r="BH165" i="3"/>
  <c r="AZ165" i="3"/>
  <c r="Y326" i="15" s="1"/>
  <c r="AY165" i="3"/>
  <c r="V98" i="15" s="1"/>
  <c r="AX165" i="3"/>
  <c r="AP165" i="3"/>
  <c r="R326" i="15" s="1"/>
  <c r="AO165" i="3"/>
  <c r="O98" i="15" s="1"/>
  <c r="AN165" i="3"/>
  <c r="AF165" i="3"/>
  <c r="K326" i="15" s="1"/>
  <c r="AC166" i="3"/>
  <c r="V165" i="3"/>
  <c r="AN168" i="3"/>
  <c r="BR185" i="3" l="1"/>
  <c r="W88" i="15" s="1"/>
  <c r="X88" i="15" s="1"/>
  <c r="Z326" i="15"/>
  <c r="AA326" i="15" s="1"/>
  <c r="L326" i="15"/>
  <c r="M326" i="15" s="1"/>
  <c r="S326" i="15"/>
  <c r="T326" i="15" s="1"/>
  <c r="L87" i="15"/>
  <c r="M87" i="15" s="1"/>
  <c r="BA185" i="3"/>
  <c r="Y88" i="15" s="1"/>
  <c r="AT165" i="3"/>
  <c r="BD165" i="3"/>
  <c r="AJ165" i="3"/>
  <c r="Z165" i="3"/>
  <c r="BD185" i="3"/>
  <c r="Z185" i="3"/>
  <c r="AJ185" i="3"/>
  <c r="AT185" i="3"/>
  <c r="AT184" i="3"/>
  <c r="BD184" i="3"/>
  <c r="Z184" i="3"/>
  <c r="AJ184" i="3"/>
  <c r="BI185" i="3"/>
  <c r="BA165" i="3"/>
  <c r="Y98" i="15" s="1"/>
  <c r="AE165" i="3"/>
  <c r="AY185" i="3"/>
  <c r="AG165" i="3"/>
  <c r="K98" i="15" s="1"/>
  <c r="AQ185" i="3"/>
  <c r="R88" i="15" s="1"/>
  <c r="AS185" i="3"/>
  <c r="BJ185" i="3"/>
  <c r="Y185" i="3"/>
  <c r="AD185" i="3" s="1"/>
  <c r="BK185" i="3"/>
  <c r="AF88" i="15" s="1"/>
  <c r="AG88" i="15" s="1"/>
  <c r="AA184" i="3"/>
  <c r="AF185" i="3"/>
  <c r="AZ185" i="3"/>
  <c r="AG185" i="3"/>
  <c r="K88" i="15" s="1"/>
  <c r="AK184" i="3"/>
  <c r="BK184" i="3"/>
  <c r="AF87" i="15" s="1"/>
  <c r="AG87" i="15" s="1"/>
  <c r="AQ184" i="3"/>
  <c r="R87" i="15" s="1"/>
  <c r="BA184" i="3"/>
  <c r="Y87" i="15" s="1"/>
  <c r="BK165" i="3"/>
  <c r="AF98" i="15" s="1"/>
  <c r="AG98" i="15" s="1"/>
  <c r="AQ165" i="3"/>
  <c r="R98" i="15" s="1"/>
  <c r="AB10" i="3"/>
  <c r="AC201" i="15"/>
  <c r="V201" i="15"/>
  <c r="O201" i="15"/>
  <c r="H201" i="15"/>
  <c r="BS68" i="3"/>
  <c r="AD201" i="15" s="1"/>
  <c r="AE201" i="15" s="1"/>
  <c r="BR68" i="3"/>
  <c r="W117" i="15" s="1"/>
  <c r="BQ68" i="3"/>
  <c r="W201" i="15" s="1"/>
  <c r="BP68" i="3"/>
  <c r="P117" i="15" s="1"/>
  <c r="BO68" i="3"/>
  <c r="P201" i="15" s="1"/>
  <c r="BN68" i="3"/>
  <c r="I117" i="15" s="1"/>
  <c r="BM68" i="3"/>
  <c r="I201" i="15" s="1"/>
  <c r="BJ68" i="3"/>
  <c r="AF201" i="15" s="1"/>
  <c r="AG201" i="15" s="1"/>
  <c r="BH68" i="3"/>
  <c r="AZ68" i="3"/>
  <c r="Y201" i="15" s="1"/>
  <c r="Z201" i="15" s="1"/>
  <c r="AY68" i="3"/>
  <c r="V117" i="15" s="1"/>
  <c r="AX68" i="3"/>
  <c r="AP68" i="3"/>
  <c r="R201" i="15" s="1"/>
  <c r="S201" i="15" s="1"/>
  <c r="AO68" i="3"/>
  <c r="O117" i="15" s="1"/>
  <c r="AN68" i="3"/>
  <c r="AF68" i="3"/>
  <c r="K201" i="15" s="1"/>
  <c r="L201" i="15" s="1"/>
  <c r="AE68" i="3"/>
  <c r="H117" i="15" s="1"/>
  <c r="AD68" i="3"/>
  <c r="V68" i="3"/>
  <c r="L68" i="3"/>
  <c r="AB67" i="3"/>
  <c r="AP67" i="3" s="1"/>
  <c r="V67" i="3"/>
  <c r="W67" i="3"/>
  <c r="L88" i="15" l="1"/>
  <c r="M88" i="15" s="1"/>
  <c r="S88" i="15"/>
  <c r="T88" i="15" s="1"/>
  <c r="S98" i="15"/>
  <c r="T98" i="15" s="1"/>
  <c r="L98" i="15"/>
  <c r="M98" i="15" s="1"/>
  <c r="Z87" i="15"/>
  <c r="AA87" i="15" s="1"/>
  <c r="S87" i="15"/>
  <c r="T87" i="15" s="1"/>
  <c r="Z98" i="15"/>
  <c r="AA98" i="15" s="1"/>
  <c r="Z88" i="15"/>
  <c r="AA88" i="15" s="1"/>
  <c r="AE184" i="3"/>
  <c r="H87" i="15" s="1"/>
  <c r="Z67" i="3"/>
  <c r="AT67" i="3"/>
  <c r="AJ67" i="3"/>
  <c r="BD67" i="3"/>
  <c r="AJ68" i="3"/>
  <c r="Z68" i="3"/>
  <c r="BD68" i="3"/>
  <c r="AT68" i="3"/>
  <c r="BP184" i="3"/>
  <c r="P87" i="15" s="1"/>
  <c r="Q87" i="15" s="1"/>
  <c r="AL184" i="3"/>
  <c r="AF10" i="3"/>
  <c r="K152" i="15" s="1"/>
  <c r="AP10" i="3"/>
  <c r="R152" i="15" s="1"/>
  <c r="AZ10" i="3"/>
  <c r="BJ10" i="3"/>
  <c r="W68" i="3"/>
  <c r="BN165" i="3"/>
  <c r="I98" i="15" s="1"/>
  <c r="J98" i="15" s="1"/>
  <c r="H98" i="15"/>
  <c r="AO184" i="3"/>
  <c r="BN184" i="3"/>
  <c r="I87" i="15" s="1"/>
  <c r="J87" i="15" s="1"/>
  <c r="AB184" i="3"/>
  <c r="BM185" i="3"/>
  <c r="BQ185" i="3"/>
  <c r="AX185" i="3"/>
  <c r="BM67" i="3"/>
  <c r="AD67" i="3"/>
  <c r="AF67" i="3"/>
  <c r="BK67" i="3"/>
  <c r="BA67" i="3"/>
  <c r="AG67" i="3"/>
  <c r="AQ67" i="3"/>
  <c r="R116" i="15" s="1"/>
  <c r="BJ67" i="3"/>
  <c r="AZ67" i="3"/>
  <c r="AB41" i="3"/>
  <c r="S116" i="15" l="1"/>
  <c r="T116" i="15" s="1"/>
  <c r="L152" i="15"/>
  <c r="M152" i="15" s="1"/>
  <c r="S152" i="15"/>
  <c r="T152" i="15" s="1"/>
  <c r="BQ67" i="3"/>
  <c r="AX67" i="3"/>
  <c r="BO67" i="3"/>
  <c r="AN67" i="3"/>
  <c r="BA68" i="3"/>
  <c r="Y117" i="15" s="1"/>
  <c r="Z117" i="15" s="1"/>
  <c r="BR67" i="3"/>
  <c r="BT67" i="3"/>
  <c r="BP67" i="3"/>
  <c r="AO67" i="3"/>
  <c r="BE68" i="3"/>
  <c r="BT68" i="3" s="1"/>
  <c r="AD117" i="15" s="1"/>
  <c r="AE117" i="15" s="1"/>
  <c r="O87" i="15"/>
  <c r="BO184" i="3"/>
  <c r="AN184" i="3"/>
  <c r="BK68" i="3"/>
  <c r="AF117" i="15" s="1"/>
  <c r="AG117" i="15" s="1"/>
  <c r="AQ68" i="3"/>
  <c r="R117" i="15" s="1"/>
  <c r="S117" i="15" s="1"/>
  <c r="AG68" i="3"/>
  <c r="K117" i="15" s="1"/>
  <c r="L117" i="15" s="1"/>
  <c r="BM184" i="3"/>
  <c r="AF184" i="3"/>
  <c r="AD184" i="3"/>
  <c r="AZ184" i="3"/>
  <c r="AP184" i="3"/>
  <c r="BJ184" i="3"/>
  <c r="BN67" i="3"/>
  <c r="AE67" i="3"/>
  <c r="AF77" i="3"/>
  <c r="K252" i="15" s="1"/>
  <c r="L252" i="15" s="1"/>
  <c r="BI67" i="3" l="1"/>
  <c r="BS67" i="3"/>
  <c r="BH67" i="3"/>
  <c r="BI68" i="3"/>
  <c r="AC117" i="15" s="1"/>
  <c r="W73" i="3"/>
  <c r="W66" i="3"/>
  <c r="L147" i="3" l="1"/>
  <c r="AA147" i="3" l="1"/>
  <c r="L142" i="3"/>
  <c r="W104" i="3" l="1"/>
  <c r="BT188" i="3"/>
  <c r="AD24" i="15" s="1"/>
  <c r="BS188" i="3"/>
  <c r="BR188" i="3"/>
  <c r="W24" i="15" s="1"/>
  <c r="BQ188" i="3"/>
  <c r="BP188" i="3"/>
  <c r="P24" i="15" s="1"/>
  <c r="Q24" i="15" s="1"/>
  <c r="BO188" i="3"/>
  <c r="BN188" i="3"/>
  <c r="I24" i="15" s="1"/>
  <c r="J24" i="15" s="1"/>
  <c r="BI188" i="3"/>
  <c r="AC24" i="15" s="1"/>
  <c r="BH188" i="3"/>
  <c r="AY188" i="3"/>
  <c r="V24" i="15" s="1"/>
  <c r="AX188" i="3"/>
  <c r="AO188" i="3"/>
  <c r="O24" i="15" s="1"/>
  <c r="AN188" i="3"/>
  <c r="AE188" i="3"/>
  <c r="AB188" i="3"/>
  <c r="V188" i="3"/>
  <c r="AJ188" i="3" l="1"/>
  <c r="AT188" i="3"/>
  <c r="Z188" i="3"/>
  <c r="BD188" i="3"/>
  <c r="AF188" i="3"/>
  <c r="H24" i="15"/>
  <c r="F29" i="26"/>
  <c r="F24" i="26"/>
  <c r="W188" i="3"/>
  <c r="AP188" i="3"/>
  <c r="BJ188" i="3"/>
  <c r="BM188" i="3"/>
  <c r="AZ188" i="3"/>
  <c r="AD188" i="3"/>
  <c r="AG188" i="3" l="1"/>
  <c r="K24" i="15" s="1"/>
  <c r="BK188" i="3"/>
  <c r="AF24" i="15" s="1"/>
  <c r="AG24" i="15" s="1"/>
  <c r="BA188" i="3"/>
  <c r="Y24" i="15" s="1"/>
  <c r="Z24" i="15" s="1"/>
  <c r="AA24" i="15" s="1"/>
  <c r="AQ188" i="3"/>
  <c r="R24" i="15" s="1"/>
  <c r="AC109" i="3"/>
  <c r="S24" i="15" l="1"/>
  <c r="T24" i="15" s="1"/>
  <c r="L24" i="15"/>
  <c r="M24" i="15" s="1"/>
  <c r="W51" i="3"/>
  <c r="AQ51" i="3" l="1"/>
  <c r="AR51" i="3"/>
  <c r="AG51" i="3"/>
  <c r="H90" i="15"/>
  <c r="H92" i="15"/>
  <c r="H91" i="15"/>
  <c r="H19" i="15"/>
  <c r="AB28" i="3"/>
  <c r="AE28" i="3"/>
  <c r="AD182" i="3" l="1"/>
  <c r="BI179" i="3"/>
  <c r="AC106" i="15" s="1"/>
  <c r="O106" i="15"/>
  <c r="AN179" i="3"/>
  <c r="H106" i="15"/>
  <c r="BN140" i="3"/>
  <c r="I30" i="15" s="1"/>
  <c r="AB20" i="3"/>
  <c r="BS11" i="3"/>
  <c r="AD153" i="15" s="1"/>
  <c r="AE153" i="15" s="1"/>
  <c r="BS10" i="3"/>
  <c r="BQ11" i="3"/>
  <c r="W153" i="15" s="1"/>
  <c r="BQ10" i="3"/>
  <c r="BO11" i="3"/>
  <c r="P153" i="15" s="1"/>
  <c r="Q153" i="15" s="1"/>
  <c r="BO10" i="3"/>
  <c r="BM11" i="3"/>
  <c r="I153" i="15" s="1"/>
  <c r="BM10" i="3"/>
  <c r="AB9" i="3"/>
  <c r="AD9" i="3" s="1"/>
  <c r="AD10" i="3"/>
  <c r="AF9" i="3" l="1"/>
  <c r="AB159" i="3"/>
  <c r="AG53" i="3" l="1"/>
  <c r="AF57" i="3"/>
  <c r="AP57" i="3"/>
  <c r="H184" i="15"/>
  <c r="BT51" i="3"/>
  <c r="AD111" i="15" s="1"/>
  <c r="AE111" i="15" s="1"/>
  <c r="BR51" i="3"/>
  <c r="W111" i="15" s="1"/>
  <c r="X111" i="15" s="1"/>
  <c r="BP51" i="3"/>
  <c r="P111" i="15" s="1"/>
  <c r="Q111" i="15" s="1"/>
  <c r="BN51" i="3"/>
  <c r="I111" i="15" s="1"/>
  <c r="J111" i="15" s="1"/>
  <c r="BI51" i="3"/>
  <c r="AC111" i="15" s="1"/>
  <c r="AY51" i="3"/>
  <c r="V111" i="15" s="1"/>
  <c r="AY50" i="3"/>
  <c r="O111" i="15"/>
  <c r="BT53" i="3"/>
  <c r="BR53" i="3"/>
  <c r="BP53" i="3"/>
  <c r="BK53" i="3"/>
  <c r="BI53" i="3"/>
  <c r="BA53" i="3"/>
  <c r="AY53" i="3"/>
  <c r="AQ53" i="3"/>
  <c r="AO53" i="3"/>
  <c r="BN53" i="3"/>
  <c r="AE53" i="3"/>
  <c r="AE54" i="3"/>
  <c r="AD62" i="3"/>
  <c r="AD46" i="3"/>
  <c r="AC42" i="3" l="1"/>
  <c r="AB187" i="3"/>
  <c r="AB169" i="3"/>
  <c r="AB168" i="3"/>
  <c r="AB167" i="3"/>
  <c r="AB166" i="3"/>
  <c r="AB164" i="3"/>
  <c r="AD164" i="3" s="1"/>
  <c r="AB163" i="3"/>
  <c r="AB162" i="3"/>
  <c r="AB161" i="3"/>
  <c r="AB160" i="3"/>
  <c r="AB40" i="3" l="1"/>
  <c r="AC176" i="3" l="1"/>
  <c r="AB176" i="3" l="1"/>
  <c r="AD175" i="3"/>
  <c r="H111" i="15" l="1"/>
  <c r="AB56" i="3"/>
  <c r="AB55" i="3"/>
  <c r="AB53" i="3"/>
  <c r="AB52" i="3"/>
  <c r="AZ52" i="3" s="1"/>
  <c r="AB51" i="3"/>
  <c r="AP51" i="3" s="1"/>
  <c r="AB39" i="3" l="1"/>
  <c r="AB37" i="3"/>
  <c r="BJ37" i="3" l="1"/>
  <c r="AZ37" i="3"/>
  <c r="BJ39" i="3"/>
  <c r="AZ39" i="3"/>
  <c r="AB147" i="3"/>
  <c r="AB143" i="3" l="1"/>
  <c r="H30" i="15"/>
  <c r="AB179" i="3" l="1"/>
  <c r="AD179" i="3" s="1"/>
  <c r="AB108" i="3" l="1"/>
  <c r="AB16" i="3" l="1"/>
  <c r="H45" i="15" s="1"/>
  <c r="AA36" i="3"/>
  <c r="AG32" i="3"/>
  <c r="AB35" i="3"/>
  <c r="AB34" i="3"/>
  <c r="AB33" i="3"/>
  <c r="AB32" i="3"/>
  <c r="AB31" i="3"/>
  <c r="AB30" i="3"/>
  <c r="AB29" i="3"/>
  <c r="AB27" i="3"/>
  <c r="AB26" i="3"/>
  <c r="AB25" i="3"/>
  <c r="AB24" i="3"/>
  <c r="AB23" i="3"/>
  <c r="AB22" i="3"/>
  <c r="AB21" i="3"/>
  <c r="AB19" i="3"/>
  <c r="AZ19" i="3" s="1"/>
  <c r="AB18" i="3"/>
  <c r="H47" i="15" s="1"/>
  <c r="AB17" i="3"/>
  <c r="H46" i="15" s="1"/>
  <c r="AB15" i="3" l="1"/>
  <c r="H44" i="15" s="1"/>
  <c r="AB73" i="3"/>
  <c r="AB72" i="3"/>
  <c r="AB70" i="3"/>
  <c r="AB61" i="3" l="1"/>
  <c r="AB60" i="3"/>
  <c r="AB59" i="3"/>
  <c r="AB58" i="3"/>
  <c r="AC146" i="3" l="1"/>
  <c r="AB146" i="3"/>
  <c r="H125" i="15" s="1"/>
  <c r="AB144" i="3"/>
  <c r="AC326" i="3" l="1"/>
  <c r="AF144" i="3"/>
  <c r="AP144" i="3"/>
  <c r="AB110" i="3"/>
  <c r="BC182" i="3" l="1"/>
  <c r="AS182" i="3"/>
  <c r="U182" i="3"/>
  <c r="M182" i="3"/>
  <c r="M180" i="3"/>
  <c r="U180" i="3" s="1"/>
  <c r="AP182" i="3" l="1"/>
  <c r="AZ182" i="3"/>
  <c r="AF182" i="3"/>
  <c r="BJ182" i="3"/>
  <c r="AN182" i="3"/>
  <c r="BQ182" i="3"/>
  <c r="AX182" i="3"/>
  <c r="AP180" i="3"/>
  <c r="BJ180" i="3"/>
  <c r="AF180" i="3"/>
  <c r="AZ180" i="3"/>
  <c r="BS182" i="3"/>
  <c r="BH182" i="3"/>
  <c r="BC180" i="3"/>
  <c r="BS180" i="3" s="1"/>
  <c r="BH180" i="3" l="1"/>
  <c r="BQ180" i="3"/>
  <c r="AN180" i="3"/>
  <c r="V151" i="3"/>
  <c r="AT151" i="3" l="1"/>
  <c r="Z151" i="3"/>
  <c r="BD151" i="3"/>
  <c r="AJ151" i="3"/>
  <c r="AC90" i="15"/>
  <c r="BR150" i="22" l="1"/>
  <c r="BO150" i="22"/>
  <c r="BN150" i="22"/>
  <c r="BM150" i="22"/>
  <c r="BL150" i="22"/>
  <c r="BK150" i="22"/>
  <c r="BJ150" i="22"/>
  <c r="BH150" i="22"/>
  <c r="BF150" i="22"/>
  <c r="BE150" i="22"/>
  <c r="BD150" i="22"/>
  <c r="AW150" i="22"/>
  <c r="AV150" i="22"/>
  <c r="AU150" i="22"/>
  <c r="AN150" i="22"/>
  <c r="AM150" i="22"/>
  <c r="AL150" i="22"/>
  <c r="AE150" i="22"/>
  <c r="AC150" i="22"/>
  <c r="V150" i="22"/>
  <c r="BG150" i="22" s="1"/>
  <c r="U150" i="22"/>
  <c r="BS150" i="22" s="1"/>
  <c r="BR149" i="22"/>
  <c r="BO149" i="22"/>
  <c r="BN149" i="22"/>
  <c r="BM149" i="22"/>
  <c r="BL149" i="22"/>
  <c r="BK149" i="22"/>
  <c r="BJ149" i="22"/>
  <c r="BH149" i="22"/>
  <c r="BF149" i="22"/>
  <c r="BE149" i="22"/>
  <c r="BD149" i="22"/>
  <c r="AW149" i="22"/>
  <c r="AV149" i="22"/>
  <c r="AU149" i="22"/>
  <c r="AN149" i="22"/>
  <c r="AM149" i="22"/>
  <c r="AL149" i="22"/>
  <c r="AE149" i="22"/>
  <c r="AC149" i="22"/>
  <c r="V149" i="22"/>
  <c r="BG149" i="22" s="1"/>
  <c r="U149" i="22"/>
  <c r="BS149" i="22" s="1"/>
  <c r="BR148" i="22"/>
  <c r="BO148" i="22"/>
  <c r="BN148" i="22"/>
  <c r="BM148" i="22"/>
  <c r="BL148" i="22"/>
  <c r="BK148" i="22"/>
  <c r="BJ148" i="22"/>
  <c r="BH148" i="22"/>
  <c r="BF148" i="22"/>
  <c r="BE148" i="22"/>
  <c r="BD148" i="22"/>
  <c r="AW148" i="22"/>
  <c r="AV148" i="22"/>
  <c r="AU148" i="22"/>
  <c r="AN148" i="22"/>
  <c r="AM148" i="22"/>
  <c r="AL148" i="22"/>
  <c r="AE148" i="22"/>
  <c r="AC148" i="22"/>
  <c r="V148" i="22"/>
  <c r="AX148" i="22" s="1"/>
  <c r="U148" i="22"/>
  <c r="BS148" i="22" s="1"/>
  <c r="BT147" i="22"/>
  <c r="BR147" i="22"/>
  <c r="BT146" i="22"/>
  <c r="BR146" i="22"/>
  <c r="BO146" i="22"/>
  <c r="BN146" i="22"/>
  <c r="BM146" i="22"/>
  <c r="BL146" i="22"/>
  <c r="BK146" i="22"/>
  <c r="BJ146" i="22"/>
  <c r="BI146" i="22"/>
  <c r="BH146" i="22"/>
  <c r="BF146" i="22"/>
  <c r="BE146" i="22"/>
  <c r="BD146" i="22"/>
  <c r="AW146" i="22"/>
  <c r="AV146" i="22"/>
  <c r="AU146" i="22"/>
  <c r="AN146" i="22"/>
  <c r="AM146" i="22"/>
  <c r="AL146" i="22"/>
  <c r="AE146" i="22"/>
  <c r="AD146" i="22"/>
  <c r="AC146" i="22"/>
  <c r="V146" i="22"/>
  <c r="AO146" i="22" s="1"/>
  <c r="U146" i="22"/>
  <c r="BS146" i="22" s="1"/>
  <c r="BT145" i="22"/>
  <c r="BR145" i="22"/>
  <c r="BT144" i="22"/>
  <c r="BR144" i="22"/>
  <c r="BO144" i="22"/>
  <c r="BN144" i="22"/>
  <c r="BM144" i="22"/>
  <c r="BL144" i="22"/>
  <c r="BK144" i="22"/>
  <c r="BJ144" i="22"/>
  <c r="BI144" i="22"/>
  <c r="BH144" i="22"/>
  <c r="BF144" i="22"/>
  <c r="BE144" i="22"/>
  <c r="BD144" i="22"/>
  <c r="AW144" i="22"/>
  <c r="AV144" i="22"/>
  <c r="AU144" i="22"/>
  <c r="AO144" i="22"/>
  <c r="AN144" i="22"/>
  <c r="AM144" i="22"/>
  <c r="AL144" i="22"/>
  <c r="AF144" i="22"/>
  <c r="AE144" i="22"/>
  <c r="AD144" i="22"/>
  <c r="AC144" i="22"/>
  <c r="V144" i="22"/>
  <c r="AX144" i="22" s="1"/>
  <c r="U144" i="22"/>
  <c r="BS144" i="22" s="1"/>
  <c r="BT143" i="22"/>
  <c r="BR143" i="22"/>
  <c r="BO143" i="22"/>
  <c r="BN143" i="22"/>
  <c r="BM143" i="22"/>
  <c r="BL143" i="22"/>
  <c r="BK143" i="22"/>
  <c r="BJ143" i="22"/>
  <c r="BI143" i="22"/>
  <c r="BH143" i="22"/>
  <c r="BF143" i="22"/>
  <c r="BE143" i="22"/>
  <c r="BD143" i="22"/>
  <c r="AW143" i="22"/>
  <c r="AV143" i="22"/>
  <c r="AU143" i="22"/>
  <c r="AN143" i="22"/>
  <c r="AM143" i="22"/>
  <c r="AL143" i="22"/>
  <c r="AE143" i="22"/>
  <c r="AD143" i="22"/>
  <c r="AC143" i="22"/>
  <c r="V143" i="22"/>
  <c r="BG143" i="22" s="1"/>
  <c r="U143" i="22"/>
  <c r="BS143" i="22" s="1"/>
  <c r="BT142" i="22"/>
  <c r="BR142" i="22"/>
  <c r="BO142" i="22"/>
  <c r="BN142" i="22"/>
  <c r="BM142" i="22"/>
  <c r="BL142" i="22"/>
  <c r="BK142" i="22"/>
  <c r="BJ142" i="22"/>
  <c r="BI142" i="22"/>
  <c r="BH142" i="22"/>
  <c r="BF142" i="22"/>
  <c r="BE142" i="22"/>
  <c r="BD142" i="22"/>
  <c r="AW142" i="22"/>
  <c r="AV142" i="22"/>
  <c r="AU142" i="22"/>
  <c r="AN142" i="22"/>
  <c r="AM142" i="22"/>
  <c r="AL142" i="22"/>
  <c r="AE142" i="22"/>
  <c r="AD142" i="22"/>
  <c r="AC142" i="22"/>
  <c r="V142" i="22"/>
  <c r="BG142" i="22" s="1"/>
  <c r="U142" i="22"/>
  <c r="BS142" i="22" s="1"/>
  <c r="BT141" i="22"/>
  <c r="BR141" i="22"/>
  <c r="BO141" i="22"/>
  <c r="BN141" i="22"/>
  <c r="BM141" i="22"/>
  <c r="BL141" i="22"/>
  <c r="BK141" i="22"/>
  <c r="BJ141" i="22"/>
  <c r="BI141" i="22"/>
  <c r="BH141" i="22"/>
  <c r="BF141" i="22"/>
  <c r="BE141" i="22"/>
  <c r="BD141" i="22"/>
  <c r="AW141" i="22"/>
  <c r="AV141" i="22"/>
  <c r="AU141" i="22"/>
  <c r="AN141" i="22"/>
  <c r="AM141" i="22"/>
  <c r="AL141" i="22"/>
  <c r="AE141" i="22"/>
  <c r="AD141" i="22"/>
  <c r="AC141" i="22"/>
  <c r="V141" i="22"/>
  <c r="BG141" i="22" s="1"/>
  <c r="U141" i="22"/>
  <c r="BS141" i="22" s="1"/>
  <c r="BT140" i="22"/>
  <c r="BR140" i="22"/>
  <c r="BO140" i="22"/>
  <c r="BN140" i="22"/>
  <c r="BM140" i="22"/>
  <c r="BL140" i="22"/>
  <c r="BK140" i="22"/>
  <c r="BJ140" i="22"/>
  <c r="BI140" i="22"/>
  <c r="BH140" i="22"/>
  <c r="BF140" i="22"/>
  <c r="BE140" i="22"/>
  <c r="BD140" i="22"/>
  <c r="AW140" i="22"/>
  <c r="AV140" i="22"/>
  <c r="AU140" i="22"/>
  <c r="AN140" i="22"/>
  <c r="AM140" i="22"/>
  <c r="AL140" i="22"/>
  <c r="AE140" i="22"/>
  <c r="AD140" i="22"/>
  <c r="AC140" i="22"/>
  <c r="V140" i="22"/>
  <c r="BG140" i="22" s="1"/>
  <c r="U140" i="22"/>
  <c r="BS140" i="22" s="1"/>
  <c r="BT139" i="22"/>
  <c r="BR139" i="22"/>
  <c r="BO139" i="22"/>
  <c r="BN139" i="22"/>
  <c r="BM139" i="22"/>
  <c r="BL139" i="22"/>
  <c r="BK139" i="22"/>
  <c r="BJ139" i="22"/>
  <c r="BI139" i="22"/>
  <c r="BH139" i="22"/>
  <c r="BF139" i="22"/>
  <c r="BE139" i="22"/>
  <c r="BD139" i="22"/>
  <c r="AW139" i="22"/>
  <c r="AV139" i="22"/>
  <c r="AU139" i="22"/>
  <c r="AN139" i="22"/>
  <c r="AM139" i="22"/>
  <c r="AL139" i="22"/>
  <c r="AE139" i="22"/>
  <c r="AD139" i="22"/>
  <c r="AC139" i="22"/>
  <c r="V139" i="22"/>
  <c r="AO139" i="22" s="1"/>
  <c r="U139" i="22"/>
  <c r="BS139" i="22" s="1"/>
  <c r="BT138" i="22"/>
  <c r="BR138" i="22"/>
  <c r="BO138" i="22"/>
  <c r="BN138" i="22"/>
  <c r="BM138" i="22"/>
  <c r="BL138" i="22"/>
  <c r="BK138" i="22"/>
  <c r="BJ138" i="22"/>
  <c r="BI138" i="22"/>
  <c r="BH138" i="22"/>
  <c r="BF138" i="22"/>
  <c r="BE138" i="22"/>
  <c r="BD138" i="22"/>
  <c r="AW138" i="22"/>
  <c r="AV138" i="22"/>
  <c r="AU138" i="22"/>
  <c r="AN138" i="22"/>
  <c r="AM138" i="22"/>
  <c r="AL138" i="22"/>
  <c r="AE138" i="22"/>
  <c r="AD138" i="22"/>
  <c r="AC138" i="22"/>
  <c r="V138" i="22"/>
  <c r="BG138" i="22" s="1"/>
  <c r="U138" i="22"/>
  <c r="BS138" i="22" s="1"/>
  <c r="BT137" i="22"/>
  <c r="BR137" i="22"/>
  <c r="BO137" i="22"/>
  <c r="BN137" i="22"/>
  <c r="BM137" i="22"/>
  <c r="BL137" i="22"/>
  <c r="BK137" i="22"/>
  <c r="BJ137" i="22"/>
  <c r="BI137" i="22"/>
  <c r="BH137" i="22"/>
  <c r="BF137" i="22"/>
  <c r="BE137" i="22"/>
  <c r="BD137" i="22"/>
  <c r="AW137" i="22"/>
  <c r="AV137" i="22"/>
  <c r="AU137" i="22"/>
  <c r="AN137" i="22"/>
  <c r="AM137" i="22"/>
  <c r="AL137" i="22"/>
  <c r="AE137" i="22"/>
  <c r="AD137" i="22"/>
  <c r="AC137" i="22"/>
  <c r="V137" i="22"/>
  <c r="BG137" i="22" s="1"/>
  <c r="U137" i="22"/>
  <c r="BS137" i="22" s="1"/>
  <c r="BT136" i="22"/>
  <c r="BR136" i="22"/>
  <c r="BO136" i="22"/>
  <c r="BN136" i="22"/>
  <c r="BM136" i="22"/>
  <c r="BL136" i="22"/>
  <c r="BK136" i="22"/>
  <c r="BJ136" i="22"/>
  <c r="BI136" i="22"/>
  <c r="BH136" i="22"/>
  <c r="BF136" i="22"/>
  <c r="BE136" i="22"/>
  <c r="BD136" i="22"/>
  <c r="AW136" i="22"/>
  <c r="AV136" i="22"/>
  <c r="AU136" i="22"/>
  <c r="AN136" i="22"/>
  <c r="AM136" i="22"/>
  <c r="AL136" i="22"/>
  <c r="AE136" i="22"/>
  <c r="AD136" i="22"/>
  <c r="AC136" i="22"/>
  <c r="V136" i="22"/>
  <c r="BG136" i="22" s="1"/>
  <c r="U136" i="22"/>
  <c r="BS136" i="22" s="1"/>
  <c r="BT135" i="22"/>
  <c r="BR135" i="22"/>
  <c r="BO135" i="22"/>
  <c r="BN135" i="22"/>
  <c r="BM135" i="22"/>
  <c r="BL135" i="22"/>
  <c r="BK135" i="22"/>
  <c r="BJ135" i="22"/>
  <c r="BI135" i="22"/>
  <c r="BH135" i="22"/>
  <c r="BF135" i="22"/>
  <c r="BE135" i="22"/>
  <c r="BD135" i="22"/>
  <c r="AW135" i="22"/>
  <c r="AV135" i="22"/>
  <c r="AU135" i="22"/>
  <c r="AN135" i="22"/>
  <c r="AM135" i="22"/>
  <c r="AL135" i="22"/>
  <c r="AE135" i="22"/>
  <c r="AD135" i="22"/>
  <c r="AC135" i="22"/>
  <c r="V135" i="22"/>
  <c r="BG135" i="22" s="1"/>
  <c r="U135" i="22"/>
  <c r="BS135" i="22" s="1"/>
  <c r="BT134" i="22"/>
  <c r="BR134" i="22"/>
  <c r="BO134" i="22"/>
  <c r="BN134" i="22"/>
  <c r="BM134" i="22"/>
  <c r="BL134" i="22"/>
  <c r="BK134" i="22"/>
  <c r="BJ134" i="22"/>
  <c r="BI134" i="22"/>
  <c r="BH134" i="22"/>
  <c r="BF134" i="22"/>
  <c r="BE134" i="22"/>
  <c r="BD134" i="22"/>
  <c r="AW134" i="22"/>
  <c r="AV134" i="22"/>
  <c r="AU134" i="22"/>
  <c r="AN134" i="22"/>
  <c r="AM134" i="22"/>
  <c r="AL134" i="22"/>
  <c r="AE134" i="22"/>
  <c r="AD134" i="22"/>
  <c r="AC134" i="22"/>
  <c r="V134" i="22"/>
  <c r="BG134" i="22" s="1"/>
  <c r="U134" i="22"/>
  <c r="BS134" i="22" s="1"/>
  <c r="BR133" i="22"/>
  <c r="BO133" i="22"/>
  <c r="BN133" i="22"/>
  <c r="BM133" i="22"/>
  <c r="BL133" i="22"/>
  <c r="BK133" i="22"/>
  <c r="BJ133" i="22"/>
  <c r="BH133" i="22"/>
  <c r="BF133" i="22"/>
  <c r="BE133" i="22"/>
  <c r="BD133" i="22"/>
  <c r="AW133" i="22"/>
  <c r="AV133" i="22"/>
  <c r="AU133" i="22"/>
  <c r="AN133" i="22"/>
  <c r="AM133" i="22"/>
  <c r="AL133" i="22"/>
  <c r="AE133" i="22"/>
  <c r="AC133" i="22"/>
  <c r="V133" i="22"/>
  <c r="BG133" i="22" s="1"/>
  <c r="U133" i="22"/>
  <c r="BS133" i="22" s="1"/>
  <c r="BT132" i="22"/>
  <c r="BR132" i="22"/>
  <c r="BO132" i="22"/>
  <c r="BN132" i="22"/>
  <c r="BM132" i="22"/>
  <c r="BL132" i="22"/>
  <c r="BK132" i="22"/>
  <c r="BJ132" i="22"/>
  <c r="BI132" i="22"/>
  <c r="BH132" i="22"/>
  <c r="BF132" i="22"/>
  <c r="BE132" i="22"/>
  <c r="BD132" i="22"/>
  <c r="AW132" i="22"/>
  <c r="AV132" i="22"/>
  <c r="AU132" i="22"/>
  <c r="AN132" i="22"/>
  <c r="AM132" i="22"/>
  <c r="AL132" i="22"/>
  <c r="AE132" i="22"/>
  <c r="AD132" i="22"/>
  <c r="AC132" i="22"/>
  <c r="V132" i="22"/>
  <c r="BG132" i="22" s="1"/>
  <c r="U132" i="22"/>
  <c r="BS132" i="22" s="1"/>
  <c r="BT131" i="22"/>
  <c r="BR131" i="22"/>
  <c r="BO131" i="22"/>
  <c r="BN131" i="22"/>
  <c r="BM131" i="22"/>
  <c r="BL131" i="22"/>
  <c r="BK131" i="22"/>
  <c r="BJ131" i="22"/>
  <c r="BI131" i="22"/>
  <c r="BH131" i="22"/>
  <c r="BF131" i="22"/>
  <c r="BE131" i="22"/>
  <c r="BD131" i="22"/>
  <c r="AW131" i="22"/>
  <c r="AV131" i="22"/>
  <c r="AU131" i="22"/>
  <c r="AN131" i="22"/>
  <c r="AM131" i="22"/>
  <c r="AL131" i="22"/>
  <c r="AE131" i="22"/>
  <c r="AD131" i="22"/>
  <c r="AC131" i="22"/>
  <c r="V131" i="22"/>
  <c r="BG131" i="22" s="1"/>
  <c r="U131" i="22"/>
  <c r="BS131" i="22" s="1"/>
  <c r="BR130" i="22"/>
  <c r="BO130" i="22"/>
  <c r="BN130" i="22"/>
  <c r="BM130" i="22"/>
  <c r="BL130" i="22"/>
  <c r="BK130" i="22"/>
  <c r="BJ130" i="22"/>
  <c r="BH130" i="22"/>
  <c r="BF130" i="22"/>
  <c r="BE130" i="22"/>
  <c r="BD130" i="22"/>
  <c r="AW130" i="22"/>
  <c r="AV130" i="22"/>
  <c r="AU130" i="22"/>
  <c r="AN130" i="22"/>
  <c r="AM130" i="22"/>
  <c r="AL130" i="22"/>
  <c r="AF130" i="22"/>
  <c r="AE130" i="22"/>
  <c r="AC130" i="22"/>
  <c r="V130" i="22"/>
  <c r="BG130" i="22" s="1"/>
  <c r="U130" i="22"/>
  <c r="BS130" i="22" s="1"/>
  <c r="BT129" i="22"/>
  <c r="BR129" i="22"/>
  <c r="BO129" i="22"/>
  <c r="BN129" i="22"/>
  <c r="BM129" i="22"/>
  <c r="BL129" i="22"/>
  <c r="BK129" i="22"/>
  <c r="BJ129" i="22"/>
  <c r="BI129" i="22"/>
  <c r="BH129" i="22"/>
  <c r="BF129" i="22"/>
  <c r="BE129" i="22"/>
  <c r="BD129" i="22"/>
  <c r="AW129" i="22"/>
  <c r="AV129" i="22"/>
  <c r="AU129" i="22"/>
  <c r="AN129" i="22"/>
  <c r="AM129" i="22"/>
  <c r="AL129" i="22"/>
  <c r="AE129" i="22"/>
  <c r="AD129" i="22"/>
  <c r="AC129" i="22"/>
  <c r="V129" i="22"/>
  <c r="BG129" i="22" s="1"/>
  <c r="U129" i="22"/>
  <c r="BS129" i="22" s="1"/>
  <c r="BT128" i="22"/>
  <c r="BR128" i="22"/>
  <c r="BO128" i="22"/>
  <c r="BN128" i="22"/>
  <c r="BM128" i="22"/>
  <c r="BL128" i="22"/>
  <c r="BK128" i="22"/>
  <c r="BJ128" i="22"/>
  <c r="BI128" i="22"/>
  <c r="BH128" i="22"/>
  <c r="BF128" i="22"/>
  <c r="BE128" i="22"/>
  <c r="BD128" i="22"/>
  <c r="AW128" i="22"/>
  <c r="AV128" i="22"/>
  <c r="AU128" i="22"/>
  <c r="AN128" i="22"/>
  <c r="AM128" i="22"/>
  <c r="AL128" i="22"/>
  <c r="AE128" i="22"/>
  <c r="AD128" i="22"/>
  <c r="AC128" i="22"/>
  <c r="V128" i="22"/>
  <c r="BG128" i="22" s="1"/>
  <c r="U128" i="22"/>
  <c r="BS128" i="22" s="1"/>
  <c r="BT127" i="22"/>
  <c r="BR127" i="22"/>
  <c r="BO127" i="22"/>
  <c r="BN127" i="22"/>
  <c r="BM127" i="22"/>
  <c r="BL127" i="22"/>
  <c r="BK127" i="22"/>
  <c r="BJ127" i="22"/>
  <c r="BI127" i="22"/>
  <c r="BH127" i="22"/>
  <c r="BF127" i="22"/>
  <c r="BE127" i="22"/>
  <c r="BD127" i="22"/>
  <c r="AW127" i="22"/>
  <c r="AV127" i="22"/>
  <c r="AU127" i="22"/>
  <c r="AN127" i="22"/>
  <c r="AM127" i="22"/>
  <c r="AL127" i="22"/>
  <c r="AE127" i="22"/>
  <c r="AD127" i="22"/>
  <c r="AC127" i="22"/>
  <c r="V127" i="22"/>
  <c r="BG127" i="22" s="1"/>
  <c r="U127" i="22"/>
  <c r="BS127" i="22" s="1"/>
  <c r="BT126" i="22"/>
  <c r="BR126" i="22"/>
  <c r="BO126" i="22"/>
  <c r="BN126" i="22"/>
  <c r="BM126" i="22"/>
  <c r="BL126" i="22"/>
  <c r="BK126" i="22"/>
  <c r="BJ126" i="22"/>
  <c r="BI126" i="22"/>
  <c r="BH126" i="22"/>
  <c r="BF126" i="22"/>
  <c r="BE126" i="22"/>
  <c r="BD126" i="22"/>
  <c r="AW126" i="22"/>
  <c r="AV126" i="22"/>
  <c r="AU126" i="22"/>
  <c r="AN126" i="22"/>
  <c r="AM126" i="22"/>
  <c r="AL126" i="22"/>
  <c r="AE126" i="22"/>
  <c r="AD126" i="22"/>
  <c r="AC126" i="22"/>
  <c r="V126" i="22"/>
  <c r="BG126" i="22" s="1"/>
  <c r="U126" i="22"/>
  <c r="BS126" i="22" s="1"/>
  <c r="BR125" i="22"/>
  <c r="BO125" i="22"/>
  <c r="BN125" i="22"/>
  <c r="BM125" i="22"/>
  <c r="BL125" i="22"/>
  <c r="BK125" i="22"/>
  <c r="BJ125" i="22"/>
  <c r="BH125" i="22"/>
  <c r="BF125" i="22"/>
  <c r="BE125" i="22"/>
  <c r="BD125" i="22"/>
  <c r="AW125" i="22"/>
  <c r="AV125" i="22"/>
  <c r="AU125" i="22"/>
  <c r="AN125" i="22"/>
  <c r="AM125" i="22"/>
  <c r="AL125" i="22"/>
  <c r="AE125" i="22"/>
  <c r="AC125" i="22"/>
  <c r="V125" i="22"/>
  <c r="Z125" i="22" s="1"/>
  <c r="U125" i="22"/>
  <c r="BS125" i="22" s="1"/>
  <c r="BR124" i="22"/>
  <c r="BO124" i="22"/>
  <c r="BN124" i="22"/>
  <c r="BM124" i="22"/>
  <c r="BL124" i="22"/>
  <c r="BK124" i="22"/>
  <c r="BJ124" i="22"/>
  <c r="BH124" i="22"/>
  <c r="BF124" i="22"/>
  <c r="BE124" i="22"/>
  <c r="BD124" i="22"/>
  <c r="AW124" i="22"/>
  <c r="AV124" i="22"/>
  <c r="AU124" i="22"/>
  <c r="AN124" i="22"/>
  <c r="AM124" i="22"/>
  <c r="AL124" i="22"/>
  <c r="AE124" i="22"/>
  <c r="AC124" i="22"/>
  <c r="V124" i="22"/>
  <c r="BG124" i="22" s="1"/>
  <c r="U124" i="22"/>
  <c r="BS124" i="22" s="1"/>
  <c r="BT123" i="22"/>
  <c r="BR123" i="22"/>
  <c r="BO123" i="22"/>
  <c r="BN123" i="22"/>
  <c r="BM123" i="22"/>
  <c r="BL123" i="22"/>
  <c r="BK123" i="22"/>
  <c r="BJ123" i="22"/>
  <c r="BI123" i="22"/>
  <c r="BH123" i="22"/>
  <c r="BF123" i="22"/>
  <c r="BE123" i="22"/>
  <c r="BD123" i="22"/>
  <c r="AW123" i="22"/>
  <c r="AV123" i="22"/>
  <c r="AU123" i="22"/>
  <c r="AN123" i="22"/>
  <c r="AM123" i="22"/>
  <c r="AL123" i="22"/>
  <c r="AE123" i="22"/>
  <c r="AD123" i="22"/>
  <c r="AC123" i="22"/>
  <c r="V123" i="22"/>
  <c r="BG123" i="22" s="1"/>
  <c r="U123" i="22"/>
  <c r="BS123" i="22" s="1"/>
  <c r="BT122" i="22"/>
  <c r="BR122" i="22"/>
  <c r="BO122" i="22"/>
  <c r="BN122" i="22"/>
  <c r="BM122" i="22"/>
  <c r="BL122" i="22"/>
  <c r="BK122" i="22"/>
  <c r="BJ122" i="22"/>
  <c r="BI122" i="22"/>
  <c r="BH122" i="22"/>
  <c r="BF122" i="22"/>
  <c r="BE122" i="22"/>
  <c r="BD122" i="22"/>
  <c r="AX122" i="22"/>
  <c r="AW122" i="22"/>
  <c r="AV122" i="22"/>
  <c r="AU122" i="22"/>
  <c r="AN122" i="22"/>
  <c r="AM122" i="22"/>
  <c r="AL122" i="22"/>
  <c r="AE122" i="22"/>
  <c r="AD122" i="22"/>
  <c r="AC122" i="22"/>
  <c r="V122" i="22"/>
  <c r="BG122" i="22" s="1"/>
  <c r="U122" i="22"/>
  <c r="BS122" i="22" s="1"/>
  <c r="BT121" i="22"/>
  <c r="BR121" i="22"/>
  <c r="BO121" i="22"/>
  <c r="BN121" i="22"/>
  <c r="BM121" i="22"/>
  <c r="BL121" i="22"/>
  <c r="BK121" i="22"/>
  <c r="BJ121" i="22"/>
  <c r="BI121" i="22"/>
  <c r="BH121" i="22"/>
  <c r="BF121" i="22"/>
  <c r="BE121" i="22"/>
  <c r="BD121" i="22"/>
  <c r="AW121" i="22"/>
  <c r="AV121" i="22"/>
  <c r="AU121" i="22"/>
  <c r="AN121" i="22"/>
  <c r="AM121" i="22"/>
  <c r="AL121" i="22"/>
  <c r="AF121" i="22"/>
  <c r="AE121" i="22"/>
  <c r="AD121" i="22"/>
  <c r="AC121" i="22"/>
  <c r="V121" i="22"/>
  <c r="BG121" i="22" s="1"/>
  <c r="U121" i="22"/>
  <c r="BS121" i="22" s="1"/>
  <c r="BT120" i="22"/>
  <c r="BR120" i="22"/>
  <c r="BO120" i="22"/>
  <c r="BN120" i="22"/>
  <c r="BM120" i="22"/>
  <c r="BL120" i="22"/>
  <c r="BK120" i="22"/>
  <c r="BJ120" i="22"/>
  <c r="BI120" i="22"/>
  <c r="BH120" i="22"/>
  <c r="BF120" i="22"/>
  <c r="BE120" i="22"/>
  <c r="BD120" i="22"/>
  <c r="AW120" i="22"/>
  <c r="AV120" i="22"/>
  <c r="AU120" i="22"/>
  <c r="AN120" i="22"/>
  <c r="AM120" i="22"/>
  <c r="AL120" i="22"/>
  <c r="AE120" i="22"/>
  <c r="AD120" i="22"/>
  <c r="AC120" i="22"/>
  <c r="V120" i="22"/>
  <c r="BG120" i="22" s="1"/>
  <c r="U120" i="22"/>
  <c r="BS120" i="22" s="1"/>
  <c r="BT119" i="22"/>
  <c r="BR119" i="22"/>
  <c r="BO119" i="22"/>
  <c r="BN119" i="22"/>
  <c r="BM119" i="22"/>
  <c r="BL119" i="22"/>
  <c r="BK119" i="22"/>
  <c r="BJ119" i="22"/>
  <c r="BI119" i="22"/>
  <c r="BH119" i="22"/>
  <c r="BF119" i="22"/>
  <c r="BE119" i="22"/>
  <c r="BD119" i="22"/>
  <c r="AW119" i="22"/>
  <c r="AV119" i="22"/>
  <c r="AU119" i="22"/>
  <c r="AN119" i="22"/>
  <c r="AM119" i="22"/>
  <c r="AL119" i="22"/>
  <c r="AE119" i="22"/>
  <c r="AD119" i="22"/>
  <c r="AC119" i="22"/>
  <c r="V119" i="22"/>
  <c r="AO119" i="22" s="1"/>
  <c r="U119" i="22"/>
  <c r="BS119" i="22" s="1"/>
  <c r="BT118" i="22"/>
  <c r="BR118" i="22"/>
  <c r="BO118" i="22"/>
  <c r="BN118" i="22"/>
  <c r="BM118" i="22"/>
  <c r="BL118" i="22"/>
  <c r="BK118" i="22"/>
  <c r="BJ118" i="22"/>
  <c r="BI118" i="22"/>
  <c r="BH118" i="22"/>
  <c r="BF118" i="22"/>
  <c r="BE118" i="22"/>
  <c r="BD118" i="22"/>
  <c r="AW118" i="22"/>
  <c r="AV118" i="22"/>
  <c r="AU118" i="22"/>
  <c r="AN118" i="22"/>
  <c r="AM118" i="22"/>
  <c r="AL118" i="22"/>
  <c r="AE118" i="22"/>
  <c r="AD118" i="22"/>
  <c r="AC118" i="22"/>
  <c r="V118" i="22"/>
  <c r="AX118" i="22" s="1"/>
  <c r="U118" i="22"/>
  <c r="BS118" i="22" s="1"/>
  <c r="BT117" i="22"/>
  <c r="BR117" i="22"/>
  <c r="BO117" i="22"/>
  <c r="BN117" i="22"/>
  <c r="BM117" i="22"/>
  <c r="BL117" i="22"/>
  <c r="BK117" i="22"/>
  <c r="BJ117" i="22"/>
  <c r="BI117" i="22"/>
  <c r="BH117" i="22"/>
  <c r="BF117" i="22"/>
  <c r="BE117" i="22"/>
  <c r="BD117" i="22"/>
  <c r="AW117" i="22"/>
  <c r="AV117" i="22"/>
  <c r="AU117" i="22"/>
  <c r="AN117" i="22"/>
  <c r="AM117" i="22"/>
  <c r="AL117" i="22"/>
  <c r="AE117" i="22"/>
  <c r="AD117" i="22"/>
  <c r="AC117" i="22"/>
  <c r="V117" i="22"/>
  <c r="BG117" i="22" s="1"/>
  <c r="U117" i="22"/>
  <c r="BS117" i="22" s="1"/>
  <c r="BT116" i="22"/>
  <c r="BR116" i="22"/>
  <c r="BO116" i="22"/>
  <c r="BN116" i="22"/>
  <c r="BM116" i="22"/>
  <c r="BL116" i="22"/>
  <c r="BK116" i="22"/>
  <c r="BJ116" i="22"/>
  <c r="BI116" i="22"/>
  <c r="BH116" i="22"/>
  <c r="BF116" i="22"/>
  <c r="BE116" i="22"/>
  <c r="BD116" i="22"/>
  <c r="AW116" i="22"/>
  <c r="AV116" i="22"/>
  <c r="AU116" i="22"/>
  <c r="AN116" i="22"/>
  <c r="AM116" i="22"/>
  <c r="AL116" i="22"/>
  <c r="AE116" i="22"/>
  <c r="AD116" i="22"/>
  <c r="AC116" i="22"/>
  <c r="V116" i="22"/>
  <c r="BG116" i="22" s="1"/>
  <c r="U116" i="22"/>
  <c r="BS116" i="22" s="1"/>
  <c r="BT115" i="22"/>
  <c r="BR115" i="22"/>
  <c r="BO115" i="22"/>
  <c r="BN115" i="22"/>
  <c r="BM115" i="22"/>
  <c r="BL115" i="22"/>
  <c r="BK115" i="22"/>
  <c r="BJ115" i="22"/>
  <c r="BI115" i="22"/>
  <c r="BH115" i="22"/>
  <c r="BF115" i="22"/>
  <c r="BE115" i="22"/>
  <c r="BD115" i="22"/>
  <c r="AW115" i="22"/>
  <c r="AV115" i="22"/>
  <c r="AU115" i="22"/>
  <c r="AN115" i="22"/>
  <c r="AM115" i="22"/>
  <c r="AL115" i="22"/>
  <c r="AE115" i="22"/>
  <c r="AD115" i="22"/>
  <c r="AC115" i="22"/>
  <c r="V115" i="22"/>
  <c r="BG115" i="22" s="1"/>
  <c r="U115" i="22"/>
  <c r="BS115" i="22" s="1"/>
  <c r="BT114" i="22"/>
  <c r="BR114" i="22"/>
  <c r="BO114" i="22"/>
  <c r="BN114" i="22"/>
  <c r="BM114" i="22"/>
  <c r="BL114" i="22"/>
  <c r="BK114" i="22"/>
  <c r="BJ114" i="22"/>
  <c r="BI114" i="22"/>
  <c r="BH114" i="22"/>
  <c r="BF114" i="22"/>
  <c r="BE114" i="22"/>
  <c r="BD114" i="22"/>
  <c r="AW114" i="22"/>
  <c r="AV114" i="22"/>
  <c r="AU114" i="22"/>
  <c r="AN114" i="22"/>
  <c r="AM114" i="22"/>
  <c r="AL114" i="22"/>
  <c r="AE114" i="22"/>
  <c r="AD114" i="22"/>
  <c r="AC114" i="22"/>
  <c r="V114" i="22"/>
  <c r="BG114" i="22" s="1"/>
  <c r="U114" i="22"/>
  <c r="BS114" i="22" s="1"/>
  <c r="BT113" i="22"/>
  <c r="BR113" i="22"/>
  <c r="BO113" i="22"/>
  <c r="BN113" i="22"/>
  <c r="BM113" i="22"/>
  <c r="BL113" i="22"/>
  <c r="BK113" i="22"/>
  <c r="BJ113" i="22"/>
  <c r="BI113" i="22"/>
  <c r="BH113" i="22"/>
  <c r="BF113" i="22"/>
  <c r="BE113" i="22"/>
  <c r="BD113" i="22"/>
  <c r="AW113" i="22"/>
  <c r="AV113" i="22"/>
  <c r="AU113" i="22"/>
  <c r="AN113" i="22"/>
  <c r="AM113" i="22"/>
  <c r="AL113" i="22"/>
  <c r="AE113" i="22"/>
  <c r="AD113" i="22"/>
  <c r="AC113" i="22"/>
  <c r="V113" i="22"/>
  <c r="BG113" i="22" s="1"/>
  <c r="U113" i="22"/>
  <c r="BS113" i="22" s="1"/>
  <c r="BT112" i="22"/>
  <c r="BR112" i="22"/>
  <c r="BO112" i="22"/>
  <c r="BN112" i="22"/>
  <c r="BM112" i="22"/>
  <c r="BL112" i="22"/>
  <c r="BK112" i="22"/>
  <c r="BJ112" i="22"/>
  <c r="BI112" i="22"/>
  <c r="BH112" i="22"/>
  <c r="BF112" i="22"/>
  <c r="BE112" i="22"/>
  <c r="BD112" i="22"/>
  <c r="AW112" i="22"/>
  <c r="AV112" i="22"/>
  <c r="AU112" i="22"/>
  <c r="AN112" i="22"/>
  <c r="AM112" i="22"/>
  <c r="AL112" i="22"/>
  <c r="AE112" i="22"/>
  <c r="AD112" i="22"/>
  <c r="AC112" i="22"/>
  <c r="V112" i="22"/>
  <c r="BG112" i="22" s="1"/>
  <c r="U112" i="22"/>
  <c r="BS112" i="22" s="1"/>
  <c r="BT111" i="22"/>
  <c r="BR111" i="22"/>
  <c r="BO111" i="22"/>
  <c r="BN111" i="22"/>
  <c r="BM111" i="22"/>
  <c r="BL111" i="22"/>
  <c r="BK111" i="22"/>
  <c r="BJ111" i="22"/>
  <c r="BI111" i="22"/>
  <c r="BH111" i="22"/>
  <c r="BF111" i="22"/>
  <c r="BE111" i="22"/>
  <c r="BD111" i="22"/>
  <c r="AW111" i="22"/>
  <c r="AV111" i="22"/>
  <c r="AU111" i="22"/>
  <c r="AN111" i="22"/>
  <c r="AM111" i="22"/>
  <c r="AL111" i="22"/>
  <c r="AE111" i="22"/>
  <c r="AD111" i="22"/>
  <c r="AC111" i="22"/>
  <c r="V111" i="22"/>
  <c r="AO111" i="22" s="1"/>
  <c r="U111" i="22"/>
  <c r="BS111" i="22" s="1"/>
  <c r="BR110" i="22"/>
  <c r="BO110" i="22"/>
  <c r="BN110" i="22"/>
  <c r="BM110" i="22"/>
  <c r="BL110" i="22"/>
  <c r="BK110" i="22"/>
  <c r="BJ110" i="22"/>
  <c r="BH110" i="22"/>
  <c r="BF110" i="22"/>
  <c r="BE110" i="22"/>
  <c r="BD110" i="22"/>
  <c r="AW110" i="22"/>
  <c r="AV110" i="22"/>
  <c r="AU110" i="22"/>
  <c r="AN110" i="22"/>
  <c r="AM110" i="22"/>
  <c r="AL110" i="22"/>
  <c r="AE110" i="22"/>
  <c r="AC110" i="22"/>
  <c r="V110" i="22"/>
  <c r="Z110" i="22" s="1"/>
  <c r="BT110" i="22" s="1"/>
  <c r="U110" i="22"/>
  <c r="BS110" i="22" s="1"/>
  <c r="BT109" i="22"/>
  <c r="BR109" i="22"/>
  <c r="BO109" i="22"/>
  <c r="BN109" i="22"/>
  <c r="BM109" i="22"/>
  <c r="BL109" i="22"/>
  <c r="BK109" i="22"/>
  <c r="BJ109" i="22"/>
  <c r="BI109" i="22"/>
  <c r="BH109" i="22"/>
  <c r="BF109" i="22"/>
  <c r="BE109" i="22"/>
  <c r="BD109" i="22"/>
  <c r="AW109" i="22"/>
  <c r="AV109" i="22"/>
  <c r="AU109" i="22"/>
  <c r="AN109" i="22"/>
  <c r="AM109" i="22"/>
  <c r="AL109" i="22"/>
  <c r="AE109" i="22"/>
  <c r="AD109" i="22"/>
  <c r="AC109" i="22"/>
  <c r="V109" i="22"/>
  <c r="BG109" i="22" s="1"/>
  <c r="U109" i="22"/>
  <c r="BS109" i="22" s="1"/>
  <c r="BR108" i="22"/>
  <c r="BN108" i="22"/>
  <c r="BL108" i="22"/>
  <c r="BJ108" i="22"/>
  <c r="BH108" i="22"/>
  <c r="BF108" i="22"/>
  <c r="BD108" i="22"/>
  <c r="AW108" i="22"/>
  <c r="AU108" i="22"/>
  <c r="AN108" i="22"/>
  <c r="AL108" i="22"/>
  <c r="AE108" i="22"/>
  <c r="AC108" i="22"/>
  <c r="V108" i="22"/>
  <c r="AR108" i="22" s="1"/>
  <c r="U108" i="22"/>
  <c r="BS108" i="22" s="1"/>
  <c r="BR107" i="22"/>
  <c r="BO107" i="22"/>
  <c r="BN107" i="22"/>
  <c r="BL107" i="22"/>
  <c r="BK107" i="22"/>
  <c r="BJ107" i="22"/>
  <c r="BH107" i="22"/>
  <c r="BF107" i="22"/>
  <c r="BE107" i="22"/>
  <c r="BD107" i="22"/>
  <c r="AW107" i="22"/>
  <c r="AU107" i="22"/>
  <c r="AN107" i="22"/>
  <c r="AM107" i="22"/>
  <c r="AL107" i="22"/>
  <c r="AE107" i="22"/>
  <c r="AC107" i="22"/>
  <c r="V107" i="22"/>
  <c r="AF107" i="22" s="1"/>
  <c r="U107" i="22"/>
  <c r="BS107" i="22" s="1"/>
  <c r="BT106" i="22"/>
  <c r="BR106" i="22"/>
  <c r="BO106" i="22"/>
  <c r="BN106" i="22"/>
  <c r="BM106" i="22"/>
  <c r="BL106" i="22"/>
  <c r="BK106" i="22"/>
  <c r="BJ106" i="22"/>
  <c r="BI106" i="22"/>
  <c r="BH106" i="22"/>
  <c r="BF106" i="22"/>
  <c r="BE106" i="22"/>
  <c r="BD106" i="22"/>
  <c r="AW106" i="22"/>
  <c r="AV106" i="22"/>
  <c r="AU106" i="22"/>
  <c r="AN106" i="22"/>
  <c r="AM106" i="22"/>
  <c r="AL106" i="22"/>
  <c r="AE106" i="22"/>
  <c r="AD106" i="22"/>
  <c r="AC106" i="22"/>
  <c r="V106" i="22"/>
  <c r="AO106" i="22" s="1"/>
  <c r="U106" i="22"/>
  <c r="BS106" i="22" s="1"/>
  <c r="BT105" i="22"/>
  <c r="BR105" i="22"/>
  <c r="BO105" i="22"/>
  <c r="BN105" i="22"/>
  <c r="BM105" i="22"/>
  <c r="BL105" i="22"/>
  <c r="BK105" i="22"/>
  <c r="BJ105" i="22"/>
  <c r="BI105" i="22"/>
  <c r="BH105" i="22"/>
  <c r="BF105" i="22"/>
  <c r="BE105" i="22"/>
  <c r="BD105" i="22"/>
  <c r="AW105" i="22"/>
  <c r="AV105" i="22"/>
  <c r="AU105" i="22"/>
  <c r="AN105" i="22"/>
  <c r="AM105" i="22"/>
  <c r="AL105" i="22"/>
  <c r="AE105" i="22"/>
  <c r="AD105" i="22"/>
  <c r="AC105" i="22"/>
  <c r="V105" i="22"/>
  <c r="AX105" i="22" s="1"/>
  <c r="U105" i="22"/>
  <c r="BS105" i="22" s="1"/>
  <c r="BT104" i="22"/>
  <c r="BR104" i="22"/>
  <c r="BO104" i="22"/>
  <c r="BN104" i="22"/>
  <c r="BM104" i="22"/>
  <c r="BL104" i="22"/>
  <c r="BK104" i="22"/>
  <c r="BJ104" i="22"/>
  <c r="BI104" i="22"/>
  <c r="BH104" i="22"/>
  <c r="BF104" i="22"/>
  <c r="BE104" i="22"/>
  <c r="BD104" i="22"/>
  <c r="AW104" i="22"/>
  <c r="AV104" i="22"/>
  <c r="AU104" i="22"/>
  <c r="AN104" i="22"/>
  <c r="AM104" i="22"/>
  <c r="AL104" i="22"/>
  <c r="AE104" i="22"/>
  <c r="AD104" i="22"/>
  <c r="AC104" i="22"/>
  <c r="V104" i="22"/>
  <c r="BG104" i="22" s="1"/>
  <c r="U104" i="22"/>
  <c r="BS104" i="22" s="1"/>
  <c r="BT103" i="22"/>
  <c r="BR103" i="22"/>
  <c r="BO103" i="22"/>
  <c r="BN103" i="22"/>
  <c r="BM103" i="22"/>
  <c r="BL103" i="22"/>
  <c r="BK103" i="22"/>
  <c r="BJ103" i="22"/>
  <c r="BI103" i="22"/>
  <c r="BH103" i="22"/>
  <c r="BF103" i="22"/>
  <c r="BE103" i="22"/>
  <c r="BD103" i="22"/>
  <c r="AW103" i="22"/>
  <c r="AV103" i="22"/>
  <c r="AU103" i="22"/>
  <c r="AN103" i="22"/>
  <c r="AM103" i="22"/>
  <c r="AL103" i="22"/>
  <c r="AE103" i="22"/>
  <c r="AD103" i="22"/>
  <c r="AC103" i="22"/>
  <c r="V103" i="22"/>
  <c r="BG103" i="22" s="1"/>
  <c r="U103" i="22"/>
  <c r="BS103" i="22" s="1"/>
  <c r="BT102" i="22"/>
  <c r="BR102" i="22"/>
  <c r="BO102" i="22"/>
  <c r="BN102" i="22"/>
  <c r="BM102" i="22"/>
  <c r="BL102" i="22"/>
  <c r="BK102" i="22"/>
  <c r="BJ102" i="22"/>
  <c r="BI102" i="22"/>
  <c r="BH102" i="22"/>
  <c r="BF102" i="22"/>
  <c r="BE102" i="22"/>
  <c r="BD102" i="22"/>
  <c r="AW102" i="22"/>
  <c r="AV102" i="22"/>
  <c r="AU102" i="22"/>
  <c r="AN102" i="22"/>
  <c r="AM102" i="22"/>
  <c r="AL102" i="22"/>
  <c r="AE102" i="22"/>
  <c r="AD102" i="22"/>
  <c r="AC102" i="22"/>
  <c r="V102" i="22"/>
  <c r="BG102" i="22" s="1"/>
  <c r="U102" i="22"/>
  <c r="BS102" i="22" s="1"/>
  <c r="BT101" i="22"/>
  <c r="BR101" i="22"/>
  <c r="BO101" i="22"/>
  <c r="BN101" i="22"/>
  <c r="BM101" i="22"/>
  <c r="BL101" i="22"/>
  <c r="BK101" i="22"/>
  <c r="BJ101" i="22"/>
  <c r="BI101" i="22"/>
  <c r="BH101" i="22"/>
  <c r="BF101" i="22"/>
  <c r="BE101" i="22"/>
  <c r="BD101" i="22"/>
  <c r="AW101" i="22"/>
  <c r="AV101" i="22"/>
  <c r="AU101" i="22"/>
  <c r="AN101" i="22"/>
  <c r="AM101" i="22"/>
  <c r="AL101" i="22"/>
  <c r="AE101" i="22"/>
  <c r="AD101" i="22"/>
  <c r="AC101" i="22"/>
  <c r="V101" i="22"/>
  <c r="BG101" i="22" s="1"/>
  <c r="U101" i="22"/>
  <c r="BS101" i="22" s="1"/>
  <c r="BT100" i="22"/>
  <c r="BR100" i="22"/>
  <c r="BO100" i="22"/>
  <c r="BN100" i="22"/>
  <c r="BM100" i="22"/>
  <c r="BL100" i="22"/>
  <c r="BK100" i="22"/>
  <c r="BJ100" i="22"/>
  <c r="BI100" i="22"/>
  <c r="BH100" i="22"/>
  <c r="BF100" i="22"/>
  <c r="BE100" i="22"/>
  <c r="BD100" i="22"/>
  <c r="AW100" i="22"/>
  <c r="AV100" i="22"/>
  <c r="AU100" i="22"/>
  <c r="AN100" i="22"/>
  <c r="AM100" i="22"/>
  <c r="AL100" i="22"/>
  <c r="AE100" i="22"/>
  <c r="AD100" i="22"/>
  <c r="AC100" i="22"/>
  <c r="V100" i="22"/>
  <c r="BG100" i="22" s="1"/>
  <c r="U100" i="22"/>
  <c r="BS100" i="22" s="1"/>
  <c r="BT99" i="22"/>
  <c r="BR99" i="22"/>
  <c r="BO99" i="22"/>
  <c r="BN99" i="22"/>
  <c r="BM99" i="22"/>
  <c r="BL99" i="22"/>
  <c r="BK99" i="22"/>
  <c r="BJ99" i="22"/>
  <c r="BI99" i="22"/>
  <c r="BH99" i="22"/>
  <c r="BF99" i="22"/>
  <c r="BE99" i="22"/>
  <c r="BD99" i="22"/>
  <c r="AW99" i="22"/>
  <c r="AV99" i="22"/>
  <c r="AU99" i="22"/>
  <c r="AN99" i="22"/>
  <c r="AM99" i="22"/>
  <c r="AL99" i="22"/>
  <c r="AE99" i="22"/>
  <c r="AD99" i="22"/>
  <c r="AC99" i="22"/>
  <c r="V99" i="22"/>
  <c r="BG99" i="22" s="1"/>
  <c r="U99" i="22"/>
  <c r="BS99" i="22" s="1"/>
  <c r="BR98" i="22"/>
  <c r="BO98" i="22"/>
  <c r="BN98" i="22"/>
  <c r="BM98" i="22"/>
  <c r="BL98" i="22"/>
  <c r="BK98" i="22"/>
  <c r="BJ98" i="22"/>
  <c r="BH98" i="22"/>
  <c r="BF98" i="22"/>
  <c r="BE98" i="22"/>
  <c r="BD98" i="22"/>
  <c r="AW98" i="22"/>
  <c r="AV98" i="22"/>
  <c r="AU98" i="22"/>
  <c r="AN98" i="22"/>
  <c r="AM98" i="22"/>
  <c r="AL98" i="22"/>
  <c r="AE98" i="22"/>
  <c r="AC98" i="22"/>
  <c r="V98" i="22"/>
  <c r="AX98" i="22" s="1"/>
  <c r="U98" i="22"/>
  <c r="BS98" i="22" s="1"/>
  <c r="BT97" i="22"/>
  <c r="BR97" i="22"/>
  <c r="BO97" i="22"/>
  <c r="BN97" i="22"/>
  <c r="BM97" i="22"/>
  <c r="BL97" i="22"/>
  <c r="BK97" i="22"/>
  <c r="BJ97" i="22"/>
  <c r="BI97" i="22"/>
  <c r="BH97" i="22"/>
  <c r="BF97" i="22"/>
  <c r="BE97" i="22"/>
  <c r="BD97" i="22"/>
  <c r="AW97" i="22"/>
  <c r="AV97" i="22"/>
  <c r="AU97" i="22"/>
  <c r="AN97" i="22"/>
  <c r="AM97" i="22"/>
  <c r="AL97" i="22"/>
  <c r="AE97" i="22"/>
  <c r="AD97" i="22"/>
  <c r="AC97" i="22"/>
  <c r="V97" i="22"/>
  <c r="BG97" i="22" s="1"/>
  <c r="U97" i="22"/>
  <c r="BS97" i="22" s="1"/>
  <c r="BT96" i="22"/>
  <c r="BR96" i="22"/>
  <c r="BO96" i="22"/>
  <c r="BN96" i="22"/>
  <c r="BM96" i="22"/>
  <c r="BL96" i="22"/>
  <c r="BK96" i="22"/>
  <c r="BJ96" i="22"/>
  <c r="BI96" i="22"/>
  <c r="BH96" i="22"/>
  <c r="BF96" i="22"/>
  <c r="BE96" i="22"/>
  <c r="BD96" i="22"/>
  <c r="AW96" i="22"/>
  <c r="AV96" i="22"/>
  <c r="AU96" i="22"/>
  <c r="AN96" i="22"/>
  <c r="AM96" i="22"/>
  <c r="AL96" i="22"/>
  <c r="AE96" i="22"/>
  <c r="AD96" i="22"/>
  <c r="AC96" i="22"/>
  <c r="V96" i="22"/>
  <c r="BG96" i="22" s="1"/>
  <c r="U96" i="22"/>
  <c r="BS96" i="22" s="1"/>
  <c r="BT95" i="22"/>
  <c r="BR95" i="22"/>
  <c r="BO95" i="22"/>
  <c r="BN95" i="22"/>
  <c r="BM95" i="22"/>
  <c r="BL95" i="22"/>
  <c r="BK95" i="22"/>
  <c r="BJ95" i="22"/>
  <c r="BI95" i="22"/>
  <c r="BH95" i="22"/>
  <c r="BF95" i="22"/>
  <c r="BE95" i="22"/>
  <c r="BD95" i="22"/>
  <c r="AW95" i="22"/>
  <c r="AV95" i="22"/>
  <c r="AU95" i="22"/>
  <c r="AN95" i="22"/>
  <c r="AM95" i="22"/>
  <c r="AL95" i="22"/>
  <c r="AE95" i="22"/>
  <c r="AD95" i="22"/>
  <c r="AC95" i="22"/>
  <c r="V95" i="22"/>
  <c r="AO95" i="22" s="1"/>
  <c r="U95" i="22"/>
  <c r="BS95" i="22" s="1"/>
  <c r="BT94" i="22"/>
  <c r="BR94" i="22"/>
  <c r="BO94" i="22"/>
  <c r="BN94" i="22"/>
  <c r="BM94" i="22"/>
  <c r="BL94" i="22"/>
  <c r="BK94" i="22"/>
  <c r="BJ94" i="22"/>
  <c r="BI94" i="22"/>
  <c r="BH94" i="22"/>
  <c r="BF94" i="22"/>
  <c r="BE94" i="22"/>
  <c r="BD94" i="22"/>
  <c r="AW94" i="22"/>
  <c r="AV94" i="22"/>
  <c r="AU94" i="22"/>
  <c r="AN94" i="22"/>
  <c r="AM94" i="22"/>
  <c r="AL94" i="22"/>
  <c r="AE94" i="22"/>
  <c r="AD94" i="22"/>
  <c r="AC94" i="22"/>
  <c r="V94" i="22"/>
  <c r="AX94" i="22" s="1"/>
  <c r="U94" i="22"/>
  <c r="BS94" i="22" s="1"/>
  <c r="BR93" i="22"/>
  <c r="BO93" i="22"/>
  <c r="BN93" i="22"/>
  <c r="BM93" i="22"/>
  <c r="BL93" i="22"/>
  <c r="BK93" i="22"/>
  <c r="BJ93" i="22"/>
  <c r="BH93" i="22"/>
  <c r="BF93" i="22"/>
  <c r="BE93" i="22"/>
  <c r="BD93" i="22"/>
  <c r="AW93" i="22"/>
  <c r="AV93" i="22"/>
  <c r="AU93" i="22"/>
  <c r="AN93" i="22"/>
  <c r="AM93" i="22"/>
  <c r="AL93" i="22"/>
  <c r="AE93" i="22"/>
  <c r="AC93" i="22"/>
  <c r="V93" i="22"/>
  <c r="AX93" i="22" s="1"/>
  <c r="U93" i="22"/>
  <c r="BS93" i="22" s="1"/>
  <c r="BR92" i="22"/>
  <c r="BO92" i="22"/>
  <c r="BN92" i="22"/>
  <c r="BM92" i="22"/>
  <c r="BL92" i="22"/>
  <c r="BK92" i="22"/>
  <c r="BJ92" i="22"/>
  <c r="BH92" i="22"/>
  <c r="BF92" i="22"/>
  <c r="BE92" i="22"/>
  <c r="BD92" i="22"/>
  <c r="AW92" i="22"/>
  <c r="AV92" i="22"/>
  <c r="AU92" i="22"/>
  <c r="AN92" i="22"/>
  <c r="AM92" i="22"/>
  <c r="AL92" i="22"/>
  <c r="AF92" i="22"/>
  <c r="AE92" i="22"/>
  <c r="AC92" i="22"/>
  <c r="V92" i="22"/>
  <c r="BG92" i="22" s="1"/>
  <c r="U92" i="22"/>
  <c r="BS92" i="22" s="1"/>
  <c r="BT91" i="22"/>
  <c r="BR91" i="22"/>
  <c r="BO91" i="22"/>
  <c r="BN91" i="22"/>
  <c r="BM91" i="22"/>
  <c r="BL91" i="22"/>
  <c r="BK91" i="22"/>
  <c r="BJ91" i="22"/>
  <c r="BI91" i="22"/>
  <c r="BH91" i="22"/>
  <c r="BF91" i="22"/>
  <c r="BE91" i="22"/>
  <c r="BD91" i="22"/>
  <c r="AW91" i="22"/>
  <c r="AV91" i="22"/>
  <c r="AU91" i="22"/>
  <c r="AN91" i="22"/>
  <c r="AM91" i="22"/>
  <c r="AL91" i="22"/>
  <c r="AE91" i="22"/>
  <c r="AD91" i="22"/>
  <c r="AC91" i="22"/>
  <c r="V91" i="22"/>
  <c r="BG91" i="22" s="1"/>
  <c r="U91" i="22"/>
  <c r="BS91" i="22" s="1"/>
  <c r="BT90" i="22"/>
  <c r="BR90" i="22"/>
  <c r="BO90" i="22"/>
  <c r="BN90" i="22"/>
  <c r="BM90" i="22"/>
  <c r="BL90" i="22"/>
  <c r="BK90" i="22"/>
  <c r="BJ90" i="22"/>
  <c r="BI90" i="22"/>
  <c r="BH90" i="22"/>
  <c r="BF90" i="22"/>
  <c r="BE90" i="22"/>
  <c r="BD90" i="22"/>
  <c r="AW90" i="22"/>
  <c r="AV90" i="22"/>
  <c r="AU90" i="22"/>
  <c r="AN90" i="22"/>
  <c r="AM90" i="22"/>
  <c r="AL90" i="22"/>
  <c r="AE90" i="22"/>
  <c r="AD90" i="22"/>
  <c r="AC90" i="22"/>
  <c r="V90" i="22"/>
  <c r="BG90" i="22" s="1"/>
  <c r="U90" i="22"/>
  <c r="BS90" i="22" s="1"/>
  <c r="BT89" i="22"/>
  <c r="BR89" i="22"/>
  <c r="BO89" i="22"/>
  <c r="BN89" i="22"/>
  <c r="BM89" i="22"/>
  <c r="BL89" i="22"/>
  <c r="BK89" i="22"/>
  <c r="BJ89" i="22"/>
  <c r="BI89" i="22"/>
  <c r="BH89" i="22"/>
  <c r="BF89" i="22"/>
  <c r="BE89" i="22"/>
  <c r="BD89" i="22"/>
  <c r="AW89" i="22"/>
  <c r="AV89" i="22"/>
  <c r="AU89" i="22"/>
  <c r="AN89" i="22"/>
  <c r="AM89" i="22"/>
  <c r="AL89" i="22"/>
  <c r="AE89" i="22"/>
  <c r="AD89" i="22"/>
  <c r="AC89" i="22"/>
  <c r="V89" i="22"/>
  <c r="U89" i="22"/>
  <c r="BS89" i="22" s="1"/>
  <c r="BT88" i="22"/>
  <c r="BR88" i="22"/>
  <c r="BF88" i="22"/>
  <c r="BE88" i="22"/>
  <c r="BD88" i="22"/>
  <c r="AW88" i="22"/>
  <c r="AV88" i="22"/>
  <c r="AU88" i="22"/>
  <c r="AN88" i="22"/>
  <c r="AM88" i="22"/>
  <c r="AL88" i="22"/>
  <c r="AE88" i="22"/>
  <c r="AD88" i="22"/>
  <c r="AC88" i="22"/>
  <c r="V88" i="22"/>
  <c r="AX88" i="22" s="1"/>
  <c r="U88" i="22"/>
  <c r="BS88" i="22" s="1"/>
  <c r="BT87" i="22"/>
  <c r="BR87" i="22"/>
  <c r="BO87" i="22"/>
  <c r="BN87" i="22"/>
  <c r="BM87" i="22"/>
  <c r="BL87" i="22"/>
  <c r="BK87" i="22"/>
  <c r="BJ87" i="22"/>
  <c r="BI87" i="22"/>
  <c r="BH87" i="22"/>
  <c r="BF87" i="22"/>
  <c r="BE87" i="22"/>
  <c r="BD87" i="22"/>
  <c r="AW87" i="22"/>
  <c r="AV87" i="22"/>
  <c r="AU87" i="22"/>
  <c r="AN87" i="22"/>
  <c r="AM87" i="22"/>
  <c r="AL87" i="22"/>
  <c r="AE87" i="22"/>
  <c r="AD87" i="22"/>
  <c r="AC87" i="22"/>
  <c r="V87" i="22"/>
  <c r="BG87" i="22" s="1"/>
  <c r="U87" i="22"/>
  <c r="BS87" i="22" s="1"/>
  <c r="BT86" i="22"/>
  <c r="BR86" i="22"/>
  <c r="BO86" i="22"/>
  <c r="BN86" i="22"/>
  <c r="BM86" i="22"/>
  <c r="BL86" i="22"/>
  <c r="BK86" i="22"/>
  <c r="BJ86" i="22"/>
  <c r="BI86" i="22"/>
  <c r="BH86" i="22"/>
  <c r="BF86" i="22"/>
  <c r="BE86" i="22"/>
  <c r="BD86" i="22"/>
  <c r="AW86" i="22"/>
  <c r="AV86" i="22"/>
  <c r="AU86" i="22"/>
  <c r="AN86" i="22"/>
  <c r="AM86" i="22"/>
  <c r="AL86" i="22"/>
  <c r="AE86" i="22"/>
  <c r="AD86" i="22"/>
  <c r="AC86" i="22"/>
  <c r="V86" i="22"/>
  <c r="AX86" i="22" s="1"/>
  <c r="U86" i="22"/>
  <c r="BS86" i="22" s="1"/>
  <c r="BT85" i="22"/>
  <c r="BR85" i="22"/>
  <c r="BO85" i="22"/>
  <c r="BN85" i="22"/>
  <c r="BM85" i="22"/>
  <c r="BL85" i="22"/>
  <c r="BK85" i="22"/>
  <c r="BJ85" i="22"/>
  <c r="BI85" i="22"/>
  <c r="BH85" i="22"/>
  <c r="BF85" i="22"/>
  <c r="BE85" i="22"/>
  <c r="BD85" i="22"/>
  <c r="AW85" i="22"/>
  <c r="AV85" i="22"/>
  <c r="AU85" i="22"/>
  <c r="AN85" i="22"/>
  <c r="AM85" i="22"/>
  <c r="AL85" i="22"/>
  <c r="AE85" i="22"/>
  <c r="AD85" i="22"/>
  <c r="AC85" i="22"/>
  <c r="V85" i="22"/>
  <c r="BG85" i="22" s="1"/>
  <c r="U85" i="22"/>
  <c r="BS85" i="22" s="1"/>
  <c r="BT84" i="22"/>
  <c r="BR84" i="22"/>
  <c r="BO84" i="22"/>
  <c r="BN84" i="22"/>
  <c r="BM84" i="22"/>
  <c r="BL84" i="22"/>
  <c r="BK84" i="22"/>
  <c r="BJ84" i="22"/>
  <c r="BI84" i="22"/>
  <c r="BH84" i="22"/>
  <c r="BF84" i="22"/>
  <c r="BE84" i="22"/>
  <c r="BD84" i="22"/>
  <c r="AW84" i="22"/>
  <c r="AV84" i="22"/>
  <c r="AU84" i="22"/>
  <c r="AN84" i="22"/>
  <c r="AM84" i="22"/>
  <c r="AL84" i="22"/>
  <c r="AE84" i="22"/>
  <c r="AD84" i="22"/>
  <c r="AC84" i="22"/>
  <c r="V84" i="22"/>
  <c r="BG84" i="22" s="1"/>
  <c r="U84" i="22"/>
  <c r="BS84" i="22" s="1"/>
  <c r="BT83" i="22"/>
  <c r="BR83" i="22"/>
  <c r="BO83" i="22"/>
  <c r="BN83" i="22"/>
  <c r="BM83" i="22"/>
  <c r="BL83" i="22"/>
  <c r="BK83" i="22"/>
  <c r="BJ83" i="22"/>
  <c r="BI83" i="22"/>
  <c r="BH83" i="22"/>
  <c r="BF83" i="22"/>
  <c r="BE83" i="22"/>
  <c r="BD83" i="22"/>
  <c r="AW83" i="22"/>
  <c r="AV83" i="22"/>
  <c r="AU83" i="22"/>
  <c r="AN83" i="22"/>
  <c r="AM83" i="22"/>
  <c r="AL83" i="22"/>
  <c r="AE83" i="22"/>
  <c r="AD83" i="22"/>
  <c r="AC83" i="22"/>
  <c r="V83" i="22"/>
  <c r="BG83" i="22" s="1"/>
  <c r="U83" i="22"/>
  <c r="BS83" i="22" s="1"/>
  <c r="BR82" i="22"/>
  <c r="BN82" i="22"/>
  <c r="BL82" i="22"/>
  <c r="BJ82" i="22"/>
  <c r="BH82" i="22"/>
  <c r="BF82" i="22"/>
  <c r="BD82" i="22"/>
  <c r="AW82" i="22"/>
  <c r="AU82" i="22"/>
  <c r="AO82" i="22"/>
  <c r="AN82" i="22"/>
  <c r="AL82" i="22"/>
  <c r="AE82" i="22"/>
  <c r="AC82" i="22"/>
  <c r="V82" i="22"/>
  <c r="BG82" i="22" s="1"/>
  <c r="U82" i="22"/>
  <c r="BS82" i="22" s="1"/>
  <c r="BT81" i="22"/>
  <c r="BR81" i="22"/>
  <c r="BO81" i="22"/>
  <c r="BN81" i="22"/>
  <c r="BM81" i="22"/>
  <c r="BL81" i="22"/>
  <c r="BK81" i="22"/>
  <c r="BJ81" i="22"/>
  <c r="BI81" i="22"/>
  <c r="BH81" i="22"/>
  <c r="BF81" i="22"/>
  <c r="BE81" i="22"/>
  <c r="BD81" i="22"/>
  <c r="AW81" i="22"/>
  <c r="AV81" i="22"/>
  <c r="AU81" i="22"/>
  <c r="AN81" i="22"/>
  <c r="AM81" i="22"/>
  <c r="AL81" i="22"/>
  <c r="AE81" i="22"/>
  <c r="AD81" i="22"/>
  <c r="AC81" i="22"/>
  <c r="V81" i="22"/>
  <c r="BG81" i="22" s="1"/>
  <c r="U81" i="22"/>
  <c r="BS81" i="22" s="1"/>
  <c r="BT80" i="22"/>
  <c r="BR80" i="22"/>
  <c r="BO80" i="22"/>
  <c r="BN80" i="22"/>
  <c r="BM80" i="22"/>
  <c r="BL80" i="22"/>
  <c r="BK80" i="22"/>
  <c r="BJ80" i="22"/>
  <c r="BI80" i="22"/>
  <c r="BH80" i="22"/>
  <c r="BF80" i="22"/>
  <c r="BE80" i="22"/>
  <c r="BD80" i="22"/>
  <c r="AW80" i="22"/>
  <c r="AV80" i="22"/>
  <c r="AU80" i="22"/>
  <c r="AN80" i="22"/>
  <c r="AM80" i="22"/>
  <c r="AL80" i="22"/>
  <c r="AE80" i="22"/>
  <c r="AD80" i="22"/>
  <c r="AC80" i="22"/>
  <c r="V80" i="22"/>
  <c r="BG80" i="22" s="1"/>
  <c r="U80" i="22"/>
  <c r="BS80" i="22" s="1"/>
  <c r="BT79" i="22"/>
  <c r="BR79" i="22"/>
  <c r="BO79" i="22"/>
  <c r="BN79" i="22"/>
  <c r="BM79" i="22"/>
  <c r="BL79" i="22"/>
  <c r="BK79" i="22"/>
  <c r="BJ79" i="22"/>
  <c r="BI79" i="22"/>
  <c r="BH79" i="22"/>
  <c r="BF79" i="22"/>
  <c r="BE79" i="22"/>
  <c r="BD79" i="22"/>
  <c r="AW79" i="22"/>
  <c r="AV79" i="22"/>
  <c r="AU79" i="22"/>
  <c r="AN79" i="22"/>
  <c r="AM79" i="22"/>
  <c r="AL79" i="22"/>
  <c r="AE79" i="22"/>
  <c r="AD79" i="22"/>
  <c r="AC79" i="22"/>
  <c r="V79" i="22"/>
  <c r="BG79" i="22" s="1"/>
  <c r="U79" i="22"/>
  <c r="BS79" i="22" s="1"/>
  <c r="BT78" i="22"/>
  <c r="BR78" i="22"/>
  <c r="BO78" i="22"/>
  <c r="BN78" i="22"/>
  <c r="BM78" i="22"/>
  <c r="BL78" i="22"/>
  <c r="BK78" i="22"/>
  <c r="BJ78" i="22"/>
  <c r="BI78" i="22"/>
  <c r="BH78" i="22"/>
  <c r="BF78" i="22"/>
  <c r="BE78" i="22"/>
  <c r="BD78" i="22"/>
  <c r="AW78" i="22"/>
  <c r="AV78" i="22"/>
  <c r="AU78" i="22"/>
  <c r="AN78" i="22"/>
  <c r="AM78" i="22"/>
  <c r="AL78" i="22"/>
  <c r="AE78" i="22"/>
  <c r="AD78" i="22"/>
  <c r="AC78" i="22"/>
  <c r="V78" i="22"/>
  <c r="BG78" i="22" s="1"/>
  <c r="U78" i="22"/>
  <c r="BS78" i="22" s="1"/>
  <c r="BT77" i="22"/>
  <c r="BR77" i="22"/>
  <c r="BO77" i="22"/>
  <c r="BN77" i="22"/>
  <c r="BM77" i="22"/>
  <c r="BL77" i="22"/>
  <c r="BK77" i="22"/>
  <c r="BJ77" i="22"/>
  <c r="BI77" i="22"/>
  <c r="BH77" i="22"/>
  <c r="BF77" i="22"/>
  <c r="BE77" i="22"/>
  <c r="BD77" i="22"/>
  <c r="AW77" i="22"/>
  <c r="AV77" i="22"/>
  <c r="AU77" i="22"/>
  <c r="AN77" i="22"/>
  <c r="AM77" i="22"/>
  <c r="AL77" i="22"/>
  <c r="AE77" i="22"/>
  <c r="AD77" i="22"/>
  <c r="AC77" i="22"/>
  <c r="V77" i="22"/>
  <c r="AO77" i="22" s="1"/>
  <c r="U77" i="22"/>
  <c r="BS77" i="22" s="1"/>
  <c r="BT76" i="22"/>
  <c r="BR76" i="22"/>
  <c r="BO76" i="22"/>
  <c r="BN76" i="22"/>
  <c r="BM76" i="22"/>
  <c r="BL76" i="22"/>
  <c r="BK76" i="22"/>
  <c r="BJ76" i="22"/>
  <c r="BI76" i="22"/>
  <c r="BH76" i="22"/>
  <c r="BF76" i="22"/>
  <c r="BE76" i="22"/>
  <c r="BD76" i="22"/>
  <c r="AW76" i="22"/>
  <c r="AV76" i="22"/>
  <c r="AU76" i="22"/>
  <c r="AN76" i="22"/>
  <c r="AM76" i="22"/>
  <c r="AL76" i="22"/>
  <c r="AE76" i="22"/>
  <c r="AD76" i="22"/>
  <c r="AC76" i="22"/>
  <c r="V76" i="22"/>
  <c r="AX76" i="22" s="1"/>
  <c r="U76" i="22"/>
  <c r="BS76" i="22" s="1"/>
  <c r="BT75" i="22"/>
  <c r="BR75" i="22"/>
  <c r="BO75" i="22"/>
  <c r="BN75" i="22"/>
  <c r="BM75" i="22"/>
  <c r="BL75" i="22"/>
  <c r="BK75" i="22"/>
  <c r="BJ75" i="22"/>
  <c r="BI75" i="22"/>
  <c r="BH75" i="22"/>
  <c r="BF75" i="22"/>
  <c r="BE75" i="22"/>
  <c r="BD75" i="22"/>
  <c r="AW75" i="22"/>
  <c r="AV75" i="22"/>
  <c r="AU75" i="22"/>
  <c r="AN75" i="22"/>
  <c r="AM75" i="22"/>
  <c r="AL75" i="22"/>
  <c r="AE75" i="22"/>
  <c r="AD75" i="22"/>
  <c r="AC75" i="22"/>
  <c r="V75" i="22"/>
  <c r="BG75" i="22" s="1"/>
  <c r="U75" i="22"/>
  <c r="BS75" i="22" s="1"/>
  <c r="BT74" i="22"/>
  <c r="BR74" i="22"/>
  <c r="BO74" i="22"/>
  <c r="BN74" i="22"/>
  <c r="BM74" i="22"/>
  <c r="BL74" i="22"/>
  <c r="BK74" i="22"/>
  <c r="BJ74" i="22"/>
  <c r="BI74" i="22"/>
  <c r="BH74" i="22"/>
  <c r="BF74" i="22"/>
  <c r="BE74" i="22"/>
  <c r="BD74" i="22"/>
  <c r="AW74" i="22"/>
  <c r="AV74" i="22"/>
  <c r="AU74" i="22"/>
  <c r="AN74" i="22"/>
  <c r="AM74" i="22"/>
  <c r="AL74" i="22"/>
  <c r="AE74" i="22"/>
  <c r="AD74" i="22"/>
  <c r="AC74" i="22"/>
  <c r="V74" i="22"/>
  <c r="AX74" i="22" s="1"/>
  <c r="U74" i="22"/>
  <c r="BS74" i="22" s="1"/>
  <c r="BR73" i="22"/>
  <c r="BO73" i="22"/>
  <c r="BN73" i="22"/>
  <c r="BM73" i="22"/>
  <c r="BL73" i="22"/>
  <c r="BK73" i="22"/>
  <c r="BJ73" i="22"/>
  <c r="BH73" i="22"/>
  <c r="BF73" i="22"/>
  <c r="BE73" i="22"/>
  <c r="BD73" i="22"/>
  <c r="AW73" i="22"/>
  <c r="AV73" i="22"/>
  <c r="AU73" i="22"/>
  <c r="AO73" i="22"/>
  <c r="AN73" i="22"/>
  <c r="AM73" i="22"/>
  <c r="AL73" i="22"/>
  <c r="AE73" i="22"/>
  <c r="AC73" i="22"/>
  <c r="V73" i="22"/>
  <c r="BG73" i="22" s="1"/>
  <c r="U73" i="22"/>
  <c r="BS73" i="22" s="1"/>
  <c r="BT72" i="22"/>
  <c r="BR72" i="22"/>
  <c r="BO72" i="22"/>
  <c r="BN72" i="22"/>
  <c r="BM72" i="22"/>
  <c r="BL72" i="22"/>
  <c r="BK72" i="22"/>
  <c r="BJ72" i="22"/>
  <c r="BI72" i="22"/>
  <c r="BH72" i="22"/>
  <c r="BF72" i="22"/>
  <c r="BE72" i="22"/>
  <c r="BD72" i="22"/>
  <c r="AW72" i="22"/>
  <c r="AV72" i="22"/>
  <c r="AU72" i="22"/>
  <c r="AN72" i="22"/>
  <c r="AM72" i="22"/>
  <c r="AL72" i="22"/>
  <c r="AE72" i="22"/>
  <c r="AD72" i="22"/>
  <c r="AC72" i="22"/>
  <c r="V72" i="22"/>
  <c r="BG72" i="22" s="1"/>
  <c r="U72" i="22"/>
  <c r="BS72" i="22" s="1"/>
  <c r="BT71" i="22"/>
  <c r="BR71" i="22"/>
  <c r="BO71" i="22"/>
  <c r="BN71" i="22"/>
  <c r="BM71" i="22"/>
  <c r="BL71" i="22"/>
  <c r="BK71" i="22"/>
  <c r="BJ71" i="22"/>
  <c r="BI71" i="22"/>
  <c r="BH71" i="22"/>
  <c r="BF71" i="22"/>
  <c r="BE71" i="22"/>
  <c r="BD71" i="22"/>
  <c r="AW71" i="22"/>
  <c r="AV71" i="22"/>
  <c r="AU71" i="22"/>
  <c r="AN71" i="22"/>
  <c r="AM71" i="22"/>
  <c r="AL71" i="22"/>
  <c r="AE71" i="22"/>
  <c r="AD71" i="22"/>
  <c r="AC71" i="22"/>
  <c r="V71" i="22"/>
  <c r="BG71" i="22" s="1"/>
  <c r="U71" i="22"/>
  <c r="BS71" i="22" s="1"/>
  <c r="BT70" i="22"/>
  <c r="BR70" i="22"/>
  <c r="BO70" i="22"/>
  <c r="BN70" i="22"/>
  <c r="BM70" i="22"/>
  <c r="BL70" i="22"/>
  <c r="BK70" i="22"/>
  <c r="BJ70" i="22"/>
  <c r="BI70" i="22"/>
  <c r="BH70" i="22"/>
  <c r="BF70" i="22"/>
  <c r="BE70" i="22"/>
  <c r="BD70" i="22"/>
  <c r="AW70" i="22"/>
  <c r="AV70" i="22"/>
  <c r="AU70" i="22"/>
  <c r="AN70" i="22"/>
  <c r="AM70" i="22"/>
  <c r="AL70" i="22"/>
  <c r="AE70" i="22"/>
  <c r="AD70" i="22"/>
  <c r="AC70" i="22"/>
  <c r="V70" i="22"/>
  <c r="BG70" i="22" s="1"/>
  <c r="U70" i="22"/>
  <c r="BS70" i="22" s="1"/>
  <c r="BT69" i="22"/>
  <c r="BR69" i="22"/>
  <c r="BO69" i="22"/>
  <c r="BN69" i="22"/>
  <c r="BM69" i="22"/>
  <c r="BL69" i="22"/>
  <c r="BK69" i="22"/>
  <c r="BJ69" i="22"/>
  <c r="BI69" i="22"/>
  <c r="BH69" i="22"/>
  <c r="BF69" i="22"/>
  <c r="BE69" i="22"/>
  <c r="BD69" i="22"/>
  <c r="AW69" i="22"/>
  <c r="AV69" i="22"/>
  <c r="AU69" i="22"/>
  <c r="AN69" i="22"/>
  <c r="AM69" i="22"/>
  <c r="AL69" i="22"/>
  <c r="AE69" i="22"/>
  <c r="AD69" i="22"/>
  <c r="AC69" i="22"/>
  <c r="V69" i="22"/>
  <c r="BG69" i="22" s="1"/>
  <c r="U69" i="22"/>
  <c r="BS69" i="22" s="1"/>
  <c r="BR68" i="22"/>
  <c r="BO68" i="22"/>
  <c r="BN68" i="22"/>
  <c r="BM68" i="22"/>
  <c r="BL68" i="22"/>
  <c r="BK68" i="22"/>
  <c r="BJ68" i="22"/>
  <c r="BH68" i="22"/>
  <c r="BF68" i="22"/>
  <c r="BE68" i="22"/>
  <c r="BD68" i="22"/>
  <c r="AW68" i="22"/>
  <c r="AV68" i="22"/>
  <c r="AU68" i="22"/>
  <c r="AN68" i="22"/>
  <c r="AM68" i="22"/>
  <c r="AL68" i="22"/>
  <c r="AE68" i="22"/>
  <c r="AC68" i="22"/>
  <c r="V68" i="22"/>
  <c r="BG68" i="22" s="1"/>
  <c r="U68" i="22"/>
  <c r="BS68" i="22" s="1"/>
  <c r="BR67" i="22"/>
  <c r="BO67" i="22"/>
  <c r="BN67" i="22"/>
  <c r="BM67" i="22"/>
  <c r="BL67" i="22"/>
  <c r="BK67" i="22"/>
  <c r="BJ67" i="22"/>
  <c r="BH67" i="22"/>
  <c r="BF67" i="22"/>
  <c r="BE67" i="22"/>
  <c r="BD67" i="22"/>
  <c r="AW67" i="22"/>
  <c r="AV67" i="22"/>
  <c r="AU67" i="22"/>
  <c r="AN67" i="22"/>
  <c r="AM67" i="22"/>
  <c r="AL67" i="22"/>
  <c r="AE67" i="22"/>
  <c r="AC67" i="22"/>
  <c r="Z67" i="22"/>
  <c r="BT67" i="22" s="1"/>
  <c r="V67" i="22"/>
  <c r="AX67" i="22" s="1"/>
  <c r="U67" i="22"/>
  <c r="BS67" i="22" s="1"/>
  <c r="BT66" i="22"/>
  <c r="BR66" i="22"/>
  <c r="BO66" i="22"/>
  <c r="BN66" i="22"/>
  <c r="BM66" i="22"/>
  <c r="BL66" i="22"/>
  <c r="BK66" i="22"/>
  <c r="BJ66" i="22"/>
  <c r="BI66" i="22"/>
  <c r="BH66" i="22"/>
  <c r="BF66" i="22"/>
  <c r="BE66" i="22"/>
  <c r="BD66" i="22"/>
  <c r="AW66" i="22"/>
  <c r="AV66" i="22"/>
  <c r="AU66" i="22"/>
  <c r="AN66" i="22"/>
  <c r="AM66" i="22"/>
  <c r="AL66" i="22"/>
  <c r="AE66" i="22"/>
  <c r="AD66" i="22"/>
  <c r="AC66" i="22"/>
  <c r="V66" i="22"/>
  <c r="BG66" i="22" s="1"/>
  <c r="U66" i="22"/>
  <c r="BS66" i="22" s="1"/>
  <c r="BT65" i="22"/>
  <c r="BR65" i="22"/>
  <c r="BO65" i="22"/>
  <c r="BN65" i="22"/>
  <c r="BM65" i="22"/>
  <c r="BL65" i="22"/>
  <c r="BK65" i="22"/>
  <c r="BJ65" i="22"/>
  <c r="BI65" i="22"/>
  <c r="BH65" i="22"/>
  <c r="BF65" i="22"/>
  <c r="BE65" i="22"/>
  <c r="BD65" i="22"/>
  <c r="AW65" i="22"/>
  <c r="AV65" i="22"/>
  <c r="AU65" i="22"/>
  <c r="AN65" i="22"/>
  <c r="AM65" i="22"/>
  <c r="AL65" i="22"/>
  <c r="AE65" i="22"/>
  <c r="AD65" i="22"/>
  <c r="AC65" i="22"/>
  <c r="V65" i="22"/>
  <c r="AX65" i="22" s="1"/>
  <c r="U65" i="22"/>
  <c r="BS65" i="22" s="1"/>
  <c r="BT64" i="22"/>
  <c r="BR64" i="22"/>
  <c r="BO64" i="22"/>
  <c r="BN64" i="22"/>
  <c r="BM64" i="22"/>
  <c r="BL64" i="22"/>
  <c r="BK64" i="22"/>
  <c r="BJ64" i="22"/>
  <c r="BI64" i="22"/>
  <c r="BH64" i="22"/>
  <c r="BF64" i="22"/>
  <c r="BE64" i="22"/>
  <c r="BD64" i="22"/>
  <c r="AW64" i="22"/>
  <c r="AV64" i="22"/>
  <c r="AU64" i="22"/>
  <c r="AN64" i="22"/>
  <c r="AM64" i="22"/>
  <c r="AL64" i="22"/>
  <c r="AE64" i="22"/>
  <c r="AD64" i="22"/>
  <c r="AC64" i="22"/>
  <c r="V64" i="22"/>
  <c r="BG64" i="22" s="1"/>
  <c r="U64" i="22"/>
  <c r="BS64" i="22" s="1"/>
  <c r="BT63" i="22"/>
  <c r="BR63" i="22"/>
  <c r="BO63" i="22"/>
  <c r="BN63" i="22"/>
  <c r="BM63" i="22"/>
  <c r="BL63" i="22"/>
  <c r="BK63" i="22"/>
  <c r="BJ63" i="22"/>
  <c r="BI63" i="22"/>
  <c r="BH63" i="22"/>
  <c r="BF63" i="22"/>
  <c r="BE63" i="22"/>
  <c r="BD63" i="22"/>
  <c r="AW63" i="22"/>
  <c r="AV63" i="22"/>
  <c r="AU63" i="22"/>
  <c r="AN63" i="22"/>
  <c r="AM63" i="22"/>
  <c r="AL63" i="22"/>
  <c r="AE63" i="22"/>
  <c r="AD63" i="22"/>
  <c r="AC63" i="22"/>
  <c r="V63" i="22"/>
  <c r="BG63" i="22" s="1"/>
  <c r="U63" i="22"/>
  <c r="BS63" i="22" s="1"/>
  <c r="BT62" i="22"/>
  <c r="BR62" i="22"/>
  <c r="BO62" i="22"/>
  <c r="BN62" i="22"/>
  <c r="BM62" i="22"/>
  <c r="BL62" i="22"/>
  <c r="BK62" i="22"/>
  <c r="BJ62" i="22"/>
  <c r="BI62" i="22"/>
  <c r="BH62" i="22"/>
  <c r="BF62" i="22"/>
  <c r="BE62" i="22"/>
  <c r="BD62" i="22"/>
  <c r="AW62" i="22"/>
  <c r="AV62" i="22"/>
  <c r="AU62" i="22"/>
  <c r="AN62" i="22"/>
  <c r="AM62" i="22"/>
  <c r="AL62" i="22"/>
  <c r="AE62" i="22"/>
  <c r="AD62" i="22"/>
  <c r="AC62" i="22"/>
  <c r="V62" i="22"/>
  <c r="AX62" i="22" s="1"/>
  <c r="U62" i="22"/>
  <c r="BS62" i="22" s="1"/>
  <c r="BT61" i="22"/>
  <c r="BR61" i="22"/>
  <c r="BO61" i="22"/>
  <c r="BN61" i="22"/>
  <c r="BM61" i="22"/>
  <c r="BL61" i="22"/>
  <c r="BK61" i="22"/>
  <c r="BJ61" i="22"/>
  <c r="BI61" i="22"/>
  <c r="BH61" i="22"/>
  <c r="BF61" i="22"/>
  <c r="BE61" i="22"/>
  <c r="BD61" i="22"/>
  <c r="AW61" i="22"/>
  <c r="AV61" i="22"/>
  <c r="AU61" i="22"/>
  <c r="AN61" i="22"/>
  <c r="AM61" i="22"/>
  <c r="AL61" i="22"/>
  <c r="AE61" i="22"/>
  <c r="AD61" i="22"/>
  <c r="AC61" i="22"/>
  <c r="V61" i="22"/>
  <c r="BG61" i="22" s="1"/>
  <c r="U61" i="22"/>
  <c r="BS61" i="22" s="1"/>
  <c r="BT60" i="22"/>
  <c r="BR60" i="22"/>
  <c r="BO60" i="22"/>
  <c r="BN60" i="22"/>
  <c r="BM60" i="22"/>
  <c r="BL60" i="22"/>
  <c r="BK60" i="22"/>
  <c r="BJ60" i="22"/>
  <c r="BI60" i="22"/>
  <c r="BH60" i="22"/>
  <c r="BF60" i="22"/>
  <c r="BE60" i="22"/>
  <c r="BD60" i="22"/>
  <c r="AW60" i="22"/>
  <c r="AV60" i="22"/>
  <c r="AU60" i="22"/>
  <c r="AN60" i="22"/>
  <c r="AM60" i="22"/>
  <c r="AL60" i="22"/>
  <c r="AE60" i="22"/>
  <c r="AD60" i="22"/>
  <c r="AC60" i="22"/>
  <c r="V60" i="22"/>
  <c r="BG60" i="22" s="1"/>
  <c r="U60" i="22"/>
  <c r="BS60" i="22" s="1"/>
  <c r="BT59" i="22"/>
  <c r="BR59" i="22"/>
  <c r="BO59" i="22"/>
  <c r="BN59" i="22"/>
  <c r="BM59" i="22"/>
  <c r="BL59" i="22"/>
  <c r="BK59" i="22"/>
  <c r="BJ59" i="22"/>
  <c r="BI59" i="22"/>
  <c r="BH59" i="22"/>
  <c r="BF59" i="22"/>
  <c r="BE59" i="22"/>
  <c r="BD59" i="22"/>
  <c r="AW59" i="22"/>
  <c r="AV59" i="22"/>
  <c r="AU59" i="22"/>
  <c r="AN59" i="22"/>
  <c r="AM59" i="22"/>
  <c r="AL59" i="22"/>
  <c r="AE59" i="22"/>
  <c r="AD59" i="22"/>
  <c r="AC59" i="22"/>
  <c r="V59" i="22"/>
  <c r="AX59" i="22" s="1"/>
  <c r="U59" i="22"/>
  <c r="BS59" i="22" s="1"/>
  <c r="BT58" i="22"/>
  <c r="BR58" i="22"/>
  <c r="BO58" i="22"/>
  <c r="BN58" i="22"/>
  <c r="BM58" i="22"/>
  <c r="BL58" i="22"/>
  <c r="BK58" i="22"/>
  <c r="BJ58" i="22"/>
  <c r="BI58" i="22"/>
  <c r="BH58" i="22"/>
  <c r="BF58" i="22"/>
  <c r="BE58" i="22"/>
  <c r="BD58" i="22"/>
  <c r="AW58" i="22"/>
  <c r="AV58" i="22"/>
  <c r="AU58" i="22"/>
  <c r="AN58" i="22"/>
  <c r="AM58" i="22"/>
  <c r="AL58" i="22"/>
  <c r="AE58" i="22"/>
  <c r="AD58" i="22"/>
  <c r="AC58" i="22"/>
  <c r="V58" i="22"/>
  <c r="BG58" i="22" s="1"/>
  <c r="U58" i="22"/>
  <c r="BS58" i="22" s="1"/>
  <c r="BT57" i="22"/>
  <c r="BR57" i="22"/>
  <c r="BO57" i="22"/>
  <c r="BN57" i="22"/>
  <c r="BM57" i="22"/>
  <c r="BL57" i="22"/>
  <c r="BK57" i="22"/>
  <c r="BJ57" i="22"/>
  <c r="BI57" i="22"/>
  <c r="BH57" i="22"/>
  <c r="BF57" i="22"/>
  <c r="BE57" i="22"/>
  <c r="BD57" i="22"/>
  <c r="AW57" i="22"/>
  <c r="AV57" i="22"/>
  <c r="AU57" i="22"/>
  <c r="AN57" i="22"/>
  <c r="AM57" i="22"/>
  <c r="AL57" i="22"/>
  <c r="AE57" i="22"/>
  <c r="AD57" i="22"/>
  <c r="AC57" i="22"/>
  <c r="V57" i="22"/>
  <c r="BG57" i="22" s="1"/>
  <c r="U57" i="22"/>
  <c r="BS57" i="22" s="1"/>
  <c r="BT56" i="22"/>
  <c r="BR56" i="22"/>
  <c r="BO56" i="22"/>
  <c r="BN56" i="22"/>
  <c r="BM56" i="22"/>
  <c r="BL56" i="22"/>
  <c r="BK56" i="22"/>
  <c r="BJ56" i="22"/>
  <c r="BI56" i="22"/>
  <c r="BH56" i="22"/>
  <c r="BF56" i="22"/>
  <c r="BE56" i="22"/>
  <c r="BD56" i="22"/>
  <c r="AW56" i="22"/>
  <c r="AV56" i="22"/>
  <c r="AU56" i="22"/>
  <c r="AN56" i="22"/>
  <c r="AM56" i="22"/>
  <c r="AL56" i="22"/>
  <c r="AE56" i="22"/>
  <c r="AD56" i="22"/>
  <c r="AC56" i="22"/>
  <c r="V56" i="22"/>
  <c r="BG56" i="22" s="1"/>
  <c r="U56" i="22"/>
  <c r="BS56" i="22" s="1"/>
  <c r="BT55" i="22"/>
  <c r="BR55" i="22"/>
  <c r="BO55" i="22"/>
  <c r="BN55" i="22"/>
  <c r="BM55" i="22"/>
  <c r="BL55" i="22"/>
  <c r="BK55" i="22"/>
  <c r="BJ55" i="22"/>
  <c r="BI55" i="22"/>
  <c r="BH55" i="22"/>
  <c r="BF55" i="22"/>
  <c r="BE55" i="22"/>
  <c r="BD55" i="22"/>
  <c r="AW55" i="22"/>
  <c r="AV55" i="22"/>
  <c r="AU55" i="22"/>
  <c r="AN55" i="22"/>
  <c r="AM55" i="22"/>
  <c r="AL55" i="22"/>
  <c r="AE55" i="22"/>
  <c r="AD55" i="22"/>
  <c r="AC55" i="22"/>
  <c r="V55" i="22"/>
  <c r="BG55" i="22" s="1"/>
  <c r="U55" i="22"/>
  <c r="BS55" i="22" s="1"/>
  <c r="BT54" i="22"/>
  <c r="BR54" i="22"/>
  <c r="BO54" i="22"/>
  <c r="BN54" i="22"/>
  <c r="BM54" i="22"/>
  <c r="BL54" i="22"/>
  <c r="BK54" i="22"/>
  <c r="BJ54" i="22"/>
  <c r="BI54" i="22"/>
  <c r="BH54" i="22"/>
  <c r="BF54" i="22"/>
  <c r="BE54" i="22"/>
  <c r="BD54" i="22"/>
  <c r="AW54" i="22"/>
  <c r="AV54" i="22"/>
  <c r="AU54" i="22"/>
  <c r="AN54" i="22"/>
  <c r="AM54" i="22"/>
  <c r="AL54" i="22"/>
  <c r="AE54" i="22"/>
  <c r="AD54" i="22"/>
  <c r="AC54" i="22"/>
  <c r="V54" i="22"/>
  <c r="AX54" i="22" s="1"/>
  <c r="U54" i="22"/>
  <c r="BS54" i="22" s="1"/>
  <c r="BT53" i="22"/>
  <c r="BR53" i="22"/>
  <c r="BO53" i="22"/>
  <c r="BN53" i="22"/>
  <c r="BM53" i="22"/>
  <c r="BL53" i="22"/>
  <c r="BK53" i="22"/>
  <c r="BJ53" i="22"/>
  <c r="BI53" i="22"/>
  <c r="BH53" i="22"/>
  <c r="BF53" i="22"/>
  <c r="BE53" i="22"/>
  <c r="BD53" i="22"/>
  <c r="AW53" i="22"/>
  <c r="AV53" i="22"/>
  <c r="AU53" i="22"/>
  <c r="AN53" i="22"/>
  <c r="AM53" i="22"/>
  <c r="AL53" i="22"/>
  <c r="AE53" i="22"/>
  <c r="AD53" i="22"/>
  <c r="AC53" i="22"/>
  <c r="V53" i="22"/>
  <c r="BG53" i="22" s="1"/>
  <c r="U53" i="22"/>
  <c r="BS53" i="22" s="1"/>
  <c r="BT52" i="22"/>
  <c r="BR52" i="22"/>
  <c r="BO52" i="22"/>
  <c r="BN52" i="22"/>
  <c r="BM52" i="22"/>
  <c r="BL52" i="22"/>
  <c r="BK52" i="22"/>
  <c r="BJ52" i="22"/>
  <c r="BI52" i="22"/>
  <c r="BH52" i="22"/>
  <c r="BF52" i="22"/>
  <c r="BE52" i="22"/>
  <c r="BD52" i="22"/>
  <c r="AW52" i="22"/>
  <c r="AV52" i="22"/>
  <c r="AU52" i="22"/>
  <c r="AN52" i="22"/>
  <c r="AM52" i="22"/>
  <c r="AL52" i="22"/>
  <c r="AE52" i="22"/>
  <c r="AD52" i="22"/>
  <c r="AC52" i="22"/>
  <c r="V52" i="22"/>
  <c r="AO52" i="22" s="1"/>
  <c r="U52" i="22"/>
  <c r="BS52" i="22" s="1"/>
  <c r="BT51" i="22"/>
  <c r="BR51" i="22"/>
  <c r="BO51" i="22"/>
  <c r="BN51" i="22"/>
  <c r="BM51" i="22"/>
  <c r="BL51" i="22"/>
  <c r="BK51" i="22"/>
  <c r="BJ51" i="22"/>
  <c r="BI51" i="22"/>
  <c r="BH51" i="22"/>
  <c r="BF51" i="22"/>
  <c r="BE51" i="22"/>
  <c r="BD51" i="22"/>
  <c r="AW51" i="22"/>
  <c r="AV51" i="22"/>
  <c r="AU51" i="22"/>
  <c r="AN51" i="22"/>
  <c r="AM51" i="22"/>
  <c r="AL51" i="22"/>
  <c r="AE51" i="22"/>
  <c r="AD51" i="22"/>
  <c r="AC51" i="22"/>
  <c r="V51" i="22"/>
  <c r="BG51" i="22" s="1"/>
  <c r="U51" i="22"/>
  <c r="BS51" i="22" s="1"/>
  <c r="BT50" i="22"/>
  <c r="BR50" i="22"/>
  <c r="BO50" i="22"/>
  <c r="BN50" i="22"/>
  <c r="BM50" i="22"/>
  <c r="BL50" i="22"/>
  <c r="BK50" i="22"/>
  <c r="BJ50" i="22"/>
  <c r="BI50" i="22"/>
  <c r="BH50" i="22"/>
  <c r="BF50" i="22"/>
  <c r="BE50" i="22"/>
  <c r="BD50" i="22"/>
  <c r="AW50" i="22"/>
  <c r="AV50" i="22"/>
  <c r="AU50" i="22"/>
  <c r="AN50" i="22"/>
  <c r="AM50" i="22"/>
  <c r="AL50" i="22"/>
  <c r="AE50" i="22"/>
  <c r="AD50" i="22"/>
  <c r="AC50" i="22"/>
  <c r="V50" i="22"/>
  <c r="BG50" i="22" s="1"/>
  <c r="U50" i="22"/>
  <c r="BS50" i="22" s="1"/>
  <c r="BT49" i="22"/>
  <c r="BR49" i="22"/>
  <c r="BO49" i="22"/>
  <c r="BN49" i="22"/>
  <c r="BM49" i="22"/>
  <c r="BL49" i="22"/>
  <c r="BK49" i="22"/>
  <c r="BJ49" i="22"/>
  <c r="BI49" i="22"/>
  <c r="BH49" i="22"/>
  <c r="BF49" i="22"/>
  <c r="BE49" i="22"/>
  <c r="BD49" i="22"/>
  <c r="AW49" i="22"/>
  <c r="AV49" i="22"/>
  <c r="AU49" i="22"/>
  <c r="AN49" i="22"/>
  <c r="AM49" i="22"/>
  <c r="AL49" i="22"/>
  <c r="AF49" i="22"/>
  <c r="AE49" i="22"/>
  <c r="AD49" i="22"/>
  <c r="AC49" i="22"/>
  <c r="V49" i="22"/>
  <c r="BG49" i="22" s="1"/>
  <c r="U49" i="22"/>
  <c r="BS49" i="22" s="1"/>
  <c r="BT48" i="22"/>
  <c r="BR48" i="22"/>
  <c r="BO48" i="22"/>
  <c r="BN48" i="22"/>
  <c r="BM48" i="22"/>
  <c r="BL48" i="22"/>
  <c r="BK48" i="22"/>
  <c r="BJ48" i="22"/>
  <c r="BI48" i="22"/>
  <c r="BH48" i="22"/>
  <c r="BF48" i="22"/>
  <c r="BE48" i="22"/>
  <c r="BD48" i="22"/>
  <c r="AW48" i="22"/>
  <c r="AV48" i="22"/>
  <c r="AU48" i="22"/>
  <c r="AN48" i="22"/>
  <c r="AM48" i="22"/>
  <c r="AL48" i="22"/>
  <c r="AE48" i="22"/>
  <c r="AD48" i="22"/>
  <c r="AC48" i="22"/>
  <c r="V48" i="22"/>
  <c r="BG48" i="22" s="1"/>
  <c r="U48" i="22"/>
  <c r="BS48" i="22" s="1"/>
  <c r="BT47" i="22"/>
  <c r="BR47" i="22"/>
  <c r="BO47" i="22"/>
  <c r="BN47" i="22"/>
  <c r="BM47" i="22"/>
  <c r="BL47" i="22"/>
  <c r="BK47" i="22"/>
  <c r="BJ47" i="22"/>
  <c r="BI47" i="22"/>
  <c r="BH47" i="22"/>
  <c r="BF47" i="22"/>
  <c r="BE47" i="22"/>
  <c r="BD47" i="22"/>
  <c r="AW47" i="22"/>
  <c r="AV47" i="22"/>
  <c r="AU47" i="22"/>
  <c r="AN47" i="22"/>
  <c r="AM47" i="22"/>
  <c r="AL47" i="22"/>
  <c r="AE47" i="22"/>
  <c r="AD47" i="22"/>
  <c r="AC47" i="22"/>
  <c r="V47" i="22"/>
  <c r="BG47" i="22" s="1"/>
  <c r="U47" i="22"/>
  <c r="BS47" i="22" s="1"/>
  <c r="BT46" i="22"/>
  <c r="BR46" i="22"/>
  <c r="BO46" i="22"/>
  <c r="BN46" i="22"/>
  <c r="BM46" i="22"/>
  <c r="BL46" i="22"/>
  <c r="BK46" i="22"/>
  <c r="BJ46" i="22"/>
  <c r="BI46" i="22"/>
  <c r="BH46" i="22"/>
  <c r="BF46" i="22"/>
  <c r="BE46" i="22"/>
  <c r="BD46" i="22"/>
  <c r="AW46" i="22"/>
  <c r="AV46" i="22"/>
  <c r="AU46" i="22"/>
  <c r="AN46" i="22"/>
  <c r="AM46" i="22"/>
  <c r="AL46" i="22"/>
  <c r="AE46" i="22"/>
  <c r="AD46" i="22"/>
  <c r="AC46" i="22"/>
  <c r="V46" i="22"/>
  <c r="AX46" i="22" s="1"/>
  <c r="U46" i="22"/>
  <c r="BS46" i="22" s="1"/>
  <c r="BT45" i="22"/>
  <c r="BR45" i="22"/>
  <c r="BO45" i="22"/>
  <c r="BN45" i="22"/>
  <c r="BM45" i="22"/>
  <c r="BL45" i="22"/>
  <c r="BK45" i="22"/>
  <c r="BJ45" i="22"/>
  <c r="BI45" i="22"/>
  <c r="BH45" i="22"/>
  <c r="BF45" i="22"/>
  <c r="BE45" i="22"/>
  <c r="BD45" i="22"/>
  <c r="AW45" i="22"/>
  <c r="AV45" i="22"/>
  <c r="AU45" i="22"/>
  <c r="AN45" i="22"/>
  <c r="AM45" i="22"/>
  <c r="AL45" i="22"/>
  <c r="AE45" i="22"/>
  <c r="AD45" i="22"/>
  <c r="AC45" i="22"/>
  <c r="V45" i="22"/>
  <c r="BG45" i="22" s="1"/>
  <c r="U45" i="22"/>
  <c r="BS45" i="22" s="1"/>
  <c r="BT44" i="22"/>
  <c r="BR44" i="22"/>
  <c r="BO44" i="22"/>
  <c r="BN44" i="22"/>
  <c r="BM44" i="22"/>
  <c r="BL44" i="22"/>
  <c r="BK44" i="22"/>
  <c r="BJ44" i="22"/>
  <c r="BI44" i="22"/>
  <c r="BH44" i="22"/>
  <c r="BF44" i="22"/>
  <c r="BE44" i="22"/>
  <c r="BD44" i="22"/>
  <c r="AW44" i="22"/>
  <c r="AV44" i="22"/>
  <c r="AU44" i="22"/>
  <c r="AN44" i="22"/>
  <c r="AM44" i="22"/>
  <c r="AL44" i="22"/>
  <c r="AE44" i="22"/>
  <c r="AD44" i="22"/>
  <c r="AC44" i="22"/>
  <c r="V44" i="22"/>
  <c r="U44" i="22"/>
  <c r="BS44" i="22" s="1"/>
  <c r="BT43" i="22"/>
  <c r="BR43" i="22"/>
  <c r="BO43" i="22"/>
  <c r="BN43" i="22"/>
  <c r="BM43" i="22"/>
  <c r="BL43" i="22"/>
  <c r="BK43" i="22"/>
  <c r="BJ43" i="22"/>
  <c r="BI43" i="22"/>
  <c r="BH43" i="22"/>
  <c r="BF43" i="22"/>
  <c r="BE43" i="22"/>
  <c r="BD43" i="22"/>
  <c r="AW43" i="22"/>
  <c r="AV43" i="22"/>
  <c r="AU43" i="22"/>
  <c r="AN43" i="22"/>
  <c r="AM43" i="22"/>
  <c r="AL43" i="22"/>
  <c r="AE43" i="22"/>
  <c r="AD43" i="22"/>
  <c r="AC43" i="22"/>
  <c r="V43" i="22"/>
  <c r="BG43" i="22" s="1"/>
  <c r="U43" i="22"/>
  <c r="BS43" i="22" s="1"/>
  <c r="BT42" i="22"/>
  <c r="BR42" i="22"/>
  <c r="BO42" i="22"/>
  <c r="BN42" i="22"/>
  <c r="BM42" i="22"/>
  <c r="BL42" i="22"/>
  <c r="BK42" i="22"/>
  <c r="BJ42" i="22"/>
  <c r="BI42" i="22"/>
  <c r="BH42" i="22"/>
  <c r="BF42" i="22"/>
  <c r="BE42" i="22"/>
  <c r="BD42" i="22"/>
  <c r="AW42" i="22"/>
  <c r="AV42" i="22"/>
  <c r="AU42" i="22"/>
  <c r="AN42" i="22"/>
  <c r="AM42" i="22"/>
  <c r="AL42" i="22"/>
  <c r="AE42" i="22"/>
  <c r="AD42" i="22"/>
  <c r="AC42" i="22"/>
  <c r="V42" i="22"/>
  <c r="BG42" i="22" s="1"/>
  <c r="U42" i="22"/>
  <c r="BS42" i="22" s="1"/>
  <c r="BT41" i="22"/>
  <c r="BR41" i="22"/>
  <c r="BO41" i="22"/>
  <c r="BN41" i="22"/>
  <c r="BM41" i="22"/>
  <c r="BL41" i="22"/>
  <c r="BK41" i="22"/>
  <c r="BJ41" i="22"/>
  <c r="BI41" i="22"/>
  <c r="BH41" i="22"/>
  <c r="BF41" i="22"/>
  <c r="BE41" i="22"/>
  <c r="BD41" i="22"/>
  <c r="AW41" i="22"/>
  <c r="AV41" i="22"/>
  <c r="AU41" i="22"/>
  <c r="AN41" i="22"/>
  <c r="AM41" i="22"/>
  <c r="AL41" i="22"/>
  <c r="AE41" i="22"/>
  <c r="AD41" i="22"/>
  <c r="AC41" i="22"/>
  <c r="V41" i="22"/>
  <c r="AX41" i="22" s="1"/>
  <c r="U41" i="22"/>
  <c r="BS41" i="22" s="1"/>
  <c r="BT40" i="22"/>
  <c r="BR40" i="22"/>
  <c r="BO40" i="22"/>
  <c r="BN40" i="22"/>
  <c r="BM40" i="22"/>
  <c r="BL40" i="22"/>
  <c r="BK40" i="22"/>
  <c r="BJ40" i="22"/>
  <c r="BI40" i="22"/>
  <c r="BH40" i="22"/>
  <c r="BF40" i="22"/>
  <c r="BE40" i="22"/>
  <c r="BD40" i="22"/>
  <c r="AW40" i="22"/>
  <c r="AV40" i="22"/>
  <c r="AU40" i="22"/>
  <c r="AN40" i="22"/>
  <c r="AM40" i="22"/>
  <c r="AL40" i="22"/>
  <c r="AE40" i="22"/>
  <c r="AD40" i="22"/>
  <c r="AC40" i="22"/>
  <c r="V40" i="22"/>
  <c r="BG40" i="22" s="1"/>
  <c r="U40" i="22"/>
  <c r="BS40" i="22" s="1"/>
  <c r="BT39" i="22"/>
  <c r="BR39" i="22"/>
  <c r="BO39" i="22"/>
  <c r="BN39" i="22"/>
  <c r="BM39" i="22"/>
  <c r="BL39" i="22"/>
  <c r="BK39" i="22"/>
  <c r="BJ39" i="22"/>
  <c r="BI39" i="22"/>
  <c r="BH39" i="22"/>
  <c r="BF39" i="22"/>
  <c r="BE39" i="22"/>
  <c r="BD39" i="22"/>
  <c r="AW39" i="22"/>
  <c r="AV39" i="22"/>
  <c r="AU39" i="22"/>
  <c r="AN39" i="22"/>
  <c r="AM39" i="22"/>
  <c r="AL39" i="22"/>
  <c r="AE39" i="22"/>
  <c r="AD39" i="22"/>
  <c r="AC39" i="22"/>
  <c r="V39" i="22"/>
  <c r="BG39" i="22" s="1"/>
  <c r="U39" i="22"/>
  <c r="BS39" i="22" s="1"/>
  <c r="BT38" i="22"/>
  <c r="BR38" i="22"/>
  <c r="BO38" i="22"/>
  <c r="BN38" i="22"/>
  <c r="BM38" i="22"/>
  <c r="BL38" i="22"/>
  <c r="BK38" i="22"/>
  <c r="BJ38" i="22"/>
  <c r="BI38" i="22"/>
  <c r="BH38" i="22"/>
  <c r="BF38" i="22"/>
  <c r="BE38" i="22"/>
  <c r="BD38" i="22"/>
  <c r="AW38" i="22"/>
  <c r="AV38" i="22"/>
  <c r="AU38" i="22"/>
  <c r="AN38" i="22"/>
  <c r="AM38" i="22"/>
  <c r="AL38" i="22"/>
  <c r="AE38" i="22"/>
  <c r="AD38" i="22"/>
  <c r="AC38" i="22"/>
  <c r="V38" i="22"/>
  <c r="AX38" i="22" s="1"/>
  <c r="U38" i="22"/>
  <c r="BS38" i="22" s="1"/>
  <c r="BT37" i="22"/>
  <c r="BR37" i="22"/>
  <c r="BO37" i="22"/>
  <c r="BN37" i="22"/>
  <c r="BM37" i="22"/>
  <c r="BL37" i="22"/>
  <c r="BK37" i="22"/>
  <c r="BJ37" i="22"/>
  <c r="BI37" i="22"/>
  <c r="BH37" i="22"/>
  <c r="BF37" i="22"/>
  <c r="BE37" i="22"/>
  <c r="BD37" i="22"/>
  <c r="AW37" i="22"/>
  <c r="AV37" i="22"/>
  <c r="AU37" i="22"/>
  <c r="AN37" i="22"/>
  <c r="AM37" i="22"/>
  <c r="AL37" i="22"/>
  <c r="AE37" i="22"/>
  <c r="AD37" i="22"/>
  <c r="AC37" i="22"/>
  <c r="V37" i="22"/>
  <c r="BG37" i="22" s="1"/>
  <c r="U37" i="22"/>
  <c r="BS37" i="22" s="1"/>
  <c r="BT36" i="22"/>
  <c r="BR36" i="22"/>
  <c r="BO36" i="22"/>
  <c r="BN36" i="22"/>
  <c r="BM36" i="22"/>
  <c r="BL36" i="22"/>
  <c r="BK36" i="22"/>
  <c r="BJ36" i="22"/>
  <c r="BI36" i="22"/>
  <c r="BH36" i="22"/>
  <c r="BF36" i="22"/>
  <c r="BE36" i="22"/>
  <c r="BD36" i="22"/>
  <c r="AW36" i="22"/>
  <c r="AV36" i="22"/>
  <c r="AU36" i="22"/>
  <c r="AN36" i="22"/>
  <c r="AM36" i="22"/>
  <c r="AL36" i="22"/>
  <c r="AE36" i="22"/>
  <c r="AD36" i="22"/>
  <c r="AC36" i="22"/>
  <c r="V36" i="22"/>
  <c r="BG36" i="22" s="1"/>
  <c r="U36" i="22"/>
  <c r="BS36" i="22" s="1"/>
  <c r="BT35" i="22"/>
  <c r="BR35" i="22"/>
  <c r="BO35" i="22"/>
  <c r="BN35" i="22"/>
  <c r="BM35" i="22"/>
  <c r="BL35" i="22"/>
  <c r="BK35" i="22"/>
  <c r="BJ35" i="22"/>
  <c r="BI35" i="22"/>
  <c r="BH35" i="22"/>
  <c r="BF35" i="22"/>
  <c r="BE35" i="22"/>
  <c r="BD35" i="22"/>
  <c r="AW35" i="22"/>
  <c r="AV35" i="22"/>
  <c r="AU35" i="22"/>
  <c r="AN35" i="22"/>
  <c r="AM35" i="22"/>
  <c r="AL35" i="22"/>
  <c r="AE35" i="22"/>
  <c r="AD35" i="22"/>
  <c r="AC35" i="22"/>
  <c r="V35" i="22"/>
  <c r="AX35" i="22" s="1"/>
  <c r="U35" i="22"/>
  <c r="BS35" i="22" s="1"/>
  <c r="BT34" i="22"/>
  <c r="BR34" i="22"/>
  <c r="BO34" i="22"/>
  <c r="BN34" i="22"/>
  <c r="BM34" i="22"/>
  <c r="BL34" i="22"/>
  <c r="BK34" i="22"/>
  <c r="BJ34" i="22"/>
  <c r="BI34" i="22"/>
  <c r="BH34" i="22"/>
  <c r="BF34" i="22"/>
  <c r="BE34" i="22"/>
  <c r="BD34" i="22"/>
  <c r="AW34" i="22"/>
  <c r="AV34" i="22"/>
  <c r="AU34" i="22"/>
  <c r="AN34" i="22"/>
  <c r="AM34" i="22"/>
  <c r="AL34" i="22"/>
  <c r="AE34" i="22"/>
  <c r="AD34" i="22"/>
  <c r="AC34" i="22"/>
  <c r="V34" i="22"/>
  <c r="BG34" i="22" s="1"/>
  <c r="U34" i="22"/>
  <c r="BS34" i="22" s="1"/>
  <c r="BT33" i="22"/>
  <c r="BR33" i="22"/>
  <c r="BO33" i="22"/>
  <c r="BN33" i="22"/>
  <c r="BM33" i="22"/>
  <c r="BL33" i="22"/>
  <c r="BK33" i="22"/>
  <c r="BJ33" i="22"/>
  <c r="BI33" i="22"/>
  <c r="BH33" i="22"/>
  <c r="BF33" i="22"/>
  <c r="BE33" i="22"/>
  <c r="BD33" i="22"/>
  <c r="AW33" i="22"/>
  <c r="AV33" i="22"/>
  <c r="AU33" i="22"/>
  <c r="AN33" i="22"/>
  <c r="AM33" i="22"/>
  <c r="AL33" i="22"/>
  <c r="AE33" i="22"/>
  <c r="AD33" i="22"/>
  <c r="AC33" i="22"/>
  <c r="V33" i="22"/>
  <c r="BG33" i="22" s="1"/>
  <c r="U33" i="22"/>
  <c r="BS33" i="22" s="1"/>
  <c r="BT32" i="22"/>
  <c r="BR32" i="22"/>
  <c r="BO32" i="22"/>
  <c r="BN32" i="22"/>
  <c r="BM32" i="22"/>
  <c r="BL32" i="22"/>
  <c r="BK32" i="22"/>
  <c r="BJ32" i="22"/>
  <c r="BI32" i="22"/>
  <c r="BH32" i="22"/>
  <c r="BF32" i="22"/>
  <c r="BE32" i="22"/>
  <c r="BD32" i="22"/>
  <c r="AW32" i="22"/>
  <c r="AV32" i="22"/>
  <c r="AU32" i="22"/>
  <c r="AN32" i="22"/>
  <c r="AM32" i="22"/>
  <c r="AL32" i="22"/>
  <c r="AE32" i="22"/>
  <c r="AD32" i="22"/>
  <c r="AC32" i="22"/>
  <c r="V32" i="22"/>
  <c r="BG32" i="22" s="1"/>
  <c r="U32" i="22"/>
  <c r="BS32" i="22" s="1"/>
  <c r="BT31" i="22"/>
  <c r="BR31" i="22"/>
  <c r="BO31" i="22"/>
  <c r="BN31" i="22"/>
  <c r="BM31" i="22"/>
  <c r="BL31" i="22"/>
  <c r="BK31" i="22"/>
  <c r="BJ31" i="22"/>
  <c r="BI31" i="22"/>
  <c r="BH31" i="22"/>
  <c r="BF31" i="22"/>
  <c r="BE31" i="22"/>
  <c r="BD31" i="22"/>
  <c r="AW31" i="22"/>
  <c r="AV31" i="22"/>
  <c r="AU31" i="22"/>
  <c r="AN31" i="22"/>
  <c r="AM31" i="22"/>
  <c r="AL31" i="22"/>
  <c r="AE31" i="22"/>
  <c r="AD31" i="22"/>
  <c r="AC31" i="22"/>
  <c r="V31" i="22"/>
  <c r="BG31" i="22" s="1"/>
  <c r="U31" i="22"/>
  <c r="BS31" i="22" s="1"/>
  <c r="BT30" i="22"/>
  <c r="BR30" i="22"/>
  <c r="BO30" i="22"/>
  <c r="BN30" i="22"/>
  <c r="BM30" i="22"/>
  <c r="BL30" i="22"/>
  <c r="BK30" i="22"/>
  <c r="BJ30" i="22"/>
  <c r="BI30" i="22"/>
  <c r="BH30" i="22"/>
  <c r="BF30" i="22"/>
  <c r="BE30" i="22"/>
  <c r="BD30" i="22"/>
  <c r="AW30" i="22"/>
  <c r="AV30" i="22"/>
  <c r="AU30" i="22"/>
  <c r="AN30" i="22"/>
  <c r="AM30" i="22"/>
  <c r="AL30" i="22"/>
  <c r="AE30" i="22"/>
  <c r="AD30" i="22"/>
  <c r="AC30" i="22"/>
  <c r="V30" i="22"/>
  <c r="U30" i="22"/>
  <c r="BS30" i="22" s="1"/>
  <c r="BT29" i="22"/>
  <c r="BR29" i="22"/>
  <c r="BO29" i="22"/>
  <c r="BN29" i="22"/>
  <c r="BM29" i="22"/>
  <c r="BL29" i="22"/>
  <c r="BK29" i="22"/>
  <c r="BJ29" i="22"/>
  <c r="BI29" i="22"/>
  <c r="BH29" i="22"/>
  <c r="BF29" i="22"/>
  <c r="BE29" i="22"/>
  <c r="BD29" i="22"/>
  <c r="AW29" i="22"/>
  <c r="AV29" i="22"/>
  <c r="AU29" i="22"/>
  <c r="AN29" i="22"/>
  <c r="AM29" i="22"/>
  <c r="AL29" i="22"/>
  <c r="AE29" i="22"/>
  <c r="AD29" i="22"/>
  <c r="AC29" i="22"/>
  <c r="V29" i="22"/>
  <c r="BG29" i="22" s="1"/>
  <c r="U29" i="22"/>
  <c r="BS29" i="22" s="1"/>
  <c r="BT28" i="22"/>
  <c r="BR28" i="22"/>
  <c r="BO28" i="22"/>
  <c r="BN28" i="22"/>
  <c r="BM28" i="22"/>
  <c r="BL28" i="22"/>
  <c r="BK28" i="22"/>
  <c r="BJ28" i="22"/>
  <c r="BI28" i="22"/>
  <c r="BH28" i="22"/>
  <c r="BF28" i="22"/>
  <c r="BE28" i="22"/>
  <c r="BD28" i="22"/>
  <c r="AW28" i="22"/>
  <c r="AV28" i="22"/>
  <c r="AU28" i="22"/>
  <c r="AN28" i="22"/>
  <c r="AM28" i="22"/>
  <c r="AL28" i="22"/>
  <c r="AE28" i="22"/>
  <c r="AD28" i="22"/>
  <c r="AC28" i="22"/>
  <c r="V28" i="22"/>
  <c r="BG28" i="22" s="1"/>
  <c r="U28" i="22"/>
  <c r="BS28" i="22" s="1"/>
  <c r="BT27" i="22"/>
  <c r="BR27" i="22"/>
  <c r="BO27" i="22"/>
  <c r="BN27" i="22"/>
  <c r="BM27" i="22"/>
  <c r="BL27" i="22"/>
  <c r="BK27" i="22"/>
  <c r="BJ27" i="22"/>
  <c r="BI27" i="22"/>
  <c r="BH27" i="22"/>
  <c r="BF27" i="22"/>
  <c r="BE27" i="22"/>
  <c r="BD27" i="22"/>
  <c r="AW27" i="22"/>
  <c r="AV27" i="22"/>
  <c r="AU27" i="22"/>
  <c r="AN27" i="22"/>
  <c r="AM27" i="22"/>
  <c r="AL27" i="22"/>
  <c r="AE27" i="22"/>
  <c r="AD27" i="22"/>
  <c r="AC27" i="22"/>
  <c r="V27" i="22"/>
  <c r="AX27" i="22" s="1"/>
  <c r="U27" i="22"/>
  <c r="BS27" i="22" s="1"/>
  <c r="BT26" i="22"/>
  <c r="BR26" i="22"/>
  <c r="BO26" i="22"/>
  <c r="BN26" i="22"/>
  <c r="BM26" i="22"/>
  <c r="BL26" i="22"/>
  <c r="BK26" i="22"/>
  <c r="BJ26" i="22"/>
  <c r="BI26" i="22"/>
  <c r="BH26" i="22"/>
  <c r="BF26" i="22"/>
  <c r="BE26" i="22"/>
  <c r="BD26" i="22"/>
  <c r="AW26" i="22"/>
  <c r="AV26" i="22"/>
  <c r="AU26" i="22"/>
  <c r="AN26" i="22"/>
  <c r="AM26" i="22"/>
  <c r="AL26" i="22"/>
  <c r="AE26" i="22"/>
  <c r="AD26" i="22"/>
  <c r="AC26" i="22"/>
  <c r="V26" i="22"/>
  <c r="BG26" i="22" s="1"/>
  <c r="U26" i="22"/>
  <c r="BS26" i="22" s="1"/>
  <c r="BT25" i="22"/>
  <c r="BR25" i="22"/>
  <c r="BO25" i="22"/>
  <c r="BN25" i="22"/>
  <c r="BM25" i="22"/>
  <c r="BL25" i="22"/>
  <c r="BK25" i="22"/>
  <c r="BJ25" i="22"/>
  <c r="BI25" i="22"/>
  <c r="BH25" i="22"/>
  <c r="BF25" i="22"/>
  <c r="BE25" i="22"/>
  <c r="BD25" i="22"/>
  <c r="AW25" i="22"/>
  <c r="AV25" i="22"/>
  <c r="AU25" i="22"/>
  <c r="AN25" i="22"/>
  <c r="AM25" i="22"/>
  <c r="AL25" i="22"/>
  <c r="AE25" i="22"/>
  <c r="AD25" i="22"/>
  <c r="AC25" i="22"/>
  <c r="V25" i="22"/>
  <c r="AX25" i="22" s="1"/>
  <c r="U25" i="22"/>
  <c r="BS25" i="22" s="1"/>
  <c r="BT24" i="22"/>
  <c r="BR24" i="22"/>
  <c r="BO24" i="22"/>
  <c r="BN24" i="22"/>
  <c r="BM24" i="22"/>
  <c r="BL24" i="22"/>
  <c r="BK24" i="22"/>
  <c r="BJ24" i="22"/>
  <c r="BI24" i="22"/>
  <c r="BH24" i="22"/>
  <c r="BF24" i="22"/>
  <c r="BE24" i="22"/>
  <c r="BD24" i="22"/>
  <c r="AW24" i="22"/>
  <c r="AV24" i="22"/>
  <c r="AU24" i="22"/>
  <c r="AN24" i="22"/>
  <c r="AM24" i="22"/>
  <c r="AL24" i="22"/>
  <c r="AE24" i="22"/>
  <c r="AD24" i="22"/>
  <c r="AC24" i="22"/>
  <c r="V24" i="22"/>
  <c r="BG24" i="22" s="1"/>
  <c r="U24" i="22"/>
  <c r="BS24" i="22" s="1"/>
  <c r="BT23" i="22"/>
  <c r="BR23" i="22"/>
  <c r="BO23" i="22"/>
  <c r="BN23" i="22"/>
  <c r="BM23" i="22"/>
  <c r="BL23" i="22"/>
  <c r="BK23" i="22"/>
  <c r="BJ23" i="22"/>
  <c r="BI23" i="22"/>
  <c r="BH23" i="22"/>
  <c r="BF23" i="22"/>
  <c r="BE23" i="22"/>
  <c r="BD23" i="22"/>
  <c r="AW23" i="22"/>
  <c r="AV23" i="22"/>
  <c r="AU23" i="22"/>
  <c r="AN23" i="22"/>
  <c r="AM23" i="22"/>
  <c r="AL23" i="22"/>
  <c r="AE23" i="22"/>
  <c r="AD23" i="22"/>
  <c r="AC23" i="22"/>
  <c r="V23" i="22"/>
  <c r="BG23" i="22" s="1"/>
  <c r="U23" i="22"/>
  <c r="BS23" i="22" s="1"/>
  <c r="BT22" i="22"/>
  <c r="BR22" i="22"/>
  <c r="BO22" i="22"/>
  <c r="BN22" i="22"/>
  <c r="BM22" i="22"/>
  <c r="BL22" i="22"/>
  <c r="BK22" i="22"/>
  <c r="BJ22" i="22"/>
  <c r="BI22" i="22"/>
  <c r="BH22" i="22"/>
  <c r="BF22" i="22"/>
  <c r="BE22" i="22"/>
  <c r="BD22" i="22"/>
  <c r="AW22" i="22"/>
  <c r="AV22" i="22"/>
  <c r="AU22" i="22"/>
  <c r="AN22" i="22"/>
  <c r="AM22" i="22"/>
  <c r="AL22" i="22"/>
  <c r="AE22" i="22"/>
  <c r="AD22" i="22"/>
  <c r="AC22" i="22"/>
  <c r="V22" i="22"/>
  <c r="AO22" i="22" s="1"/>
  <c r="U22" i="22"/>
  <c r="BS22" i="22" s="1"/>
  <c r="BT21" i="22"/>
  <c r="BR21" i="22"/>
  <c r="BO21" i="22"/>
  <c r="BN21" i="22"/>
  <c r="BM21" i="22"/>
  <c r="BL21" i="22"/>
  <c r="BK21" i="22"/>
  <c r="BJ21" i="22"/>
  <c r="BI21" i="22"/>
  <c r="BH21" i="22"/>
  <c r="BF21" i="22"/>
  <c r="BE21" i="22"/>
  <c r="BD21" i="22"/>
  <c r="AW21" i="22"/>
  <c r="AV21" i="22"/>
  <c r="AU21" i="22"/>
  <c r="AN21" i="22"/>
  <c r="AM21" i="22"/>
  <c r="AL21" i="22"/>
  <c r="AE21" i="22"/>
  <c r="AD21" i="22"/>
  <c r="AC21" i="22"/>
  <c r="V21" i="22"/>
  <c r="BG21" i="22" s="1"/>
  <c r="U21" i="22"/>
  <c r="BS21" i="22" s="1"/>
  <c r="BT20" i="22"/>
  <c r="BR20" i="22"/>
  <c r="BO20" i="22"/>
  <c r="BN20" i="22"/>
  <c r="BM20" i="22"/>
  <c r="BL20" i="22"/>
  <c r="BK20" i="22"/>
  <c r="BJ20" i="22"/>
  <c r="BI20" i="22"/>
  <c r="BH20" i="22"/>
  <c r="BF20" i="22"/>
  <c r="BE20" i="22"/>
  <c r="BD20" i="22"/>
  <c r="AW20" i="22"/>
  <c r="AV20" i="22"/>
  <c r="AU20" i="22"/>
  <c r="AN20" i="22"/>
  <c r="AM20" i="22"/>
  <c r="AL20" i="22"/>
  <c r="AE20" i="22"/>
  <c r="AD20" i="22"/>
  <c r="AC20" i="22"/>
  <c r="V20" i="22"/>
  <c r="BG20" i="22" s="1"/>
  <c r="U20" i="22"/>
  <c r="BS20" i="22" s="1"/>
  <c r="BT19" i="22"/>
  <c r="BR19" i="22"/>
  <c r="BO19" i="22"/>
  <c r="BN19" i="22"/>
  <c r="BM19" i="22"/>
  <c r="BL19" i="22"/>
  <c r="BK19" i="22"/>
  <c r="BJ19" i="22"/>
  <c r="BI19" i="22"/>
  <c r="BH19" i="22"/>
  <c r="BF19" i="22"/>
  <c r="BE19" i="22"/>
  <c r="BD19" i="22"/>
  <c r="AW19" i="22"/>
  <c r="AV19" i="22"/>
  <c r="AU19" i="22"/>
  <c r="AN19" i="22"/>
  <c r="AM19" i="22"/>
  <c r="AL19" i="22"/>
  <c r="AE19" i="22"/>
  <c r="AD19" i="22"/>
  <c r="AC19" i="22"/>
  <c r="V19" i="22"/>
  <c r="BG19" i="22" s="1"/>
  <c r="U19" i="22"/>
  <c r="BS19" i="22" s="1"/>
  <c r="BT18" i="22"/>
  <c r="BR18" i="22"/>
  <c r="BO18" i="22"/>
  <c r="BN18" i="22"/>
  <c r="BM18" i="22"/>
  <c r="BL18" i="22"/>
  <c r="BK18" i="22"/>
  <c r="BJ18" i="22"/>
  <c r="BI18" i="22"/>
  <c r="BH18" i="22"/>
  <c r="BF18" i="22"/>
  <c r="BE18" i="22"/>
  <c r="BD18" i="22"/>
  <c r="AW18" i="22"/>
  <c r="AV18" i="22"/>
  <c r="AU18" i="22"/>
  <c r="AN18" i="22"/>
  <c r="AM18" i="22"/>
  <c r="AL18" i="22"/>
  <c r="AE18" i="22"/>
  <c r="AD18" i="22"/>
  <c r="AC18" i="22"/>
  <c r="V18" i="22"/>
  <c r="BG18" i="22" s="1"/>
  <c r="U18" i="22"/>
  <c r="BS18" i="22" s="1"/>
  <c r="BT17" i="22"/>
  <c r="BR17" i="22"/>
  <c r="BO17" i="22"/>
  <c r="BN17" i="22"/>
  <c r="BM17" i="22"/>
  <c r="BL17" i="22"/>
  <c r="BK17" i="22"/>
  <c r="BJ17" i="22"/>
  <c r="BI17" i="22"/>
  <c r="BH17" i="22"/>
  <c r="BF17" i="22"/>
  <c r="BE17" i="22"/>
  <c r="BD17" i="22"/>
  <c r="AW17" i="22"/>
  <c r="AV17" i="22"/>
  <c r="AU17" i="22"/>
  <c r="AN17" i="22"/>
  <c r="AM17" i="22"/>
  <c r="AL17" i="22"/>
  <c r="AE17" i="22"/>
  <c r="AD17" i="22"/>
  <c r="AC17" i="22"/>
  <c r="V17" i="22"/>
  <c r="BG17" i="22" s="1"/>
  <c r="U17" i="22"/>
  <c r="BS17" i="22" s="1"/>
  <c r="BT16" i="22"/>
  <c r="BR16" i="22"/>
  <c r="BO16" i="22"/>
  <c r="BN16" i="22"/>
  <c r="BM16" i="22"/>
  <c r="BL16" i="22"/>
  <c r="BK16" i="22"/>
  <c r="BJ16" i="22"/>
  <c r="BI16" i="22"/>
  <c r="BH16" i="22"/>
  <c r="BF16" i="22"/>
  <c r="BE16" i="22"/>
  <c r="BD16" i="22"/>
  <c r="AW16" i="22"/>
  <c r="AV16" i="22"/>
  <c r="AU16" i="22"/>
  <c r="AN16" i="22"/>
  <c r="AM16" i="22"/>
  <c r="AL16" i="22"/>
  <c r="AE16" i="22"/>
  <c r="AD16" i="22"/>
  <c r="AC16" i="22"/>
  <c r="V16" i="22"/>
  <c r="BG16" i="22" s="1"/>
  <c r="U16" i="22"/>
  <c r="BS16" i="22" s="1"/>
  <c r="BT15" i="22"/>
  <c r="BR15" i="22"/>
  <c r="BO15" i="22"/>
  <c r="BN15" i="22"/>
  <c r="BM15" i="22"/>
  <c r="BL15" i="22"/>
  <c r="BK15" i="22"/>
  <c r="BJ15" i="22"/>
  <c r="BI15" i="22"/>
  <c r="BH15" i="22"/>
  <c r="BF15" i="22"/>
  <c r="BE15" i="22"/>
  <c r="BD15" i="22"/>
  <c r="AW15" i="22"/>
  <c r="AV15" i="22"/>
  <c r="AU15" i="22"/>
  <c r="AN15" i="22"/>
  <c r="AM15" i="22"/>
  <c r="AL15" i="22"/>
  <c r="AE15" i="22"/>
  <c r="AD15" i="22"/>
  <c r="AC15" i="22"/>
  <c r="V15" i="22"/>
  <c r="BG15" i="22" s="1"/>
  <c r="U15" i="22"/>
  <c r="BS15" i="22" s="1"/>
  <c r="BT14" i="22"/>
  <c r="BR14" i="22"/>
  <c r="BO14" i="22"/>
  <c r="BN14" i="22"/>
  <c r="BM14" i="22"/>
  <c r="BL14" i="22"/>
  <c r="BK14" i="22"/>
  <c r="BJ14" i="22"/>
  <c r="BI14" i="22"/>
  <c r="BH14" i="22"/>
  <c r="BF14" i="22"/>
  <c r="BE14" i="22"/>
  <c r="BD14" i="22"/>
  <c r="AW14" i="22"/>
  <c r="AV14" i="22"/>
  <c r="AU14" i="22"/>
  <c r="AN14" i="22"/>
  <c r="AM14" i="22"/>
  <c r="AL14" i="22"/>
  <c r="AE14" i="22"/>
  <c r="AD14" i="22"/>
  <c r="AC14" i="22"/>
  <c r="V14" i="22"/>
  <c r="BG14" i="22" s="1"/>
  <c r="U14" i="22"/>
  <c r="BS14" i="22" s="1"/>
  <c r="BT13" i="22"/>
  <c r="BR13" i="22"/>
  <c r="BO13" i="22"/>
  <c r="BN13" i="22"/>
  <c r="BM13" i="22"/>
  <c r="BL13" i="22"/>
  <c r="BK13" i="22"/>
  <c r="BJ13" i="22"/>
  <c r="BI13" i="22"/>
  <c r="BH13" i="22"/>
  <c r="BF13" i="22"/>
  <c r="BE13" i="22"/>
  <c r="BD13" i="22"/>
  <c r="AW13" i="22"/>
  <c r="AV13" i="22"/>
  <c r="AU13" i="22"/>
  <c r="AN13" i="22"/>
  <c r="AM13" i="22"/>
  <c r="AL13" i="22"/>
  <c r="AE13" i="22"/>
  <c r="AD13" i="22"/>
  <c r="AC13" i="22"/>
  <c r="V13" i="22"/>
  <c r="BG13" i="22" s="1"/>
  <c r="U13" i="22"/>
  <c r="BS13" i="22" s="1"/>
  <c r="BT12" i="22"/>
  <c r="BR12" i="22"/>
  <c r="BO12" i="22"/>
  <c r="BN12" i="22"/>
  <c r="BM12" i="22"/>
  <c r="BL12" i="22"/>
  <c r="BK12" i="22"/>
  <c r="BJ12" i="22"/>
  <c r="BI12" i="22"/>
  <c r="BH12" i="22"/>
  <c r="BF12" i="22"/>
  <c r="BE12" i="22"/>
  <c r="BD12" i="22"/>
  <c r="AW12" i="22"/>
  <c r="AV12" i="22"/>
  <c r="AU12" i="22"/>
  <c r="AN12" i="22"/>
  <c r="AM12" i="22"/>
  <c r="AL12" i="22"/>
  <c r="AE12" i="22"/>
  <c r="AD12" i="22"/>
  <c r="AC12" i="22"/>
  <c r="V12" i="22"/>
  <c r="U12" i="22"/>
  <c r="BS12" i="22" s="1"/>
  <c r="BT11" i="22"/>
  <c r="BR11" i="22"/>
  <c r="BT10" i="22"/>
  <c r="BR10" i="22"/>
  <c r="BT9" i="22"/>
  <c r="BR9" i="22"/>
  <c r="BO9" i="22"/>
  <c r="BN9" i="22"/>
  <c r="BM9" i="22"/>
  <c r="BL9" i="22"/>
  <c r="BK9" i="22"/>
  <c r="BJ9" i="22"/>
  <c r="BI9" i="22"/>
  <c r="BH9" i="22"/>
  <c r="BF9" i="22"/>
  <c r="BE9" i="22"/>
  <c r="BD9" i="22"/>
  <c r="AW9" i="22"/>
  <c r="AV9" i="22"/>
  <c r="AU9" i="22"/>
  <c r="AN9" i="22"/>
  <c r="AM9" i="22"/>
  <c r="AL9" i="22"/>
  <c r="AE9" i="22"/>
  <c r="AD9" i="22"/>
  <c r="AC9" i="22"/>
  <c r="V9" i="22"/>
  <c r="BG9" i="22" s="1"/>
  <c r="U9" i="22"/>
  <c r="BS9" i="22" s="1"/>
  <c r="BT8" i="22"/>
  <c r="BR8" i="22"/>
  <c r="BO8" i="22"/>
  <c r="BN8" i="22"/>
  <c r="BM8" i="22"/>
  <c r="BL8" i="22"/>
  <c r="BK8" i="22"/>
  <c r="BJ8" i="22"/>
  <c r="BI8" i="22"/>
  <c r="BH8" i="22"/>
  <c r="BF8" i="22"/>
  <c r="BE8" i="22"/>
  <c r="BD8" i="22"/>
  <c r="AW8" i="22"/>
  <c r="AV8" i="22"/>
  <c r="AU8" i="22"/>
  <c r="AN8" i="22"/>
  <c r="AM8" i="22"/>
  <c r="AL8" i="22"/>
  <c r="AE8" i="22"/>
  <c r="AD8" i="22"/>
  <c r="AC8" i="22"/>
  <c r="V8" i="22"/>
  <c r="AX8" i="22" s="1"/>
  <c r="U8" i="22"/>
  <c r="BS8" i="22" s="1"/>
  <c r="AF122" i="22" l="1"/>
  <c r="BG52" i="22"/>
  <c r="AF55" i="22"/>
  <c r="AX84" i="22"/>
  <c r="AX15" i="22"/>
  <c r="AF84" i="22"/>
  <c r="AX55" i="22"/>
  <c r="AX64" i="22"/>
  <c r="Z130" i="22"/>
  <c r="AX37" i="22"/>
  <c r="AF97" i="22"/>
  <c r="Z73" i="22"/>
  <c r="BT73" i="22" s="1"/>
  <c r="AX130" i="22"/>
  <c r="AX131" i="22"/>
  <c r="Z133" i="22"/>
  <c r="BT133" i="22" s="1"/>
  <c r="AF33" i="22"/>
  <c r="AX48" i="22"/>
  <c r="AX102" i="22"/>
  <c r="AX63" i="22"/>
  <c r="BI67" i="22"/>
  <c r="AF100" i="22"/>
  <c r="AX50" i="22"/>
  <c r="AF116" i="22"/>
  <c r="BI133" i="22"/>
  <c r="AX18" i="22"/>
  <c r="AF64" i="22"/>
  <c r="AF73" i="22"/>
  <c r="AX73" i="22"/>
  <c r="AI82" i="22"/>
  <c r="BK82" i="22" s="1"/>
  <c r="AX32" i="22"/>
  <c r="AD67" i="22"/>
  <c r="AX133" i="22"/>
  <c r="AX136" i="22"/>
  <c r="AX53" i="22"/>
  <c r="AX127" i="22"/>
  <c r="AO130" i="22"/>
  <c r="AF133" i="22"/>
  <c r="AF53" i="22"/>
  <c r="BG22" i="22"/>
  <c r="AF41" i="22"/>
  <c r="AX43" i="22"/>
  <c r="AF70" i="22"/>
  <c r="AF81" i="22"/>
  <c r="AF82" i="22"/>
  <c r="AF91" i="22"/>
  <c r="AX92" i="22"/>
  <c r="AF101" i="22"/>
  <c r="AX132" i="22"/>
  <c r="AO133" i="22"/>
  <c r="AX141" i="22"/>
  <c r="BG146" i="22"/>
  <c r="AF149" i="22"/>
  <c r="AF32" i="22"/>
  <c r="AF42" i="22"/>
  <c r="AF63" i="22"/>
  <c r="AO108" i="22"/>
  <c r="AF115" i="22"/>
  <c r="AX116" i="22"/>
  <c r="AX129" i="22"/>
  <c r="AF132" i="22"/>
  <c r="AF140" i="22"/>
  <c r="AO67" i="22"/>
  <c r="BG67" i="22"/>
  <c r="AF102" i="22"/>
  <c r="AF129" i="22"/>
  <c r="AO28" i="22"/>
  <c r="AO60" i="22"/>
  <c r="AO124" i="22"/>
  <c r="AF37" i="22"/>
  <c r="AX39" i="22"/>
  <c r="AF50" i="22"/>
  <c r="AX58" i="22"/>
  <c r="BG77" i="22"/>
  <c r="AF78" i="22"/>
  <c r="AX79" i="22"/>
  <c r="AX85" i="22"/>
  <c r="BG106" i="22"/>
  <c r="AX113" i="22"/>
  <c r="AX123" i="22"/>
  <c r="Z124" i="22"/>
  <c r="Z149" i="22"/>
  <c r="BT149" i="22" s="1"/>
  <c r="AX51" i="22"/>
  <c r="AF67" i="22"/>
  <c r="Z68" i="22"/>
  <c r="BT68" i="22" s="1"/>
  <c r="AF79" i="22"/>
  <c r="AF85" i="22"/>
  <c r="Z92" i="22"/>
  <c r="BI92" i="22" s="1"/>
  <c r="AX97" i="22"/>
  <c r="Z98" i="22"/>
  <c r="BT98" i="22" s="1"/>
  <c r="BG108" i="22"/>
  <c r="AF113" i="22"/>
  <c r="AX114" i="22"/>
  <c r="AX125" i="22"/>
  <c r="AF150" i="22"/>
  <c r="AO36" i="22"/>
  <c r="AF51" i="22"/>
  <c r="AF69" i="22"/>
  <c r="AX70" i="22"/>
  <c r="AX82" i="22"/>
  <c r="BG95" i="22"/>
  <c r="AX101" i="22"/>
  <c r="AF125" i="22"/>
  <c r="AF127" i="22"/>
  <c r="AX128" i="22"/>
  <c r="AF136" i="22"/>
  <c r="Z148" i="22"/>
  <c r="BT148" i="22" s="1"/>
  <c r="AX16" i="22"/>
  <c r="AF19" i="22"/>
  <c r="AF26" i="22"/>
  <c r="AX33" i="22"/>
  <c r="AX49" i="22"/>
  <c r="AF71" i="22"/>
  <c r="AX81" i="22"/>
  <c r="AF83" i="22"/>
  <c r="AX91" i="22"/>
  <c r="AO92" i="22"/>
  <c r="AO107" i="22"/>
  <c r="BG107" i="22"/>
  <c r="AF110" i="22"/>
  <c r="AX110" i="22"/>
  <c r="AX115" i="22"/>
  <c r="BG119" i="22"/>
  <c r="AF124" i="22"/>
  <c r="AX124" i="22"/>
  <c r="BG139" i="22"/>
  <c r="BG8" i="22"/>
  <c r="AO14" i="22"/>
  <c r="AF16" i="22"/>
  <c r="AX57" i="22"/>
  <c r="AX66" i="22"/>
  <c r="AF68" i="22"/>
  <c r="AX68" i="22"/>
  <c r="AX78" i="22"/>
  <c r="BG93" i="22"/>
  <c r="Z107" i="22"/>
  <c r="AR107" i="22"/>
  <c r="BM107" i="22" s="1"/>
  <c r="AX108" i="22"/>
  <c r="AX149" i="22"/>
  <c r="AX17" i="22"/>
  <c r="AX34" i="22"/>
  <c r="AF57" i="22"/>
  <c r="AX61" i="22"/>
  <c r="AF66" i="22"/>
  <c r="AX69" i="22"/>
  <c r="BI73" i="22"/>
  <c r="AO93" i="22"/>
  <c r="AF96" i="22"/>
  <c r="AO98" i="22"/>
  <c r="BG98" i="22"/>
  <c r="AF141" i="22"/>
  <c r="AO148" i="22"/>
  <c r="BG148" i="22"/>
  <c r="AF17" i="22"/>
  <c r="AF21" i="22"/>
  <c r="AF34" i="22"/>
  <c r="AF39" i="22"/>
  <c r="AF43" i="22"/>
  <c r="AF61" i="22"/>
  <c r="Z93" i="22"/>
  <c r="AX138" i="22"/>
  <c r="AX150" i="22"/>
  <c r="AX29" i="22"/>
  <c r="AX40" i="22"/>
  <c r="AF58" i="22"/>
  <c r="AX107" i="22"/>
  <c r="AO110" i="22"/>
  <c r="BG110" i="22"/>
  <c r="BG111" i="22"/>
  <c r="AF138" i="22"/>
  <c r="AX143" i="22"/>
  <c r="AF18" i="22"/>
  <c r="AX24" i="22"/>
  <c r="AF29" i="22"/>
  <c r="AF40" i="22"/>
  <c r="AO68" i="22"/>
  <c r="AF123" i="22"/>
  <c r="BI124" i="22"/>
  <c r="AF143" i="22"/>
  <c r="AO149" i="22"/>
  <c r="AF24" i="22"/>
  <c r="AF47" i="22"/>
  <c r="AX56" i="22"/>
  <c r="AX80" i="22"/>
  <c r="AF98" i="22"/>
  <c r="AX103" i="22"/>
  <c r="AO125" i="22"/>
  <c r="BG125" i="22"/>
  <c r="AX135" i="22"/>
  <c r="AF148" i="22"/>
  <c r="AF15" i="22"/>
  <c r="AX19" i="22"/>
  <c r="AX26" i="22"/>
  <c r="AX42" i="22"/>
  <c r="AF48" i="22"/>
  <c r="AF56" i="22"/>
  <c r="AF59" i="22"/>
  <c r="AX71" i="22"/>
  <c r="AF80" i="22"/>
  <c r="AR82" i="22"/>
  <c r="AX83" i="22"/>
  <c r="AF86" i="22"/>
  <c r="AX100" i="22"/>
  <c r="AF103" i="22"/>
  <c r="AF109" i="22"/>
  <c r="AF114" i="22"/>
  <c r="AX121" i="22"/>
  <c r="AF128" i="22"/>
  <c r="AF131" i="22"/>
  <c r="AF135" i="22"/>
  <c r="AX140" i="22"/>
  <c r="BI149" i="22"/>
  <c r="AX12" i="22"/>
  <c r="AF12" i="22"/>
  <c r="AX30" i="22"/>
  <c r="AF30" i="22"/>
  <c r="AX44" i="22"/>
  <c r="AF44" i="22"/>
  <c r="AX89" i="22"/>
  <c r="AF89" i="22"/>
  <c r="AX36" i="22"/>
  <c r="AF36" i="22"/>
  <c r="AX119" i="22"/>
  <c r="AF119" i="22"/>
  <c r="AX139" i="22"/>
  <c r="AF139" i="22"/>
  <c r="AX95" i="22"/>
  <c r="AF95" i="22"/>
  <c r="AX28" i="22"/>
  <c r="AF28" i="22"/>
  <c r="BI148" i="22"/>
  <c r="AD148" i="22"/>
  <c r="AX106" i="22"/>
  <c r="AF106" i="22"/>
  <c r="AO8" i="22"/>
  <c r="AF8" i="22"/>
  <c r="AX22" i="22"/>
  <c r="AF22" i="22"/>
  <c r="AX52" i="22"/>
  <c r="AF52" i="22"/>
  <c r="AX60" i="22"/>
  <c r="AF60" i="22"/>
  <c r="AX111" i="22"/>
  <c r="AF111" i="22"/>
  <c r="AX14" i="22"/>
  <c r="AF14" i="22"/>
  <c r="BG12" i="22"/>
  <c r="BG30" i="22"/>
  <c r="BG44" i="22"/>
  <c r="AX77" i="22"/>
  <c r="AF77" i="22"/>
  <c r="BG89" i="22"/>
  <c r="BT92" i="22"/>
  <c r="BT125" i="22"/>
  <c r="BI125" i="22"/>
  <c r="AD125" i="22"/>
  <c r="AX146" i="22"/>
  <c r="AF146" i="22"/>
  <c r="AX20" i="22"/>
  <c r="AF20" i="22"/>
  <c r="AO12" i="22"/>
  <c r="AO20" i="22"/>
  <c r="AO30" i="22"/>
  <c r="AO44" i="22"/>
  <c r="AO89" i="22"/>
  <c r="BM108" i="22"/>
  <c r="AV108" i="22"/>
  <c r="AF13" i="22"/>
  <c r="AX13" i="22"/>
  <c r="AO17" i="22"/>
  <c r="AX21" i="22"/>
  <c r="AO25" i="22"/>
  <c r="BG25" i="22"/>
  <c r="AO33" i="22"/>
  <c r="AO41" i="22"/>
  <c r="BG41" i="22"/>
  <c r="AF45" i="22"/>
  <c r="AX45" i="22"/>
  <c r="AO49" i="22"/>
  <c r="AO57" i="22"/>
  <c r="AO65" i="22"/>
  <c r="BG65" i="22"/>
  <c r="AO71" i="22"/>
  <c r="AO74" i="22"/>
  <c r="BG74" i="22"/>
  <c r="BA82" i="22"/>
  <c r="AO86" i="22"/>
  <c r="BG86" i="22"/>
  <c r="AF90" i="22"/>
  <c r="AX90" i="22"/>
  <c r="AX96" i="22"/>
  <c r="AF99" i="22"/>
  <c r="AX99" i="22"/>
  <c r="AO103" i="22"/>
  <c r="AV107" i="22"/>
  <c r="BI107" i="22"/>
  <c r="AF108" i="22"/>
  <c r="AX109" i="22"/>
  <c r="AF112" i="22"/>
  <c r="AX112" i="22"/>
  <c r="AO116" i="22"/>
  <c r="AF120" i="22"/>
  <c r="AX120" i="22"/>
  <c r="AF126" i="22"/>
  <c r="AX126" i="22"/>
  <c r="AO136" i="22"/>
  <c r="BG144" i="22"/>
  <c r="AO38" i="22"/>
  <c r="BG38" i="22"/>
  <c r="AO46" i="22"/>
  <c r="BG46" i="22"/>
  <c r="AO54" i="22"/>
  <c r="BG54" i="22"/>
  <c r="AO62" i="22"/>
  <c r="BG62" i="22"/>
  <c r="AF72" i="22"/>
  <c r="AX72" i="22"/>
  <c r="AF75" i="22"/>
  <c r="AX75" i="22"/>
  <c r="AO79" i="22"/>
  <c r="Z82" i="22"/>
  <c r="AO83" i="22"/>
  <c r="AF87" i="22"/>
  <c r="AX87" i="22"/>
  <c r="AO91" i="22"/>
  <c r="AF93" i="22"/>
  <c r="AO97" i="22"/>
  <c r="AO100" i="22"/>
  <c r="AF104" i="22"/>
  <c r="AX104" i="22"/>
  <c r="AI108" i="22"/>
  <c r="AO113" i="22"/>
  <c r="AF117" i="22"/>
  <c r="AX117" i="22"/>
  <c r="AO121" i="22"/>
  <c r="AO127" i="22"/>
  <c r="AF137" i="22"/>
  <c r="AX137" i="22"/>
  <c r="AO141" i="22"/>
  <c r="AF9" i="22"/>
  <c r="AX9" i="22"/>
  <c r="AO19" i="22"/>
  <c r="AF23" i="22"/>
  <c r="AX23" i="22"/>
  <c r="AO27" i="22"/>
  <c r="BG27" i="22"/>
  <c r="AF31" i="22"/>
  <c r="AX31" i="22"/>
  <c r="AO35" i="22"/>
  <c r="BG35" i="22"/>
  <c r="AO43" i="22"/>
  <c r="AX47" i="22"/>
  <c r="AO51" i="22"/>
  <c r="AO59" i="22"/>
  <c r="BG59" i="22"/>
  <c r="AO76" i="22"/>
  <c r="BG76" i="22"/>
  <c r="AO88" i="22"/>
  <c r="BG88" i="22"/>
  <c r="AO94" i="22"/>
  <c r="BG94" i="22"/>
  <c r="AO105" i="22"/>
  <c r="BG105" i="22"/>
  <c r="AO118" i="22"/>
  <c r="BG118" i="22"/>
  <c r="AF134" i="22"/>
  <c r="AX134" i="22"/>
  <c r="AO138" i="22"/>
  <c r="AF142" i="22"/>
  <c r="AX142" i="22"/>
  <c r="AO16" i="22"/>
  <c r="AO24" i="22"/>
  <c r="AO32" i="22"/>
  <c r="AO40" i="22"/>
  <c r="AO48" i="22"/>
  <c r="AO56" i="22"/>
  <c r="AO64" i="22"/>
  <c r="AO70" i="22"/>
  <c r="AO81" i="22"/>
  <c r="AO85" i="22"/>
  <c r="AO102" i="22"/>
  <c r="BA108" i="22"/>
  <c r="AO115" i="22"/>
  <c r="AO123" i="22"/>
  <c r="AO129" i="22"/>
  <c r="AO132" i="22"/>
  <c r="AO135" i="22"/>
  <c r="AO143" i="22"/>
  <c r="Z150" i="22"/>
  <c r="AO150" i="22"/>
  <c r="AO13" i="22"/>
  <c r="AO21" i="22"/>
  <c r="AF25" i="22"/>
  <c r="AO29" i="22"/>
  <c r="AO37" i="22"/>
  <c r="AO45" i="22"/>
  <c r="AO53" i="22"/>
  <c r="AO61" i="22"/>
  <c r="AF65" i="22"/>
  <c r="AF74" i="22"/>
  <c r="AO78" i="22"/>
  <c r="AO90" i="22"/>
  <c r="AO96" i="22"/>
  <c r="AO99" i="22"/>
  <c r="Z108" i="22"/>
  <c r="AO109" i="22"/>
  <c r="AD110" i="22"/>
  <c r="BI110" i="22"/>
  <c r="AO112" i="22"/>
  <c r="AO120" i="22"/>
  <c r="AO126" i="22"/>
  <c r="AO140" i="22"/>
  <c r="AO18" i="22"/>
  <c r="AO26" i="22"/>
  <c r="AO34" i="22"/>
  <c r="AF38" i="22"/>
  <c r="AO42" i="22"/>
  <c r="AF46" i="22"/>
  <c r="AO50" i="22"/>
  <c r="AF54" i="22"/>
  <c r="AO58" i="22"/>
  <c r="AF62" i="22"/>
  <c r="AO66" i="22"/>
  <c r="AO72" i="22"/>
  <c r="AO75" i="22"/>
  <c r="AO87" i="22"/>
  <c r="AO104" i="22"/>
  <c r="AO117" i="22"/>
  <c r="AO137" i="22"/>
  <c r="AO9" i="22"/>
  <c r="AO15" i="22"/>
  <c r="AO23" i="22"/>
  <c r="AF27" i="22"/>
  <c r="AO31" i="22"/>
  <c r="AF35" i="22"/>
  <c r="AO39" i="22"/>
  <c r="AO47" i="22"/>
  <c r="AO55" i="22"/>
  <c r="AO63" i="22"/>
  <c r="AO69" i="22"/>
  <c r="AF76" i="22"/>
  <c r="AO80" i="22"/>
  <c r="AO84" i="22"/>
  <c r="AF88" i="22"/>
  <c r="AF94" i="22"/>
  <c r="AO101" i="22"/>
  <c r="AF105" i="22"/>
  <c r="AO114" i="22"/>
  <c r="AF118" i="22"/>
  <c r="AO122" i="22"/>
  <c r="AO128" i="22"/>
  <c r="AO131" i="22"/>
  <c r="AO134" i="22"/>
  <c r="AO142" i="22"/>
  <c r="AD133" i="22" l="1"/>
  <c r="AM82" i="22"/>
  <c r="AD98" i="22"/>
  <c r="BI98" i="22"/>
  <c r="BT130" i="22"/>
  <c r="AD130" i="22"/>
  <c r="BI130" i="22"/>
  <c r="BI68" i="22"/>
  <c r="AD68" i="22"/>
  <c r="AD73" i="22"/>
  <c r="AD92" i="22"/>
  <c r="AD149" i="22"/>
  <c r="BT124" i="22"/>
  <c r="AD124" i="22"/>
  <c r="BM82" i="22"/>
  <c r="AV82" i="22"/>
  <c r="BT93" i="22"/>
  <c r="AD93" i="22"/>
  <c r="BI93" i="22"/>
  <c r="BT107" i="22"/>
  <c r="AD107" i="22"/>
  <c r="BO82" i="22"/>
  <c r="BE82" i="22"/>
  <c r="AD108" i="22"/>
  <c r="BT108" i="22"/>
  <c r="BI108" i="22"/>
  <c r="BI82" i="22"/>
  <c r="AD82" i="22"/>
  <c r="BT82" i="22"/>
  <c r="BK108" i="22"/>
  <c r="AM108" i="22"/>
  <c r="BE108" i="22"/>
  <c r="BO108" i="22"/>
  <c r="BT150" i="22"/>
  <c r="BI150" i="22"/>
  <c r="AD150" i="22"/>
  <c r="I152" i="15"/>
  <c r="J152" i="15" s="1"/>
  <c r="I233" i="15"/>
  <c r="J233" i="15" s="1"/>
  <c r="V181" i="3"/>
  <c r="AP179" i="3"/>
  <c r="AF179" i="3"/>
  <c r="AT181" i="3" l="1"/>
  <c r="BD181" i="3"/>
  <c r="AJ181" i="3"/>
  <c r="Z181" i="3"/>
  <c r="AN9" i="3"/>
  <c r="H166" i="15"/>
  <c r="AD233" i="15" l="1"/>
  <c r="AE233" i="15" s="1"/>
  <c r="AC233" i="15"/>
  <c r="W233" i="15"/>
  <c r="X233" i="15" s="1"/>
  <c r="V233" i="15"/>
  <c r="P233" i="15"/>
  <c r="Q233" i="15" s="1"/>
  <c r="O233" i="15"/>
  <c r="H233" i="15"/>
  <c r="F233" i="15"/>
  <c r="E233" i="15"/>
  <c r="BJ99" i="3"/>
  <c r="AF233" i="15" s="1"/>
  <c r="AG233" i="15" s="1"/>
  <c r="BI99" i="3"/>
  <c r="BH99" i="3"/>
  <c r="AZ99" i="3"/>
  <c r="Y233" i="15" s="1"/>
  <c r="AY99" i="3"/>
  <c r="AX99" i="3"/>
  <c r="AP99" i="3"/>
  <c r="R233" i="15" s="1"/>
  <c r="AO99" i="3"/>
  <c r="AN99" i="3"/>
  <c r="AF99" i="3"/>
  <c r="K233" i="15" s="1"/>
  <c r="AE99" i="3"/>
  <c r="AD99" i="3"/>
  <c r="W99" i="3"/>
  <c r="V99" i="3"/>
  <c r="AF152" i="15"/>
  <c r="AG152" i="15" s="1"/>
  <c r="AD152" i="15"/>
  <c r="AE152" i="15" s="1"/>
  <c r="AC152" i="15"/>
  <c r="Y152" i="15"/>
  <c r="W152" i="15"/>
  <c r="X152" i="15" s="1"/>
  <c r="V152" i="15"/>
  <c r="P152" i="15"/>
  <c r="Q152" i="15" s="1"/>
  <c r="O152" i="15"/>
  <c r="H152" i="15"/>
  <c r="AC151" i="15"/>
  <c r="V151" i="15"/>
  <c r="O151" i="15"/>
  <c r="H151" i="15"/>
  <c r="F152" i="15"/>
  <c r="F151" i="15"/>
  <c r="D151" i="15"/>
  <c r="U82" i="4"/>
  <c r="U83" i="4" s="1"/>
  <c r="AC226" i="15"/>
  <c r="V226" i="15"/>
  <c r="O226" i="15"/>
  <c r="H226" i="15"/>
  <c r="AC225" i="15"/>
  <c r="V225" i="15"/>
  <c r="O225" i="15"/>
  <c r="H225" i="15"/>
  <c r="F226" i="15"/>
  <c r="F225" i="15"/>
  <c r="AC223" i="15"/>
  <c r="V223" i="15"/>
  <c r="O223" i="15"/>
  <c r="H223" i="15"/>
  <c r="F223" i="15"/>
  <c r="D223" i="15"/>
  <c r="D328" i="15"/>
  <c r="AF92" i="15"/>
  <c r="AC92" i="15"/>
  <c r="Y92" i="15"/>
  <c r="Z92" i="15" s="1"/>
  <c r="V92" i="15"/>
  <c r="R92" i="15"/>
  <c r="S92" i="15" s="1"/>
  <c r="O92" i="15"/>
  <c r="K92" i="15"/>
  <c r="L92" i="15" s="1"/>
  <c r="S233" i="15" l="1"/>
  <c r="T233" i="15" s="1"/>
  <c r="Z152" i="15"/>
  <c r="AA152" i="15" s="1"/>
  <c r="L233" i="15"/>
  <c r="M233" i="15" s="1"/>
  <c r="Z233" i="15"/>
  <c r="AA233" i="15" s="1"/>
  <c r="BK99" i="3"/>
  <c r="AT99" i="3"/>
  <c r="AJ99" i="3"/>
  <c r="BD99" i="3"/>
  <c r="Z99" i="3"/>
  <c r="AG99" i="3"/>
  <c r="BA99" i="3"/>
  <c r="AQ99" i="3"/>
  <c r="AC91" i="15" l="1"/>
  <c r="Y91" i="15"/>
  <c r="Z91" i="15" s="1"/>
  <c r="V91" i="15"/>
  <c r="R91" i="15"/>
  <c r="S91" i="15" s="1"/>
  <c r="O91" i="15"/>
  <c r="V90" i="15"/>
  <c r="O90" i="15"/>
  <c r="F92" i="15"/>
  <c r="F91" i="15"/>
  <c r="F90" i="15"/>
  <c r="BT172" i="3"/>
  <c r="BR172" i="3"/>
  <c r="W90" i="15" s="1"/>
  <c r="BS172" i="3"/>
  <c r="AD90" i="15" s="1"/>
  <c r="BP172" i="3"/>
  <c r="BM172" i="3"/>
  <c r="I90" i="15" s="1"/>
  <c r="J90" i="15" s="1"/>
  <c r="BN172" i="3"/>
  <c r="BJ172" i="3"/>
  <c r="AF90" i="15" s="1"/>
  <c r="AG90" i="15" s="1"/>
  <c r="BI172" i="3"/>
  <c r="BH172" i="3"/>
  <c r="AY172" i="3"/>
  <c r="AZ172" i="3"/>
  <c r="Y90" i="15" s="1"/>
  <c r="Z90" i="15" s="1"/>
  <c r="AA90" i="15" s="1"/>
  <c r="AX172" i="3"/>
  <c r="BQ172" i="3"/>
  <c r="AO172" i="3"/>
  <c r="AE172" i="3"/>
  <c r="AF172" i="3"/>
  <c r="AE171" i="3"/>
  <c r="BO172" i="3"/>
  <c r="P90" i="15" s="1"/>
  <c r="Q90" i="15" s="1"/>
  <c r="AD172" i="3"/>
  <c r="W172" i="3"/>
  <c r="V172" i="3"/>
  <c r="K90" i="15" l="1"/>
  <c r="AQ172" i="3"/>
  <c r="AJ172" i="3"/>
  <c r="BD172" i="3"/>
  <c r="AT172" i="3"/>
  <c r="Z172" i="3"/>
  <c r="BK172" i="3"/>
  <c r="BA172" i="3"/>
  <c r="AG172" i="3"/>
  <c r="L90" i="15" l="1"/>
  <c r="M90" i="15" s="1"/>
  <c r="D30" i="15"/>
  <c r="D107" i="15"/>
  <c r="D103" i="15"/>
  <c r="D102" i="15"/>
  <c r="D101" i="15"/>
  <c r="D100" i="15"/>
  <c r="D99" i="15"/>
  <c r="D97" i="15"/>
  <c r="D96" i="15"/>
  <c r="D95" i="15"/>
  <c r="D94" i="15"/>
  <c r="D93" i="15"/>
  <c r="D108" i="15"/>
  <c r="D116" i="15"/>
  <c r="D113" i="15"/>
  <c r="D112" i="15"/>
  <c r="E110" i="15"/>
  <c r="D110" i="15"/>
  <c r="D84" i="15"/>
  <c r="D83" i="15"/>
  <c r="D69" i="15"/>
  <c r="D68" i="15"/>
  <c r="D67" i="15"/>
  <c r="D66" i="15"/>
  <c r="D65" i="15"/>
  <c r="D34" i="15"/>
  <c r="D29" i="15"/>
  <c r="D28" i="15"/>
  <c r="D27" i="15"/>
  <c r="D26" i="15"/>
  <c r="D25" i="15"/>
  <c r="D23" i="15"/>
  <c r="AE9" i="3"/>
  <c r="AC383" i="15" l="1"/>
  <c r="AC384" i="15" s="1"/>
  <c r="AC385" i="15" s="1"/>
  <c r="AC386" i="15" s="1"/>
  <c r="V383" i="15"/>
  <c r="V384" i="15" s="1"/>
  <c r="V385" i="15" s="1"/>
  <c r="V386" i="15" s="1"/>
  <c r="O383" i="15"/>
  <c r="O384" i="15" s="1"/>
  <c r="O385" i="15" s="1"/>
  <c r="O386" i="15" s="1"/>
  <c r="H383" i="15"/>
  <c r="H384" i="15" s="1"/>
  <c r="H385" i="15" s="1"/>
  <c r="H386" i="15" s="1"/>
  <c r="AC19" i="15"/>
  <c r="V19" i="15"/>
  <c r="O19" i="15"/>
  <c r="F19" i="15"/>
  <c r="D19" i="15"/>
  <c r="AC376" i="15"/>
  <c r="V376" i="15"/>
  <c r="O376" i="15"/>
  <c r="H376" i="15"/>
  <c r="AC363" i="15"/>
  <c r="V363" i="15"/>
  <c r="O363" i="15"/>
  <c r="H363" i="15"/>
  <c r="AC334" i="15"/>
  <c r="V334" i="15"/>
  <c r="O334" i="15"/>
  <c r="H334" i="15"/>
  <c r="F376" i="15"/>
  <c r="E376" i="15"/>
  <c r="D376" i="15"/>
  <c r="F363" i="15"/>
  <c r="D363" i="15"/>
  <c r="F334" i="15"/>
  <c r="E334" i="15"/>
  <c r="D334" i="15"/>
  <c r="AC331" i="15"/>
  <c r="V331" i="15"/>
  <c r="O331" i="15"/>
  <c r="H331" i="15"/>
  <c r="AC224" i="15"/>
  <c r="V224" i="15"/>
  <c r="O224" i="15"/>
  <c r="H224" i="15"/>
  <c r="AC327" i="15"/>
  <c r="V327" i="15"/>
  <c r="O327" i="15"/>
  <c r="H327" i="15"/>
  <c r="AC325" i="15"/>
  <c r="V325" i="15"/>
  <c r="O325" i="15"/>
  <c r="H325" i="15"/>
  <c r="AC324" i="15"/>
  <c r="V324" i="15"/>
  <c r="O324" i="15"/>
  <c r="H324" i="15"/>
  <c r="AC323" i="15"/>
  <c r="V323" i="15"/>
  <c r="O323" i="15"/>
  <c r="H323" i="15"/>
  <c r="F331" i="15"/>
  <c r="D331" i="15"/>
  <c r="F224" i="15"/>
  <c r="F327" i="15"/>
  <c r="D327" i="15"/>
  <c r="F325" i="15"/>
  <c r="F324" i="15"/>
  <c r="E324" i="15"/>
  <c r="D324" i="15"/>
  <c r="F323" i="15"/>
  <c r="E323" i="15"/>
  <c r="D323" i="15"/>
  <c r="AC321" i="15"/>
  <c r="V321" i="15"/>
  <c r="O321" i="15"/>
  <c r="H321" i="15"/>
  <c r="AC320" i="15"/>
  <c r="V320" i="15"/>
  <c r="O320" i="15"/>
  <c r="AC308" i="15"/>
  <c r="V308" i="15"/>
  <c r="O308" i="15"/>
  <c r="H308" i="15"/>
  <c r="F321" i="15"/>
  <c r="D321" i="15"/>
  <c r="F320" i="15"/>
  <c r="D320" i="15"/>
  <c r="F308" i="15"/>
  <c r="E308" i="15"/>
  <c r="D308" i="15"/>
  <c r="AC306" i="15"/>
  <c r="V306" i="15"/>
  <c r="O306" i="15"/>
  <c r="H306" i="15"/>
  <c r="F306" i="15"/>
  <c r="E306" i="15"/>
  <c r="D306" i="15"/>
  <c r="AC304" i="15"/>
  <c r="V304" i="15"/>
  <c r="O304" i="15"/>
  <c r="H304" i="15"/>
  <c r="F304" i="15"/>
  <c r="E304" i="15"/>
  <c r="D304" i="15"/>
  <c r="AC287" i="15"/>
  <c r="V287" i="15"/>
  <c r="O287" i="15"/>
  <c r="H287" i="15"/>
  <c r="AC261" i="15"/>
  <c r="V261" i="15"/>
  <c r="O261" i="15"/>
  <c r="H261" i="15"/>
  <c r="AC286" i="15"/>
  <c r="V286" i="15"/>
  <c r="O286" i="15"/>
  <c r="H286" i="15"/>
  <c r="AC282" i="15"/>
  <c r="V282" i="15"/>
  <c r="O282" i="15"/>
  <c r="H282" i="15"/>
  <c r="AC281" i="15"/>
  <c r="V281" i="15"/>
  <c r="O281" i="15"/>
  <c r="H281" i="15"/>
  <c r="AC280" i="15"/>
  <c r="V280" i="15"/>
  <c r="O280" i="15"/>
  <c r="H280" i="15"/>
  <c r="AC279" i="15"/>
  <c r="V279" i="15"/>
  <c r="O279" i="15"/>
  <c r="H279" i="15"/>
  <c r="AC278" i="15"/>
  <c r="V278" i="15"/>
  <c r="O278" i="15"/>
  <c r="H278" i="15"/>
  <c r="AC277" i="15"/>
  <c r="V277" i="15"/>
  <c r="O277" i="15"/>
  <c r="H277" i="15"/>
  <c r="AC262" i="15"/>
  <c r="V262" i="15"/>
  <c r="O262" i="15"/>
  <c r="H262" i="15"/>
  <c r="AC260" i="15"/>
  <c r="V260" i="15"/>
  <c r="O260" i="15"/>
  <c r="H260" i="15"/>
  <c r="AC259" i="15"/>
  <c r="V259" i="15"/>
  <c r="O259" i="15"/>
  <c r="H259" i="15"/>
  <c r="AC258" i="15"/>
  <c r="V258" i="15"/>
  <c r="O258" i="15"/>
  <c r="H258" i="15"/>
  <c r="AC257" i="15"/>
  <c r="V257" i="15"/>
  <c r="O257" i="15"/>
  <c r="H257" i="15"/>
  <c r="AC252" i="15"/>
  <c r="V252" i="15"/>
  <c r="O252" i="15"/>
  <c r="H252" i="15"/>
  <c r="AC251" i="15"/>
  <c r="V251" i="15"/>
  <c r="O251" i="15"/>
  <c r="H251" i="15"/>
  <c r="AC248" i="15"/>
  <c r="V248" i="15"/>
  <c r="O248" i="15"/>
  <c r="H248" i="15"/>
  <c r="AC247" i="15"/>
  <c r="V247" i="15"/>
  <c r="O247" i="15"/>
  <c r="H247" i="15"/>
  <c r="AC244" i="15"/>
  <c r="V244" i="15"/>
  <c r="O244" i="15"/>
  <c r="H244" i="15"/>
  <c r="AC243" i="15"/>
  <c r="V243" i="15"/>
  <c r="O243" i="15"/>
  <c r="H243" i="15"/>
  <c r="AC240" i="15"/>
  <c r="O240" i="15"/>
  <c r="H240" i="15"/>
  <c r="AC239" i="15"/>
  <c r="O239" i="15"/>
  <c r="H239" i="15"/>
  <c r="F287" i="15"/>
  <c r="F286" i="15"/>
  <c r="D287" i="15"/>
  <c r="E286" i="15"/>
  <c r="D286" i="15"/>
  <c r="F282" i="15"/>
  <c r="D282" i="15"/>
  <c r="F281" i="15"/>
  <c r="F280" i="15"/>
  <c r="D281" i="15"/>
  <c r="D280" i="15"/>
  <c r="F279" i="15"/>
  <c r="F278" i="15"/>
  <c r="D279" i="15"/>
  <c r="E278" i="15"/>
  <c r="D278" i="15"/>
  <c r="F277" i="15"/>
  <c r="D277" i="15"/>
  <c r="F262" i="15"/>
  <c r="D262" i="15"/>
  <c r="F261" i="15"/>
  <c r="D261" i="15"/>
  <c r="F260" i="15"/>
  <c r="D260" i="15"/>
  <c r="F259" i="15"/>
  <c r="D259" i="15"/>
  <c r="F258" i="15"/>
  <c r="F257" i="15"/>
  <c r="D258" i="15"/>
  <c r="E257" i="15"/>
  <c r="D257" i="15"/>
  <c r="F252" i="15"/>
  <c r="F251" i="15"/>
  <c r="E251" i="15"/>
  <c r="D252" i="15"/>
  <c r="D251" i="15"/>
  <c r="F248" i="15"/>
  <c r="F247" i="15"/>
  <c r="E247" i="15"/>
  <c r="D248" i="15"/>
  <c r="D247" i="15"/>
  <c r="F244" i="15"/>
  <c r="F243" i="15"/>
  <c r="E243" i="15"/>
  <c r="D244" i="15"/>
  <c r="D243" i="15"/>
  <c r="F240" i="15"/>
  <c r="D240" i="15"/>
  <c r="F239" i="15"/>
  <c r="E239" i="15"/>
  <c r="D239" i="15"/>
  <c r="AC236" i="15"/>
  <c r="V236" i="15"/>
  <c r="O236" i="15"/>
  <c r="H236" i="15"/>
  <c r="F236" i="15"/>
  <c r="F235" i="15"/>
  <c r="F234" i="15"/>
  <c r="F232" i="15"/>
  <c r="F231" i="15"/>
  <c r="F230" i="15"/>
  <c r="F229" i="15"/>
  <c r="AC235" i="15"/>
  <c r="V235" i="15"/>
  <c r="O235" i="15"/>
  <c r="H235" i="15"/>
  <c r="AC234" i="15"/>
  <c r="V234" i="15"/>
  <c r="O234" i="15"/>
  <c r="H234" i="15"/>
  <c r="AC232" i="15"/>
  <c r="V232" i="15"/>
  <c r="O232" i="15"/>
  <c r="H232" i="15"/>
  <c r="AC231" i="15"/>
  <c r="V231" i="15"/>
  <c r="O231" i="15"/>
  <c r="H231" i="15"/>
  <c r="AC230" i="15"/>
  <c r="V230" i="15"/>
  <c r="O230" i="15"/>
  <c r="H230" i="15"/>
  <c r="AC229" i="15"/>
  <c r="O229" i="15"/>
  <c r="H229" i="15"/>
  <c r="AC228" i="15"/>
  <c r="V228" i="15"/>
  <c r="O228" i="15"/>
  <c r="H228" i="15"/>
  <c r="E236" i="15"/>
  <c r="E235" i="15"/>
  <c r="E234" i="15"/>
  <c r="E232" i="15"/>
  <c r="E231" i="15"/>
  <c r="E230" i="15"/>
  <c r="E229" i="15"/>
  <c r="F228" i="15"/>
  <c r="E228" i="15"/>
  <c r="D228" i="15"/>
  <c r="D90" i="15"/>
  <c r="AC328" i="15"/>
  <c r="V328" i="15"/>
  <c r="O328" i="15"/>
  <c r="H328" i="15"/>
  <c r="D92" i="15"/>
  <c r="D91" i="15"/>
  <c r="V222" i="15"/>
  <c r="O222" i="15"/>
  <c r="H222" i="15"/>
  <c r="V221" i="15"/>
  <c r="O221" i="15"/>
  <c r="H221" i="15"/>
  <c r="V220" i="15"/>
  <c r="O220" i="15"/>
  <c r="H220" i="15"/>
  <c r="AC219" i="15"/>
  <c r="V219" i="15"/>
  <c r="O219" i="15"/>
  <c r="H219" i="15"/>
  <c r="AC218" i="15"/>
  <c r="V218" i="15"/>
  <c r="O218" i="15"/>
  <c r="H218" i="15"/>
  <c r="AC217" i="15"/>
  <c r="V217" i="15"/>
  <c r="O217" i="15"/>
  <c r="H217" i="15"/>
  <c r="AC216" i="15"/>
  <c r="V216" i="15"/>
  <c r="O216" i="15"/>
  <c r="H216" i="15"/>
  <c r="F328" i="15"/>
  <c r="F222" i="15"/>
  <c r="F221" i="15"/>
  <c r="F220" i="15"/>
  <c r="F219" i="15"/>
  <c r="F218" i="15"/>
  <c r="F217" i="15"/>
  <c r="F216" i="15"/>
  <c r="E216" i="15"/>
  <c r="D222" i="15"/>
  <c r="D221" i="15"/>
  <c r="D220" i="15"/>
  <c r="D219" i="15"/>
  <c r="D218" i="15"/>
  <c r="D217" i="15"/>
  <c r="D216" i="15"/>
  <c r="AC214" i="15"/>
  <c r="V214" i="15"/>
  <c r="O214" i="15"/>
  <c r="H214" i="15"/>
  <c r="AC213" i="15"/>
  <c r="V213" i="15"/>
  <c r="O213" i="15"/>
  <c r="H213" i="15"/>
  <c r="AC212" i="15"/>
  <c r="V212" i="15"/>
  <c r="O212" i="15"/>
  <c r="H212" i="15"/>
  <c r="AC211" i="15"/>
  <c r="V211" i="15"/>
  <c r="O211" i="15"/>
  <c r="H211" i="15"/>
  <c r="AC210" i="15"/>
  <c r="O210" i="15"/>
  <c r="H210" i="15"/>
  <c r="AC209" i="15"/>
  <c r="O209" i="15"/>
  <c r="H209" i="15"/>
  <c r="AC208" i="15"/>
  <c r="O208" i="15"/>
  <c r="H208" i="15"/>
  <c r="AC207" i="15"/>
  <c r="V207" i="15"/>
  <c r="O207" i="15"/>
  <c r="H207" i="15"/>
  <c r="F214" i="15"/>
  <c r="D214" i="15"/>
  <c r="F213" i="15"/>
  <c r="D213" i="15"/>
  <c r="F212" i="15"/>
  <c r="D212" i="15"/>
  <c r="F211" i="15"/>
  <c r="D211" i="15"/>
  <c r="F210" i="15"/>
  <c r="F209" i="15"/>
  <c r="F208" i="15"/>
  <c r="D208" i="15"/>
  <c r="F207" i="15"/>
  <c r="E207" i="15"/>
  <c r="D207" i="15"/>
  <c r="AC205" i="15"/>
  <c r="V205" i="15"/>
  <c r="O205" i="15"/>
  <c r="H205" i="15"/>
  <c r="AC204" i="15"/>
  <c r="V204" i="15"/>
  <c r="O204" i="15"/>
  <c r="H204" i="15"/>
  <c r="AC203" i="15"/>
  <c r="V203" i="15"/>
  <c r="O203" i="15"/>
  <c r="H203" i="15"/>
  <c r="AC202" i="15"/>
  <c r="V202" i="15"/>
  <c r="O202" i="15"/>
  <c r="H202" i="15"/>
  <c r="AC200" i="15"/>
  <c r="V200" i="15"/>
  <c r="O200" i="15"/>
  <c r="H200" i="15"/>
  <c r="AC199" i="15"/>
  <c r="V199" i="15"/>
  <c r="O199" i="15"/>
  <c r="H199" i="15"/>
  <c r="AC198" i="15"/>
  <c r="V198" i="15"/>
  <c r="O198" i="15"/>
  <c r="H198" i="15"/>
  <c r="AC197" i="15"/>
  <c r="V197" i="15"/>
  <c r="O197" i="15"/>
  <c r="H197" i="15"/>
  <c r="AC196" i="15"/>
  <c r="V196" i="15"/>
  <c r="O196" i="15"/>
  <c r="H196" i="15"/>
  <c r="AC195" i="15"/>
  <c r="V195" i="15"/>
  <c r="O195" i="15"/>
  <c r="H195" i="15"/>
  <c r="AC194" i="15"/>
  <c r="V194" i="15"/>
  <c r="O194" i="15"/>
  <c r="H194" i="15"/>
  <c r="AC193" i="15"/>
  <c r="V193" i="15"/>
  <c r="O193" i="15"/>
  <c r="H193" i="15"/>
  <c r="AC192" i="15"/>
  <c r="V192" i="15"/>
  <c r="O192" i="15"/>
  <c r="H192" i="15"/>
  <c r="AC191" i="15"/>
  <c r="V191" i="15"/>
  <c r="O191" i="15"/>
  <c r="H191" i="15"/>
  <c r="AC190" i="15"/>
  <c r="V190" i="15"/>
  <c r="O190" i="15"/>
  <c r="H190" i="15"/>
  <c r="AC189" i="15"/>
  <c r="V189" i="15"/>
  <c r="O189" i="15"/>
  <c r="H189" i="15"/>
  <c r="AC188" i="15"/>
  <c r="V188" i="15"/>
  <c r="O188" i="15"/>
  <c r="H188" i="15"/>
  <c r="AC187" i="15"/>
  <c r="V187" i="15"/>
  <c r="O187" i="15"/>
  <c r="H187" i="15"/>
  <c r="AC186" i="15"/>
  <c r="V186" i="15"/>
  <c r="O186" i="15"/>
  <c r="H186" i="15"/>
  <c r="AC185" i="15"/>
  <c r="V185" i="15"/>
  <c r="O185" i="15"/>
  <c r="H185" i="15"/>
  <c r="AC184" i="15"/>
  <c r="V184" i="15"/>
  <c r="O184" i="15"/>
  <c r="F205" i="15"/>
  <c r="F204" i="15"/>
  <c r="F203" i="15"/>
  <c r="F202" i="15"/>
  <c r="F200" i="15"/>
  <c r="F199" i="15"/>
  <c r="F198" i="15"/>
  <c r="F197" i="15"/>
  <c r="F196" i="15"/>
  <c r="F195" i="15"/>
  <c r="F194" i="15"/>
  <c r="F193" i="15"/>
  <c r="F192" i="15"/>
  <c r="F191" i="15"/>
  <c r="F190" i="15"/>
  <c r="F189" i="15"/>
  <c r="F188" i="15"/>
  <c r="F187" i="15"/>
  <c r="F186" i="15"/>
  <c r="D205" i="15"/>
  <c r="D204" i="15"/>
  <c r="D203" i="15"/>
  <c r="D202" i="15"/>
  <c r="E199" i="15"/>
  <c r="D200" i="15"/>
  <c r="D199" i="15"/>
  <c r="D198" i="15"/>
  <c r="D197" i="15"/>
  <c r="D196" i="15"/>
  <c r="D195" i="15"/>
  <c r="D194" i="15"/>
  <c r="D193" i="15"/>
  <c r="D192" i="15"/>
  <c r="D191" i="15"/>
  <c r="D190" i="15"/>
  <c r="D188" i="15"/>
  <c r="D187" i="15"/>
  <c r="D186" i="15"/>
  <c r="F185" i="15"/>
  <c r="D185" i="15"/>
  <c r="F184" i="15"/>
  <c r="E184" i="15"/>
  <c r="D184" i="15"/>
  <c r="AC18" i="15"/>
  <c r="V18" i="15"/>
  <c r="O18" i="15"/>
  <c r="D18" i="15"/>
  <c r="AC42" i="15"/>
  <c r="V42" i="15"/>
  <c r="O42" i="15"/>
  <c r="F42" i="15"/>
  <c r="E42" i="15"/>
  <c r="D42" i="15"/>
  <c r="AC177" i="15"/>
  <c r="V177" i="15"/>
  <c r="O177" i="15"/>
  <c r="H177" i="15"/>
  <c r="AC166" i="15"/>
  <c r="V166" i="15"/>
  <c r="O166" i="15"/>
  <c r="E166" i="15"/>
  <c r="AC155" i="15"/>
  <c r="V155" i="15"/>
  <c r="O155" i="15"/>
  <c r="H155" i="15"/>
  <c r="E155" i="15"/>
  <c r="AC22" i="15"/>
  <c r="V22" i="15"/>
  <c r="D22" i="15"/>
  <c r="AC144" i="15"/>
  <c r="V144" i="15"/>
  <c r="O144" i="15"/>
  <c r="H144" i="15"/>
  <c r="F21" i="15"/>
  <c r="F20" i="15"/>
  <c r="D21" i="15"/>
  <c r="D20" i="15"/>
  <c r="AC124" i="15"/>
  <c r="V124" i="15"/>
  <c r="O124" i="15"/>
  <c r="H124" i="15"/>
  <c r="AC123" i="15"/>
  <c r="V123" i="15"/>
  <c r="O123" i="15"/>
  <c r="H123" i="15"/>
  <c r="F123" i="15"/>
  <c r="D123" i="15"/>
  <c r="AC122" i="15"/>
  <c r="V122" i="15"/>
  <c r="O122" i="15"/>
  <c r="H122" i="15"/>
  <c r="D177" i="15" l="1"/>
  <c r="F166" i="15"/>
  <c r="D166" i="15"/>
  <c r="F155" i="15"/>
  <c r="D155" i="15"/>
  <c r="F144" i="15"/>
  <c r="D144" i="15"/>
  <c r="F124" i="15"/>
  <c r="D124" i="15"/>
  <c r="F122" i="15"/>
  <c r="D122" i="15"/>
  <c r="F121" i="15"/>
  <c r="D121" i="15"/>
  <c r="AC121" i="15"/>
  <c r="V121" i="15"/>
  <c r="O121" i="15"/>
  <c r="H121" i="15"/>
  <c r="AC120" i="15"/>
  <c r="V120" i="15"/>
  <c r="O120" i="15"/>
  <c r="H120" i="15"/>
  <c r="F120" i="15"/>
  <c r="E120" i="15"/>
  <c r="D120" i="15"/>
  <c r="AC89" i="15"/>
  <c r="V89" i="15"/>
  <c r="O89" i="15"/>
  <c r="AC86" i="15"/>
  <c r="O86" i="15"/>
  <c r="F86" i="15"/>
  <c r="E86" i="15"/>
  <c r="D89" i="15"/>
  <c r="D86" i="15"/>
  <c r="AC77" i="15"/>
  <c r="V77" i="15"/>
  <c r="O77" i="15"/>
  <c r="H77" i="15"/>
  <c r="AC76" i="15"/>
  <c r="V76" i="15"/>
  <c r="O76" i="15"/>
  <c r="H76" i="15"/>
  <c r="AC75" i="15"/>
  <c r="V75" i="15"/>
  <c r="O75" i="15"/>
  <c r="H75" i="15"/>
  <c r="AC74" i="15"/>
  <c r="V74" i="15"/>
  <c r="O74" i="15"/>
  <c r="H74" i="15"/>
  <c r="F77" i="15"/>
  <c r="D77" i="15"/>
  <c r="D76" i="15"/>
  <c r="D75" i="15"/>
  <c r="F74" i="15"/>
  <c r="D74" i="15"/>
  <c r="O72" i="15"/>
  <c r="H72" i="15"/>
  <c r="V71" i="15"/>
  <c r="F72" i="15"/>
  <c r="D72" i="15"/>
  <c r="F71" i="15"/>
  <c r="E71" i="15"/>
  <c r="D71" i="15"/>
  <c r="AC64" i="15"/>
  <c r="AC63" i="15"/>
  <c r="AC62" i="15"/>
  <c r="AC61" i="15"/>
  <c r="AC60" i="15"/>
  <c r="AC59" i="15"/>
  <c r="AC58" i="15"/>
  <c r="AC57" i="15"/>
  <c r="AC56" i="15"/>
  <c r="AC55" i="15"/>
  <c r="AC54" i="15"/>
  <c r="AC53" i="15"/>
  <c r="AC52" i="15"/>
  <c r="AC51" i="15"/>
  <c r="AC50" i="15"/>
  <c r="AC49" i="15"/>
  <c r="AC48" i="15"/>
  <c r="AC47" i="15"/>
  <c r="AC46" i="15"/>
  <c r="AC45" i="15"/>
  <c r="AC44" i="15"/>
  <c r="AC16" i="15"/>
  <c r="V64" i="15"/>
  <c r="V63" i="15"/>
  <c r="V62" i="15"/>
  <c r="V61" i="15"/>
  <c r="V60" i="15"/>
  <c r="V59" i="15"/>
  <c r="V58" i="15"/>
  <c r="V57" i="15"/>
  <c r="V56" i="15"/>
  <c r="V55" i="15"/>
  <c r="V54" i="15"/>
  <c r="V53" i="15"/>
  <c r="V52" i="15"/>
  <c r="V51" i="15"/>
  <c r="V50" i="15"/>
  <c r="V49" i="15"/>
  <c r="V48" i="15"/>
  <c r="V47" i="15"/>
  <c r="V46" i="15"/>
  <c r="V45" i="15"/>
  <c r="V44" i="15"/>
  <c r="V16" i="15"/>
  <c r="O64" i="15"/>
  <c r="O63" i="15"/>
  <c r="O62" i="15"/>
  <c r="O61" i="15"/>
  <c r="O60" i="15"/>
  <c r="O59" i="15"/>
  <c r="O58" i="15"/>
  <c r="O57" i="15"/>
  <c r="O56" i="15"/>
  <c r="O55" i="15"/>
  <c r="O54" i="15"/>
  <c r="O53" i="15"/>
  <c r="O52" i="15"/>
  <c r="O51" i="15"/>
  <c r="O50" i="15"/>
  <c r="O49" i="15"/>
  <c r="O48" i="15"/>
  <c r="O47" i="15"/>
  <c r="O46" i="15"/>
  <c r="O45" i="15"/>
  <c r="O44" i="15"/>
  <c r="H64" i="15"/>
  <c r="H63" i="15"/>
  <c r="H62" i="15"/>
  <c r="H61" i="15"/>
  <c r="H60" i="15"/>
  <c r="H59" i="15"/>
  <c r="H58" i="15"/>
  <c r="H57" i="15"/>
  <c r="H56" i="15"/>
  <c r="H55" i="15"/>
  <c r="H54" i="15"/>
  <c r="H53" i="15"/>
  <c r="H52" i="15"/>
  <c r="H51" i="15"/>
  <c r="H50" i="15"/>
  <c r="H49" i="15"/>
  <c r="H48" i="15"/>
  <c r="BH8" i="3" l="1"/>
  <c r="BM8" i="3"/>
  <c r="I228" i="15" s="1"/>
  <c r="J228" i="15" s="1"/>
  <c r="BJ33" i="3"/>
  <c r="BS33" i="3"/>
  <c r="BT33" i="3"/>
  <c r="AD62" i="15" s="1"/>
  <c r="AE62" i="15" s="1"/>
  <c r="AP33" i="3"/>
  <c r="AO33" i="3"/>
  <c r="AN33" i="3"/>
  <c r="BP33" i="3"/>
  <c r="P62" i="15" s="1"/>
  <c r="Q62" i="15" s="1"/>
  <c r="BN33" i="3"/>
  <c r="I62" i="15" s="1"/>
  <c r="J62" i="15" s="1"/>
  <c r="BQ33" i="3"/>
  <c r="BO33" i="3"/>
  <c r="BM33" i="3"/>
  <c r="F44" i="15" l="1"/>
  <c r="E44" i="15"/>
  <c r="D44" i="15"/>
  <c r="F16" i="15"/>
  <c r="F15" i="15"/>
  <c r="E15" i="15"/>
  <c r="D15" i="15"/>
  <c r="CJ334" i="15" l="1"/>
  <c r="CJ383" i="15" s="1"/>
  <c r="BV239" i="15"/>
  <c r="BV333" i="15" s="1"/>
  <c r="CI123" i="15"/>
  <c r="CF123" i="15"/>
  <c r="CC123" i="15"/>
  <c r="BZ123" i="15"/>
  <c r="BU123" i="15"/>
  <c r="BR123" i="15"/>
  <c r="BO123" i="15"/>
  <c r="BL123" i="15"/>
  <c r="BM123" i="15" s="1"/>
  <c r="BM238" i="15" s="1"/>
  <c r="BG123" i="15"/>
  <c r="BD123" i="15"/>
  <c r="BA123" i="15"/>
  <c r="AX123" i="15"/>
  <c r="AS123" i="15"/>
  <c r="AP123" i="15"/>
  <c r="AM123" i="15"/>
  <c r="AJ123" i="15"/>
  <c r="CI16" i="15"/>
  <c r="CJ16" i="15" s="1"/>
  <c r="CF16" i="15"/>
  <c r="CG16" i="15" s="1"/>
  <c r="CC16" i="15"/>
  <c r="CD16" i="15" s="1"/>
  <c r="BZ16" i="15"/>
  <c r="CA16" i="15" s="1"/>
  <c r="BU16" i="15"/>
  <c r="BV16" i="15" s="1"/>
  <c r="BR16" i="15"/>
  <c r="BS16" i="15" s="1"/>
  <c r="BO16" i="15"/>
  <c r="BP16" i="15" s="1"/>
  <c r="BL16" i="15"/>
  <c r="BM16" i="15" s="1"/>
  <c r="BG16" i="15"/>
  <c r="BH16" i="15" s="1"/>
  <c r="BD16" i="15"/>
  <c r="BE16" i="15" s="1"/>
  <c r="BA16" i="15"/>
  <c r="BB16" i="15" s="1"/>
  <c r="AX16" i="15"/>
  <c r="AY16" i="15" s="1"/>
  <c r="AS16" i="15"/>
  <c r="AT16" i="15" s="1"/>
  <c r="AP16" i="15"/>
  <c r="AQ16" i="15" s="1"/>
  <c r="AM16" i="15"/>
  <c r="AN16" i="15" s="1"/>
  <c r="AJ16" i="15"/>
  <c r="AK16" i="15" s="1"/>
  <c r="CI15" i="15"/>
  <c r="CF15" i="15"/>
  <c r="CG15" i="15" s="1"/>
  <c r="CC15" i="15"/>
  <c r="CD15" i="15" s="1"/>
  <c r="BZ15" i="15"/>
  <c r="CA15" i="15" s="1"/>
  <c r="BU15" i="15"/>
  <c r="BV15" i="15" s="1"/>
  <c r="BR15" i="15"/>
  <c r="BO15" i="15"/>
  <c r="BP15" i="15" s="1"/>
  <c r="BL15" i="15"/>
  <c r="BM15" i="15" s="1"/>
  <c r="BG15" i="15"/>
  <c r="BH15" i="15" s="1"/>
  <c r="BD15" i="15"/>
  <c r="BE15" i="15" s="1"/>
  <c r="BA15" i="15"/>
  <c r="BB15" i="15" s="1"/>
  <c r="AX15" i="15"/>
  <c r="AY15" i="15" s="1"/>
  <c r="AS15" i="15"/>
  <c r="AT15" i="15" s="1"/>
  <c r="AP15" i="15"/>
  <c r="AQ15" i="15" s="1"/>
  <c r="AM15" i="15"/>
  <c r="AN15" i="15" s="1"/>
  <c r="AJ15" i="15"/>
  <c r="AK15" i="15" s="1"/>
  <c r="BB123" i="15" l="1"/>
  <c r="BB238" i="15" s="1"/>
  <c r="CJ239" i="15"/>
  <c r="CJ333" i="15" s="1"/>
  <c r="AQ239" i="15"/>
  <c r="AQ333" i="15" s="1"/>
  <c r="AY239" i="15"/>
  <c r="AY333" i="15" s="1"/>
  <c r="BB239" i="15"/>
  <c r="BB333" i="15" s="1"/>
  <c r="AN239" i="15"/>
  <c r="AN333" i="15" s="1"/>
  <c r="BE239" i="15"/>
  <c r="BE333" i="15" s="1"/>
  <c r="CD239" i="15"/>
  <c r="CD333" i="15" s="1"/>
  <c r="CG239" i="15"/>
  <c r="CG333" i="15" s="1"/>
  <c r="CJ15" i="15"/>
  <c r="CJ123" i="15"/>
  <c r="CJ238" i="15" s="1"/>
  <c r="BS15" i="15"/>
  <c r="BP123" i="15"/>
  <c r="BP238" i="15" s="1"/>
  <c r="CA239" i="15"/>
  <c r="CA333" i="15" s="1"/>
  <c r="CG123" i="15"/>
  <c r="CG238" i="15" s="1"/>
  <c r="BH239" i="15"/>
  <c r="BH333" i="15" s="1"/>
  <c r="AT123" i="15"/>
  <c r="AT238" i="15" s="1"/>
  <c r="BP239" i="15"/>
  <c r="BP333" i="15" s="1"/>
  <c r="BV123" i="15"/>
  <c r="BV238" i="15" s="1"/>
  <c r="AK239" i="15"/>
  <c r="AK333" i="15" s="1"/>
  <c r="BS239" i="15"/>
  <c r="BS333" i="15" s="1"/>
  <c r="AY123" i="15"/>
  <c r="AY238" i="15" s="1"/>
  <c r="AK334" i="15"/>
  <c r="AK383" i="15" s="1"/>
  <c r="CA123" i="15"/>
  <c r="CA238" i="15" s="1"/>
  <c r="AK123" i="15"/>
  <c r="AK238" i="15" s="1"/>
  <c r="CD123" i="15"/>
  <c r="CD238" i="15" s="1"/>
  <c r="AN123" i="15"/>
  <c r="AN238" i="15" s="1"/>
  <c r="BH123" i="15"/>
  <c r="BH238" i="15" s="1"/>
  <c r="BM239" i="15"/>
  <c r="BM333" i="15" s="1"/>
  <c r="BP334" i="15"/>
  <c r="BP383" i="15" s="1"/>
  <c r="AQ334" i="15"/>
  <c r="AQ383" i="15" s="1"/>
  <c r="BS334" i="15"/>
  <c r="BS383" i="15" s="1"/>
  <c r="AN334" i="15"/>
  <c r="AN383" i="15" s="1"/>
  <c r="AT334" i="15"/>
  <c r="AT383" i="15" s="1"/>
  <c r="BV334" i="15"/>
  <c r="BV383" i="15" s="1"/>
  <c r="AY334" i="15"/>
  <c r="AY383" i="15" s="1"/>
  <c r="CA334" i="15"/>
  <c r="CA383" i="15" s="1"/>
  <c r="BM334" i="15"/>
  <c r="BM383" i="15" s="1"/>
  <c r="AT239" i="15"/>
  <c r="AT333" i="15" s="1"/>
  <c r="BB334" i="15"/>
  <c r="BB383" i="15" s="1"/>
  <c r="CD334" i="15"/>
  <c r="CD383" i="15" s="1"/>
  <c r="AQ123" i="15"/>
  <c r="AQ238" i="15" s="1"/>
  <c r="BE123" i="15"/>
  <c r="BE238" i="15" s="1"/>
  <c r="BS123" i="15"/>
  <c r="BS238" i="15" s="1"/>
  <c r="BE334" i="15"/>
  <c r="BE383" i="15" s="1"/>
  <c r="CG334" i="15"/>
  <c r="CG383" i="15" s="1"/>
  <c r="BH334" i="15"/>
  <c r="BH383" i="15" s="1"/>
  <c r="W320" i="15" l="1"/>
  <c r="X320" i="15" s="1"/>
  <c r="BT187" i="3"/>
  <c r="AD107" i="15" s="1"/>
  <c r="AE107" i="15" s="1"/>
  <c r="BS187" i="3"/>
  <c r="AD331" i="15" s="1"/>
  <c r="AE331" i="15" s="1"/>
  <c r="BR187" i="3"/>
  <c r="W107" i="15" s="1"/>
  <c r="X107" i="15" s="1"/>
  <c r="BQ187" i="3"/>
  <c r="W331" i="15" s="1"/>
  <c r="X331" i="15" s="1"/>
  <c r="BP187" i="3"/>
  <c r="P107" i="15" s="1"/>
  <c r="Q107" i="15" s="1"/>
  <c r="BO187" i="3"/>
  <c r="P331" i="15" s="1"/>
  <c r="Q331" i="15" s="1"/>
  <c r="BM187" i="3"/>
  <c r="I331" i="15" s="1"/>
  <c r="J331" i="15" s="1"/>
  <c r="BT186" i="3"/>
  <c r="AD89" i="15" s="1"/>
  <c r="AE89" i="15" s="1"/>
  <c r="BS186" i="3"/>
  <c r="BR186" i="3"/>
  <c r="W89" i="15" s="1"/>
  <c r="X89" i="15" s="1"/>
  <c r="BQ186" i="3"/>
  <c r="BP186" i="3"/>
  <c r="P89" i="15" s="1"/>
  <c r="Q89" i="15" s="1"/>
  <c r="BO186" i="3"/>
  <c r="BM186" i="3"/>
  <c r="BT183" i="3"/>
  <c r="AD86" i="15" s="1"/>
  <c r="AE86" i="15" s="1"/>
  <c r="BS183" i="3"/>
  <c r="BR183" i="3"/>
  <c r="W86" i="15" s="1"/>
  <c r="X86" i="15" s="1"/>
  <c r="BP183" i="3"/>
  <c r="P86" i="15" s="1"/>
  <c r="Q86" i="15" s="1"/>
  <c r="BO183" i="3"/>
  <c r="BM183" i="3"/>
  <c r="BT181" i="3"/>
  <c r="AD92" i="15" s="1"/>
  <c r="BS181" i="3"/>
  <c r="AD226" i="15" s="1"/>
  <c r="AE226" i="15" s="1"/>
  <c r="BR181" i="3"/>
  <c r="W92" i="15" s="1"/>
  <c r="BQ181" i="3"/>
  <c r="W226" i="15" s="1"/>
  <c r="X226" i="15" s="1"/>
  <c r="BP181" i="3"/>
  <c r="P92" i="15" s="1"/>
  <c r="BO181" i="3"/>
  <c r="P226" i="15" s="1"/>
  <c r="BN181" i="3"/>
  <c r="I92" i="15" s="1"/>
  <c r="I226" i="15"/>
  <c r="BT179" i="3"/>
  <c r="AD91" i="15" s="1"/>
  <c r="BS179" i="3"/>
  <c r="AD225" i="15" s="1"/>
  <c r="AE225" i="15" s="1"/>
  <c r="BR179" i="3"/>
  <c r="BQ179" i="3"/>
  <c r="W225" i="15" s="1"/>
  <c r="X225" i="15" s="1"/>
  <c r="BP179" i="3"/>
  <c r="BO179" i="3"/>
  <c r="P225" i="15" s="1"/>
  <c r="Q225" i="15" s="1"/>
  <c r="BN179" i="3"/>
  <c r="BM179" i="3"/>
  <c r="I225" i="15" s="1"/>
  <c r="J225" i="15" s="1"/>
  <c r="BT178" i="3"/>
  <c r="AD18" i="15" s="1"/>
  <c r="AE18" i="15" s="1"/>
  <c r="BS178" i="3"/>
  <c r="BR178" i="3"/>
  <c r="W18" i="15" s="1"/>
  <c r="X18" i="15" s="1"/>
  <c r="BQ178" i="3"/>
  <c r="BP178" i="3"/>
  <c r="P18" i="15" s="1"/>
  <c r="Q18" i="15" s="1"/>
  <c r="BO178" i="3"/>
  <c r="BN178" i="3"/>
  <c r="I18" i="15" s="1"/>
  <c r="J18" i="15" s="1"/>
  <c r="BT177" i="3"/>
  <c r="BS177" i="3"/>
  <c r="AD177" i="15" s="1"/>
  <c r="BR177" i="3"/>
  <c r="BQ177" i="3"/>
  <c r="W177" i="15" s="1"/>
  <c r="X177" i="15" s="1"/>
  <c r="BP177" i="3"/>
  <c r="BO177" i="3"/>
  <c r="P177" i="15" s="1"/>
  <c r="BN177" i="3"/>
  <c r="BM177" i="3"/>
  <c r="I177" i="15" s="1"/>
  <c r="BT176" i="3"/>
  <c r="AD42" i="15" s="1"/>
  <c r="AE42" i="15" s="1"/>
  <c r="BS176" i="3"/>
  <c r="BR176" i="3"/>
  <c r="W42" i="15" s="1"/>
  <c r="X42" i="15" s="1"/>
  <c r="BQ176" i="3"/>
  <c r="BP176" i="3"/>
  <c r="P42" i="15" s="1"/>
  <c r="Q42" i="15" s="1"/>
  <c r="BO176" i="3"/>
  <c r="BN176" i="3"/>
  <c r="I42" i="15" s="1"/>
  <c r="J42" i="15" s="1"/>
  <c r="BM176" i="3"/>
  <c r="BT175" i="3"/>
  <c r="BS175" i="3"/>
  <c r="AD166" i="15" s="1"/>
  <c r="AE166" i="15" s="1"/>
  <c r="BR175" i="3"/>
  <c r="BQ175" i="3"/>
  <c r="W166" i="15" s="1"/>
  <c r="X166" i="15" s="1"/>
  <c r="BP175" i="3"/>
  <c r="BO175" i="3"/>
  <c r="P166" i="15" s="1"/>
  <c r="Q166" i="15" s="1"/>
  <c r="BN175" i="3"/>
  <c r="BM175" i="3"/>
  <c r="I166" i="15" s="1"/>
  <c r="J166" i="15" s="1"/>
  <c r="BT174" i="3"/>
  <c r="BS174" i="3"/>
  <c r="AD236" i="15" s="1"/>
  <c r="AE236" i="15" s="1"/>
  <c r="BR174" i="3"/>
  <c r="BQ174" i="3"/>
  <c r="W236" i="15" s="1"/>
  <c r="X236" i="15" s="1"/>
  <c r="BP174" i="3"/>
  <c r="BO174" i="3"/>
  <c r="P236" i="15" s="1"/>
  <c r="Q236" i="15" s="1"/>
  <c r="BN174" i="3"/>
  <c r="BM174" i="3"/>
  <c r="I236" i="15" s="1"/>
  <c r="J236" i="15" s="1"/>
  <c r="BT173" i="3"/>
  <c r="AD103" i="15" s="1"/>
  <c r="AE103" i="15" s="1"/>
  <c r="BS173" i="3"/>
  <c r="AD224" i="15" s="1"/>
  <c r="AE224" i="15" s="1"/>
  <c r="BR173" i="3"/>
  <c r="W103" i="15" s="1"/>
  <c r="X103" i="15" s="1"/>
  <c r="BQ173" i="3"/>
  <c r="W224" i="15" s="1"/>
  <c r="X224" i="15" s="1"/>
  <c r="BP173" i="3"/>
  <c r="P103" i="15" s="1"/>
  <c r="Q103" i="15" s="1"/>
  <c r="BO173" i="3"/>
  <c r="P224" i="15" s="1"/>
  <c r="Q224" i="15" s="1"/>
  <c r="BN173" i="3"/>
  <c r="I103" i="15" s="1"/>
  <c r="J103" i="15" s="1"/>
  <c r="BM173" i="3"/>
  <c r="I224" i="15" s="1"/>
  <c r="J224" i="15" s="1"/>
  <c r="BT171" i="3"/>
  <c r="BS171" i="3"/>
  <c r="AD223" i="15" s="1"/>
  <c r="BR171" i="3"/>
  <c r="BQ171" i="3"/>
  <c r="W223" i="15" s="1"/>
  <c r="BP171" i="3"/>
  <c r="BO171" i="3"/>
  <c r="P223" i="15" s="1"/>
  <c r="Q223" i="15" s="1"/>
  <c r="BN171" i="3"/>
  <c r="BM171" i="3"/>
  <c r="I223" i="15" s="1"/>
  <c r="J223" i="15" s="1"/>
  <c r="BT170" i="3"/>
  <c r="BS170" i="3"/>
  <c r="AD328" i="15" s="1"/>
  <c r="BR170" i="3"/>
  <c r="BQ170" i="3"/>
  <c r="W328" i="15" s="1"/>
  <c r="BP170" i="3"/>
  <c r="BO170" i="3"/>
  <c r="P328" i="15" s="1"/>
  <c r="BN170" i="3"/>
  <c r="BM170" i="3"/>
  <c r="I328" i="15" s="1"/>
  <c r="J328" i="15" s="1"/>
  <c r="BT169" i="3"/>
  <c r="AD102" i="15" s="1"/>
  <c r="AE102" i="15" s="1"/>
  <c r="BS169" i="3"/>
  <c r="AD327" i="15" s="1"/>
  <c r="AE327" i="15" s="1"/>
  <c r="BR169" i="3"/>
  <c r="W102" i="15" s="1"/>
  <c r="X102" i="15" s="1"/>
  <c r="BQ169" i="3"/>
  <c r="W327" i="15" s="1"/>
  <c r="X327" i="15" s="1"/>
  <c r="BP169" i="3"/>
  <c r="P102" i="15" s="1"/>
  <c r="Q102" i="15" s="1"/>
  <c r="BO169" i="3"/>
  <c r="P327" i="15" s="1"/>
  <c r="Q327" i="15" s="1"/>
  <c r="BM169" i="3"/>
  <c r="I327" i="15" s="1"/>
  <c r="J327" i="15" s="1"/>
  <c r="BQ168" i="3"/>
  <c r="W222" i="15" s="1"/>
  <c r="X222" i="15" s="1"/>
  <c r="BO168" i="3"/>
  <c r="P222" i="15" s="1"/>
  <c r="Q222" i="15" s="1"/>
  <c r="BM168" i="3"/>
  <c r="I222" i="15" s="1"/>
  <c r="J222" i="15" s="1"/>
  <c r="BQ167" i="3"/>
  <c r="W221" i="15" s="1"/>
  <c r="X221" i="15" s="1"/>
  <c r="BO167" i="3"/>
  <c r="P221" i="15" s="1"/>
  <c r="Q221" i="15" s="1"/>
  <c r="BM167" i="3"/>
  <c r="I221" i="15" s="1"/>
  <c r="J221" i="15" s="1"/>
  <c r="BT166" i="3"/>
  <c r="AD99" i="15" s="1"/>
  <c r="AE99" i="15" s="1"/>
  <c r="BR166" i="3"/>
  <c r="W99" i="15" s="1"/>
  <c r="X99" i="15" s="1"/>
  <c r="BQ166" i="3"/>
  <c r="W220" i="15" s="1"/>
  <c r="X220" i="15" s="1"/>
  <c r="BP166" i="3"/>
  <c r="P99" i="15" s="1"/>
  <c r="Q99" i="15" s="1"/>
  <c r="BO166" i="3"/>
  <c r="P220" i="15" s="1"/>
  <c r="Q220" i="15" s="1"/>
  <c r="BM166" i="3"/>
  <c r="I220" i="15" s="1"/>
  <c r="J220" i="15" s="1"/>
  <c r="BS164" i="3"/>
  <c r="AD325" i="15" s="1"/>
  <c r="AE325" i="15" s="1"/>
  <c r="BQ164" i="3"/>
  <c r="W325" i="15" s="1"/>
  <c r="X325" i="15" s="1"/>
  <c r="BO164" i="3"/>
  <c r="P325" i="15" s="1"/>
  <c r="Q325" i="15" s="1"/>
  <c r="BM164" i="3"/>
  <c r="I325" i="15" s="1"/>
  <c r="J325" i="15" s="1"/>
  <c r="BS163" i="3"/>
  <c r="AD324" i="15" s="1"/>
  <c r="AE324" i="15" s="1"/>
  <c r="BQ163" i="3"/>
  <c r="W324" i="15" s="1"/>
  <c r="X324" i="15" s="1"/>
  <c r="BO163" i="3"/>
  <c r="P324" i="15" s="1"/>
  <c r="Q324" i="15" s="1"/>
  <c r="BM163" i="3"/>
  <c r="I324" i="15" s="1"/>
  <c r="J324" i="15" s="1"/>
  <c r="BS162" i="3"/>
  <c r="AD219" i="15" s="1"/>
  <c r="AE219" i="15" s="1"/>
  <c r="BQ162" i="3"/>
  <c r="W219" i="15" s="1"/>
  <c r="X219" i="15" s="1"/>
  <c r="BO162" i="3"/>
  <c r="P219" i="15" s="1"/>
  <c r="Q219" i="15" s="1"/>
  <c r="BM162" i="3"/>
  <c r="I219" i="15" s="1"/>
  <c r="J219" i="15" s="1"/>
  <c r="BS161" i="3"/>
  <c r="AD218" i="15" s="1"/>
  <c r="AE218" i="15" s="1"/>
  <c r="BQ161" i="3"/>
  <c r="W218" i="15" s="1"/>
  <c r="X218" i="15" s="1"/>
  <c r="BO161" i="3"/>
  <c r="P218" i="15" s="1"/>
  <c r="Q218" i="15" s="1"/>
  <c r="BM161" i="3"/>
  <c r="I218" i="15" s="1"/>
  <c r="J218" i="15" s="1"/>
  <c r="BT160" i="3"/>
  <c r="AD94" i="15" s="1"/>
  <c r="AE94" i="15" s="1"/>
  <c r="BS160" i="3"/>
  <c r="AD217" i="15" s="1"/>
  <c r="AE217" i="15" s="1"/>
  <c r="BR160" i="3"/>
  <c r="W94" i="15" s="1"/>
  <c r="X94" i="15" s="1"/>
  <c r="BQ160" i="3"/>
  <c r="W217" i="15" s="1"/>
  <c r="X217" i="15" s="1"/>
  <c r="BP160" i="3"/>
  <c r="P94" i="15" s="1"/>
  <c r="Q94" i="15" s="1"/>
  <c r="BO160" i="3"/>
  <c r="P217" i="15" s="1"/>
  <c r="Q217" i="15" s="1"/>
  <c r="BM160" i="3"/>
  <c r="I217" i="15" s="1"/>
  <c r="J217" i="15" s="1"/>
  <c r="BT159" i="3"/>
  <c r="AD93" i="15" s="1"/>
  <c r="AE93" i="15" s="1"/>
  <c r="BS159" i="3"/>
  <c r="AD216" i="15" s="1"/>
  <c r="BR159" i="3"/>
  <c r="W93" i="15" s="1"/>
  <c r="X93" i="15" s="1"/>
  <c r="BQ159" i="3"/>
  <c r="W216" i="15" s="1"/>
  <c r="BP159" i="3"/>
  <c r="P93" i="15" s="1"/>
  <c r="Q93" i="15" s="1"/>
  <c r="BO159" i="3"/>
  <c r="P216" i="15" s="1"/>
  <c r="Q216" i="15" s="1"/>
  <c r="BM159" i="3"/>
  <c r="I216" i="15" s="1"/>
  <c r="J216" i="15" s="1"/>
  <c r="BT158" i="3"/>
  <c r="BS158" i="3"/>
  <c r="AD287" i="15" s="1"/>
  <c r="AE287" i="15" s="1"/>
  <c r="BR158" i="3"/>
  <c r="BQ158" i="3"/>
  <c r="W287" i="15" s="1"/>
  <c r="BP158" i="3"/>
  <c r="BO158" i="3"/>
  <c r="P287" i="15" s="1"/>
  <c r="BN158" i="3"/>
  <c r="BM158" i="3"/>
  <c r="I287" i="15" s="1"/>
  <c r="BT157" i="3"/>
  <c r="BS157" i="3"/>
  <c r="AD286" i="15" s="1"/>
  <c r="AE286" i="15" s="1"/>
  <c r="BR157" i="3"/>
  <c r="BQ157" i="3"/>
  <c r="W286" i="15" s="1"/>
  <c r="X286" i="15" s="1"/>
  <c r="BP157" i="3"/>
  <c r="BO157" i="3"/>
  <c r="P286" i="15" s="1"/>
  <c r="Q286" i="15" s="1"/>
  <c r="BN157" i="3"/>
  <c r="BM157" i="3"/>
  <c r="I286" i="15" s="1"/>
  <c r="J286" i="15" s="1"/>
  <c r="BT156" i="3"/>
  <c r="BS156" i="3"/>
  <c r="AD235" i="15" s="1"/>
  <c r="AE235" i="15" s="1"/>
  <c r="BR156" i="3"/>
  <c r="BQ156" i="3"/>
  <c r="W235" i="15" s="1"/>
  <c r="X235" i="15" s="1"/>
  <c r="BP156" i="3"/>
  <c r="BO156" i="3"/>
  <c r="P235" i="15" s="1"/>
  <c r="Q235" i="15" s="1"/>
  <c r="BN156" i="3"/>
  <c r="BM156" i="3"/>
  <c r="I235" i="15" s="1"/>
  <c r="J235" i="15" s="1"/>
  <c r="BT155" i="3"/>
  <c r="BS155" i="3"/>
  <c r="AD376" i="15" s="1"/>
  <c r="AE376" i="15" s="1"/>
  <c r="BR155" i="3"/>
  <c r="BQ155" i="3"/>
  <c r="W376" i="15" s="1"/>
  <c r="X376" i="15" s="1"/>
  <c r="BP155" i="3"/>
  <c r="BO155" i="3"/>
  <c r="P376" i="15" s="1"/>
  <c r="Q376" i="15" s="1"/>
  <c r="BN155" i="3"/>
  <c r="BM155" i="3"/>
  <c r="I376" i="15" s="1"/>
  <c r="J376" i="15" s="1"/>
  <c r="BT154" i="3"/>
  <c r="BS154" i="3"/>
  <c r="AD282" i="15" s="1"/>
  <c r="BR154" i="3"/>
  <c r="BQ154" i="3"/>
  <c r="W282" i="15" s="1"/>
  <c r="X282" i="15" s="1"/>
  <c r="BP154" i="3"/>
  <c r="BO154" i="3"/>
  <c r="P282" i="15" s="1"/>
  <c r="BN154" i="3"/>
  <c r="BM154" i="3"/>
  <c r="I282" i="15" s="1"/>
  <c r="J282" i="15" s="1"/>
  <c r="BT153" i="3"/>
  <c r="BS153" i="3"/>
  <c r="AD155" i="15" s="1"/>
  <c r="AE155" i="15" s="1"/>
  <c r="BR153" i="3"/>
  <c r="BQ153" i="3"/>
  <c r="W155" i="15" s="1"/>
  <c r="X155" i="15" s="1"/>
  <c r="BP153" i="3"/>
  <c r="BO153" i="3"/>
  <c r="P155" i="15" s="1"/>
  <c r="Q155" i="15" s="1"/>
  <c r="BN153" i="3"/>
  <c r="BM153" i="3"/>
  <c r="I155" i="15" s="1"/>
  <c r="J155" i="15" s="1"/>
  <c r="BT152" i="3"/>
  <c r="BS152" i="3"/>
  <c r="AD281" i="15" s="1"/>
  <c r="AE281" i="15" s="1"/>
  <c r="BR152" i="3"/>
  <c r="BQ152" i="3"/>
  <c r="W281" i="15" s="1"/>
  <c r="X281" i="15" s="1"/>
  <c r="BP152" i="3"/>
  <c r="BO152" i="3"/>
  <c r="P281" i="15" s="1"/>
  <c r="Q281" i="15" s="1"/>
  <c r="BN152" i="3"/>
  <c r="BM152" i="3"/>
  <c r="I281" i="15" s="1"/>
  <c r="J281" i="15" s="1"/>
  <c r="BT151" i="3"/>
  <c r="BS151" i="3"/>
  <c r="AD280" i="15" s="1"/>
  <c r="AE280" i="15" s="1"/>
  <c r="BR151" i="3"/>
  <c r="BQ151" i="3"/>
  <c r="W280" i="15" s="1"/>
  <c r="X280" i="15" s="1"/>
  <c r="BP151" i="3"/>
  <c r="BO151" i="3"/>
  <c r="P280" i="15" s="1"/>
  <c r="Q280" i="15" s="1"/>
  <c r="BN151" i="3"/>
  <c r="BM151" i="3"/>
  <c r="I280" i="15" s="1"/>
  <c r="BT150" i="3"/>
  <c r="BS150" i="3"/>
  <c r="AD279" i="15" s="1"/>
  <c r="AE279" i="15" s="1"/>
  <c r="BR150" i="3"/>
  <c r="BQ150" i="3"/>
  <c r="W279" i="15" s="1"/>
  <c r="X279" i="15" s="1"/>
  <c r="BP150" i="3"/>
  <c r="BO150" i="3"/>
  <c r="P279" i="15" s="1"/>
  <c r="BN150" i="3"/>
  <c r="BM150" i="3"/>
  <c r="I279" i="15" s="1"/>
  <c r="BT149" i="3"/>
  <c r="BS149" i="3"/>
  <c r="AD278" i="15" s="1"/>
  <c r="BR149" i="3"/>
  <c r="BQ149" i="3"/>
  <c r="W278" i="15" s="1"/>
  <c r="BP149" i="3"/>
  <c r="BO149" i="3"/>
  <c r="P278" i="15" s="1"/>
  <c r="Q278" i="15" s="1"/>
  <c r="BN149" i="3"/>
  <c r="BM149" i="3"/>
  <c r="I278" i="15" s="1"/>
  <c r="BT148" i="3"/>
  <c r="BS148" i="3"/>
  <c r="AD234" i="15" s="1"/>
  <c r="AE234" i="15" s="1"/>
  <c r="BR148" i="3"/>
  <c r="BQ148" i="3"/>
  <c r="W234" i="15" s="1"/>
  <c r="X234" i="15" s="1"/>
  <c r="BP148" i="3"/>
  <c r="BO148" i="3"/>
  <c r="P234" i="15" s="1"/>
  <c r="Q234" i="15" s="1"/>
  <c r="BN148" i="3"/>
  <c r="BM148" i="3"/>
  <c r="I234" i="15" s="1"/>
  <c r="J234" i="15" s="1"/>
  <c r="BT147" i="3"/>
  <c r="AD34" i="15" s="1"/>
  <c r="AE34" i="15" s="1"/>
  <c r="BS147" i="3"/>
  <c r="AD277" i="15" s="1"/>
  <c r="AE277" i="15" s="1"/>
  <c r="BR147" i="3"/>
  <c r="W34" i="15" s="1"/>
  <c r="X34" i="15" s="1"/>
  <c r="BQ147" i="3"/>
  <c r="W277" i="15" s="1"/>
  <c r="X277" i="15" s="1"/>
  <c r="BP147" i="3"/>
  <c r="P34" i="15" s="1"/>
  <c r="Q34" i="15" s="1"/>
  <c r="BO147" i="3"/>
  <c r="P277" i="15" s="1"/>
  <c r="Q277" i="15" s="1"/>
  <c r="BN147" i="3"/>
  <c r="I34" i="15" s="1"/>
  <c r="J34" i="15" s="1"/>
  <c r="BM147" i="3"/>
  <c r="I277" i="15" s="1"/>
  <c r="J277" i="15" s="1"/>
  <c r="BT146" i="3"/>
  <c r="BS146" i="3"/>
  <c r="AD125" i="15" s="1"/>
  <c r="AE125" i="15" s="1"/>
  <c r="BR146" i="3"/>
  <c r="BQ146" i="3"/>
  <c r="W125" i="15" s="1"/>
  <c r="X125" i="15" s="1"/>
  <c r="BP146" i="3"/>
  <c r="BO146" i="3"/>
  <c r="P125" i="15" s="1"/>
  <c r="Q125" i="15" s="1"/>
  <c r="BN146" i="3"/>
  <c r="I22" i="15" s="1"/>
  <c r="J22" i="15" s="1"/>
  <c r="BM146" i="3"/>
  <c r="I125" i="15" s="1"/>
  <c r="J125" i="15" s="1"/>
  <c r="BT144" i="3"/>
  <c r="AD29" i="15" s="1"/>
  <c r="AE29" i="15" s="1"/>
  <c r="BS144" i="3"/>
  <c r="AD144" i="15" s="1"/>
  <c r="AE144" i="15" s="1"/>
  <c r="BR144" i="3"/>
  <c r="W29" i="15" s="1"/>
  <c r="X29" i="15" s="1"/>
  <c r="BQ144" i="3"/>
  <c r="W144" i="15" s="1"/>
  <c r="X144" i="15" s="1"/>
  <c r="BP144" i="3"/>
  <c r="P29" i="15" s="1"/>
  <c r="Q29" i="15" s="1"/>
  <c r="BO144" i="3"/>
  <c r="P144" i="15" s="1"/>
  <c r="Q144" i="15" s="1"/>
  <c r="BM144" i="3"/>
  <c r="I144" i="15" s="1"/>
  <c r="J144" i="15" s="1"/>
  <c r="BT143" i="3"/>
  <c r="AD28" i="15" s="1"/>
  <c r="AE28" i="15" s="1"/>
  <c r="BS143" i="3"/>
  <c r="AD262" i="15" s="1"/>
  <c r="AE262" i="15" s="1"/>
  <c r="BR143" i="3"/>
  <c r="W28" i="15" s="1"/>
  <c r="X28" i="15" s="1"/>
  <c r="BQ143" i="3"/>
  <c r="W262" i="15" s="1"/>
  <c r="X262" i="15" s="1"/>
  <c r="BP143" i="3"/>
  <c r="P28" i="15" s="1"/>
  <c r="Q28" i="15" s="1"/>
  <c r="BO143" i="3"/>
  <c r="P262" i="15" s="1"/>
  <c r="Q262" i="15" s="1"/>
  <c r="BN143" i="3"/>
  <c r="I28" i="15" s="1"/>
  <c r="J28" i="15" s="1"/>
  <c r="BM143" i="3"/>
  <c r="I262" i="15" s="1"/>
  <c r="J262" i="15" s="1"/>
  <c r="BT140" i="3"/>
  <c r="AD30" i="15" s="1"/>
  <c r="AE30" i="15" s="1"/>
  <c r="BS140" i="3"/>
  <c r="AD124" i="15" s="1"/>
  <c r="AE124" i="15" s="1"/>
  <c r="BR140" i="3"/>
  <c r="BQ140" i="3"/>
  <c r="BP140" i="3"/>
  <c r="P30" i="15" s="1"/>
  <c r="Q30" i="15" s="1"/>
  <c r="BO140" i="3"/>
  <c r="P124" i="15" s="1"/>
  <c r="Q124" i="15" s="1"/>
  <c r="J30" i="15"/>
  <c r="BM140" i="3"/>
  <c r="BT139" i="3"/>
  <c r="BS139" i="3"/>
  <c r="BR139" i="3"/>
  <c r="BQ139" i="3"/>
  <c r="BP139" i="3"/>
  <c r="BO139" i="3"/>
  <c r="BN139" i="3"/>
  <c r="BM139" i="3"/>
  <c r="AD263" i="15"/>
  <c r="AE263" i="15" s="1"/>
  <c r="W263" i="15"/>
  <c r="X263" i="15" s="1"/>
  <c r="P263" i="15"/>
  <c r="Q263" i="15" s="1"/>
  <c r="I263" i="15"/>
  <c r="J263" i="15" s="1"/>
  <c r="AD27" i="15"/>
  <c r="AE27" i="15" s="1"/>
  <c r="AD261" i="15"/>
  <c r="AE261" i="15" s="1"/>
  <c r="W27" i="15"/>
  <c r="X27" i="15" s="1"/>
  <c r="W261" i="15"/>
  <c r="X261" i="15" s="1"/>
  <c r="P27" i="15"/>
  <c r="Q27" i="15" s="1"/>
  <c r="P261" i="15"/>
  <c r="Q261" i="15" s="1"/>
  <c r="I27" i="15"/>
  <c r="J27" i="15" s="1"/>
  <c r="I261" i="15"/>
  <c r="J261" i="15" s="1"/>
  <c r="AD19" i="15"/>
  <c r="AE19" i="15" s="1"/>
  <c r="W19" i="15"/>
  <c r="X19" i="15" s="1"/>
  <c r="P19" i="15"/>
  <c r="Q19" i="15" s="1"/>
  <c r="I19" i="15"/>
  <c r="J19" i="15" s="1"/>
  <c r="AD26" i="15"/>
  <c r="AE26" i="15" s="1"/>
  <c r="AD363" i="15"/>
  <c r="AE363" i="15" s="1"/>
  <c r="W363" i="15"/>
  <c r="X363" i="15" s="1"/>
  <c r="P26" i="15"/>
  <c r="Q26" i="15" s="1"/>
  <c r="P363" i="15"/>
  <c r="Q363" i="15" s="1"/>
  <c r="I26" i="15"/>
  <c r="J26" i="15" s="1"/>
  <c r="I363" i="15"/>
  <c r="J363" i="15" s="1"/>
  <c r="BT111" i="3"/>
  <c r="AD25" i="15" s="1"/>
  <c r="AE25" i="15" s="1"/>
  <c r="BS111" i="3"/>
  <c r="AD334" i="15" s="1"/>
  <c r="BR111" i="3"/>
  <c r="W25" i="15" s="1"/>
  <c r="BQ111" i="3"/>
  <c r="W334" i="15" s="1"/>
  <c r="BP111" i="3"/>
  <c r="P25" i="15" s="1"/>
  <c r="Q25" i="15" s="1"/>
  <c r="BO111" i="3"/>
  <c r="P334" i="15" s="1"/>
  <c r="BN111" i="3"/>
  <c r="I25" i="15" s="1"/>
  <c r="J25" i="15" s="1"/>
  <c r="BM111" i="3"/>
  <c r="I334" i="15" s="1"/>
  <c r="BT110" i="3"/>
  <c r="BS110" i="3"/>
  <c r="AD260" i="15" s="1"/>
  <c r="AE260" i="15" s="1"/>
  <c r="BR110" i="3"/>
  <c r="BQ110" i="3"/>
  <c r="W260" i="15" s="1"/>
  <c r="X260" i="15" s="1"/>
  <c r="BP110" i="3"/>
  <c r="BO110" i="3"/>
  <c r="P260" i="15" s="1"/>
  <c r="Q260" i="15" s="1"/>
  <c r="BN110" i="3"/>
  <c r="BM110" i="3"/>
  <c r="I260" i="15" s="1"/>
  <c r="J260" i="15" s="1"/>
  <c r="BT109" i="3"/>
  <c r="AD23" i="15" s="1"/>
  <c r="AE23" i="15" s="1"/>
  <c r="BS109" i="3"/>
  <c r="AD259" i="15" s="1"/>
  <c r="AE259" i="15" s="1"/>
  <c r="BR109" i="3"/>
  <c r="W23" i="15" s="1"/>
  <c r="X23" i="15" s="1"/>
  <c r="BQ109" i="3"/>
  <c r="W259" i="15" s="1"/>
  <c r="X259" i="15" s="1"/>
  <c r="BP109" i="3"/>
  <c r="P23" i="15" s="1"/>
  <c r="Q23" i="15" s="1"/>
  <c r="BO109" i="3"/>
  <c r="P259" i="15" s="1"/>
  <c r="Q259" i="15" s="1"/>
  <c r="BM109" i="3"/>
  <c r="I259" i="15" s="1"/>
  <c r="J259" i="15" s="1"/>
  <c r="BT108" i="3"/>
  <c r="BS108" i="3"/>
  <c r="AD123" i="15" s="1"/>
  <c r="AE123" i="15" s="1"/>
  <c r="BR108" i="3"/>
  <c r="BQ108" i="3"/>
  <c r="W123" i="15" s="1"/>
  <c r="X123" i="15" s="1"/>
  <c r="BP108" i="3"/>
  <c r="BO108" i="3"/>
  <c r="P123" i="15" s="1"/>
  <c r="Q123" i="15" s="1"/>
  <c r="BN108" i="3"/>
  <c r="BM108" i="3"/>
  <c r="I123" i="15" s="1"/>
  <c r="J123" i="15" s="1"/>
  <c r="BT107" i="3"/>
  <c r="BS107" i="3"/>
  <c r="AD122" i="15" s="1"/>
  <c r="AE122" i="15" s="1"/>
  <c r="BR107" i="3"/>
  <c r="BQ107" i="3"/>
  <c r="W122" i="15" s="1"/>
  <c r="X122" i="15" s="1"/>
  <c r="BP107" i="3"/>
  <c r="BO107" i="3"/>
  <c r="P122" i="15" s="1"/>
  <c r="Q122" i="15" s="1"/>
  <c r="BN107" i="3"/>
  <c r="BM107" i="3"/>
  <c r="I122" i="15" s="1"/>
  <c r="J122" i="15" s="1"/>
  <c r="BT106" i="3"/>
  <c r="BS106" i="3"/>
  <c r="AD121" i="15" s="1"/>
  <c r="AE121" i="15" s="1"/>
  <c r="BR106" i="3"/>
  <c r="BQ106" i="3"/>
  <c r="W121" i="15" s="1"/>
  <c r="X121" i="15" s="1"/>
  <c r="BP106" i="3"/>
  <c r="BO106" i="3"/>
  <c r="P121" i="15" s="1"/>
  <c r="Q121" i="15" s="1"/>
  <c r="BN106" i="3"/>
  <c r="BM106" i="3"/>
  <c r="I121" i="15" s="1"/>
  <c r="J121" i="15" s="1"/>
  <c r="BT105" i="3"/>
  <c r="BS105" i="3"/>
  <c r="AD120" i="15" s="1"/>
  <c r="BR105" i="3"/>
  <c r="BQ105" i="3"/>
  <c r="W120" i="15" s="1"/>
  <c r="BP105" i="3"/>
  <c r="BO105" i="3"/>
  <c r="P120" i="15" s="1"/>
  <c r="BN105" i="3"/>
  <c r="BM105" i="3"/>
  <c r="I120" i="15" s="1"/>
  <c r="BT104" i="3"/>
  <c r="AD17" i="15" s="1"/>
  <c r="BS104" i="3"/>
  <c r="BR104" i="3"/>
  <c r="W17" i="15" s="1"/>
  <c r="BQ104" i="3"/>
  <c r="BP104" i="3"/>
  <c r="P17" i="15" s="1"/>
  <c r="BO104" i="3"/>
  <c r="BM104" i="3"/>
  <c r="AD16" i="15"/>
  <c r="W16" i="15"/>
  <c r="X16" i="15" s="1"/>
  <c r="P16" i="15"/>
  <c r="Q16" i="15" s="1"/>
  <c r="BT102" i="3"/>
  <c r="AD15" i="15" s="1"/>
  <c r="BR102" i="3"/>
  <c r="W15" i="15" s="1"/>
  <c r="BP102" i="3"/>
  <c r="P15" i="15" s="1"/>
  <c r="BN102" i="3"/>
  <c r="I15" i="15" s="1"/>
  <c r="BT101" i="3"/>
  <c r="BS101" i="3"/>
  <c r="AD258" i="15" s="1"/>
  <c r="AE258" i="15" s="1"/>
  <c r="BR101" i="3"/>
  <c r="BQ101" i="3"/>
  <c r="W258" i="15" s="1"/>
  <c r="BP101" i="3"/>
  <c r="BO101" i="3"/>
  <c r="P258" i="15" s="1"/>
  <c r="BN101" i="3"/>
  <c r="BM101" i="3"/>
  <c r="I258" i="15" s="1"/>
  <c r="BT100" i="3"/>
  <c r="BS100" i="3"/>
  <c r="AD257" i="15" s="1"/>
  <c r="BR100" i="3"/>
  <c r="BQ100" i="3"/>
  <c r="BP100" i="3"/>
  <c r="BO100" i="3"/>
  <c r="P257" i="15" s="1"/>
  <c r="Q257" i="15" s="1"/>
  <c r="BN100" i="3"/>
  <c r="BM100" i="3"/>
  <c r="I257" i="15" s="1"/>
  <c r="J257" i="15" s="1"/>
  <c r="AD77" i="15"/>
  <c r="AE77" i="15" s="1"/>
  <c r="W77" i="15"/>
  <c r="X77" i="15" s="1"/>
  <c r="I77" i="15"/>
  <c r="J77" i="15" s="1"/>
  <c r="AD76" i="15"/>
  <c r="AE76" i="15" s="1"/>
  <c r="I76" i="15"/>
  <c r="J76" i="15" s="1"/>
  <c r="AD75" i="15"/>
  <c r="AE75" i="15" s="1"/>
  <c r="W75" i="15"/>
  <c r="X75" i="15" s="1"/>
  <c r="I75" i="15"/>
  <c r="J75" i="15" s="1"/>
  <c r="AD74" i="15"/>
  <c r="AE74" i="15" s="1"/>
  <c r="W74" i="15"/>
  <c r="X74" i="15" s="1"/>
  <c r="I74" i="15"/>
  <c r="J74" i="15" s="1"/>
  <c r="AD84" i="15"/>
  <c r="AD321" i="15"/>
  <c r="W84" i="15"/>
  <c r="W321" i="15"/>
  <c r="P84" i="15"/>
  <c r="Q84" i="15" s="1"/>
  <c r="P321" i="15"/>
  <c r="Q321" i="15" s="1"/>
  <c r="I84" i="15"/>
  <c r="I321" i="15"/>
  <c r="AD320" i="15"/>
  <c r="AE320" i="15" s="1"/>
  <c r="P320" i="15"/>
  <c r="Q320" i="15" s="1"/>
  <c r="AE73" i="15"/>
  <c r="X73" i="15"/>
  <c r="I72" i="15"/>
  <c r="BT78" i="3"/>
  <c r="BS78" i="3"/>
  <c r="AD308" i="15" s="1"/>
  <c r="AE308" i="15" s="1"/>
  <c r="BR78" i="3"/>
  <c r="BQ78" i="3"/>
  <c r="W308" i="15" s="1"/>
  <c r="X308" i="15" s="1"/>
  <c r="BP78" i="3"/>
  <c r="BO78" i="3"/>
  <c r="P308" i="15" s="1"/>
  <c r="Q308" i="15" s="1"/>
  <c r="BN78" i="3"/>
  <c r="BM78" i="3"/>
  <c r="I308" i="15" s="1"/>
  <c r="BT77" i="3"/>
  <c r="BS77" i="3"/>
  <c r="AD252" i="15" s="1"/>
  <c r="AE252" i="15" s="1"/>
  <c r="BR77" i="3"/>
  <c r="BQ77" i="3"/>
  <c r="W252" i="15" s="1"/>
  <c r="BP77" i="3"/>
  <c r="BO77" i="3"/>
  <c r="P252" i="15" s="1"/>
  <c r="BN77" i="3"/>
  <c r="BM77" i="3"/>
  <c r="I252" i="15" s="1"/>
  <c r="BT76" i="3"/>
  <c r="BS76" i="3"/>
  <c r="AD251" i="15" s="1"/>
  <c r="AE251" i="15" s="1"/>
  <c r="BR76" i="3"/>
  <c r="BQ76" i="3"/>
  <c r="W251" i="15" s="1"/>
  <c r="X251" i="15" s="1"/>
  <c r="BP76" i="3"/>
  <c r="BO76" i="3"/>
  <c r="P251" i="15" s="1"/>
  <c r="Q251" i="15" s="1"/>
  <c r="BN76" i="3"/>
  <c r="BM76" i="3"/>
  <c r="I251" i="15" s="1"/>
  <c r="J251" i="15" s="1"/>
  <c r="BT75" i="3"/>
  <c r="BS75" i="3"/>
  <c r="AD232" i="15" s="1"/>
  <c r="AE232" i="15" s="1"/>
  <c r="BR75" i="3"/>
  <c r="BQ75" i="3"/>
  <c r="W232" i="15" s="1"/>
  <c r="X232" i="15" s="1"/>
  <c r="BP75" i="3"/>
  <c r="BO75" i="3"/>
  <c r="P232" i="15" s="1"/>
  <c r="Q232" i="15" s="1"/>
  <c r="BN75" i="3"/>
  <c r="BM75" i="3"/>
  <c r="I232" i="15" s="1"/>
  <c r="J232" i="15" s="1"/>
  <c r="BT74" i="3"/>
  <c r="BS74" i="3"/>
  <c r="AD205" i="15" s="1"/>
  <c r="AE205" i="15" s="1"/>
  <c r="BR74" i="3"/>
  <c r="BQ74" i="3"/>
  <c r="W205" i="15" s="1"/>
  <c r="X205" i="15" s="1"/>
  <c r="BP74" i="3"/>
  <c r="BO74" i="3"/>
  <c r="P205" i="15" s="1"/>
  <c r="Q205" i="15" s="1"/>
  <c r="BN74" i="3"/>
  <c r="BM74" i="3"/>
  <c r="I205" i="15" s="1"/>
  <c r="J205" i="15" s="1"/>
  <c r="BT73" i="3"/>
  <c r="BS73" i="3"/>
  <c r="AD204" i="15" s="1"/>
  <c r="AE204" i="15" s="1"/>
  <c r="BR73" i="3"/>
  <c r="BQ73" i="3"/>
  <c r="W204" i="15" s="1"/>
  <c r="X204" i="15" s="1"/>
  <c r="BP73" i="3"/>
  <c r="BO73" i="3"/>
  <c r="P204" i="15" s="1"/>
  <c r="Q204" i="15" s="1"/>
  <c r="BM73" i="3"/>
  <c r="I204" i="15" s="1"/>
  <c r="J204" i="15" s="1"/>
  <c r="BT72" i="3"/>
  <c r="BS72" i="3"/>
  <c r="AD323" i="15" s="1"/>
  <c r="AE323" i="15" s="1"/>
  <c r="BR72" i="3"/>
  <c r="BQ72" i="3"/>
  <c r="W323" i="15" s="1"/>
  <c r="X323" i="15" s="1"/>
  <c r="BP72" i="3"/>
  <c r="BO72" i="3"/>
  <c r="P323" i="15" s="1"/>
  <c r="Q323" i="15" s="1"/>
  <c r="BM72" i="3"/>
  <c r="I323" i="15" s="1"/>
  <c r="J323" i="15" s="1"/>
  <c r="BT71" i="3"/>
  <c r="BS71" i="3"/>
  <c r="AD203" i="15" s="1"/>
  <c r="AE203" i="15" s="1"/>
  <c r="BR71" i="3"/>
  <c r="BQ71" i="3"/>
  <c r="W203" i="15" s="1"/>
  <c r="X203" i="15" s="1"/>
  <c r="BP71" i="3"/>
  <c r="BO71" i="3"/>
  <c r="P203" i="15" s="1"/>
  <c r="Q203" i="15" s="1"/>
  <c r="BN71" i="3"/>
  <c r="BM71" i="3"/>
  <c r="I203" i="15" s="1"/>
  <c r="J203" i="15" s="1"/>
  <c r="BT70" i="3"/>
  <c r="BS70" i="3"/>
  <c r="AD306" i="15" s="1"/>
  <c r="AE306" i="15" s="1"/>
  <c r="BR70" i="3"/>
  <c r="BQ70" i="3"/>
  <c r="W306" i="15" s="1"/>
  <c r="X306" i="15" s="1"/>
  <c r="X307" i="15" s="1"/>
  <c r="BP70" i="3"/>
  <c r="BO70" i="3"/>
  <c r="P306" i="15" s="1"/>
  <c r="Q306" i="15" s="1"/>
  <c r="BN70" i="3"/>
  <c r="BM70" i="3"/>
  <c r="I306" i="15" s="1"/>
  <c r="J306" i="15" s="1"/>
  <c r="BT69" i="3"/>
  <c r="BS69" i="3"/>
  <c r="AD202" i="15" s="1"/>
  <c r="AE202" i="15" s="1"/>
  <c r="BR69" i="3"/>
  <c r="BQ69" i="3"/>
  <c r="W202" i="15" s="1"/>
  <c r="X202" i="15" s="1"/>
  <c r="BP69" i="3"/>
  <c r="BO69" i="3"/>
  <c r="P202" i="15" s="1"/>
  <c r="Q202" i="15" s="1"/>
  <c r="BN69" i="3"/>
  <c r="BM69" i="3"/>
  <c r="I202" i="15" s="1"/>
  <c r="J202" i="15" s="1"/>
  <c r="AD116" i="15"/>
  <c r="AE116" i="15" s="1"/>
  <c r="AD200" i="15"/>
  <c r="AE200" i="15" s="1"/>
  <c r="W116" i="15"/>
  <c r="X116" i="15" s="1"/>
  <c r="W200" i="15"/>
  <c r="X200" i="15" s="1"/>
  <c r="P116" i="15"/>
  <c r="Q116" i="15" s="1"/>
  <c r="P200" i="15"/>
  <c r="Q200" i="15" s="1"/>
  <c r="I200" i="15"/>
  <c r="J200" i="15" s="1"/>
  <c r="BT66" i="3"/>
  <c r="BS66" i="3"/>
  <c r="AD199" i="15" s="1"/>
  <c r="AE199" i="15" s="1"/>
  <c r="BR66" i="3"/>
  <c r="BQ66" i="3"/>
  <c r="W199" i="15" s="1"/>
  <c r="X199" i="15" s="1"/>
  <c r="BP66" i="3"/>
  <c r="BO66" i="3"/>
  <c r="P199" i="15" s="1"/>
  <c r="Q199" i="15" s="1"/>
  <c r="BM66" i="3"/>
  <c r="I199" i="15" s="1"/>
  <c r="J199" i="15" s="1"/>
  <c r="BT65" i="3"/>
  <c r="BS65" i="3"/>
  <c r="AD248" i="15" s="1"/>
  <c r="AE248" i="15" s="1"/>
  <c r="BR65" i="3"/>
  <c r="BQ65" i="3"/>
  <c r="W248" i="15" s="1"/>
  <c r="BP65" i="3"/>
  <c r="BO65" i="3"/>
  <c r="P248" i="15" s="1"/>
  <c r="BN65" i="3"/>
  <c r="BM65" i="3"/>
  <c r="I248" i="15" s="1"/>
  <c r="BT64" i="3"/>
  <c r="BS64" i="3"/>
  <c r="AD247" i="15" s="1"/>
  <c r="AE247" i="15" s="1"/>
  <c r="BR64" i="3"/>
  <c r="BQ64" i="3"/>
  <c r="W247" i="15" s="1"/>
  <c r="X247" i="15" s="1"/>
  <c r="BP64" i="3"/>
  <c r="BO64" i="3"/>
  <c r="P247" i="15" s="1"/>
  <c r="Q247" i="15" s="1"/>
  <c r="BN64" i="3"/>
  <c r="BM64" i="3"/>
  <c r="I247" i="15" s="1"/>
  <c r="J247" i="15" s="1"/>
  <c r="BT63" i="3"/>
  <c r="BS63" i="3"/>
  <c r="AD231" i="15" s="1"/>
  <c r="AE231" i="15" s="1"/>
  <c r="BR63" i="3"/>
  <c r="BQ63" i="3"/>
  <c r="W231" i="15" s="1"/>
  <c r="X231" i="15" s="1"/>
  <c r="BP63" i="3"/>
  <c r="BO63" i="3"/>
  <c r="P231" i="15" s="1"/>
  <c r="Q231" i="15" s="1"/>
  <c r="BN63" i="3"/>
  <c r="BM63" i="3"/>
  <c r="I231" i="15" s="1"/>
  <c r="J231" i="15" s="1"/>
  <c r="BT62" i="3"/>
  <c r="AD113" i="15" s="1"/>
  <c r="BS62" i="3"/>
  <c r="AD304" i="15" s="1"/>
  <c r="AE304" i="15" s="1"/>
  <c r="BR62" i="3"/>
  <c r="BQ62" i="3"/>
  <c r="BP62" i="3"/>
  <c r="P113" i="15" s="1"/>
  <c r="BO62" i="3"/>
  <c r="P304" i="15" s="1"/>
  <c r="Q304" i="15" s="1"/>
  <c r="BN62" i="3"/>
  <c r="I113" i="15" s="1"/>
  <c r="J113" i="15" s="1"/>
  <c r="BM62" i="3"/>
  <c r="BT61" i="3"/>
  <c r="BS61" i="3"/>
  <c r="AD198" i="15" s="1"/>
  <c r="AE198" i="15" s="1"/>
  <c r="BR61" i="3"/>
  <c r="BQ61" i="3"/>
  <c r="W198" i="15" s="1"/>
  <c r="X198" i="15" s="1"/>
  <c r="BP61" i="3"/>
  <c r="BO61" i="3"/>
  <c r="P198" i="15" s="1"/>
  <c r="Q198" i="15" s="1"/>
  <c r="BN61" i="3"/>
  <c r="BM61" i="3"/>
  <c r="I198" i="15" s="1"/>
  <c r="J198" i="15" s="1"/>
  <c r="BT60" i="3"/>
  <c r="BS60" i="3"/>
  <c r="AD197" i="15" s="1"/>
  <c r="AE197" i="15" s="1"/>
  <c r="BR60" i="3"/>
  <c r="BQ60" i="3"/>
  <c r="W197" i="15" s="1"/>
  <c r="X197" i="15" s="1"/>
  <c r="BP60" i="3"/>
  <c r="BO60" i="3"/>
  <c r="P197" i="15" s="1"/>
  <c r="Q197" i="15" s="1"/>
  <c r="BN60" i="3"/>
  <c r="BM60" i="3"/>
  <c r="I197" i="15" s="1"/>
  <c r="J197" i="15" s="1"/>
  <c r="BT59" i="3"/>
  <c r="BS59" i="3"/>
  <c r="AD196" i="15" s="1"/>
  <c r="AE196" i="15" s="1"/>
  <c r="BR59" i="3"/>
  <c r="BQ59" i="3"/>
  <c r="W196" i="15" s="1"/>
  <c r="X196" i="15" s="1"/>
  <c r="BP59" i="3"/>
  <c r="BO59" i="3"/>
  <c r="P196" i="15" s="1"/>
  <c r="Q196" i="15" s="1"/>
  <c r="BN59" i="3"/>
  <c r="BM59" i="3"/>
  <c r="I196" i="15" s="1"/>
  <c r="J196" i="15" s="1"/>
  <c r="BT58" i="3"/>
  <c r="BS58" i="3"/>
  <c r="AD195" i="15" s="1"/>
  <c r="AE195" i="15" s="1"/>
  <c r="BR58" i="3"/>
  <c r="BQ58" i="3"/>
  <c r="W195" i="15" s="1"/>
  <c r="X195" i="15" s="1"/>
  <c r="BP58" i="3"/>
  <c r="BO58" i="3"/>
  <c r="P195" i="15" s="1"/>
  <c r="Q195" i="15" s="1"/>
  <c r="BN58" i="3"/>
  <c r="BM58" i="3"/>
  <c r="I195" i="15" s="1"/>
  <c r="J195" i="15" s="1"/>
  <c r="BT57" i="3"/>
  <c r="BS57" i="3"/>
  <c r="AD194" i="15" s="1"/>
  <c r="AE194" i="15" s="1"/>
  <c r="BR57" i="3"/>
  <c r="BQ57" i="3"/>
  <c r="W194" i="15" s="1"/>
  <c r="BP57" i="3"/>
  <c r="BO57" i="3"/>
  <c r="P194" i="15" s="1"/>
  <c r="BN57" i="3"/>
  <c r="BM57" i="3"/>
  <c r="I194" i="15" s="1"/>
  <c r="BT56" i="3"/>
  <c r="BS56" i="3"/>
  <c r="AD193" i="15" s="1"/>
  <c r="AE193" i="15" s="1"/>
  <c r="BR56" i="3"/>
  <c r="BQ56" i="3"/>
  <c r="W193" i="15" s="1"/>
  <c r="X193" i="15" s="1"/>
  <c r="BP56" i="3"/>
  <c r="BO56" i="3"/>
  <c r="P193" i="15" s="1"/>
  <c r="Q193" i="15" s="1"/>
  <c r="BN56" i="3"/>
  <c r="BM56" i="3"/>
  <c r="I193" i="15" s="1"/>
  <c r="J193" i="15" s="1"/>
  <c r="BT55" i="3"/>
  <c r="BS55" i="3"/>
  <c r="AD192" i="15" s="1"/>
  <c r="AE192" i="15" s="1"/>
  <c r="BR55" i="3"/>
  <c r="BQ55" i="3"/>
  <c r="W192" i="15" s="1"/>
  <c r="X192" i="15" s="1"/>
  <c r="BP55" i="3"/>
  <c r="BO55" i="3"/>
  <c r="P192" i="15" s="1"/>
  <c r="Q192" i="15" s="1"/>
  <c r="BN55" i="3"/>
  <c r="BM55" i="3"/>
  <c r="I192" i="15" s="1"/>
  <c r="J192" i="15" s="1"/>
  <c r="BT54" i="3"/>
  <c r="BS54" i="3"/>
  <c r="AD191" i="15" s="1"/>
  <c r="AE191" i="15" s="1"/>
  <c r="BR54" i="3"/>
  <c r="BQ54" i="3"/>
  <c r="W191" i="15" s="1"/>
  <c r="X191" i="15" s="1"/>
  <c r="BP54" i="3"/>
  <c r="BO54" i="3"/>
  <c r="P191" i="15" s="1"/>
  <c r="Q191" i="15" s="1"/>
  <c r="BN54" i="3"/>
  <c r="BM54" i="3"/>
  <c r="I191" i="15" s="1"/>
  <c r="J191" i="15" s="1"/>
  <c r="BS53" i="3"/>
  <c r="AD190" i="15" s="1"/>
  <c r="AE190" i="15" s="1"/>
  <c r="BQ53" i="3"/>
  <c r="W190" i="15" s="1"/>
  <c r="X190" i="15" s="1"/>
  <c r="BO53" i="3"/>
  <c r="P190" i="15" s="1"/>
  <c r="Q190" i="15" s="1"/>
  <c r="BM53" i="3"/>
  <c r="I190" i="15" s="1"/>
  <c r="J190" i="15" s="1"/>
  <c r="BT52" i="3"/>
  <c r="AD112" i="15" s="1"/>
  <c r="AE112" i="15" s="1"/>
  <c r="BS52" i="3"/>
  <c r="AD189" i="15" s="1"/>
  <c r="AE189" i="15" s="1"/>
  <c r="BR52" i="3"/>
  <c r="W112" i="15" s="1"/>
  <c r="X112" i="15" s="1"/>
  <c r="W189" i="15"/>
  <c r="X189" i="15" s="1"/>
  <c r="BP52" i="3"/>
  <c r="P112" i="15" s="1"/>
  <c r="Q112" i="15" s="1"/>
  <c r="BO52" i="3"/>
  <c r="P189" i="15" s="1"/>
  <c r="Q189" i="15" s="1"/>
  <c r="BN52" i="3"/>
  <c r="I112" i="15" s="1"/>
  <c r="J112" i="15" s="1"/>
  <c r="BM52" i="3"/>
  <c r="I189" i="15" s="1"/>
  <c r="J189" i="15" s="1"/>
  <c r="BS51" i="3"/>
  <c r="AD188" i="15" s="1"/>
  <c r="AE188" i="15" s="1"/>
  <c r="BQ51" i="3"/>
  <c r="W188" i="15" s="1"/>
  <c r="X188" i="15" s="1"/>
  <c r="BO51" i="3"/>
  <c r="P188" i="15" s="1"/>
  <c r="Q188" i="15" s="1"/>
  <c r="BM51" i="3"/>
  <c r="I188" i="15" s="1"/>
  <c r="J188" i="15" s="1"/>
  <c r="BT50" i="3"/>
  <c r="BS50" i="3"/>
  <c r="AD187" i="15" s="1"/>
  <c r="AE187" i="15" s="1"/>
  <c r="BR50" i="3"/>
  <c r="BQ50" i="3"/>
  <c r="W187" i="15" s="1"/>
  <c r="X187" i="15" s="1"/>
  <c r="BP50" i="3"/>
  <c r="BO50" i="3"/>
  <c r="P187" i="15" s="1"/>
  <c r="Q187" i="15" s="1"/>
  <c r="BN50" i="3"/>
  <c r="BM50" i="3"/>
  <c r="I187" i="15" s="1"/>
  <c r="J187" i="15" s="1"/>
  <c r="BT49" i="3"/>
  <c r="BS49" i="3"/>
  <c r="AD186" i="15" s="1"/>
  <c r="AE186" i="15" s="1"/>
  <c r="BR49" i="3"/>
  <c r="BQ49" i="3"/>
  <c r="W186" i="15" s="1"/>
  <c r="X186" i="15" s="1"/>
  <c r="BP49" i="3"/>
  <c r="BO49" i="3"/>
  <c r="P186" i="15" s="1"/>
  <c r="Q186" i="15" s="1"/>
  <c r="BN49" i="3"/>
  <c r="BM49" i="3"/>
  <c r="I186" i="15" s="1"/>
  <c r="J186" i="15" s="1"/>
  <c r="BT48" i="3"/>
  <c r="BS48" i="3"/>
  <c r="AD185" i="15" s="1"/>
  <c r="AE185" i="15" s="1"/>
  <c r="BR48" i="3"/>
  <c r="BQ48" i="3"/>
  <c r="W185" i="15" s="1"/>
  <c r="X185" i="15" s="1"/>
  <c r="BP48" i="3"/>
  <c r="BO48" i="3"/>
  <c r="P185" i="15" s="1"/>
  <c r="Q185" i="15" s="1"/>
  <c r="BN48" i="3"/>
  <c r="BM48" i="3"/>
  <c r="I185" i="15" s="1"/>
  <c r="J185" i="15" s="1"/>
  <c r="BT47" i="3"/>
  <c r="AD110" i="15" s="1"/>
  <c r="AE110" i="15" s="1"/>
  <c r="BS47" i="3"/>
  <c r="AD184" i="15" s="1"/>
  <c r="AE184" i="15" s="1"/>
  <c r="BR47" i="3"/>
  <c r="W110" i="15" s="1"/>
  <c r="X110" i="15" s="1"/>
  <c r="BQ47" i="3"/>
  <c r="W184" i="15" s="1"/>
  <c r="X184" i="15" s="1"/>
  <c r="BP47" i="3"/>
  <c r="P110" i="15" s="1"/>
  <c r="Q110" i="15" s="1"/>
  <c r="BO47" i="3"/>
  <c r="P184" i="15" s="1"/>
  <c r="Q184" i="15" s="1"/>
  <c r="BN47" i="3"/>
  <c r="I110" i="15" s="1"/>
  <c r="J110" i="15" s="1"/>
  <c r="BM47" i="3"/>
  <c r="I184" i="15" s="1"/>
  <c r="BT46" i="3"/>
  <c r="BS46" i="3"/>
  <c r="AD244" i="15" s="1"/>
  <c r="BR46" i="3"/>
  <c r="BQ46" i="3"/>
  <c r="W244" i="15" s="1"/>
  <c r="BP46" i="3"/>
  <c r="BO46" i="3"/>
  <c r="P244" i="15" s="1"/>
  <c r="BN46" i="3"/>
  <c r="BM46" i="3"/>
  <c r="I244" i="15" s="1"/>
  <c r="BT45" i="3"/>
  <c r="BS45" i="3"/>
  <c r="AD243" i="15" s="1"/>
  <c r="AE243" i="15" s="1"/>
  <c r="BR45" i="3"/>
  <c r="BQ45" i="3"/>
  <c r="W243" i="15" s="1"/>
  <c r="X243" i="15" s="1"/>
  <c r="BP45" i="3"/>
  <c r="BO45" i="3"/>
  <c r="P243" i="15" s="1"/>
  <c r="Q243" i="15" s="1"/>
  <c r="BN45" i="3"/>
  <c r="BM45" i="3"/>
  <c r="BT44" i="3"/>
  <c r="BS44" i="3"/>
  <c r="AD230" i="15" s="1"/>
  <c r="AE230" i="15" s="1"/>
  <c r="BR44" i="3"/>
  <c r="BQ44" i="3"/>
  <c r="W230" i="15" s="1"/>
  <c r="X230" i="15" s="1"/>
  <c r="BP44" i="3"/>
  <c r="BO44" i="3"/>
  <c r="P230" i="15" s="1"/>
  <c r="Q230" i="15" s="1"/>
  <c r="BN44" i="3"/>
  <c r="BM44" i="3"/>
  <c r="I230" i="15" s="1"/>
  <c r="J230" i="15" s="1"/>
  <c r="BT43" i="3"/>
  <c r="BS43" i="3"/>
  <c r="AD214" i="15" s="1"/>
  <c r="AE214" i="15" s="1"/>
  <c r="BR43" i="3"/>
  <c r="BQ43" i="3"/>
  <c r="W214" i="15" s="1"/>
  <c r="X214" i="15" s="1"/>
  <c r="BP43" i="3"/>
  <c r="BO43" i="3"/>
  <c r="P214" i="15" s="1"/>
  <c r="Q214" i="15" s="1"/>
  <c r="BN43" i="3"/>
  <c r="BM43" i="3"/>
  <c r="I214" i="15" s="1"/>
  <c r="J214" i="15" s="1"/>
  <c r="BT42" i="3"/>
  <c r="AD69" i="15" s="1"/>
  <c r="AE69" i="15" s="1"/>
  <c r="BS42" i="3"/>
  <c r="AD213" i="15" s="1"/>
  <c r="AE213" i="15" s="1"/>
  <c r="BR42" i="3"/>
  <c r="W69" i="15" s="1"/>
  <c r="X69" i="15" s="1"/>
  <c r="BQ42" i="3"/>
  <c r="W213" i="15" s="1"/>
  <c r="X213" i="15" s="1"/>
  <c r="BP42" i="3"/>
  <c r="P69" i="15" s="1"/>
  <c r="Q69" i="15" s="1"/>
  <c r="BO42" i="3"/>
  <c r="P213" i="15" s="1"/>
  <c r="Q213" i="15" s="1"/>
  <c r="BN42" i="3"/>
  <c r="I69" i="15" s="1"/>
  <c r="J69" i="15" s="1"/>
  <c r="BM42" i="3"/>
  <c r="I213" i="15" s="1"/>
  <c r="J213" i="15" s="1"/>
  <c r="BT41" i="3"/>
  <c r="AD68" i="15" s="1"/>
  <c r="AE68" i="15" s="1"/>
  <c r="BS41" i="3"/>
  <c r="AD212" i="15" s="1"/>
  <c r="AE212" i="15" s="1"/>
  <c r="BR41" i="3"/>
  <c r="W68" i="15" s="1"/>
  <c r="X68" i="15" s="1"/>
  <c r="BQ41" i="3"/>
  <c r="W212" i="15" s="1"/>
  <c r="X212" i="15" s="1"/>
  <c r="BP41" i="3"/>
  <c r="P68" i="15" s="1"/>
  <c r="Q68" i="15" s="1"/>
  <c r="BO41" i="3"/>
  <c r="P212" i="15" s="1"/>
  <c r="Q212" i="15" s="1"/>
  <c r="BN41" i="3"/>
  <c r="I68" i="15" s="1"/>
  <c r="J68" i="15" s="1"/>
  <c r="BM41" i="3"/>
  <c r="I212" i="15" s="1"/>
  <c r="J212" i="15" s="1"/>
  <c r="BT40" i="3"/>
  <c r="AD67" i="15" s="1"/>
  <c r="AE67" i="15" s="1"/>
  <c r="BS40" i="3"/>
  <c r="AD211" i="15" s="1"/>
  <c r="AE211" i="15" s="1"/>
  <c r="BR40" i="3"/>
  <c r="W67" i="15" s="1"/>
  <c r="X67" i="15" s="1"/>
  <c r="BQ40" i="3"/>
  <c r="W211" i="15" s="1"/>
  <c r="X211" i="15" s="1"/>
  <c r="BP40" i="3"/>
  <c r="P67" i="15" s="1"/>
  <c r="Q67" i="15" s="1"/>
  <c r="BO40" i="3"/>
  <c r="P211" i="15" s="1"/>
  <c r="Q211" i="15" s="1"/>
  <c r="BN40" i="3"/>
  <c r="I67" i="15" s="1"/>
  <c r="J67" i="15" s="1"/>
  <c r="BM40" i="3"/>
  <c r="I211" i="15" s="1"/>
  <c r="J211" i="15" s="1"/>
  <c r="BT39" i="3"/>
  <c r="BS39" i="3"/>
  <c r="AD210" i="15" s="1"/>
  <c r="AE210" i="15" s="1"/>
  <c r="W210" i="15"/>
  <c r="X210" i="15" s="1"/>
  <c r="BP39" i="3"/>
  <c r="BO39" i="3"/>
  <c r="P210" i="15" s="1"/>
  <c r="Q210" i="15" s="1"/>
  <c r="BN39" i="3"/>
  <c r="BM39" i="3"/>
  <c r="I210" i="15" s="1"/>
  <c r="J210" i="15" s="1"/>
  <c r="BT38" i="3"/>
  <c r="BS38" i="3"/>
  <c r="AD209" i="15" s="1"/>
  <c r="AE209" i="15" s="1"/>
  <c r="W209" i="15"/>
  <c r="X209" i="15" s="1"/>
  <c r="BP38" i="3"/>
  <c r="BO38" i="3"/>
  <c r="P209" i="15" s="1"/>
  <c r="Q209" i="15" s="1"/>
  <c r="BN38" i="3"/>
  <c r="BM38" i="3"/>
  <c r="I209" i="15" s="1"/>
  <c r="J209" i="15" s="1"/>
  <c r="BT37" i="3"/>
  <c r="AD66" i="15" s="1"/>
  <c r="AE66" i="15" s="1"/>
  <c r="BS37" i="3"/>
  <c r="AD208" i="15" s="1"/>
  <c r="AE208" i="15" s="1"/>
  <c r="W66" i="15"/>
  <c r="W208" i="15"/>
  <c r="X208" i="15" s="1"/>
  <c r="BP37" i="3"/>
  <c r="P66" i="15" s="1"/>
  <c r="Q66" i="15" s="1"/>
  <c r="BO37" i="3"/>
  <c r="P208" i="15" s="1"/>
  <c r="Q208" i="15" s="1"/>
  <c r="BN37" i="3"/>
  <c r="I66" i="15" s="1"/>
  <c r="J66" i="15" s="1"/>
  <c r="BM37" i="3"/>
  <c r="I208" i="15" s="1"/>
  <c r="J208" i="15" s="1"/>
  <c r="BT36" i="3"/>
  <c r="AD65" i="15" s="1"/>
  <c r="AE65" i="15" s="1"/>
  <c r="BS36" i="3"/>
  <c r="AD207" i="15" s="1"/>
  <c r="AE207" i="15" s="1"/>
  <c r="BR36" i="3"/>
  <c r="W65" i="15" s="1"/>
  <c r="X65" i="15" s="1"/>
  <c r="BQ36" i="3"/>
  <c r="W207" i="15" s="1"/>
  <c r="X207" i="15" s="1"/>
  <c r="BP36" i="3"/>
  <c r="P65" i="15" s="1"/>
  <c r="Q65" i="15" s="1"/>
  <c r="BO36" i="3"/>
  <c r="P207" i="15" s="1"/>
  <c r="BN36" i="3"/>
  <c r="I65" i="15" s="1"/>
  <c r="J65" i="15" s="1"/>
  <c r="BM36" i="3"/>
  <c r="I207" i="15" s="1"/>
  <c r="J207" i="15" s="1"/>
  <c r="BT35" i="3"/>
  <c r="AD64" i="15" s="1"/>
  <c r="AE64" i="15" s="1"/>
  <c r="BS35" i="3"/>
  <c r="BR35" i="3"/>
  <c r="W64" i="15" s="1"/>
  <c r="BQ35" i="3"/>
  <c r="BP35" i="3"/>
  <c r="P64" i="15" s="1"/>
  <c r="Q64" i="15" s="1"/>
  <c r="BO35" i="3"/>
  <c r="BN35" i="3"/>
  <c r="I64" i="15" s="1"/>
  <c r="J64" i="15" s="1"/>
  <c r="BM35" i="3"/>
  <c r="BT34" i="3"/>
  <c r="AD63" i="15" s="1"/>
  <c r="AE63" i="15" s="1"/>
  <c r="BS34" i="3"/>
  <c r="BR34" i="3"/>
  <c r="W63" i="15" s="1"/>
  <c r="X63" i="15" s="1"/>
  <c r="BQ34" i="3"/>
  <c r="BP34" i="3"/>
  <c r="P63" i="15" s="1"/>
  <c r="Q63" i="15" s="1"/>
  <c r="BO34" i="3"/>
  <c r="BN34" i="3"/>
  <c r="I63" i="15" s="1"/>
  <c r="J63" i="15" s="1"/>
  <c r="BM34" i="3"/>
  <c r="BR33" i="3"/>
  <c r="W62" i="15" s="1"/>
  <c r="X62" i="15" s="1"/>
  <c r="BT32" i="3"/>
  <c r="AD61" i="15" s="1"/>
  <c r="AE61" i="15" s="1"/>
  <c r="BS32" i="3"/>
  <c r="BR32" i="3"/>
  <c r="W61" i="15" s="1"/>
  <c r="X61" i="15" s="1"/>
  <c r="BQ32" i="3"/>
  <c r="BP32" i="3"/>
  <c r="P61" i="15" s="1"/>
  <c r="Q61" i="15" s="1"/>
  <c r="BO32" i="3"/>
  <c r="BN32" i="3"/>
  <c r="I61" i="15" s="1"/>
  <c r="J61" i="15" s="1"/>
  <c r="BM32" i="3"/>
  <c r="BT31" i="3"/>
  <c r="AD60" i="15" s="1"/>
  <c r="AE60" i="15" s="1"/>
  <c r="BS31" i="3"/>
  <c r="BR31" i="3"/>
  <c r="W60" i="15" s="1"/>
  <c r="X60" i="15" s="1"/>
  <c r="BQ31" i="3"/>
  <c r="BP31" i="3"/>
  <c r="P60" i="15" s="1"/>
  <c r="Q60" i="15" s="1"/>
  <c r="BO31" i="3"/>
  <c r="BN31" i="3"/>
  <c r="I60" i="15" s="1"/>
  <c r="J60" i="15" s="1"/>
  <c r="BM31" i="3"/>
  <c r="BT30" i="3"/>
  <c r="AD59" i="15" s="1"/>
  <c r="AE59" i="15" s="1"/>
  <c r="BS30" i="3"/>
  <c r="BR30" i="3"/>
  <c r="W59" i="15" s="1"/>
  <c r="X59" i="15" s="1"/>
  <c r="BQ30" i="3"/>
  <c r="BP30" i="3"/>
  <c r="P59" i="15" s="1"/>
  <c r="Q59" i="15" s="1"/>
  <c r="BO30" i="3"/>
  <c r="BN30" i="3"/>
  <c r="I59" i="15" s="1"/>
  <c r="J59" i="15" s="1"/>
  <c r="BM30" i="3"/>
  <c r="BT29" i="3"/>
  <c r="AD58" i="15" s="1"/>
  <c r="AE58" i="15" s="1"/>
  <c r="BS29" i="3"/>
  <c r="BR29" i="3"/>
  <c r="W58" i="15" s="1"/>
  <c r="X58" i="15" s="1"/>
  <c r="BQ29" i="3"/>
  <c r="BP29" i="3"/>
  <c r="P58" i="15" s="1"/>
  <c r="Q58" i="15" s="1"/>
  <c r="BO29" i="3"/>
  <c r="BN29" i="3"/>
  <c r="I58" i="15" s="1"/>
  <c r="J58" i="15" s="1"/>
  <c r="BM29" i="3"/>
  <c r="BT28" i="3"/>
  <c r="AD57" i="15" s="1"/>
  <c r="AE57" i="15" s="1"/>
  <c r="BS28" i="3"/>
  <c r="BR28" i="3"/>
  <c r="W57" i="15" s="1"/>
  <c r="X57" i="15" s="1"/>
  <c r="BQ28" i="3"/>
  <c r="BP28" i="3"/>
  <c r="P57" i="15" s="1"/>
  <c r="Q57" i="15" s="1"/>
  <c r="BO28" i="3"/>
  <c r="BN28" i="3"/>
  <c r="I57" i="15" s="1"/>
  <c r="J57" i="15" s="1"/>
  <c r="BM28" i="3"/>
  <c r="BT27" i="3"/>
  <c r="AD56" i="15" s="1"/>
  <c r="AE56" i="15" s="1"/>
  <c r="BS27" i="3"/>
  <c r="BR27" i="3"/>
  <c r="W56" i="15" s="1"/>
  <c r="X56" i="15" s="1"/>
  <c r="BQ27" i="3"/>
  <c r="BP27" i="3"/>
  <c r="P56" i="15" s="1"/>
  <c r="Q56" i="15" s="1"/>
  <c r="BO27" i="3"/>
  <c r="BN27" i="3"/>
  <c r="I56" i="15" s="1"/>
  <c r="J56" i="15" s="1"/>
  <c r="BM27" i="3"/>
  <c r="BT26" i="3"/>
  <c r="AD55" i="15" s="1"/>
  <c r="AE55" i="15" s="1"/>
  <c r="BS26" i="3"/>
  <c r="BR26" i="3"/>
  <c r="W55" i="15" s="1"/>
  <c r="X55" i="15" s="1"/>
  <c r="BQ26" i="3"/>
  <c r="BP26" i="3"/>
  <c r="P55" i="15" s="1"/>
  <c r="Q55" i="15" s="1"/>
  <c r="BO26" i="3"/>
  <c r="BN26" i="3"/>
  <c r="I55" i="15" s="1"/>
  <c r="J55" i="15" s="1"/>
  <c r="BM26" i="3"/>
  <c r="BT25" i="3"/>
  <c r="AD54" i="15" s="1"/>
  <c r="AE54" i="15" s="1"/>
  <c r="BS25" i="3"/>
  <c r="BR25" i="3"/>
  <c r="W54" i="15" s="1"/>
  <c r="X54" i="15" s="1"/>
  <c r="BQ25" i="3"/>
  <c r="BP25" i="3"/>
  <c r="P54" i="15" s="1"/>
  <c r="Q54" i="15" s="1"/>
  <c r="BO25" i="3"/>
  <c r="BN25" i="3"/>
  <c r="I54" i="15" s="1"/>
  <c r="J54" i="15" s="1"/>
  <c r="BM25" i="3"/>
  <c r="BT24" i="3"/>
  <c r="AD53" i="15" s="1"/>
  <c r="AE53" i="15" s="1"/>
  <c r="BS24" i="3"/>
  <c r="BR24" i="3"/>
  <c r="W53" i="15" s="1"/>
  <c r="X53" i="15" s="1"/>
  <c r="BQ24" i="3"/>
  <c r="BP24" i="3"/>
  <c r="P53" i="15" s="1"/>
  <c r="Q53" i="15" s="1"/>
  <c r="BO24" i="3"/>
  <c r="BN24" i="3"/>
  <c r="I53" i="15" s="1"/>
  <c r="J53" i="15" s="1"/>
  <c r="BM24" i="3"/>
  <c r="BT23" i="3"/>
  <c r="AD52" i="15" s="1"/>
  <c r="AE52" i="15" s="1"/>
  <c r="BS23" i="3"/>
  <c r="BR23" i="3"/>
  <c r="W52" i="15" s="1"/>
  <c r="X52" i="15" s="1"/>
  <c r="BQ23" i="3"/>
  <c r="BP23" i="3"/>
  <c r="P52" i="15" s="1"/>
  <c r="Q52" i="15" s="1"/>
  <c r="BO23" i="3"/>
  <c r="BN23" i="3"/>
  <c r="I52" i="15" s="1"/>
  <c r="J52" i="15" s="1"/>
  <c r="BM23" i="3"/>
  <c r="BT22" i="3"/>
  <c r="AD51" i="15" s="1"/>
  <c r="AE51" i="15" s="1"/>
  <c r="BS22" i="3"/>
  <c r="BR22" i="3"/>
  <c r="W51" i="15" s="1"/>
  <c r="X51" i="15" s="1"/>
  <c r="BQ22" i="3"/>
  <c r="BP22" i="3"/>
  <c r="P51" i="15" s="1"/>
  <c r="Q51" i="15" s="1"/>
  <c r="BO22" i="3"/>
  <c r="BN22" i="3"/>
  <c r="I51" i="15" s="1"/>
  <c r="J51" i="15" s="1"/>
  <c r="BM22" i="3"/>
  <c r="BT21" i="3"/>
  <c r="AD50" i="15" s="1"/>
  <c r="AE50" i="15" s="1"/>
  <c r="BS21" i="3"/>
  <c r="BR21" i="3"/>
  <c r="W50" i="15" s="1"/>
  <c r="X50" i="15" s="1"/>
  <c r="BQ21" i="3"/>
  <c r="BP21" i="3"/>
  <c r="P50" i="15" s="1"/>
  <c r="Q50" i="15" s="1"/>
  <c r="BO21" i="3"/>
  <c r="BN21" i="3"/>
  <c r="I50" i="15" s="1"/>
  <c r="J50" i="15" s="1"/>
  <c r="BM21" i="3"/>
  <c r="BT20" i="3"/>
  <c r="AD49" i="15" s="1"/>
  <c r="AE49" i="15" s="1"/>
  <c r="BS20" i="3"/>
  <c r="BR20" i="3"/>
  <c r="W49" i="15" s="1"/>
  <c r="X49" i="15" s="1"/>
  <c r="BQ20" i="3"/>
  <c r="BP20" i="3"/>
  <c r="P49" i="15" s="1"/>
  <c r="Q49" i="15" s="1"/>
  <c r="BO20" i="3"/>
  <c r="BN20" i="3"/>
  <c r="I49" i="15" s="1"/>
  <c r="J49" i="15" s="1"/>
  <c r="BM20" i="3"/>
  <c r="BT19" i="3"/>
  <c r="AD48" i="15" s="1"/>
  <c r="AE48" i="15" s="1"/>
  <c r="BS19" i="3"/>
  <c r="BR19" i="3"/>
  <c r="W48" i="15" s="1"/>
  <c r="X48" i="15" s="1"/>
  <c r="BQ19" i="3"/>
  <c r="BP19" i="3"/>
  <c r="P48" i="15" s="1"/>
  <c r="Q48" i="15" s="1"/>
  <c r="BO19" i="3"/>
  <c r="BN19" i="3"/>
  <c r="I48" i="15" s="1"/>
  <c r="J48" i="15" s="1"/>
  <c r="BM19" i="3"/>
  <c r="BT18" i="3"/>
  <c r="AD47" i="15" s="1"/>
  <c r="AE47" i="15" s="1"/>
  <c r="BS18" i="3"/>
  <c r="BR18" i="3"/>
  <c r="W47" i="15" s="1"/>
  <c r="X47" i="15" s="1"/>
  <c r="BQ18" i="3"/>
  <c r="BP18" i="3"/>
  <c r="P47" i="15" s="1"/>
  <c r="Q47" i="15" s="1"/>
  <c r="BO18" i="3"/>
  <c r="BN18" i="3"/>
  <c r="I47" i="15" s="1"/>
  <c r="J47" i="15" s="1"/>
  <c r="BM18" i="3"/>
  <c r="BT17" i="3"/>
  <c r="AD46" i="15" s="1"/>
  <c r="AE46" i="15" s="1"/>
  <c r="BS17" i="3"/>
  <c r="BR17" i="3"/>
  <c r="W46" i="15" s="1"/>
  <c r="X46" i="15" s="1"/>
  <c r="BQ17" i="3"/>
  <c r="BP17" i="3"/>
  <c r="P46" i="15" s="1"/>
  <c r="Q46" i="15" s="1"/>
  <c r="BO17" i="3"/>
  <c r="BN17" i="3"/>
  <c r="I46" i="15" s="1"/>
  <c r="J46" i="15" s="1"/>
  <c r="BM17" i="3"/>
  <c r="BT16" i="3"/>
  <c r="AD45" i="15" s="1"/>
  <c r="AE45" i="15" s="1"/>
  <c r="BS16" i="3"/>
  <c r="BR16" i="3"/>
  <c r="W45" i="15" s="1"/>
  <c r="X45" i="15" s="1"/>
  <c r="BQ16" i="3"/>
  <c r="BP16" i="3"/>
  <c r="P45" i="15" s="1"/>
  <c r="Q45" i="15" s="1"/>
  <c r="BO16" i="3"/>
  <c r="BN16" i="3"/>
  <c r="I45" i="15" s="1"/>
  <c r="J45" i="15" s="1"/>
  <c r="BM16" i="3"/>
  <c r="BT15" i="3"/>
  <c r="AD44" i="15" s="1"/>
  <c r="AE44" i="15" s="1"/>
  <c r="BS15" i="3"/>
  <c r="BR15" i="3"/>
  <c r="W44" i="15" s="1"/>
  <c r="X44" i="15" s="1"/>
  <c r="BQ15" i="3"/>
  <c r="BP15" i="3"/>
  <c r="P44" i="15" s="1"/>
  <c r="Q44" i="15" s="1"/>
  <c r="BO15" i="3"/>
  <c r="BN15" i="3"/>
  <c r="I44" i="15" s="1"/>
  <c r="BM15" i="3"/>
  <c r="BT14" i="3"/>
  <c r="BS14" i="3"/>
  <c r="AD240" i="15" s="1"/>
  <c r="AE240" i="15" s="1"/>
  <c r="W240" i="15"/>
  <c r="BP14" i="3"/>
  <c r="BO14" i="3"/>
  <c r="P240" i="15" s="1"/>
  <c r="BN14" i="3"/>
  <c r="BM14" i="3"/>
  <c r="I240" i="15" s="1"/>
  <c r="BT13" i="3"/>
  <c r="BS13" i="3"/>
  <c r="AD239" i="15" s="1"/>
  <c r="W239" i="15"/>
  <c r="BP13" i="3"/>
  <c r="BO13" i="3"/>
  <c r="P239" i="15" s="1"/>
  <c r="BN13" i="3"/>
  <c r="BM13" i="3"/>
  <c r="I239" i="15" s="1"/>
  <c r="BT12" i="3"/>
  <c r="BS12" i="3"/>
  <c r="AD229" i="15" s="1"/>
  <c r="AE229" i="15" s="1"/>
  <c r="W229" i="15"/>
  <c r="X229" i="15" s="1"/>
  <c r="BP12" i="3"/>
  <c r="BO12" i="3"/>
  <c r="P229" i="15" s="1"/>
  <c r="Q229" i="15" s="1"/>
  <c r="BN12" i="3"/>
  <c r="BM12" i="3"/>
  <c r="I229" i="15" s="1"/>
  <c r="J229" i="15" s="1"/>
  <c r="BT9" i="3"/>
  <c r="BS9" i="3"/>
  <c r="AD151" i="15" s="1"/>
  <c r="AE151" i="15" s="1"/>
  <c r="BR9" i="3"/>
  <c r="BQ9" i="3"/>
  <c r="W151" i="15" s="1"/>
  <c r="X151" i="15" s="1"/>
  <c r="BP9" i="3"/>
  <c r="BO9" i="3"/>
  <c r="P151" i="15" s="1"/>
  <c r="Q151" i="15" s="1"/>
  <c r="BN9" i="3"/>
  <c r="BM9" i="3"/>
  <c r="I151" i="15" s="1"/>
  <c r="J151" i="15" s="1"/>
  <c r="C6" i="28" s="1"/>
  <c r="BJ187" i="3"/>
  <c r="AF331" i="15" s="1"/>
  <c r="AG331" i="15" s="1"/>
  <c r="BI187" i="3"/>
  <c r="AC107" i="15" s="1"/>
  <c r="BH187" i="3"/>
  <c r="BJ186" i="3"/>
  <c r="BI186" i="3"/>
  <c r="BH186" i="3"/>
  <c r="BI183" i="3"/>
  <c r="BH183" i="3"/>
  <c r="BJ181" i="3"/>
  <c r="AF226" i="15" s="1"/>
  <c r="AG226" i="15" s="1"/>
  <c r="BH181" i="3"/>
  <c r="BJ179" i="3"/>
  <c r="AF225" i="15" s="1"/>
  <c r="AG225" i="15" s="1"/>
  <c r="BH179" i="3"/>
  <c r="BI178" i="3"/>
  <c r="BH178" i="3"/>
  <c r="BJ177" i="3"/>
  <c r="AF177" i="15" s="1"/>
  <c r="AG177" i="15" s="1"/>
  <c r="BI177" i="3"/>
  <c r="BH177" i="3"/>
  <c r="BJ176" i="3"/>
  <c r="BI176" i="3"/>
  <c r="BH176" i="3"/>
  <c r="BJ175" i="3"/>
  <c r="AF166" i="15" s="1"/>
  <c r="AG166" i="15" s="1"/>
  <c r="BI175" i="3"/>
  <c r="BH175" i="3"/>
  <c r="BJ174" i="3"/>
  <c r="AF236" i="15" s="1"/>
  <c r="AG236" i="15" s="1"/>
  <c r="BI174" i="3"/>
  <c r="BH174" i="3"/>
  <c r="BJ173" i="3"/>
  <c r="AF224" i="15" s="1"/>
  <c r="AG224" i="15" s="1"/>
  <c r="BI173" i="3"/>
  <c r="AC103" i="15" s="1"/>
  <c r="BH173" i="3"/>
  <c r="BJ171" i="3"/>
  <c r="AF223" i="15" s="1"/>
  <c r="AG223" i="15" s="1"/>
  <c r="BI171" i="3"/>
  <c r="BH171" i="3"/>
  <c r="BJ170" i="3"/>
  <c r="AF328" i="15" s="1"/>
  <c r="AG328" i="15" s="1"/>
  <c r="BI170" i="3"/>
  <c r="BH170" i="3"/>
  <c r="BJ169" i="3"/>
  <c r="AF327" i="15" s="1"/>
  <c r="AG327" i="15" s="1"/>
  <c r="BI169" i="3"/>
  <c r="AC102" i="15" s="1"/>
  <c r="BH169" i="3"/>
  <c r="BI166" i="3"/>
  <c r="AC99" i="15" s="1"/>
  <c r="BJ164" i="3"/>
  <c r="AF325" i="15" s="1"/>
  <c r="AG325" i="15" s="1"/>
  <c r="BI164" i="3"/>
  <c r="BH164" i="3"/>
  <c r="BJ163" i="3"/>
  <c r="AF324" i="15" s="1"/>
  <c r="AG324" i="15" s="1"/>
  <c r="BI163" i="3"/>
  <c r="BH163" i="3"/>
  <c r="BJ162" i="3"/>
  <c r="AF219" i="15" s="1"/>
  <c r="AG219" i="15" s="1"/>
  <c r="BI162" i="3"/>
  <c r="BH162" i="3"/>
  <c r="BJ161" i="3"/>
  <c r="AF218" i="15" s="1"/>
  <c r="AG218" i="15" s="1"/>
  <c r="BI161" i="3"/>
  <c r="BH161" i="3"/>
  <c r="BJ160" i="3"/>
  <c r="AF217" i="15" s="1"/>
  <c r="AG217" i="15" s="1"/>
  <c r="BI160" i="3"/>
  <c r="AC94" i="15" s="1"/>
  <c r="BH160" i="3"/>
  <c r="BJ159" i="3"/>
  <c r="AF216" i="15" s="1"/>
  <c r="AG216" i="15" s="1"/>
  <c r="BI159" i="3"/>
  <c r="AC93" i="15" s="1"/>
  <c r="BH159" i="3"/>
  <c r="BJ158" i="3"/>
  <c r="AF287" i="15" s="1"/>
  <c r="AG287" i="15" s="1"/>
  <c r="BI158" i="3"/>
  <c r="BH158" i="3"/>
  <c r="BJ157" i="3"/>
  <c r="AF286" i="15" s="1"/>
  <c r="AG286" i="15" s="1"/>
  <c r="BI157" i="3"/>
  <c r="BH157" i="3"/>
  <c r="BJ156" i="3"/>
  <c r="AF235" i="15" s="1"/>
  <c r="AG235" i="15" s="1"/>
  <c r="BI156" i="3"/>
  <c r="BH156" i="3"/>
  <c r="BJ155" i="3"/>
  <c r="AF376" i="15" s="1"/>
  <c r="AG376" i="15" s="1"/>
  <c r="BI155" i="3"/>
  <c r="BH155" i="3"/>
  <c r="BJ154" i="3"/>
  <c r="AF282" i="15" s="1"/>
  <c r="AG282" i="15" s="1"/>
  <c r="BI154" i="3"/>
  <c r="BH154" i="3"/>
  <c r="BJ153" i="3"/>
  <c r="AF155" i="15" s="1"/>
  <c r="AG155" i="15" s="1"/>
  <c r="BI153" i="3"/>
  <c r="BH153" i="3"/>
  <c r="BJ152" i="3"/>
  <c r="AF281" i="15" s="1"/>
  <c r="AG281" i="15" s="1"/>
  <c r="BI152" i="3"/>
  <c r="BH152" i="3"/>
  <c r="BJ151" i="3"/>
  <c r="AF280" i="15" s="1"/>
  <c r="AG280" i="15" s="1"/>
  <c r="BI151" i="3"/>
  <c r="BH151" i="3"/>
  <c r="BJ150" i="3"/>
  <c r="AF279" i="15" s="1"/>
  <c r="AG279" i="15" s="1"/>
  <c r="BI150" i="3"/>
  <c r="BH150" i="3"/>
  <c r="BJ149" i="3"/>
  <c r="AF278" i="15" s="1"/>
  <c r="AG278" i="15" s="1"/>
  <c r="BI149" i="3"/>
  <c r="BH149" i="3"/>
  <c r="BJ148" i="3"/>
  <c r="AF234" i="15" s="1"/>
  <c r="AG234" i="15" s="1"/>
  <c r="BI148" i="3"/>
  <c r="BH148" i="3"/>
  <c r="BJ147" i="3"/>
  <c r="AF277" i="15" s="1"/>
  <c r="AG277" i="15" s="1"/>
  <c r="BI147" i="3"/>
  <c r="AC34" i="15" s="1"/>
  <c r="BH147" i="3"/>
  <c r="BJ146" i="3"/>
  <c r="BI146" i="3"/>
  <c r="BH146" i="3"/>
  <c r="BJ144" i="3"/>
  <c r="AF144" i="15" s="1"/>
  <c r="AG144" i="15" s="1"/>
  <c r="BI144" i="3"/>
  <c r="AC29" i="15" s="1"/>
  <c r="BH144" i="3"/>
  <c r="BJ143" i="3"/>
  <c r="AF262" i="15" s="1"/>
  <c r="BI143" i="3"/>
  <c r="AC28" i="15" s="1"/>
  <c r="BH143" i="3"/>
  <c r="BJ140" i="3"/>
  <c r="AF124" i="15" s="1"/>
  <c r="AG124" i="15" s="1"/>
  <c r="BI140" i="3"/>
  <c r="AC30" i="15" s="1"/>
  <c r="BH140" i="3"/>
  <c r="BJ139" i="3"/>
  <c r="BI139" i="3"/>
  <c r="BH139" i="3"/>
  <c r="AF263" i="15"/>
  <c r="AG263" i="15" s="1"/>
  <c r="AF261" i="15"/>
  <c r="AG261" i="15" s="1"/>
  <c r="AC27" i="15"/>
  <c r="AF363" i="15"/>
  <c r="AG363" i="15" s="1"/>
  <c r="AC26" i="15"/>
  <c r="BJ111" i="3"/>
  <c r="AF334" i="15" s="1"/>
  <c r="BI111" i="3"/>
  <c r="AC25" i="15" s="1"/>
  <c r="BH111" i="3"/>
  <c r="BJ110" i="3"/>
  <c r="AF260" i="15" s="1"/>
  <c r="AG260" i="15" s="1"/>
  <c r="BI110" i="3"/>
  <c r="BH110" i="3"/>
  <c r="BJ109" i="3"/>
  <c r="AF259" i="15" s="1"/>
  <c r="AG259" i="15" s="1"/>
  <c r="BI109" i="3"/>
  <c r="AC23" i="15" s="1"/>
  <c r="BH109" i="3"/>
  <c r="BJ108" i="3"/>
  <c r="AF123" i="15" s="1"/>
  <c r="AG123" i="15" s="1"/>
  <c r="BI108" i="3"/>
  <c r="BH108" i="3"/>
  <c r="BJ107" i="3"/>
  <c r="AF122" i="15" s="1"/>
  <c r="AG122" i="15" s="1"/>
  <c r="BI107" i="3"/>
  <c r="BH107" i="3"/>
  <c r="BJ106" i="3"/>
  <c r="AF121" i="15" s="1"/>
  <c r="AG121" i="15" s="1"/>
  <c r="BI106" i="3"/>
  <c r="BH106" i="3"/>
  <c r="BJ105" i="3"/>
  <c r="AF120" i="15" s="1"/>
  <c r="BI105" i="3"/>
  <c r="BH105" i="3"/>
  <c r="BJ104" i="3"/>
  <c r="BI104" i="3"/>
  <c r="BH104" i="3"/>
  <c r="BI103" i="3"/>
  <c r="BH103" i="3"/>
  <c r="BI102" i="3"/>
  <c r="BJ101" i="3"/>
  <c r="AF258" i="15" s="1"/>
  <c r="AG258" i="15" s="1"/>
  <c r="BI101" i="3"/>
  <c r="BH101" i="3"/>
  <c r="BJ100" i="3"/>
  <c r="AF257" i="15" s="1"/>
  <c r="AG257" i="15" s="1"/>
  <c r="BI100" i="3"/>
  <c r="BH100" i="3"/>
  <c r="AF321" i="15"/>
  <c r="AC84" i="15"/>
  <c r="BJ78" i="3"/>
  <c r="AF308" i="15" s="1"/>
  <c r="AG308" i="15" s="1"/>
  <c r="BI78" i="3"/>
  <c r="BH78" i="3"/>
  <c r="BJ77" i="3"/>
  <c r="AF252" i="15" s="1"/>
  <c r="AG252" i="15" s="1"/>
  <c r="BI77" i="3"/>
  <c r="BH77" i="3"/>
  <c r="BJ76" i="3"/>
  <c r="AF251" i="15" s="1"/>
  <c r="AG251" i="15" s="1"/>
  <c r="BI76" i="3"/>
  <c r="BH76" i="3"/>
  <c r="BJ75" i="3"/>
  <c r="AF232" i="15" s="1"/>
  <c r="AG232" i="15" s="1"/>
  <c r="BI75" i="3"/>
  <c r="BH75" i="3"/>
  <c r="BJ74" i="3"/>
  <c r="AF205" i="15" s="1"/>
  <c r="AG205" i="15" s="1"/>
  <c r="BI74" i="3"/>
  <c r="BH74" i="3"/>
  <c r="BJ73" i="3"/>
  <c r="AF204" i="15" s="1"/>
  <c r="AG204" i="15" s="1"/>
  <c r="BI73" i="3"/>
  <c r="BH73" i="3"/>
  <c r="BJ72" i="3"/>
  <c r="AF323" i="15" s="1"/>
  <c r="AG323" i="15" s="1"/>
  <c r="BI72" i="3"/>
  <c r="BH72" i="3"/>
  <c r="BJ71" i="3"/>
  <c r="AF203" i="15" s="1"/>
  <c r="AG203" i="15" s="1"/>
  <c r="BI71" i="3"/>
  <c r="BH71" i="3"/>
  <c r="BJ70" i="3"/>
  <c r="AF306" i="15" s="1"/>
  <c r="AG306" i="15" s="1"/>
  <c r="BI70" i="3"/>
  <c r="BH70" i="3"/>
  <c r="BJ69" i="3"/>
  <c r="AF202" i="15" s="1"/>
  <c r="AG202" i="15" s="1"/>
  <c r="BI69" i="3"/>
  <c r="BH69" i="3"/>
  <c r="AF200" i="15"/>
  <c r="AG200" i="15" s="1"/>
  <c r="AC116" i="15"/>
  <c r="BJ66" i="3"/>
  <c r="AF199" i="15" s="1"/>
  <c r="AG199" i="15" s="1"/>
  <c r="BI66" i="3"/>
  <c r="BH66" i="3"/>
  <c r="BJ65" i="3"/>
  <c r="AF248" i="15" s="1"/>
  <c r="AG248" i="15" s="1"/>
  <c r="BI65" i="3"/>
  <c r="BH65" i="3"/>
  <c r="BJ64" i="3"/>
  <c r="AF247" i="15" s="1"/>
  <c r="AG247" i="15" s="1"/>
  <c r="BI64" i="3"/>
  <c r="BH64" i="3"/>
  <c r="BJ63" i="3"/>
  <c r="AF231" i="15" s="1"/>
  <c r="AG231" i="15" s="1"/>
  <c r="BI63" i="3"/>
  <c r="BH63" i="3"/>
  <c r="BJ62" i="3"/>
  <c r="AF304" i="15" s="1"/>
  <c r="AG304" i="15" s="1"/>
  <c r="BI62" i="3"/>
  <c r="AC113" i="15" s="1"/>
  <c r="BH62" i="3"/>
  <c r="BJ61" i="3"/>
  <c r="AF198" i="15" s="1"/>
  <c r="AG198" i="15" s="1"/>
  <c r="BI61" i="3"/>
  <c r="BH61" i="3"/>
  <c r="BJ60" i="3"/>
  <c r="AF197" i="15" s="1"/>
  <c r="AG197" i="15" s="1"/>
  <c r="BI60" i="3"/>
  <c r="BH60" i="3"/>
  <c r="BJ59" i="3"/>
  <c r="AF196" i="15" s="1"/>
  <c r="AG196" i="15" s="1"/>
  <c r="BI59" i="3"/>
  <c r="BH59" i="3"/>
  <c r="BJ58" i="3"/>
  <c r="AF195" i="15" s="1"/>
  <c r="AG195" i="15" s="1"/>
  <c r="BI58" i="3"/>
  <c r="BH58" i="3"/>
  <c r="BJ57" i="3"/>
  <c r="AF194" i="15" s="1"/>
  <c r="AG194" i="15" s="1"/>
  <c r="BI57" i="3"/>
  <c r="BH57" i="3"/>
  <c r="BJ56" i="3"/>
  <c r="AF193" i="15" s="1"/>
  <c r="AG193" i="15" s="1"/>
  <c r="BI56" i="3"/>
  <c r="BH56" i="3"/>
  <c r="BJ55" i="3"/>
  <c r="AF192" i="15" s="1"/>
  <c r="AG192" i="15" s="1"/>
  <c r="BI55" i="3"/>
  <c r="BH55" i="3"/>
  <c r="BJ54" i="3"/>
  <c r="AF191" i="15" s="1"/>
  <c r="AG191" i="15" s="1"/>
  <c r="BI54" i="3"/>
  <c r="BH54" i="3"/>
  <c r="BJ53" i="3"/>
  <c r="AF190" i="15" s="1"/>
  <c r="AG190" i="15" s="1"/>
  <c r="BH53" i="3"/>
  <c r="BJ52" i="3"/>
  <c r="AF189" i="15" s="1"/>
  <c r="AG189" i="15" s="1"/>
  <c r="BI52" i="3"/>
  <c r="AC112" i="15" s="1"/>
  <c r="BH52" i="3"/>
  <c r="BJ51" i="3"/>
  <c r="AF188" i="15" s="1"/>
  <c r="AG188" i="15" s="1"/>
  <c r="BH51" i="3"/>
  <c r="BJ50" i="3"/>
  <c r="AF187" i="15" s="1"/>
  <c r="AG187" i="15" s="1"/>
  <c r="BI50" i="3"/>
  <c r="BH50" i="3"/>
  <c r="BJ49" i="3"/>
  <c r="AF186" i="15" s="1"/>
  <c r="AG186" i="15" s="1"/>
  <c r="BI49" i="3"/>
  <c r="BH49" i="3"/>
  <c r="BJ48" i="3"/>
  <c r="AF185" i="15" s="1"/>
  <c r="AG185" i="15" s="1"/>
  <c r="BI48" i="3"/>
  <c r="BH48" i="3"/>
  <c r="BJ47" i="3"/>
  <c r="AF184" i="15" s="1"/>
  <c r="BI47" i="3"/>
  <c r="AC110" i="15" s="1"/>
  <c r="BH47" i="3"/>
  <c r="BJ46" i="3"/>
  <c r="BI46" i="3"/>
  <c r="BH46" i="3"/>
  <c r="BJ45" i="3"/>
  <c r="AF243" i="15" s="1"/>
  <c r="AG243" i="15" s="1"/>
  <c r="BI45" i="3"/>
  <c r="BH45" i="3"/>
  <c r="BJ44" i="3"/>
  <c r="AF230" i="15" s="1"/>
  <c r="AG230" i="15" s="1"/>
  <c r="BI44" i="3"/>
  <c r="BH44" i="3"/>
  <c r="BJ43" i="3"/>
  <c r="AF214" i="15" s="1"/>
  <c r="AG214" i="15" s="1"/>
  <c r="BI43" i="3"/>
  <c r="BH43" i="3"/>
  <c r="BJ42" i="3"/>
  <c r="AF213" i="15" s="1"/>
  <c r="AG213" i="15" s="1"/>
  <c r="BI42" i="3"/>
  <c r="AC69" i="15" s="1"/>
  <c r="BH42" i="3"/>
  <c r="BJ41" i="3"/>
  <c r="AF212" i="15" s="1"/>
  <c r="AG212" i="15" s="1"/>
  <c r="BI41" i="3"/>
  <c r="AC68" i="15" s="1"/>
  <c r="BH41" i="3"/>
  <c r="BJ40" i="3"/>
  <c r="AF211" i="15" s="1"/>
  <c r="AG211" i="15" s="1"/>
  <c r="BI40" i="3"/>
  <c r="AC67" i="15" s="1"/>
  <c r="BH40" i="3"/>
  <c r="AF210" i="15"/>
  <c r="AG210" i="15" s="1"/>
  <c r="AF209" i="15"/>
  <c r="AG209" i="15" s="1"/>
  <c r="AF208" i="15"/>
  <c r="AG208" i="15" s="1"/>
  <c r="AC66" i="15"/>
  <c r="BJ36" i="3"/>
  <c r="AF207" i="15" s="1"/>
  <c r="AG207" i="15" s="1"/>
  <c r="BI36" i="3"/>
  <c r="AC65" i="15" s="1"/>
  <c r="BH36" i="3"/>
  <c r="BJ35" i="3"/>
  <c r="BI35" i="3"/>
  <c r="BH35" i="3"/>
  <c r="BJ34" i="3"/>
  <c r="BI34" i="3"/>
  <c r="BH34" i="3"/>
  <c r="BI33" i="3"/>
  <c r="BH33" i="3"/>
  <c r="BJ32" i="3"/>
  <c r="BI32" i="3"/>
  <c r="BH32" i="3"/>
  <c r="BJ31" i="3"/>
  <c r="BI31" i="3"/>
  <c r="BH31" i="3"/>
  <c r="BJ30" i="3"/>
  <c r="BI30" i="3"/>
  <c r="BH30" i="3"/>
  <c r="BJ29" i="3"/>
  <c r="BI29" i="3"/>
  <c r="BH29" i="3"/>
  <c r="BJ28" i="3"/>
  <c r="BI28" i="3"/>
  <c r="BH28" i="3"/>
  <c r="BJ27" i="3"/>
  <c r="BI27" i="3"/>
  <c r="BH27" i="3"/>
  <c r="BJ26" i="3"/>
  <c r="BI26" i="3"/>
  <c r="BH26" i="3"/>
  <c r="BJ25" i="3"/>
  <c r="BI25" i="3"/>
  <c r="BH25" i="3"/>
  <c r="BJ24" i="3"/>
  <c r="BI24" i="3"/>
  <c r="BH24" i="3"/>
  <c r="BJ23" i="3"/>
  <c r="BI23" i="3"/>
  <c r="BH23" i="3"/>
  <c r="BJ22" i="3"/>
  <c r="BI22" i="3"/>
  <c r="BH22" i="3"/>
  <c r="BJ21" i="3"/>
  <c r="BI21" i="3"/>
  <c r="BH21" i="3"/>
  <c r="BJ20" i="3"/>
  <c r="BI20" i="3"/>
  <c r="BH20" i="3"/>
  <c r="BJ19" i="3"/>
  <c r="BI19" i="3"/>
  <c r="BH19" i="3"/>
  <c r="BJ18" i="3"/>
  <c r="BI18" i="3"/>
  <c r="BH18" i="3"/>
  <c r="BJ17" i="3"/>
  <c r="BI17" i="3"/>
  <c r="BH17" i="3"/>
  <c r="BJ16" i="3"/>
  <c r="BI16" i="3"/>
  <c r="BH16" i="3"/>
  <c r="BJ15" i="3"/>
  <c r="BI15" i="3"/>
  <c r="BH15" i="3"/>
  <c r="AF240" i="15"/>
  <c r="AG240" i="15" s="1"/>
  <c r="BI14" i="3"/>
  <c r="BH14" i="3"/>
  <c r="AF239" i="15"/>
  <c r="BI13" i="3"/>
  <c r="BH13" i="3"/>
  <c r="AF229" i="15"/>
  <c r="AG229" i="15" s="1"/>
  <c r="BI12" i="3"/>
  <c r="BH12" i="3"/>
  <c r="AZ187" i="3"/>
  <c r="Y331" i="15" s="1"/>
  <c r="AY187" i="3"/>
  <c r="V107" i="15" s="1"/>
  <c r="AX187" i="3"/>
  <c r="AZ186" i="3"/>
  <c r="AY186" i="3"/>
  <c r="AX186" i="3"/>
  <c r="AY183" i="3"/>
  <c r="AZ181" i="3"/>
  <c r="Y226" i="15" s="1"/>
  <c r="AY181" i="3"/>
  <c r="AX181" i="3"/>
  <c r="AZ179" i="3"/>
  <c r="Y225" i="15" s="1"/>
  <c r="V106" i="15"/>
  <c r="AX179" i="3"/>
  <c r="AX178" i="3"/>
  <c r="AY9" i="3"/>
  <c r="AZ9" i="3"/>
  <c r="Y151" i="15" s="1"/>
  <c r="Z151" i="15" s="1"/>
  <c r="Y229" i="15"/>
  <c r="Y239" i="15"/>
  <c r="Z239" i="15" s="1"/>
  <c r="Y240" i="15"/>
  <c r="Z240" i="15" s="1"/>
  <c r="AZ15" i="3"/>
  <c r="AZ16" i="3"/>
  <c r="Y45" i="15" s="1"/>
  <c r="AZ17" i="3"/>
  <c r="AZ18" i="3"/>
  <c r="AZ20" i="3"/>
  <c r="AZ21" i="3"/>
  <c r="AZ22" i="3"/>
  <c r="AZ23" i="3"/>
  <c r="AZ24" i="3"/>
  <c r="AZ25" i="3"/>
  <c r="AZ26" i="3"/>
  <c r="AZ27" i="3"/>
  <c r="AZ28" i="3"/>
  <c r="AZ29" i="3"/>
  <c r="AZ30" i="3"/>
  <c r="AZ31" i="3"/>
  <c r="AZ32" i="3"/>
  <c r="AZ33" i="3"/>
  <c r="AZ34" i="3"/>
  <c r="AZ35" i="3"/>
  <c r="AZ36" i="3"/>
  <c r="Y207" i="15" s="1"/>
  <c r="Y208" i="15"/>
  <c r="Y209" i="15"/>
  <c r="Y210" i="15"/>
  <c r="AZ40" i="3"/>
  <c r="Y211" i="15" s="1"/>
  <c r="AZ41" i="3"/>
  <c r="Y212" i="15" s="1"/>
  <c r="AZ42" i="3"/>
  <c r="Y213" i="15" s="1"/>
  <c r="AZ43" i="3"/>
  <c r="Y214" i="15" s="1"/>
  <c r="AZ44" i="3"/>
  <c r="Y230" i="15" s="1"/>
  <c r="AZ45" i="3"/>
  <c r="Y243" i="15" s="1"/>
  <c r="AZ46" i="3"/>
  <c r="AZ47" i="3"/>
  <c r="Y184" i="15" s="1"/>
  <c r="AZ48" i="3"/>
  <c r="Y185" i="15" s="1"/>
  <c r="AZ49" i="3"/>
  <c r="Y186" i="15" s="1"/>
  <c r="AZ50" i="3"/>
  <c r="Y187" i="15" s="1"/>
  <c r="AZ51" i="3"/>
  <c r="Y188" i="15" s="1"/>
  <c r="Y189" i="15"/>
  <c r="AZ53" i="3"/>
  <c r="Y190" i="15" s="1"/>
  <c r="AZ54" i="3"/>
  <c r="Y191" i="15" s="1"/>
  <c r="AZ55" i="3"/>
  <c r="Y192" i="15" s="1"/>
  <c r="AZ56" i="3"/>
  <c r="Y193" i="15" s="1"/>
  <c r="AZ57" i="3"/>
  <c r="Y194" i="15" s="1"/>
  <c r="Z194" i="15" s="1"/>
  <c r="AZ58" i="3"/>
  <c r="Y195" i="15" s="1"/>
  <c r="AZ59" i="3"/>
  <c r="Y196" i="15" s="1"/>
  <c r="AZ60" i="3"/>
  <c r="Y197" i="15" s="1"/>
  <c r="AZ61" i="3"/>
  <c r="Y198" i="15" s="1"/>
  <c r="AZ63" i="3"/>
  <c r="Y231" i="15" s="1"/>
  <c r="AZ64" i="3"/>
  <c r="Y247" i="15" s="1"/>
  <c r="Z247" i="15" s="1"/>
  <c r="AZ65" i="3"/>
  <c r="Y248" i="15" s="1"/>
  <c r="Z248" i="15" s="1"/>
  <c r="AZ66" i="3"/>
  <c r="Y199" i="15" s="1"/>
  <c r="Y200" i="15"/>
  <c r="AZ69" i="3"/>
  <c r="Y202" i="15" s="1"/>
  <c r="AZ70" i="3"/>
  <c r="Y306" i="15" s="1"/>
  <c r="AZ71" i="3"/>
  <c r="Y203" i="15" s="1"/>
  <c r="AZ72" i="3"/>
  <c r="Y323" i="15" s="1"/>
  <c r="AZ73" i="3"/>
  <c r="Y204" i="15" s="1"/>
  <c r="AZ74" i="3"/>
  <c r="Y205" i="15" s="1"/>
  <c r="AZ75" i="3"/>
  <c r="Y232" i="15" s="1"/>
  <c r="AZ76" i="3"/>
  <c r="Y251" i="15" s="1"/>
  <c r="AZ77" i="3"/>
  <c r="Y252" i="15" s="1"/>
  <c r="Z252" i="15" s="1"/>
  <c r="AZ78" i="3"/>
  <c r="Y308" i="15" s="1"/>
  <c r="Y321" i="15"/>
  <c r="Z321" i="15" s="1"/>
  <c r="AA321" i="15" s="1"/>
  <c r="AZ100" i="3"/>
  <c r="AZ101" i="3"/>
  <c r="Y258" i="15" s="1"/>
  <c r="Z258" i="15" s="1"/>
  <c r="AZ104" i="3"/>
  <c r="AZ105" i="3"/>
  <c r="Y120" i="15" s="1"/>
  <c r="Z120" i="15" s="1"/>
  <c r="AZ106" i="3"/>
  <c r="Y121" i="15" s="1"/>
  <c r="AZ107" i="3"/>
  <c r="Y122" i="15" s="1"/>
  <c r="AZ108" i="3"/>
  <c r="Y123" i="15" s="1"/>
  <c r="AZ109" i="3"/>
  <c r="Y259" i="15" s="1"/>
  <c r="AZ110" i="3"/>
  <c r="Y260" i="15" s="1"/>
  <c r="Y334" i="15"/>
  <c r="Z334" i="15" s="1"/>
  <c r="Y363" i="15"/>
  <c r="Y261" i="15"/>
  <c r="Y263" i="15"/>
  <c r="AZ139" i="3"/>
  <c r="AZ140" i="3"/>
  <c r="AZ143" i="3"/>
  <c r="Y262" i="15" s="1"/>
  <c r="AZ144" i="3"/>
  <c r="Y144" i="15" s="1"/>
  <c r="AZ146" i="3"/>
  <c r="Y125" i="15" s="1"/>
  <c r="AZ147" i="3"/>
  <c r="Y277" i="15" s="1"/>
  <c r="AZ148" i="3"/>
  <c r="Y234" i="15" s="1"/>
  <c r="AZ149" i="3"/>
  <c r="Y278" i="15" s="1"/>
  <c r="Z278" i="15" s="1"/>
  <c r="AA278" i="15" s="1"/>
  <c r="AZ150" i="3"/>
  <c r="Y279" i="15" s="1"/>
  <c r="AZ151" i="3"/>
  <c r="Y280" i="15" s="1"/>
  <c r="AZ152" i="3"/>
  <c r="Y281" i="15" s="1"/>
  <c r="AZ153" i="3"/>
  <c r="Y155" i="15" s="1"/>
  <c r="Z155" i="15" s="1"/>
  <c r="AZ154" i="3"/>
  <c r="Y282" i="15" s="1"/>
  <c r="AZ155" i="3"/>
  <c r="Y376" i="15" s="1"/>
  <c r="AZ156" i="3"/>
  <c r="Y235" i="15" s="1"/>
  <c r="AZ157" i="3"/>
  <c r="Y286" i="15" s="1"/>
  <c r="AZ158" i="3"/>
  <c r="Y287" i="15" s="1"/>
  <c r="Z287" i="15" s="1"/>
  <c r="AZ159" i="3"/>
  <c r="Y216" i="15" s="1"/>
  <c r="AZ160" i="3"/>
  <c r="Y217" i="15" s="1"/>
  <c r="AZ161" i="3"/>
  <c r="Y218" i="15" s="1"/>
  <c r="AZ162" i="3"/>
  <c r="Y219" i="15" s="1"/>
  <c r="AZ163" i="3"/>
  <c r="Y324" i="15" s="1"/>
  <c r="AZ164" i="3"/>
  <c r="Y325" i="15" s="1"/>
  <c r="AZ166" i="3"/>
  <c r="AZ167" i="3"/>
  <c r="AZ168" i="3"/>
  <c r="AZ169" i="3"/>
  <c r="Y327" i="15" s="1"/>
  <c r="AZ170" i="3"/>
  <c r="Y328" i="15" s="1"/>
  <c r="Z328" i="15" s="1"/>
  <c r="AA328" i="15" s="1"/>
  <c r="AZ171" i="3"/>
  <c r="Y223" i="15" s="1"/>
  <c r="Z223" i="15" s="1"/>
  <c r="AA223" i="15" s="1"/>
  <c r="AZ173" i="3"/>
  <c r="Y224" i="15" s="1"/>
  <c r="AZ174" i="3"/>
  <c r="Y236" i="15" s="1"/>
  <c r="AZ175" i="3"/>
  <c r="Y166" i="15" s="1"/>
  <c r="AZ176" i="3"/>
  <c r="AZ177" i="3"/>
  <c r="Y177" i="15" s="1"/>
  <c r="Z177" i="15" s="1"/>
  <c r="AY15" i="3"/>
  <c r="AY16" i="3"/>
  <c r="AY17" i="3"/>
  <c r="AY18" i="3"/>
  <c r="AY19" i="3"/>
  <c r="AY20" i="3"/>
  <c r="AY21" i="3"/>
  <c r="AY22" i="3"/>
  <c r="AY23" i="3"/>
  <c r="AY24" i="3"/>
  <c r="AY25" i="3"/>
  <c r="AY26" i="3"/>
  <c r="AY27" i="3"/>
  <c r="AY28" i="3"/>
  <c r="AY29" i="3"/>
  <c r="AY30" i="3"/>
  <c r="AY31" i="3"/>
  <c r="AY32" i="3"/>
  <c r="AY33" i="3"/>
  <c r="AY34" i="3"/>
  <c r="AY36" i="3"/>
  <c r="V65" i="15" s="1"/>
  <c r="V66" i="15"/>
  <c r="AY40" i="3"/>
  <c r="V67" i="15" s="1"/>
  <c r="AY41" i="3"/>
  <c r="V68" i="15" s="1"/>
  <c r="AY42" i="3"/>
  <c r="V69" i="15" s="1"/>
  <c r="AY43" i="3"/>
  <c r="AY44" i="3"/>
  <c r="AY45" i="3"/>
  <c r="AY46" i="3"/>
  <c r="AY47" i="3"/>
  <c r="V110" i="15" s="1"/>
  <c r="AY48" i="3"/>
  <c r="AY49" i="3"/>
  <c r="AY52" i="3"/>
  <c r="V112" i="15" s="1"/>
  <c r="AY54" i="3"/>
  <c r="AY55" i="3"/>
  <c r="AY56" i="3"/>
  <c r="AY57" i="3"/>
  <c r="AY58" i="3"/>
  <c r="AY59" i="3"/>
  <c r="AY60" i="3"/>
  <c r="AY61" i="3"/>
  <c r="V113" i="15"/>
  <c r="AY63" i="3"/>
  <c r="AY64" i="3"/>
  <c r="AY65" i="3"/>
  <c r="AY66" i="3"/>
  <c r="V116" i="15"/>
  <c r="AY69" i="3"/>
  <c r="AY70" i="3"/>
  <c r="AY71" i="3"/>
  <c r="AY73" i="3"/>
  <c r="AY74" i="3"/>
  <c r="AY75" i="3"/>
  <c r="AY76" i="3"/>
  <c r="AY77" i="3"/>
  <c r="AY78" i="3"/>
  <c r="V84" i="15"/>
  <c r="AY100" i="3"/>
  <c r="AY101" i="3"/>
  <c r="AY102" i="3"/>
  <c r="AY103" i="3"/>
  <c r="AY104" i="3"/>
  <c r="AY105" i="3"/>
  <c r="AY106" i="3"/>
  <c r="AY107" i="3"/>
  <c r="AY108" i="3"/>
  <c r="AY109" i="3"/>
  <c r="V23" i="15" s="1"/>
  <c r="AY110" i="3"/>
  <c r="AY111" i="3"/>
  <c r="V25" i="15" s="1"/>
  <c r="V26" i="15"/>
  <c r="V27" i="15"/>
  <c r="AY139" i="3"/>
  <c r="AY140" i="3"/>
  <c r="V30" i="15" s="1"/>
  <c r="AY143" i="3"/>
  <c r="V28" i="15" s="1"/>
  <c r="AY144" i="3"/>
  <c r="V29" i="15" s="1"/>
  <c r="AY146" i="3"/>
  <c r="AY147" i="3"/>
  <c r="V34" i="15" s="1"/>
  <c r="AY148" i="3"/>
  <c r="AY149" i="3"/>
  <c r="AY150" i="3"/>
  <c r="AY151" i="3"/>
  <c r="AY152" i="3"/>
  <c r="AY153" i="3"/>
  <c r="AY154" i="3"/>
  <c r="AY155" i="3"/>
  <c r="AY156" i="3"/>
  <c r="AY157" i="3"/>
  <c r="AY158" i="3"/>
  <c r="AY159" i="3"/>
  <c r="V93" i="15" s="1"/>
  <c r="AY160" i="3"/>
  <c r="V94" i="15" s="1"/>
  <c r="AY166" i="3"/>
  <c r="V99" i="15" s="1"/>
  <c r="AY169" i="3"/>
  <c r="V102" i="15" s="1"/>
  <c r="AY170" i="3"/>
  <c r="AY171" i="3"/>
  <c r="AY173" i="3"/>
  <c r="V103" i="15" s="1"/>
  <c r="AY174" i="3"/>
  <c r="AY175" i="3"/>
  <c r="AY176" i="3"/>
  <c r="AY177" i="3"/>
  <c r="AP186" i="3"/>
  <c r="AO186" i="3"/>
  <c r="AN186" i="3"/>
  <c r="AP187" i="3"/>
  <c r="R331" i="15" s="1"/>
  <c r="AO187" i="3"/>
  <c r="O107" i="15" s="1"/>
  <c r="AN187" i="3"/>
  <c r="AP183" i="3"/>
  <c r="AO183" i="3"/>
  <c r="AN183" i="3"/>
  <c r="AP181" i="3"/>
  <c r="R226" i="15" s="1"/>
  <c r="S226" i="15" s="1"/>
  <c r="AO181" i="3"/>
  <c r="AN181" i="3"/>
  <c r="R225" i="15"/>
  <c r="AO178" i="3"/>
  <c r="AN178" i="3"/>
  <c r="AF187" i="3"/>
  <c r="K331" i="15" s="1"/>
  <c r="AF186" i="3"/>
  <c r="AF183" i="3"/>
  <c r="AF181" i="3"/>
  <c r="K226" i="15" s="1"/>
  <c r="L226" i="15" s="1"/>
  <c r="AE181" i="3"/>
  <c r="K225" i="15"/>
  <c r="AE178" i="3"/>
  <c r="AD186" i="3"/>
  <c r="AD187" i="3"/>
  <c r="AD181" i="3"/>
  <c r="AD183" i="3"/>
  <c r="AD12"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7" i="3"/>
  <c r="AD48" i="3"/>
  <c r="AD49" i="3"/>
  <c r="AD50" i="3"/>
  <c r="AD51" i="3"/>
  <c r="AD52" i="3"/>
  <c r="AD53" i="3"/>
  <c r="AD54" i="3"/>
  <c r="AD55" i="3"/>
  <c r="AD56" i="3"/>
  <c r="AD57" i="3"/>
  <c r="AD58" i="3"/>
  <c r="AD59" i="3"/>
  <c r="AD60" i="3"/>
  <c r="AD61" i="3"/>
  <c r="AD63" i="3"/>
  <c r="AD64" i="3"/>
  <c r="AD65" i="3"/>
  <c r="AD66" i="3"/>
  <c r="AD69" i="3"/>
  <c r="AD70" i="3"/>
  <c r="AD71" i="3"/>
  <c r="AD72" i="3"/>
  <c r="AD73" i="3"/>
  <c r="AD74" i="3"/>
  <c r="AD75" i="3"/>
  <c r="AD76" i="3"/>
  <c r="AD77" i="3"/>
  <c r="AD78" i="3"/>
  <c r="AD100" i="3"/>
  <c r="AD101" i="3"/>
  <c r="AD104" i="3"/>
  <c r="AD105" i="3"/>
  <c r="AD106" i="3"/>
  <c r="AD107" i="3"/>
  <c r="AD108" i="3"/>
  <c r="AD109" i="3"/>
  <c r="AD110" i="3"/>
  <c r="AD111" i="3"/>
  <c r="AD139" i="3"/>
  <c r="AD140" i="3"/>
  <c r="AD143" i="3"/>
  <c r="AD144" i="3"/>
  <c r="AD146" i="3"/>
  <c r="AD147" i="3"/>
  <c r="AD148" i="3"/>
  <c r="AD149" i="3"/>
  <c r="AD150" i="3"/>
  <c r="AD151" i="3"/>
  <c r="AD152" i="3"/>
  <c r="AD153" i="3"/>
  <c r="AD154" i="3"/>
  <c r="AD155" i="3"/>
  <c r="AD156" i="3"/>
  <c r="AD157" i="3"/>
  <c r="AD158" i="3"/>
  <c r="AD159" i="3"/>
  <c r="AD160" i="3"/>
  <c r="AD161" i="3"/>
  <c r="AD162" i="3"/>
  <c r="AD163" i="3"/>
  <c r="AD166" i="3"/>
  <c r="AD167" i="3"/>
  <c r="AD168" i="3"/>
  <c r="AD169" i="3"/>
  <c r="AD170" i="3"/>
  <c r="AD171" i="3"/>
  <c r="AD173" i="3"/>
  <c r="AD174" i="3"/>
  <c r="AD176" i="3"/>
  <c r="AD177" i="3"/>
  <c r="AX15" i="3"/>
  <c r="AX16" i="3"/>
  <c r="AX17" i="3"/>
  <c r="AX18" i="3"/>
  <c r="AX20" i="3"/>
  <c r="AX21" i="3"/>
  <c r="AX22" i="3"/>
  <c r="AX23" i="3"/>
  <c r="AX24" i="3"/>
  <c r="AX25" i="3"/>
  <c r="AX26" i="3"/>
  <c r="AX27" i="3"/>
  <c r="AX28" i="3"/>
  <c r="AX29" i="3"/>
  <c r="AX30" i="3"/>
  <c r="AX31" i="3"/>
  <c r="AX32" i="3"/>
  <c r="AX33" i="3"/>
  <c r="AX34" i="3"/>
  <c r="AX35" i="3"/>
  <c r="AX36" i="3"/>
  <c r="AX40" i="3"/>
  <c r="AX41" i="3"/>
  <c r="AX42" i="3"/>
  <c r="AX43" i="3"/>
  <c r="AX44" i="3"/>
  <c r="AX45" i="3"/>
  <c r="AX46" i="3"/>
  <c r="AX47" i="3"/>
  <c r="AX48" i="3"/>
  <c r="AX49" i="3"/>
  <c r="AX50" i="3"/>
  <c r="AX51" i="3"/>
  <c r="AX52" i="3"/>
  <c r="AX53" i="3"/>
  <c r="AX54" i="3"/>
  <c r="AX55" i="3"/>
  <c r="AX56" i="3"/>
  <c r="AX57" i="3"/>
  <c r="AX58" i="3"/>
  <c r="AX59" i="3"/>
  <c r="AX60" i="3"/>
  <c r="AX61" i="3"/>
  <c r="AX63" i="3"/>
  <c r="AX64" i="3"/>
  <c r="AX65" i="3"/>
  <c r="AX66" i="3"/>
  <c r="AX69" i="3"/>
  <c r="AX70" i="3"/>
  <c r="AX71" i="3"/>
  <c r="AX72" i="3"/>
  <c r="AX73" i="3"/>
  <c r="AX74" i="3"/>
  <c r="AX75" i="3"/>
  <c r="AX76" i="3"/>
  <c r="AX77" i="3"/>
  <c r="AX78" i="3"/>
  <c r="AX101" i="3"/>
  <c r="AX103" i="3"/>
  <c r="AX104" i="3"/>
  <c r="AX105" i="3"/>
  <c r="AX106" i="3"/>
  <c r="AX107" i="3"/>
  <c r="AX108" i="3"/>
  <c r="AX109" i="3"/>
  <c r="AX110" i="3"/>
  <c r="AX111" i="3"/>
  <c r="AX139" i="3"/>
  <c r="AX140" i="3"/>
  <c r="AX143" i="3"/>
  <c r="AX144" i="3"/>
  <c r="AX146" i="3"/>
  <c r="AX147" i="3"/>
  <c r="AX148" i="3"/>
  <c r="AX149" i="3"/>
  <c r="AX150" i="3"/>
  <c r="AX151" i="3"/>
  <c r="AX152" i="3"/>
  <c r="AX154" i="3"/>
  <c r="AX155" i="3"/>
  <c r="AX156" i="3"/>
  <c r="AX157" i="3"/>
  <c r="AX158" i="3"/>
  <c r="AX159" i="3"/>
  <c r="AX160" i="3"/>
  <c r="AX161" i="3"/>
  <c r="AX162" i="3"/>
  <c r="AX163" i="3"/>
  <c r="AX164" i="3"/>
  <c r="AX166" i="3"/>
  <c r="AX167" i="3"/>
  <c r="AX168" i="3"/>
  <c r="AX169" i="3"/>
  <c r="AX170" i="3"/>
  <c r="AX171" i="3"/>
  <c r="AX173" i="3"/>
  <c r="AX174" i="3"/>
  <c r="AX175" i="3"/>
  <c r="AX176" i="3"/>
  <c r="AX177" i="3"/>
  <c r="AP9" i="3"/>
  <c r="R151" i="15" s="1"/>
  <c r="S151" i="15" s="1"/>
  <c r="AP12" i="3"/>
  <c r="R229" i="15" s="1"/>
  <c r="AP13" i="3"/>
  <c r="R239" i="15" s="1"/>
  <c r="S239" i="15" s="1"/>
  <c r="AP15" i="3"/>
  <c r="AP16" i="3"/>
  <c r="AP17" i="3"/>
  <c r="AP18" i="3"/>
  <c r="AP19" i="3"/>
  <c r="AP20" i="3"/>
  <c r="AP21" i="3"/>
  <c r="AP22" i="3"/>
  <c r="AP23" i="3"/>
  <c r="AP24" i="3"/>
  <c r="AP25" i="3"/>
  <c r="AP26" i="3"/>
  <c r="AP27" i="3"/>
  <c r="AP28" i="3"/>
  <c r="AP29" i="3"/>
  <c r="AP30" i="3"/>
  <c r="AP31" i="3"/>
  <c r="AP32" i="3"/>
  <c r="AP34" i="3"/>
  <c r="AP35" i="3"/>
  <c r="AP36" i="3"/>
  <c r="R207" i="15" s="1"/>
  <c r="AP37" i="3"/>
  <c r="R208" i="15" s="1"/>
  <c r="AP38" i="3"/>
  <c r="R209" i="15" s="1"/>
  <c r="AP39" i="3"/>
  <c r="R210" i="15" s="1"/>
  <c r="AP40" i="3"/>
  <c r="R211" i="15" s="1"/>
  <c r="AP41" i="3"/>
  <c r="R212" i="15" s="1"/>
  <c r="AP42" i="3"/>
  <c r="R213" i="15" s="1"/>
  <c r="AP43" i="3"/>
  <c r="R214" i="15" s="1"/>
  <c r="AP44" i="3"/>
  <c r="R230" i="15" s="1"/>
  <c r="AP45" i="3"/>
  <c r="R243" i="15" s="1"/>
  <c r="AP46" i="3"/>
  <c r="AP47" i="3"/>
  <c r="R184" i="15" s="1"/>
  <c r="AP48" i="3"/>
  <c r="R185" i="15" s="1"/>
  <c r="AP49" i="3"/>
  <c r="R186" i="15" s="1"/>
  <c r="AP50" i="3"/>
  <c r="R187" i="15" s="1"/>
  <c r="R188" i="15"/>
  <c r="AP52" i="3"/>
  <c r="R189" i="15" s="1"/>
  <c r="AP53" i="3"/>
  <c r="R190" i="15" s="1"/>
  <c r="AP54" i="3"/>
  <c r="R191" i="15" s="1"/>
  <c r="AP55" i="3"/>
  <c r="R192" i="15" s="1"/>
  <c r="AP56" i="3"/>
  <c r="R193" i="15" s="1"/>
  <c r="R194" i="15"/>
  <c r="S194" i="15" s="1"/>
  <c r="AP58" i="3"/>
  <c r="R195" i="15" s="1"/>
  <c r="AP59" i="3"/>
  <c r="R196" i="15" s="1"/>
  <c r="AP60" i="3"/>
  <c r="R197" i="15" s="1"/>
  <c r="AP61" i="3"/>
  <c r="R198" i="15" s="1"/>
  <c r="AP62" i="3"/>
  <c r="R304" i="15" s="1"/>
  <c r="AP63" i="3"/>
  <c r="R231" i="15" s="1"/>
  <c r="AP64" i="3"/>
  <c r="R247" i="15" s="1"/>
  <c r="AP65" i="3"/>
  <c r="R248" i="15" s="1"/>
  <c r="S248" i="15" s="1"/>
  <c r="AP66" i="3"/>
  <c r="R199" i="15" s="1"/>
  <c r="R200" i="15"/>
  <c r="AP69" i="3"/>
  <c r="R202" i="15" s="1"/>
  <c r="AP70" i="3"/>
  <c r="R306" i="15" s="1"/>
  <c r="AP71" i="3"/>
  <c r="R203" i="15" s="1"/>
  <c r="AP72" i="3"/>
  <c r="R323" i="15" s="1"/>
  <c r="AP73" i="3"/>
  <c r="R204" i="15" s="1"/>
  <c r="AP74" i="3"/>
  <c r="R205" i="15" s="1"/>
  <c r="AP75" i="3"/>
  <c r="R232" i="15" s="1"/>
  <c r="AP76" i="3"/>
  <c r="R251" i="15" s="1"/>
  <c r="AP77" i="3"/>
  <c r="R252" i="15" s="1"/>
  <c r="S252" i="15" s="1"/>
  <c r="AP78" i="3"/>
  <c r="R308" i="15" s="1"/>
  <c r="R321" i="15"/>
  <c r="AP100" i="3"/>
  <c r="R257" i="15" s="1"/>
  <c r="AP101" i="3"/>
  <c r="R258" i="15" s="1"/>
  <c r="S258" i="15" s="1"/>
  <c r="AP104" i="3"/>
  <c r="AP105" i="3"/>
  <c r="R120" i="15" s="1"/>
  <c r="S120" i="15" s="1"/>
  <c r="AP106" i="3"/>
  <c r="R121" i="15" s="1"/>
  <c r="AP107" i="3"/>
  <c r="R122" i="15" s="1"/>
  <c r="AP108" i="3"/>
  <c r="R123" i="15" s="1"/>
  <c r="AP109" i="3"/>
  <c r="R259" i="15" s="1"/>
  <c r="AP110" i="3"/>
  <c r="R260" i="15" s="1"/>
  <c r="AP111" i="3"/>
  <c r="R334" i="15" s="1"/>
  <c r="S334" i="15" s="1"/>
  <c r="R363" i="15"/>
  <c r="R261" i="15"/>
  <c r="R263" i="15"/>
  <c r="AP139" i="3"/>
  <c r="R124" i="15"/>
  <c r="AP143" i="3"/>
  <c r="R262" i="15" s="1"/>
  <c r="R144" i="15"/>
  <c r="AP146" i="3"/>
  <c r="R125" i="15" s="1"/>
  <c r="AP147" i="3"/>
  <c r="R277" i="15" s="1"/>
  <c r="AP148" i="3"/>
  <c r="R234" i="15" s="1"/>
  <c r="AP149" i="3"/>
  <c r="R278" i="15" s="1"/>
  <c r="AP150" i="3"/>
  <c r="R279" i="15" s="1"/>
  <c r="S279" i="15" s="1"/>
  <c r="AP151" i="3"/>
  <c r="R280" i="15" s="1"/>
  <c r="AP152" i="3"/>
  <c r="R281" i="15" s="1"/>
  <c r="R155" i="15"/>
  <c r="S155" i="15" s="1"/>
  <c r="AP154" i="3"/>
  <c r="R282" i="15" s="1"/>
  <c r="S282" i="15" s="1"/>
  <c r="T282" i="15" s="1"/>
  <c r="AP155" i="3"/>
  <c r="R376" i="15" s="1"/>
  <c r="AP156" i="3"/>
  <c r="R235" i="15" s="1"/>
  <c r="AP157" i="3"/>
  <c r="R286" i="15" s="1"/>
  <c r="AP158" i="3"/>
  <c r="R287" i="15" s="1"/>
  <c r="S287" i="15" s="1"/>
  <c r="AP159" i="3"/>
  <c r="R216" i="15" s="1"/>
  <c r="AP160" i="3"/>
  <c r="R217" i="15" s="1"/>
  <c r="AP161" i="3"/>
  <c r="R218" i="15" s="1"/>
  <c r="AP162" i="3"/>
  <c r="R219" i="15" s="1"/>
  <c r="AP163" i="3"/>
  <c r="R324" i="15" s="1"/>
  <c r="AP164" i="3"/>
  <c r="R325" i="15" s="1"/>
  <c r="AP166" i="3"/>
  <c r="R220" i="15" s="1"/>
  <c r="AP167" i="3"/>
  <c r="R221" i="15" s="1"/>
  <c r="AP168" i="3"/>
  <c r="R222" i="15" s="1"/>
  <c r="AP169" i="3"/>
  <c r="R327" i="15" s="1"/>
  <c r="AP170" i="3"/>
  <c r="R328" i="15" s="1"/>
  <c r="S328" i="15" s="1"/>
  <c r="T328" i="15" s="1"/>
  <c r="AP171" i="3"/>
  <c r="R223" i="15" s="1"/>
  <c r="AP173" i="3"/>
  <c r="R224" i="15" s="1"/>
  <c r="AP174" i="3"/>
  <c r="R236" i="15" s="1"/>
  <c r="AP175" i="3"/>
  <c r="R166" i="15" s="1"/>
  <c r="AP176" i="3"/>
  <c r="AP177" i="3"/>
  <c r="R177" i="15" s="1"/>
  <c r="S177" i="15" s="1"/>
  <c r="AO9" i="3"/>
  <c r="AO12" i="3"/>
  <c r="AO13" i="3"/>
  <c r="AO14" i="3"/>
  <c r="AO15" i="3"/>
  <c r="AO16" i="3"/>
  <c r="AO17" i="3"/>
  <c r="AO18" i="3"/>
  <c r="AO19" i="3"/>
  <c r="AO20" i="3"/>
  <c r="AO21" i="3"/>
  <c r="AO22" i="3"/>
  <c r="AO23" i="3"/>
  <c r="AO24" i="3"/>
  <c r="AO25" i="3"/>
  <c r="AO26" i="3"/>
  <c r="AO27" i="3"/>
  <c r="AO28" i="3"/>
  <c r="AO29" i="3"/>
  <c r="AO30" i="3"/>
  <c r="AO31" i="3"/>
  <c r="AO32" i="3"/>
  <c r="AO34" i="3"/>
  <c r="AO35" i="3"/>
  <c r="AO36" i="3"/>
  <c r="O65" i="15" s="1"/>
  <c r="AO37" i="3"/>
  <c r="O66" i="15" s="1"/>
  <c r="AO38" i="3"/>
  <c r="AO39" i="3"/>
  <c r="AO40" i="3"/>
  <c r="O67" i="15" s="1"/>
  <c r="AO41" i="3"/>
  <c r="O68" i="15" s="1"/>
  <c r="AO42" i="3"/>
  <c r="O69" i="15" s="1"/>
  <c r="AO43" i="3"/>
  <c r="AO44" i="3"/>
  <c r="AO45" i="3"/>
  <c r="AO46" i="3"/>
  <c r="O110" i="15"/>
  <c r="AO48" i="3"/>
  <c r="AO49" i="3"/>
  <c r="AO50" i="3"/>
  <c r="AO52" i="3"/>
  <c r="O112" i="15" s="1"/>
  <c r="AO54" i="3"/>
  <c r="AO55" i="3"/>
  <c r="AO56" i="3"/>
  <c r="AO57" i="3"/>
  <c r="AO58" i="3"/>
  <c r="AO59" i="3"/>
  <c r="AO60" i="3"/>
  <c r="AO61" i="3"/>
  <c r="AO62" i="3"/>
  <c r="O113" i="15" s="1"/>
  <c r="AO63" i="3"/>
  <c r="AO64" i="3"/>
  <c r="AO65" i="3"/>
  <c r="AO66" i="3"/>
  <c r="O116" i="15"/>
  <c r="AO69" i="3"/>
  <c r="AO70" i="3"/>
  <c r="AO71" i="3"/>
  <c r="AO72" i="3"/>
  <c r="AO73" i="3"/>
  <c r="AO74" i="3"/>
  <c r="AO75" i="3"/>
  <c r="AO76" i="3"/>
  <c r="AO77" i="3"/>
  <c r="AO78" i="3"/>
  <c r="O84" i="15"/>
  <c r="AO100" i="3"/>
  <c r="AO101" i="3"/>
  <c r="AO102" i="3"/>
  <c r="AO103" i="3"/>
  <c r="AO104" i="3"/>
  <c r="AO105" i="3"/>
  <c r="AO106" i="3"/>
  <c r="AO107" i="3"/>
  <c r="AO108" i="3"/>
  <c r="AO109" i="3"/>
  <c r="O23" i="15" s="1"/>
  <c r="AO110" i="3"/>
  <c r="AO111" i="3"/>
  <c r="O25" i="15" s="1"/>
  <c r="O26" i="15"/>
  <c r="O27" i="15"/>
  <c r="AO139" i="3"/>
  <c r="O30" i="15"/>
  <c r="AO143" i="3"/>
  <c r="O28" i="15" s="1"/>
  <c r="AO144" i="3"/>
  <c r="O29" i="15" s="1"/>
  <c r="AO146" i="3"/>
  <c r="O22" i="15" s="1"/>
  <c r="AO147" i="3"/>
  <c r="O34" i="15" s="1"/>
  <c r="AO148" i="3"/>
  <c r="AO149" i="3"/>
  <c r="AO150" i="3"/>
  <c r="AO151" i="3"/>
  <c r="AO152" i="3"/>
  <c r="AO153" i="3"/>
  <c r="AO154" i="3"/>
  <c r="AO155" i="3"/>
  <c r="AO156" i="3"/>
  <c r="AO157" i="3"/>
  <c r="AO158" i="3"/>
  <c r="AO159" i="3"/>
  <c r="O93" i="15" s="1"/>
  <c r="AO160" i="3"/>
  <c r="O94" i="15" s="1"/>
  <c r="AO166" i="3"/>
  <c r="O99" i="15" s="1"/>
  <c r="O102" i="15"/>
  <c r="AO170" i="3"/>
  <c r="AO171" i="3"/>
  <c r="AO173" i="3"/>
  <c r="O103" i="15" s="1"/>
  <c r="AO174" i="3"/>
  <c r="AO175" i="3"/>
  <c r="AO176" i="3"/>
  <c r="AO177" i="3"/>
  <c r="AN12" i="3"/>
  <c r="AN13" i="3"/>
  <c r="AN14" i="3"/>
  <c r="AN15" i="3"/>
  <c r="AN16" i="3"/>
  <c r="AN17" i="3"/>
  <c r="AN18" i="3"/>
  <c r="AN19" i="3"/>
  <c r="AN20" i="3"/>
  <c r="AN21" i="3"/>
  <c r="AN22" i="3"/>
  <c r="AN23" i="3"/>
  <c r="AN24" i="3"/>
  <c r="AN25" i="3"/>
  <c r="AN26" i="3"/>
  <c r="AN27" i="3"/>
  <c r="AN28" i="3"/>
  <c r="AN29" i="3"/>
  <c r="AN30" i="3"/>
  <c r="AN31" i="3"/>
  <c r="AN32" i="3"/>
  <c r="AN34" i="3"/>
  <c r="AN35" i="3"/>
  <c r="AN36" i="3"/>
  <c r="AN37" i="3"/>
  <c r="AN38" i="3"/>
  <c r="AN39" i="3"/>
  <c r="AN40" i="3"/>
  <c r="AN41" i="3"/>
  <c r="AN42" i="3"/>
  <c r="AN43" i="3"/>
  <c r="AN57" i="3"/>
  <c r="AN58" i="3"/>
  <c r="AN59" i="3"/>
  <c r="AN60" i="3"/>
  <c r="AN61" i="3"/>
  <c r="AN62" i="3"/>
  <c r="AN63" i="3"/>
  <c r="AN64" i="3"/>
  <c r="AN65" i="3"/>
  <c r="AN66" i="3"/>
  <c r="AN69" i="3"/>
  <c r="AN70" i="3"/>
  <c r="AN71" i="3"/>
  <c r="AN72" i="3"/>
  <c r="AN73" i="3"/>
  <c r="AN74" i="3"/>
  <c r="AN75" i="3"/>
  <c r="AN76" i="3"/>
  <c r="AN77" i="3"/>
  <c r="AN78" i="3"/>
  <c r="AN100" i="3"/>
  <c r="AN101" i="3"/>
  <c r="AN104" i="3"/>
  <c r="AN105" i="3"/>
  <c r="AN106" i="3"/>
  <c r="AN107" i="3"/>
  <c r="AN108" i="3"/>
  <c r="AN109" i="3"/>
  <c r="AN110" i="3"/>
  <c r="AN111" i="3"/>
  <c r="AN139" i="3"/>
  <c r="AN140" i="3"/>
  <c r="AN143" i="3"/>
  <c r="AN144" i="3"/>
  <c r="AN146" i="3"/>
  <c r="AN147" i="3"/>
  <c r="AN148" i="3"/>
  <c r="AN149" i="3"/>
  <c r="AN150" i="3"/>
  <c r="AN151" i="3"/>
  <c r="AN154" i="3"/>
  <c r="AN155" i="3"/>
  <c r="AN156" i="3"/>
  <c r="AN157" i="3"/>
  <c r="AN158" i="3"/>
  <c r="AN159" i="3"/>
  <c r="AN160" i="3"/>
  <c r="AN161" i="3"/>
  <c r="AN162" i="3"/>
  <c r="AN163" i="3"/>
  <c r="AN164" i="3"/>
  <c r="AN166" i="3"/>
  <c r="AN167" i="3"/>
  <c r="AN169" i="3"/>
  <c r="AN170" i="3"/>
  <c r="AN171" i="3"/>
  <c r="AN173" i="3"/>
  <c r="AN174" i="3"/>
  <c r="AN175" i="3"/>
  <c r="AN176" i="3"/>
  <c r="AN177" i="3"/>
  <c r="AF14" i="3"/>
  <c r="K240" i="15" s="1"/>
  <c r="L240" i="15" s="1"/>
  <c r="AF12" i="3"/>
  <c r="K229" i="15" s="1"/>
  <c r="AF13" i="3"/>
  <c r="K239" i="15" s="1"/>
  <c r="L239" i="15" s="1"/>
  <c r="AF15" i="3"/>
  <c r="AF16" i="3"/>
  <c r="AF17" i="3"/>
  <c r="AF18" i="3"/>
  <c r="AF19" i="3"/>
  <c r="AF20" i="3"/>
  <c r="AF21" i="3"/>
  <c r="AF22" i="3"/>
  <c r="AF23" i="3"/>
  <c r="AF24" i="3"/>
  <c r="AF25" i="3"/>
  <c r="AF26" i="3"/>
  <c r="AF27" i="3"/>
  <c r="AF28" i="3"/>
  <c r="AF29" i="3"/>
  <c r="AF30" i="3"/>
  <c r="AF31" i="3"/>
  <c r="AF32" i="3"/>
  <c r="AF33" i="3"/>
  <c r="AF34" i="3"/>
  <c r="AF35" i="3"/>
  <c r="AF36" i="3"/>
  <c r="K207" i="15" s="1"/>
  <c r="L207" i="15" s="1"/>
  <c r="AF37" i="3"/>
  <c r="K208" i="15" s="1"/>
  <c r="AF38" i="3"/>
  <c r="K209" i="15" s="1"/>
  <c r="AF39" i="3"/>
  <c r="K210" i="15" s="1"/>
  <c r="AF40" i="3"/>
  <c r="K211" i="15" s="1"/>
  <c r="AF41" i="3"/>
  <c r="K212" i="15" s="1"/>
  <c r="AF42" i="3"/>
  <c r="K213" i="15" s="1"/>
  <c r="AF43" i="3"/>
  <c r="K214" i="15" s="1"/>
  <c r="AF44" i="3"/>
  <c r="K230" i="15" s="1"/>
  <c r="AF45" i="3"/>
  <c r="AF46" i="3"/>
  <c r="AF47" i="3"/>
  <c r="K184" i="15" s="1"/>
  <c r="L184" i="15" s="1"/>
  <c r="AF48" i="3"/>
  <c r="K185" i="15" s="1"/>
  <c r="AF49" i="3"/>
  <c r="K186" i="15" s="1"/>
  <c r="AF50" i="3"/>
  <c r="K187" i="15" s="1"/>
  <c r="AF51" i="3"/>
  <c r="K188" i="15" s="1"/>
  <c r="AF52" i="3"/>
  <c r="K189" i="15" s="1"/>
  <c r="AF53" i="3"/>
  <c r="K190" i="15" s="1"/>
  <c r="AF54" i="3"/>
  <c r="K191" i="15" s="1"/>
  <c r="AF55" i="3"/>
  <c r="K192" i="15" s="1"/>
  <c r="AF56" i="3"/>
  <c r="K193" i="15" s="1"/>
  <c r="K194" i="15"/>
  <c r="L194" i="15" s="1"/>
  <c r="AF58" i="3"/>
  <c r="K195" i="15" s="1"/>
  <c r="AF59" i="3"/>
  <c r="K196" i="15" s="1"/>
  <c r="AF60" i="3"/>
  <c r="K197" i="15" s="1"/>
  <c r="AF61" i="3"/>
  <c r="K198" i="15" s="1"/>
  <c r="AF62" i="3"/>
  <c r="AF63" i="3"/>
  <c r="K231" i="15" s="1"/>
  <c r="AF64" i="3"/>
  <c r="K247" i="15" s="1"/>
  <c r="AF65" i="3"/>
  <c r="K248" i="15" s="1"/>
  <c r="L248" i="15" s="1"/>
  <c r="AF66" i="3"/>
  <c r="K199" i="15" s="1"/>
  <c r="K200" i="15"/>
  <c r="AF69" i="3"/>
  <c r="K202" i="15" s="1"/>
  <c r="AF70" i="3"/>
  <c r="K306" i="15" s="1"/>
  <c r="AF71" i="3"/>
  <c r="K203" i="15" s="1"/>
  <c r="AF72" i="3"/>
  <c r="K323" i="15" s="1"/>
  <c r="L323" i="15" s="1"/>
  <c r="AF73" i="3"/>
  <c r="K204" i="15" s="1"/>
  <c r="AF74" i="3"/>
  <c r="K205" i="15" s="1"/>
  <c r="AF75" i="3"/>
  <c r="K232" i="15" s="1"/>
  <c r="AF76" i="3"/>
  <c r="K251" i="15" s="1"/>
  <c r="AF78" i="3"/>
  <c r="K308" i="15" s="1"/>
  <c r="L308" i="15" s="1"/>
  <c r="K321" i="15"/>
  <c r="L321" i="15" s="1"/>
  <c r="AF100" i="3"/>
  <c r="K257" i="15" s="1"/>
  <c r="AF101" i="3"/>
  <c r="K258" i="15" s="1"/>
  <c r="L258" i="15" s="1"/>
  <c r="AF104" i="3"/>
  <c r="AF105" i="3"/>
  <c r="K120" i="15" s="1"/>
  <c r="L120" i="15" s="1"/>
  <c r="AF106" i="3"/>
  <c r="K121" i="15" s="1"/>
  <c r="AF107" i="3"/>
  <c r="K122" i="15" s="1"/>
  <c r="AF108" i="3"/>
  <c r="K123" i="15" s="1"/>
  <c r="AF109" i="3"/>
  <c r="K259" i="15" s="1"/>
  <c r="AF110" i="3"/>
  <c r="K260" i="15" s="1"/>
  <c r="AF111" i="3"/>
  <c r="K363" i="15"/>
  <c r="K261" i="15"/>
  <c r="K263" i="15"/>
  <c r="AF139" i="3"/>
  <c r="AF140" i="3"/>
  <c r="AF143" i="3"/>
  <c r="K262" i="15" s="1"/>
  <c r="K144" i="15"/>
  <c r="AF146" i="3"/>
  <c r="K125" i="15" s="1"/>
  <c r="AF147" i="3"/>
  <c r="K277" i="15" s="1"/>
  <c r="AF148" i="3"/>
  <c r="K234" i="15" s="1"/>
  <c r="AF149" i="3"/>
  <c r="K278" i="15" s="1"/>
  <c r="L278" i="15" s="1"/>
  <c r="AF150" i="3"/>
  <c r="K279" i="15" s="1"/>
  <c r="L279" i="15" s="1"/>
  <c r="AF151" i="3"/>
  <c r="K280" i="15" s="1"/>
  <c r="L280" i="15" s="1"/>
  <c r="AF152" i="3"/>
  <c r="K281" i="15" s="1"/>
  <c r="AF153" i="3"/>
  <c r="K155" i="15" s="1"/>
  <c r="L155" i="15" s="1"/>
  <c r="AF154" i="3"/>
  <c r="K282" i="15" s="1"/>
  <c r="AF155" i="3"/>
  <c r="K376" i="15" s="1"/>
  <c r="AF156" i="3"/>
  <c r="K235" i="15" s="1"/>
  <c r="AF157" i="3"/>
  <c r="K286" i="15" s="1"/>
  <c r="AF158" i="3"/>
  <c r="K287" i="15" s="1"/>
  <c r="L287" i="15" s="1"/>
  <c r="AF159" i="3"/>
  <c r="K216" i="15" s="1"/>
  <c r="L216" i="15" s="1"/>
  <c r="AF160" i="3"/>
  <c r="K217" i="15" s="1"/>
  <c r="AF161" i="3"/>
  <c r="K218" i="15" s="1"/>
  <c r="AF162" i="3"/>
  <c r="K219" i="15" s="1"/>
  <c r="AF163" i="3"/>
  <c r="K324" i="15" s="1"/>
  <c r="AF164" i="3"/>
  <c r="K325" i="15" s="1"/>
  <c r="AF166" i="3"/>
  <c r="K220" i="15" s="1"/>
  <c r="AF167" i="3"/>
  <c r="K221" i="15" s="1"/>
  <c r="AF168" i="3"/>
  <c r="K222" i="15" s="1"/>
  <c r="AF169" i="3"/>
  <c r="K327" i="15" s="1"/>
  <c r="AF170" i="3"/>
  <c r="K328" i="15" s="1"/>
  <c r="AF171" i="3"/>
  <c r="AF173" i="3"/>
  <c r="K224" i="15" s="1"/>
  <c r="AF174" i="3"/>
  <c r="K236" i="15" s="1"/>
  <c r="AF175" i="3"/>
  <c r="K166" i="15" s="1"/>
  <c r="AF176" i="3"/>
  <c r="AF177" i="3"/>
  <c r="K177" i="15" s="1"/>
  <c r="L177" i="15" s="1"/>
  <c r="AE14" i="3"/>
  <c r="AE12" i="3"/>
  <c r="AE13" i="3"/>
  <c r="AE15" i="3"/>
  <c r="AE16" i="3"/>
  <c r="AE17" i="3"/>
  <c r="AE18" i="3"/>
  <c r="AE19" i="3"/>
  <c r="AE20" i="3"/>
  <c r="AE21" i="3"/>
  <c r="AE22" i="3"/>
  <c r="AE23" i="3"/>
  <c r="AE24" i="3"/>
  <c r="AE25" i="3"/>
  <c r="AE26" i="3"/>
  <c r="AE27" i="3"/>
  <c r="AE29" i="3"/>
  <c r="AE30" i="3"/>
  <c r="AE31" i="3"/>
  <c r="AE32" i="3"/>
  <c r="AE33" i="3"/>
  <c r="AE34" i="3"/>
  <c r="AE35" i="3"/>
  <c r="AE36" i="3"/>
  <c r="H65" i="15" s="1"/>
  <c r="AE37" i="3"/>
  <c r="H66" i="15" s="1"/>
  <c r="AE38" i="3"/>
  <c r="AE39" i="3"/>
  <c r="AE40" i="3"/>
  <c r="H67" i="15" s="1"/>
  <c r="AE41" i="3"/>
  <c r="H68" i="15" s="1"/>
  <c r="AE42" i="3"/>
  <c r="H69" i="15" s="1"/>
  <c r="AE43" i="3"/>
  <c r="AE44" i="3"/>
  <c r="AE45" i="3"/>
  <c r="AE46" i="3"/>
  <c r="AE47" i="3"/>
  <c r="H110" i="15" s="1"/>
  <c r="AE48" i="3"/>
  <c r="AE49" i="3"/>
  <c r="AE50" i="3"/>
  <c r="AE52" i="3"/>
  <c r="H112" i="15" s="1"/>
  <c r="AE55" i="3"/>
  <c r="AE56" i="3"/>
  <c r="AE57" i="3"/>
  <c r="AE58" i="3"/>
  <c r="AE59" i="3"/>
  <c r="AE60" i="3"/>
  <c r="AE61" i="3"/>
  <c r="AE62" i="3"/>
  <c r="H113" i="15" s="1"/>
  <c r="AE63" i="3"/>
  <c r="AE64" i="3"/>
  <c r="AE65" i="3"/>
  <c r="AE69" i="3"/>
  <c r="AE70" i="3"/>
  <c r="AE71" i="3"/>
  <c r="AE74" i="3"/>
  <c r="AE75" i="3"/>
  <c r="AE76" i="3"/>
  <c r="AE77" i="3"/>
  <c r="AE78" i="3"/>
  <c r="AE100" i="3"/>
  <c r="AE101" i="3"/>
  <c r="AE102" i="3"/>
  <c r="AE105" i="3"/>
  <c r="AE106" i="3"/>
  <c r="AE107" i="3"/>
  <c r="AE108" i="3"/>
  <c r="AE110" i="3"/>
  <c r="AE111" i="3"/>
  <c r="H25" i="15" s="1"/>
  <c r="H26" i="15"/>
  <c r="H27" i="15"/>
  <c r="AE139" i="3"/>
  <c r="AE140" i="3"/>
  <c r="AE143" i="3"/>
  <c r="H28" i="15" s="1"/>
  <c r="AE146" i="3"/>
  <c r="H22" i="15" s="1"/>
  <c r="AE147" i="3"/>
  <c r="H34" i="15" s="1"/>
  <c r="AE148" i="3"/>
  <c r="AE149" i="3"/>
  <c r="AE150" i="3"/>
  <c r="AE151" i="3"/>
  <c r="AE152" i="3"/>
  <c r="AE153" i="3"/>
  <c r="AE154" i="3"/>
  <c r="AE155" i="3"/>
  <c r="AE156" i="3"/>
  <c r="AE157" i="3"/>
  <c r="AE158" i="3"/>
  <c r="AE170" i="3"/>
  <c r="AE173" i="3"/>
  <c r="H103" i="15" s="1"/>
  <c r="AE174" i="3"/>
  <c r="AE175" i="3"/>
  <c r="AE176" i="3"/>
  <c r="H42" i="15" s="1"/>
  <c r="AE177" i="3"/>
  <c r="BT8" i="3"/>
  <c r="BS8" i="3"/>
  <c r="AD228" i="15" s="1"/>
  <c r="AE228" i="15" s="1"/>
  <c r="BR8" i="3"/>
  <c r="BQ8" i="3"/>
  <c r="W228" i="15" s="1"/>
  <c r="X228" i="15" s="1"/>
  <c r="BP8" i="3"/>
  <c r="BN8" i="3"/>
  <c r="BO8" i="3"/>
  <c r="P228" i="15" s="1"/>
  <c r="Q228" i="15" s="1"/>
  <c r="BJ8" i="3"/>
  <c r="AF228" i="15" s="1"/>
  <c r="AG228" i="15" s="1"/>
  <c r="BI8" i="3"/>
  <c r="AZ8" i="3"/>
  <c r="Y228" i="15" s="1"/>
  <c r="AP8" i="3"/>
  <c r="R228" i="15" s="1"/>
  <c r="AN8" i="3"/>
  <c r="AY8" i="3"/>
  <c r="AX8" i="3"/>
  <c r="AO8" i="3"/>
  <c r="AF8" i="3"/>
  <c r="K228" i="15" s="1"/>
  <c r="L228" i="15" s="1"/>
  <c r="AE8" i="3"/>
  <c r="AD8" i="3"/>
  <c r="BJ9" i="3"/>
  <c r="AF151" i="15" s="1"/>
  <c r="AG151" i="15" s="1"/>
  <c r="BI9" i="3"/>
  <c r="BH9" i="3"/>
  <c r="K151" i="15"/>
  <c r="L151" i="15" s="1"/>
  <c r="W12" i="3"/>
  <c r="W13" i="3"/>
  <c r="BA13" i="3" s="1"/>
  <c r="W14" i="3"/>
  <c r="BA14" i="3" s="1"/>
  <c r="BA15" i="3"/>
  <c r="Y44" i="15" s="1"/>
  <c r="Z44" i="15" s="1"/>
  <c r="AG16" i="3"/>
  <c r="K45" i="15" s="1"/>
  <c r="BA17" i="3"/>
  <c r="Y46" i="15" s="1"/>
  <c r="Y48" i="15"/>
  <c r="BK20" i="3"/>
  <c r="AF49" i="15" s="1"/>
  <c r="AG49" i="15" s="1"/>
  <c r="BA21" i="3"/>
  <c r="BK22" i="3"/>
  <c r="AF51" i="15" s="1"/>
  <c r="AG51" i="15" s="1"/>
  <c r="BA23" i="3"/>
  <c r="Y52" i="15" s="1"/>
  <c r="AQ24" i="3"/>
  <c r="R53" i="15" s="1"/>
  <c r="BK25" i="3"/>
  <c r="AF54" i="15" s="1"/>
  <c r="AG54" i="15" s="1"/>
  <c r="BK27" i="3"/>
  <c r="AF56" i="15" s="1"/>
  <c r="AG56" i="15" s="1"/>
  <c r="BK28" i="3"/>
  <c r="AF57" i="15" s="1"/>
  <c r="AG57" i="15" s="1"/>
  <c r="BA29" i="3"/>
  <c r="Y58" i="15" s="1"/>
  <c r="BK30" i="3"/>
  <c r="AF59" i="15" s="1"/>
  <c r="AG59" i="15" s="1"/>
  <c r="BA31" i="3"/>
  <c r="Y60" i="15" s="1"/>
  <c r="AQ32" i="3"/>
  <c r="R61" i="15" s="1"/>
  <c r="Y64" i="15"/>
  <c r="BK36" i="3"/>
  <c r="AF65" i="15" s="1"/>
  <c r="AG65" i="15" s="1"/>
  <c r="W37" i="3"/>
  <c r="W38" i="3"/>
  <c r="W39" i="3"/>
  <c r="W40" i="3"/>
  <c r="W41" i="3"/>
  <c r="W42" i="3"/>
  <c r="W43" i="3"/>
  <c r="W44" i="3"/>
  <c r="W45" i="3"/>
  <c r="W46" i="3"/>
  <c r="W47" i="3"/>
  <c r="W48" i="3"/>
  <c r="W49" i="3"/>
  <c r="W50" i="3"/>
  <c r="W52" i="3"/>
  <c r="W54" i="3"/>
  <c r="W55" i="3"/>
  <c r="W56" i="3"/>
  <c r="W57" i="3"/>
  <c r="W58" i="3"/>
  <c r="W59" i="3"/>
  <c r="W60" i="3"/>
  <c r="W61" i="3"/>
  <c r="W62" i="3"/>
  <c r="W63" i="3"/>
  <c r="BA63" i="3" s="1"/>
  <c r="W64" i="3"/>
  <c r="W65" i="3"/>
  <c r="BA66" i="3"/>
  <c r="W69" i="3"/>
  <c r="W70" i="3"/>
  <c r="W71" i="3"/>
  <c r="W72" i="3"/>
  <c r="BA72" i="3" s="1"/>
  <c r="BK73" i="3"/>
  <c r="W74" i="3"/>
  <c r="BK75" i="3"/>
  <c r="BK76" i="3"/>
  <c r="BA77" i="3"/>
  <c r="BK78" i="3"/>
  <c r="AA73" i="15"/>
  <c r="AF74" i="15"/>
  <c r="AG74" i="15" s="1"/>
  <c r="Y75" i="15"/>
  <c r="AF76" i="15"/>
  <c r="AG76" i="15" s="1"/>
  <c r="Y77" i="15"/>
  <c r="W100" i="3"/>
  <c r="W101" i="3"/>
  <c r="W102" i="3"/>
  <c r="BK102" i="3" s="1"/>
  <c r="W103" i="3"/>
  <c r="AG103" i="3" s="1"/>
  <c r="BK104" i="3"/>
  <c r="W105" i="3"/>
  <c r="W106" i="3"/>
  <c r="W107" i="3"/>
  <c r="W108" i="3"/>
  <c r="W110" i="3"/>
  <c r="AF26" i="15"/>
  <c r="AG26" i="15" s="1"/>
  <c r="Y19" i="15"/>
  <c r="AF27" i="15"/>
  <c r="AG27" i="15" s="1"/>
  <c r="W139" i="3"/>
  <c r="W140" i="3"/>
  <c r="W141" i="3"/>
  <c r="W142" i="3"/>
  <c r="W143" i="3"/>
  <c r="W144" i="3"/>
  <c r="W146" i="3"/>
  <c r="W147" i="3"/>
  <c r="W148" i="3"/>
  <c r="W149" i="3"/>
  <c r="W150" i="3"/>
  <c r="W151" i="3"/>
  <c r="W152" i="3"/>
  <c r="W153" i="3"/>
  <c r="W154" i="3"/>
  <c r="W155" i="3"/>
  <c r="W156" i="3"/>
  <c r="W157" i="3"/>
  <c r="W158" i="3"/>
  <c r="W159" i="3"/>
  <c r="W160" i="3"/>
  <c r="BK162" i="3"/>
  <c r="BK164" i="3"/>
  <c r="W166" i="3"/>
  <c r="W169" i="3"/>
  <c r="W170" i="3"/>
  <c r="W171" i="3"/>
  <c r="W173" i="3"/>
  <c r="W174" i="3"/>
  <c r="W175" i="3"/>
  <c r="W176" i="3"/>
  <c r="W177" i="3"/>
  <c r="W178" i="3"/>
  <c r="W179" i="3"/>
  <c r="W181" i="3"/>
  <c r="W183" i="3"/>
  <c r="AV183" i="3" s="1"/>
  <c r="V86" i="15" s="1"/>
  <c r="W186" i="3"/>
  <c r="W187" i="3"/>
  <c r="W9" i="3"/>
  <c r="W8" i="3"/>
  <c r="V12" i="3"/>
  <c r="V13" i="3"/>
  <c r="V14" i="3"/>
  <c r="V15" i="3"/>
  <c r="V16" i="3"/>
  <c r="Z16" i="3" s="1"/>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9" i="3"/>
  <c r="V70" i="3"/>
  <c r="V71" i="3"/>
  <c r="V72" i="3"/>
  <c r="V73" i="3"/>
  <c r="V74" i="3"/>
  <c r="V75" i="3"/>
  <c r="V76" i="3"/>
  <c r="V77" i="3"/>
  <c r="V100" i="3"/>
  <c r="V101" i="3"/>
  <c r="V105" i="3"/>
  <c r="V106" i="3"/>
  <c r="V107" i="3"/>
  <c r="V108" i="3"/>
  <c r="V109" i="3"/>
  <c r="V110" i="3"/>
  <c r="V111" i="3"/>
  <c r="V139" i="3"/>
  <c r="V140" i="3"/>
  <c r="V141" i="3"/>
  <c r="V142" i="3"/>
  <c r="V143" i="3"/>
  <c r="V144" i="3"/>
  <c r="V146" i="3"/>
  <c r="V147" i="3"/>
  <c r="V148" i="3"/>
  <c r="V149" i="3"/>
  <c r="V150" i="3"/>
  <c r="V152" i="3"/>
  <c r="V153" i="3"/>
  <c r="V154" i="3"/>
  <c r="V155" i="3"/>
  <c r="V156" i="3"/>
  <c r="V157" i="3"/>
  <c r="V158" i="3"/>
  <c r="V159" i="3"/>
  <c r="V160" i="3"/>
  <c r="V161" i="3"/>
  <c r="V162" i="3"/>
  <c r="V163" i="3"/>
  <c r="V164" i="3"/>
  <c r="V166" i="3"/>
  <c r="V167" i="3"/>
  <c r="V168" i="3"/>
  <c r="V169" i="3"/>
  <c r="V170" i="3"/>
  <c r="V171" i="3"/>
  <c r="V173" i="3"/>
  <c r="V174" i="3"/>
  <c r="V175" i="3"/>
  <c r="V176" i="3"/>
  <c r="V177" i="3"/>
  <c r="V178" i="3"/>
  <c r="V179" i="3"/>
  <c r="V183" i="3"/>
  <c r="V186" i="3"/>
  <c r="V187" i="3"/>
  <c r="V9" i="3"/>
  <c r="V8" i="3"/>
  <c r="W315" i="3" l="1"/>
  <c r="W317" i="3" s="1"/>
  <c r="I6" i="28"/>
  <c r="AY14" i="28"/>
  <c r="BA14" i="28" s="1"/>
  <c r="Q6" i="28"/>
  <c r="AE6" i="28"/>
  <c r="AS6" i="28"/>
  <c r="AY6" i="28"/>
  <c r="AV142" i="3"/>
  <c r="V21" i="15" s="1"/>
  <c r="BF142" i="3"/>
  <c r="AV141" i="3"/>
  <c r="BF141" i="3"/>
  <c r="AC20" i="15" s="1"/>
  <c r="Y222" i="15"/>
  <c r="Z222" i="15" s="1"/>
  <c r="AA222" i="15" s="1"/>
  <c r="BF168" i="3"/>
  <c r="Y221" i="15"/>
  <c r="Z221" i="15" s="1"/>
  <c r="AA221" i="15" s="1"/>
  <c r="BF167" i="3"/>
  <c r="Y220" i="15"/>
  <c r="Z220" i="15" s="1"/>
  <c r="AA220" i="15" s="1"/>
  <c r="BF166" i="3"/>
  <c r="Y102" i="3"/>
  <c r="AI102" i="3"/>
  <c r="AS102" i="3"/>
  <c r="BC102" i="3"/>
  <c r="Z58" i="15"/>
  <c r="AA58" i="15" s="1"/>
  <c r="S325" i="15"/>
  <c r="T325" i="15" s="1"/>
  <c r="S199" i="15"/>
  <c r="T199" i="15" s="1"/>
  <c r="Z324" i="15"/>
  <c r="AA324" i="15" s="1"/>
  <c r="Z205" i="15"/>
  <c r="AA205" i="15" s="1"/>
  <c r="Z212" i="15"/>
  <c r="AA212" i="15" s="1"/>
  <c r="Z48" i="15"/>
  <c r="AA48" i="15" s="1"/>
  <c r="L327" i="15"/>
  <c r="M327" i="15" s="1"/>
  <c r="L190" i="15"/>
  <c r="M190" i="15" s="1"/>
  <c r="S224" i="15"/>
  <c r="T224" i="15" s="1"/>
  <c r="S324" i="15"/>
  <c r="T324" i="15" s="1"/>
  <c r="S376" i="15"/>
  <c r="T376" i="15" s="1"/>
  <c r="S277" i="15"/>
  <c r="T277" i="15" s="1"/>
  <c r="S363" i="15"/>
  <c r="T363" i="15" s="1"/>
  <c r="S205" i="15"/>
  <c r="T205" i="15" s="1"/>
  <c r="S186" i="15"/>
  <c r="S213" i="15"/>
  <c r="T213" i="15" s="1"/>
  <c r="L123" i="15"/>
  <c r="M123" i="15" s="1"/>
  <c r="L189" i="15"/>
  <c r="M189" i="15" s="1"/>
  <c r="S223" i="15"/>
  <c r="T223" i="15" s="1"/>
  <c r="S219" i="15"/>
  <c r="T219" i="15" s="1"/>
  <c r="S125" i="15"/>
  <c r="T125" i="15" s="1"/>
  <c r="S204" i="15"/>
  <c r="T204" i="15" s="1"/>
  <c r="S247" i="15"/>
  <c r="T247" i="15" s="1"/>
  <c r="S193" i="15"/>
  <c r="T193" i="15" s="1"/>
  <c r="S185" i="15"/>
  <c r="T185" i="15" s="1"/>
  <c r="S212" i="15"/>
  <c r="Z218" i="15"/>
  <c r="AA218" i="15" s="1"/>
  <c r="Z144" i="15"/>
  <c r="AA144" i="15" s="1"/>
  <c r="Z260" i="15"/>
  <c r="AA260" i="15" s="1"/>
  <c r="Y257" i="15"/>
  <c r="Z257" i="15" s="1"/>
  <c r="AA257" i="15" s="1"/>
  <c r="W257" i="15"/>
  <c r="X257" i="15" s="1"/>
  <c r="Z323" i="15"/>
  <c r="AA323" i="15" s="1"/>
  <c r="Z231" i="15"/>
  <c r="AA231" i="15" s="1"/>
  <c r="Z191" i="15"/>
  <c r="AA191" i="15" s="1"/>
  <c r="Z210" i="15"/>
  <c r="Z225" i="15"/>
  <c r="AA225" i="15" s="1"/>
  <c r="Z219" i="15"/>
  <c r="AA219" i="15" s="1"/>
  <c r="Z282" i="15"/>
  <c r="AA282" i="15" s="1"/>
  <c r="Z125" i="15"/>
  <c r="AA125" i="15" s="1"/>
  <c r="AA334" i="15"/>
  <c r="Z204" i="15"/>
  <c r="AA204" i="15" s="1"/>
  <c r="Z192" i="15"/>
  <c r="AA192" i="15" s="1"/>
  <c r="Z184" i="15"/>
  <c r="Z211" i="15"/>
  <c r="AA211" i="15" s="1"/>
  <c r="Z46" i="15"/>
  <c r="AA46" i="15" s="1"/>
  <c r="L222" i="15"/>
  <c r="M222" i="15" s="1"/>
  <c r="K124" i="15"/>
  <c r="I124" i="15"/>
  <c r="J124" i="15" s="1"/>
  <c r="L202" i="15"/>
  <c r="M202" i="15" s="1"/>
  <c r="L197" i="15"/>
  <c r="M197" i="15" s="1"/>
  <c r="L230" i="15"/>
  <c r="L208" i="15"/>
  <c r="M208" i="15" s="1"/>
  <c r="L229" i="15"/>
  <c r="M229" i="15" s="1"/>
  <c r="L45" i="15"/>
  <c r="M45" i="15" s="1"/>
  <c r="S228" i="15"/>
  <c r="T228" i="15" s="1"/>
  <c r="L221" i="15"/>
  <c r="M221" i="15" s="1"/>
  <c r="L122" i="15"/>
  <c r="M122" i="15" s="1"/>
  <c r="L251" i="15"/>
  <c r="M251" i="15" s="1"/>
  <c r="L200" i="15"/>
  <c r="M200" i="15" s="1"/>
  <c r="L196" i="15"/>
  <c r="M196" i="15" s="1"/>
  <c r="L188" i="15"/>
  <c r="M188" i="15" s="1"/>
  <c r="S218" i="15"/>
  <c r="T218" i="15" s="1"/>
  <c r="S144" i="15"/>
  <c r="T144" i="15" s="1"/>
  <c r="S260" i="15"/>
  <c r="T260" i="15" s="1"/>
  <c r="S257" i="15"/>
  <c r="T257" i="15" s="1"/>
  <c r="S323" i="15"/>
  <c r="T323" i="15" s="1"/>
  <c r="S231" i="15"/>
  <c r="T231" i="15" s="1"/>
  <c r="S192" i="15"/>
  <c r="T192" i="15" s="1"/>
  <c r="S184" i="15"/>
  <c r="T184" i="15" s="1"/>
  <c r="S211" i="15"/>
  <c r="T211" i="15" s="1"/>
  <c r="L225" i="15"/>
  <c r="M225" i="15" s="1"/>
  <c r="S225" i="15"/>
  <c r="T225" i="15" s="1"/>
  <c r="Z327" i="15"/>
  <c r="AA327" i="15" s="1"/>
  <c r="Z217" i="15"/>
  <c r="AA217" i="15" s="1"/>
  <c r="Z281" i="15"/>
  <c r="AA281" i="15" s="1"/>
  <c r="Z262" i="15"/>
  <c r="AA262" i="15" s="1"/>
  <c r="Z259" i="15"/>
  <c r="AA259" i="15" s="1"/>
  <c r="Z203" i="15"/>
  <c r="AA203" i="15" s="1"/>
  <c r="Z198" i="15"/>
  <c r="AA198" i="15" s="1"/>
  <c r="Z190" i="15"/>
  <c r="AA190" i="15" s="1"/>
  <c r="Z243" i="15"/>
  <c r="AA243" i="15" s="1"/>
  <c r="Z209" i="15"/>
  <c r="AA209" i="15" s="1"/>
  <c r="L260" i="15"/>
  <c r="M260" i="15" s="1"/>
  <c r="L210" i="15"/>
  <c r="M210" i="15" s="1"/>
  <c r="Z45" i="15"/>
  <c r="AA45" i="15" s="1"/>
  <c r="L259" i="15"/>
  <c r="M259" i="15" s="1"/>
  <c r="Z228" i="15"/>
  <c r="AK6" i="28" s="1"/>
  <c r="L286" i="15"/>
  <c r="M286" i="15" s="1"/>
  <c r="L121" i="15"/>
  <c r="M121" i="15" s="1"/>
  <c r="L187" i="15"/>
  <c r="M187" i="15" s="1"/>
  <c r="S262" i="15"/>
  <c r="T262" i="15" s="1"/>
  <c r="S321" i="15"/>
  <c r="T321" i="15" s="1"/>
  <c r="S191" i="15"/>
  <c r="T191" i="15" s="1"/>
  <c r="S210" i="15"/>
  <c r="T210" i="15" s="1"/>
  <c r="Z19" i="15"/>
  <c r="AA19" i="15" s="1"/>
  <c r="L218" i="15"/>
  <c r="M218" i="15" s="1"/>
  <c r="L203" i="15"/>
  <c r="M203" i="15" s="1"/>
  <c r="S234" i="15"/>
  <c r="T234" i="15" s="1"/>
  <c r="S214" i="15"/>
  <c r="T214" i="15" s="1"/>
  <c r="L262" i="15"/>
  <c r="M262" i="15" s="1"/>
  <c r="L209" i="15"/>
  <c r="M209" i="15" s="1"/>
  <c r="L166" i="15"/>
  <c r="M166" i="15" s="1"/>
  <c r="L263" i="15"/>
  <c r="M263" i="15" s="1"/>
  <c r="L199" i="15"/>
  <c r="M199" i="15" s="1"/>
  <c r="L195" i="15"/>
  <c r="M195" i="15" s="1"/>
  <c r="S281" i="15"/>
  <c r="T281" i="15" s="1"/>
  <c r="S203" i="15"/>
  <c r="T203" i="15" s="1"/>
  <c r="Z216" i="15"/>
  <c r="AA216" i="15" s="1"/>
  <c r="Z280" i="15"/>
  <c r="AA280" i="15" s="1"/>
  <c r="Z308" i="15"/>
  <c r="AA308" i="15" s="1"/>
  <c r="Z230" i="15"/>
  <c r="AA230" i="15" s="1"/>
  <c r="Z229" i="15"/>
  <c r="AA229" i="15" s="1"/>
  <c r="S61" i="15"/>
  <c r="T61" i="15" s="1"/>
  <c r="L325" i="15"/>
  <c r="M325" i="15" s="1"/>
  <c r="L235" i="15"/>
  <c r="M235" i="15" s="1"/>
  <c r="L261" i="15"/>
  <c r="M261" i="15" s="1"/>
  <c r="L213" i="15"/>
  <c r="M213" i="15" s="1"/>
  <c r="S222" i="15"/>
  <c r="T222" i="15" s="1"/>
  <c r="S123" i="15"/>
  <c r="T123" i="15" s="1"/>
  <c r="S198" i="15"/>
  <c r="T198" i="15" s="1"/>
  <c r="S209" i="15"/>
  <c r="T209" i="15" s="1"/>
  <c r="Z188" i="15"/>
  <c r="AA188" i="15" s="1"/>
  <c r="Z207" i="15"/>
  <c r="AA207" i="15" s="1"/>
  <c r="Z226" i="15"/>
  <c r="AA226" i="15" s="1"/>
  <c r="Z75" i="15"/>
  <c r="AA75" i="15" s="1"/>
  <c r="L144" i="15"/>
  <c r="M144" i="15" s="1"/>
  <c r="K304" i="15"/>
  <c r="L304" i="15" s="1"/>
  <c r="M304" i="15" s="1"/>
  <c r="I304" i="15"/>
  <c r="J304" i="15" s="1"/>
  <c r="S235" i="15"/>
  <c r="T235" i="15" s="1"/>
  <c r="S195" i="15"/>
  <c r="T195" i="15" s="1"/>
  <c r="Z277" i="15"/>
  <c r="AA277" i="15" s="1"/>
  <c r="Z193" i="15"/>
  <c r="AA193" i="15" s="1"/>
  <c r="L217" i="15"/>
  <c r="M217" i="15" s="1"/>
  <c r="L198" i="15"/>
  <c r="M198" i="15" s="1"/>
  <c r="Y124" i="15"/>
  <c r="Z124" i="15" s="1"/>
  <c r="AA124" i="15" s="1"/>
  <c r="W124" i="15"/>
  <c r="X124" i="15" s="1"/>
  <c r="Z197" i="15"/>
  <c r="AA197" i="15" s="1"/>
  <c r="Z189" i="15"/>
  <c r="AA189" i="15" s="1"/>
  <c r="Z52" i="15"/>
  <c r="AA52" i="15" s="1"/>
  <c r="L234" i="15"/>
  <c r="M234" i="15" s="1"/>
  <c r="L205" i="15"/>
  <c r="M205" i="15" s="1"/>
  <c r="S280" i="15"/>
  <c r="T280" i="15" s="1"/>
  <c r="S308" i="15"/>
  <c r="T308" i="15" s="1"/>
  <c r="S190" i="15"/>
  <c r="T190" i="15" s="1"/>
  <c r="Z279" i="15"/>
  <c r="AA279" i="15" s="1"/>
  <c r="Z122" i="15"/>
  <c r="AA122" i="15" s="1"/>
  <c r="Z202" i="15"/>
  <c r="AA202" i="15" s="1"/>
  <c r="Z196" i="15"/>
  <c r="AA196" i="15" s="1"/>
  <c r="Z77" i="15"/>
  <c r="AA77" i="15" s="1"/>
  <c r="Z60" i="15"/>
  <c r="AA60" i="15" s="1"/>
  <c r="L224" i="15"/>
  <c r="M224" i="15" s="1"/>
  <c r="L324" i="15"/>
  <c r="M324" i="15" s="1"/>
  <c r="L376" i="15"/>
  <c r="M376" i="15" s="1"/>
  <c r="L277" i="15"/>
  <c r="M277" i="15" s="1"/>
  <c r="L363" i="15"/>
  <c r="M363" i="15" s="1"/>
  <c r="L204" i="15"/>
  <c r="M204" i="15" s="1"/>
  <c r="L247" i="15"/>
  <c r="M247" i="15" s="1"/>
  <c r="L193" i="15"/>
  <c r="M193" i="15" s="1"/>
  <c r="L185" i="15"/>
  <c r="M185" i="15" s="1"/>
  <c r="L212" i="15"/>
  <c r="M212" i="15" s="1"/>
  <c r="S221" i="15"/>
  <c r="T221" i="15" s="1"/>
  <c r="S122" i="15"/>
  <c r="T122" i="15" s="1"/>
  <c r="S202" i="15"/>
  <c r="T202" i="15" s="1"/>
  <c r="S197" i="15"/>
  <c r="T197" i="15" s="1"/>
  <c r="S189" i="15"/>
  <c r="T189" i="15" s="1"/>
  <c r="S230" i="15"/>
  <c r="T230" i="15" s="1"/>
  <c r="S208" i="15"/>
  <c r="T208" i="15" s="1"/>
  <c r="Z166" i="15"/>
  <c r="AA166" i="15" s="1"/>
  <c r="Z286" i="15"/>
  <c r="AA286" i="15" s="1"/>
  <c r="Z263" i="15"/>
  <c r="AA263" i="15" s="1"/>
  <c r="Z121" i="15"/>
  <c r="AA121" i="15" s="1"/>
  <c r="Z251" i="15"/>
  <c r="AA251" i="15" s="1"/>
  <c r="Z200" i="15"/>
  <c r="AA200" i="15" s="1"/>
  <c r="Z195" i="15"/>
  <c r="AA195" i="15" s="1"/>
  <c r="Z187" i="15"/>
  <c r="AA187" i="15" s="1"/>
  <c r="Z214" i="15"/>
  <c r="AA214" i="15" s="1"/>
  <c r="L328" i="15"/>
  <c r="M328" i="15" s="1"/>
  <c r="L257" i="15"/>
  <c r="M257" i="15" s="1"/>
  <c r="S261" i="15"/>
  <c r="T261" i="15" s="1"/>
  <c r="S187" i="15"/>
  <c r="T187" i="15" s="1"/>
  <c r="Z224" i="15"/>
  <c r="AA224" i="15" s="1"/>
  <c r="L281" i="15"/>
  <c r="M281" i="15" s="1"/>
  <c r="L306" i="15"/>
  <c r="M306" i="15" s="1"/>
  <c r="K243" i="15"/>
  <c r="I243" i="15"/>
  <c r="J243" i="15" s="1"/>
  <c r="Z64" i="15"/>
  <c r="AA64" i="15" s="1"/>
  <c r="S53" i="15"/>
  <c r="T53" i="15" s="1"/>
  <c r="L220" i="15"/>
  <c r="M220" i="15" s="1"/>
  <c r="L232" i="15"/>
  <c r="M232" i="15" s="1"/>
  <c r="L214" i="15"/>
  <c r="S327" i="15"/>
  <c r="T327" i="15" s="1"/>
  <c r="S217" i="15"/>
  <c r="T217" i="15" s="1"/>
  <c r="S259" i="15"/>
  <c r="T259" i="15" s="1"/>
  <c r="S304" i="15"/>
  <c r="S331" i="15"/>
  <c r="Z123" i="15"/>
  <c r="AA123" i="15" s="1"/>
  <c r="Z306" i="15"/>
  <c r="AA306" i="15" s="1"/>
  <c r="AA307" i="15" s="1"/>
  <c r="Z208" i="15"/>
  <c r="AA208" i="15" s="1"/>
  <c r="Z331" i="15"/>
  <c r="AA331" i="15" s="1"/>
  <c r="L236" i="15"/>
  <c r="M236" i="15" s="1"/>
  <c r="L186" i="15"/>
  <c r="M186" i="15" s="1"/>
  <c r="S216" i="15"/>
  <c r="T216" i="15" s="1"/>
  <c r="S124" i="15"/>
  <c r="T124" i="15" s="1"/>
  <c r="S306" i="15"/>
  <c r="T306" i="15" s="1"/>
  <c r="S243" i="15"/>
  <c r="T243" i="15" s="1"/>
  <c r="S229" i="15"/>
  <c r="T229" i="15" s="1"/>
  <c r="AA50" i="15"/>
  <c r="L219" i="15"/>
  <c r="M219" i="15" s="1"/>
  <c r="L282" i="15"/>
  <c r="M282" i="15" s="1"/>
  <c r="L125" i="15"/>
  <c r="M125" i="15" s="1"/>
  <c r="L231" i="15"/>
  <c r="M231" i="15" s="1"/>
  <c r="L192" i="15"/>
  <c r="M192" i="15" s="1"/>
  <c r="L211" i="15"/>
  <c r="M211" i="15" s="1"/>
  <c r="S166" i="15"/>
  <c r="T166" i="15" s="1"/>
  <c r="S220" i="15"/>
  <c r="T220" i="15" s="1"/>
  <c r="S286" i="15"/>
  <c r="T286" i="15" s="1"/>
  <c r="S278" i="15"/>
  <c r="T278" i="15" s="1"/>
  <c r="S263" i="15"/>
  <c r="T263" i="15" s="1"/>
  <c r="S121" i="15"/>
  <c r="T121" i="15" s="1"/>
  <c r="S251" i="15"/>
  <c r="T251" i="15" s="1"/>
  <c r="S200" i="15"/>
  <c r="T200" i="15" s="1"/>
  <c r="S196" i="15"/>
  <c r="T196" i="15" s="1"/>
  <c r="S188" i="15"/>
  <c r="T188" i="15" s="1"/>
  <c r="S207" i="15"/>
  <c r="T207" i="15" s="1"/>
  <c r="Z236" i="15"/>
  <c r="AA236" i="15" s="1"/>
  <c r="Z325" i="15"/>
  <c r="AA325" i="15" s="1"/>
  <c r="Z235" i="15"/>
  <c r="AA235" i="15" s="1"/>
  <c r="Z234" i="15"/>
  <c r="AA234" i="15" s="1"/>
  <c r="Z261" i="15"/>
  <c r="AA261" i="15" s="1"/>
  <c r="Z232" i="15"/>
  <c r="AA232" i="15" s="1"/>
  <c r="Z199" i="15"/>
  <c r="AA199" i="15" s="1"/>
  <c r="Z186" i="15"/>
  <c r="AA186" i="15" s="1"/>
  <c r="Z213" i="15"/>
  <c r="AA213" i="15" s="1"/>
  <c r="L191" i="15"/>
  <c r="M191" i="15" s="1"/>
  <c r="S236" i="15"/>
  <c r="T236" i="15" s="1"/>
  <c r="S232" i="15"/>
  <c r="T232" i="15" s="1"/>
  <c r="L331" i="15"/>
  <c r="M331" i="15" s="1"/>
  <c r="Z376" i="15"/>
  <c r="AA376" i="15" s="1"/>
  <c r="Z363" i="15"/>
  <c r="Z185" i="15"/>
  <c r="AA185" i="15" s="1"/>
  <c r="BA39" i="3"/>
  <c r="BK39" i="3"/>
  <c r="BA38" i="3"/>
  <c r="BK38" i="3"/>
  <c r="BA37" i="3"/>
  <c r="Y66" i="15" s="1"/>
  <c r="BK37" i="3"/>
  <c r="AF66" i="15" s="1"/>
  <c r="AG66" i="15" s="1"/>
  <c r="AG262" i="15"/>
  <c r="BJ183" i="3"/>
  <c r="AE12" i="28"/>
  <c r="AJ12" i="28" s="1"/>
  <c r="AX183" i="3"/>
  <c r="BQ183" i="3"/>
  <c r="AZ183" i="3"/>
  <c r="BA12" i="3"/>
  <c r="AA44" i="15"/>
  <c r="X66" i="15"/>
  <c r="X70" i="15" s="1"/>
  <c r="W70" i="15"/>
  <c r="V20" i="15"/>
  <c r="AX142" i="3"/>
  <c r="P9" i="27"/>
  <c r="X382" i="15"/>
  <c r="X383" i="15" s="1"/>
  <c r="AG9" i="27" s="1"/>
  <c r="Y141" i="3"/>
  <c r="AI141" i="3"/>
  <c r="Q12" i="28"/>
  <c r="AS12" i="28"/>
  <c r="AE9" i="27"/>
  <c r="BA65" i="3"/>
  <c r="AA247" i="15"/>
  <c r="Q14" i="28"/>
  <c r="AA155" i="15"/>
  <c r="T155" i="15"/>
  <c r="AS8" i="28"/>
  <c r="AE14" i="28"/>
  <c r="W382" i="15"/>
  <c r="W383" i="15" s="1"/>
  <c r="AC9" i="17" s="1"/>
  <c r="AA177" i="15"/>
  <c r="C12" i="28"/>
  <c r="F12" i="28" s="1"/>
  <c r="Q13" i="28"/>
  <c r="M151" i="15"/>
  <c r="T151" i="15"/>
  <c r="AA151" i="15"/>
  <c r="Q8" i="28"/>
  <c r="C14" i="28"/>
  <c r="Y382" i="15"/>
  <c r="AE7" i="27"/>
  <c r="BK178" i="3"/>
  <c r="AF18" i="15" s="1"/>
  <c r="BA178" i="3"/>
  <c r="Y18" i="15" s="1"/>
  <c r="AQ9" i="3"/>
  <c r="I382" i="15"/>
  <c r="J382" i="15" s="1"/>
  <c r="AD382" i="15"/>
  <c r="AD383" i="15" s="1"/>
  <c r="AP9" i="17" s="1"/>
  <c r="P382" i="15"/>
  <c r="AG179" i="3"/>
  <c r="K106" i="15" s="1"/>
  <c r="L106" i="15" s="1"/>
  <c r="AQ179" i="3"/>
  <c r="R106" i="15" s="1"/>
  <c r="S106" i="15" s="1"/>
  <c r="AG334" i="15"/>
  <c r="AG382" i="15" s="1"/>
  <c r="AG383" i="15" s="1"/>
  <c r="BB9" i="27" s="1"/>
  <c r="BF9" i="27" s="1"/>
  <c r="AF382" i="15"/>
  <c r="AF383" i="15" s="1"/>
  <c r="AV9" i="17" s="1"/>
  <c r="X216" i="15"/>
  <c r="X227" i="15" s="1"/>
  <c r="W227" i="15"/>
  <c r="AD183" i="15"/>
  <c r="R382" i="15"/>
  <c r="J184" i="15"/>
  <c r="I206" i="15"/>
  <c r="J206" i="15" s="1"/>
  <c r="AE216" i="15"/>
  <c r="J44" i="15"/>
  <c r="R183" i="15"/>
  <c r="Q70" i="15"/>
  <c r="P183" i="15"/>
  <c r="AD106" i="15"/>
  <c r="AE106" i="15" s="1"/>
  <c r="I91" i="15"/>
  <c r="I106" i="15"/>
  <c r="K334" i="15"/>
  <c r="L334" i="15" s="1"/>
  <c r="P91" i="15"/>
  <c r="P106" i="15"/>
  <c r="AF125" i="15"/>
  <c r="AG125" i="15" s="1"/>
  <c r="W91" i="15"/>
  <c r="W106" i="15"/>
  <c r="K223" i="15"/>
  <c r="K329" i="15"/>
  <c r="L329" i="15" s="1"/>
  <c r="X215" i="15"/>
  <c r="BA105" i="3"/>
  <c r="BK56" i="3"/>
  <c r="BA46" i="3"/>
  <c r="BK181" i="3"/>
  <c r="BK171" i="3"/>
  <c r="BK160" i="3"/>
  <c r="AF94" i="15" s="1"/>
  <c r="AG94" i="15" s="1"/>
  <c r="BK152" i="3"/>
  <c r="BK143" i="3"/>
  <c r="AF28" i="15" s="1"/>
  <c r="AG28" i="15" s="1"/>
  <c r="BA111" i="3"/>
  <c r="Y25" i="15" s="1"/>
  <c r="Z25" i="15" s="1"/>
  <c r="AA25" i="15" s="1"/>
  <c r="O16" i="15"/>
  <c r="BA54" i="3"/>
  <c r="BA44" i="3"/>
  <c r="AA186" i="3"/>
  <c r="BK146" i="3"/>
  <c r="AF22" i="15" s="1"/>
  <c r="AG22" i="15" s="1"/>
  <c r="BA64" i="3"/>
  <c r="BK183" i="3"/>
  <c r="AF86" i="15" s="1"/>
  <c r="AG86" i="15" s="1"/>
  <c r="AG55" i="3"/>
  <c r="BA170" i="3"/>
  <c r="BK159" i="3"/>
  <c r="AF93" i="15" s="1"/>
  <c r="AG93" i="15" s="1"/>
  <c r="BA151" i="3"/>
  <c r="BA71" i="3"/>
  <c r="BK61" i="3"/>
  <c r="BA153" i="3"/>
  <c r="AB178" i="3"/>
  <c r="AQ169" i="3"/>
  <c r="R102" i="15" s="1"/>
  <c r="BK101" i="3"/>
  <c r="BK70" i="3"/>
  <c r="BA60" i="3"/>
  <c r="BA50" i="3"/>
  <c r="BK43" i="3"/>
  <c r="BK174" i="3"/>
  <c r="AQ63" i="3"/>
  <c r="AQ166" i="3"/>
  <c r="R99" i="15" s="1"/>
  <c r="AQ100" i="3"/>
  <c r="BA144" i="3"/>
  <c r="Y29" i="15" s="1"/>
  <c r="BK45" i="3"/>
  <c r="BK157" i="3"/>
  <c r="BA149" i="3"/>
  <c r="AQ108" i="3"/>
  <c r="BA69" i="3"/>
  <c r="BK59" i="3"/>
  <c r="BA107" i="3"/>
  <c r="BK154" i="3"/>
  <c r="BA173" i="3"/>
  <c r="Y103" i="15" s="1"/>
  <c r="BK177" i="3"/>
  <c r="BK14" i="3"/>
  <c r="AQ148" i="3"/>
  <c r="AG139" i="3"/>
  <c r="BK58" i="3"/>
  <c r="BA48" i="3"/>
  <c r="BK41" i="3"/>
  <c r="AF68" i="15" s="1"/>
  <c r="AG68" i="15" s="1"/>
  <c r="BK187" i="3"/>
  <c r="AF107" i="15" s="1"/>
  <c r="AG107" i="15" s="1"/>
  <c r="BK175" i="3"/>
  <c r="BA155" i="3"/>
  <c r="BA147" i="3"/>
  <c r="Y34" i="15" s="1"/>
  <c r="BK106" i="3"/>
  <c r="AQ47" i="3"/>
  <c r="R110" i="15" s="1"/>
  <c r="S110" i="15" s="1"/>
  <c r="AG40" i="3"/>
  <c r="K67" i="15" s="1"/>
  <c r="BK12" i="3"/>
  <c r="BA62" i="3"/>
  <c r="BA52" i="3"/>
  <c r="Y112" i="15" s="1"/>
  <c r="BK156" i="3"/>
  <c r="C11" i="29"/>
  <c r="AE215" i="15"/>
  <c r="J15" i="15"/>
  <c r="J334" i="15"/>
  <c r="J120" i="15"/>
  <c r="J239" i="15"/>
  <c r="M155" i="15"/>
  <c r="M216" i="15"/>
  <c r="M184" i="15"/>
  <c r="M207" i="15"/>
  <c r="M323" i="15"/>
  <c r="M228" i="15"/>
  <c r="AT175" i="3"/>
  <c r="BD175" i="3"/>
  <c r="Z175" i="3"/>
  <c r="AJ175" i="3"/>
  <c r="AJ60" i="3"/>
  <c r="Z60" i="3"/>
  <c r="BD60" i="3"/>
  <c r="AT60" i="3"/>
  <c r="AJ37" i="3"/>
  <c r="Z37" i="3"/>
  <c r="BD37" i="3"/>
  <c r="AT37" i="3"/>
  <c r="AJ164" i="3"/>
  <c r="BD164" i="3"/>
  <c r="AT164" i="3"/>
  <c r="Z164" i="3"/>
  <c r="Z108" i="3"/>
  <c r="AT108" i="3"/>
  <c r="AJ108" i="3"/>
  <c r="BD108" i="3"/>
  <c r="BD69" i="3"/>
  <c r="AJ69" i="3"/>
  <c r="Z69" i="3"/>
  <c r="AT69" i="3"/>
  <c r="Z51" i="3"/>
  <c r="AT51" i="3"/>
  <c r="AJ51" i="3"/>
  <c r="BD51" i="3"/>
  <c r="Z28" i="3"/>
  <c r="AT28" i="3"/>
  <c r="AJ28" i="3"/>
  <c r="BD28" i="3"/>
  <c r="AT12" i="3"/>
  <c r="BD12" i="3"/>
  <c r="Z12" i="3"/>
  <c r="AJ12" i="3"/>
  <c r="BD186" i="3"/>
  <c r="Z186" i="3"/>
  <c r="AJ186" i="3"/>
  <c r="AT186" i="3"/>
  <c r="AT174" i="3"/>
  <c r="BD174" i="3"/>
  <c r="Z174" i="3"/>
  <c r="AJ174" i="3"/>
  <c r="AJ156" i="3"/>
  <c r="AT156" i="3"/>
  <c r="BD156" i="3"/>
  <c r="Z156" i="3"/>
  <c r="Z148" i="3"/>
  <c r="AJ148" i="3"/>
  <c r="AT148" i="3"/>
  <c r="BD148" i="3"/>
  <c r="Z139" i="3"/>
  <c r="AT139" i="3"/>
  <c r="AJ139" i="3"/>
  <c r="BD139" i="3"/>
  <c r="BD77" i="3"/>
  <c r="AJ77" i="3"/>
  <c r="Z77" i="3"/>
  <c r="AT77" i="3"/>
  <c r="Z59" i="3"/>
  <c r="AT59" i="3"/>
  <c r="AJ59" i="3"/>
  <c r="BD59" i="3"/>
  <c r="AJ36" i="3"/>
  <c r="Z36" i="3"/>
  <c r="AT36" i="3"/>
  <c r="BD36" i="3"/>
  <c r="Z20" i="3"/>
  <c r="AT20" i="3"/>
  <c r="AJ20" i="3"/>
  <c r="BD20" i="3"/>
  <c r="AT183" i="3"/>
  <c r="BD183" i="3"/>
  <c r="Z183" i="3"/>
  <c r="AJ183" i="3"/>
  <c r="AT173" i="3"/>
  <c r="BD173" i="3"/>
  <c r="AJ173" i="3"/>
  <c r="Z173" i="3"/>
  <c r="AJ163" i="3"/>
  <c r="AT163" i="3"/>
  <c r="Z163" i="3"/>
  <c r="BD163" i="3"/>
  <c r="AJ155" i="3"/>
  <c r="AT155" i="3"/>
  <c r="Z155" i="3"/>
  <c r="BD155" i="3"/>
  <c r="Z147" i="3"/>
  <c r="AJ147" i="3"/>
  <c r="BD147" i="3"/>
  <c r="AT147" i="3"/>
  <c r="Z107" i="3"/>
  <c r="AT107" i="3"/>
  <c r="AJ107" i="3"/>
  <c r="BD107" i="3"/>
  <c r="AJ76" i="3"/>
  <c r="Z76" i="3"/>
  <c r="BD76" i="3"/>
  <c r="AT76" i="3"/>
  <c r="Z66" i="3"/>
  <c r="AT66" i="3"/>
  <c r="BD66" i="3"/>
  <c r="AJ66" i="3"/>
  <c r="Z58" i="3"/>
  <c r="AT58" i="3"/>
  <c r="AJ58" i="3"/>
  <c r="BD58" i="3"/>
  <c r="Z50" i="3"/>
  <c r="BD50" i="3"/>
  <c r="AT50" i="3"/>
  <c r="AJ50" i="3"/>
  <c r="Z43" i="3"/>
  <c r="AT43" i="3"/>
  <c r="BD43" i="3"/>
  <c r="AJ43" i="3"/>
  <c r="AJ35" i="3"/>
  <c r="Z35" i="3"/>
  <c r="BD35" i="3"/>
  <c r="AT35" i="3"/>
  <c r="Z27" i="3"/>
  <c r="AT27" i="3"/>
  <c r="BD27" i="3"/>
  <c r="AJ27" i="3"/>
  <c r="Z19" i="3"/>
  <c r="BD19" i="3"/>
  <c r="AT19" i="3"/>
  <c r="AJ19" i="3"/>
  <c r="BD140" i="3"/>
  <c r="Z140" i="3"/>
  <c r="AT140" i="3"/>
  <c r="AJ140" i="3"/>
  <c r="Z21" i="3"/>
  <c r="BD21" i="3"/>
  <c r="AJ21" i="3"/>
  <c r="AT21" i="3"/>
  <c r="AT18" i="3"/>
  <c r="BD18" i="3"/>
  <c r="AJ18" i="3"/>
  <c r="Z18" i="3"/>
  <c r="AT149" i="3"/>
  <c r="Z149" i="3"/>
  <c r="AJ149" i="3"/>
  <c r="BD149" i="3"/>
  <c r="Z13" i="3"/>
  <c r="BD13" i="3"/>
  <c r="AT13" i="3"/>
  <c r="AJ13" i="3"/>
  <c r="AJ179" i="3"/>
  <c r="BD179" i="3"/>
  <c r="AT179" i="3"/>
  <c r="Z179" i="3"/>
  <c r="Z154" i="3"/>
  <c r="AJ154" i="3"/>
  <c r="AT154" i="3"/>
  <c r="BD154" i="3"/>
  <c r="AT106" i="3"/>
  <c r="AJ106" i="3"/>
  <c r="BD106" i="3"/>
  <c r="Z106" i="3"/>
  <c r="AT57" i="3"/>
  <c r="BD57" i="3"/>
  <c r="Z57" i="3"/>
  <c r="AJ57" i="3"/>
  <c r="AT26" i="3"/>
  <c r="AJ26" i="3"/>
  <c r="BD26" i="3"/>
  <c r="Z26" i="3"/>
  <c r="AJ178" i="3"/>
  <c r="AT178" i="3"/>
  <c r="Z178" i="3"/>
  <c r="BD178" i="3"/>
  <c r="Z170" i="3"/>
  <c r="AT170" i="3"/>
  <c r="AJ170" i="3"/>
  <c r="BD170" i="3"/>
  <c r="BD161" i="3"/>
  <c r="Z161" i="3"/>
  <c r="AJ161" i="3"/>
  <c r="AT161" i="3"/>
  <c r="BD153" i="3"/>
  <c r="Z153" i="3"/>
  <c r="AJ153" i="3"/>
  <c r="AT153" i="3"/>
  <c r="BD144" i="3"/>
  <c r="AJ144" i="3"/>
  <c r="Z144" i="3"/>
  <c r="BD105" i="3"/>
  <c r="AT105" i="3"/>
  <c r="AJ105" i="3"/>
  <c r="Z105" i="3"/>
  <c r="Z74" i="3"/>
  <c r="BD74" i="3"/>
  <c r="AT74" i="3"/>
  <c r="AJ74" i="3"/>
  <c r="AT64" i="3"/>
  <c r="BD64" i="3"/>
  <c r="AJ64" i="3"/>
  <c r="Z64" i="3"/>
  <c r="AT56" i="3"/>
  <c r="BD56" i="3"/>
  <c r="AJ56" i="3"/>
  <c r="Z56" i="3"/>
  <c r="AT48" i="3"/>
  <c r="BD48" i="3"/>
  <c r="AJ48" i="3"/>
  <c r="Z48" i="3"/>
  <c r="AT41" i="3"/>
  <c r="BD41" i="3"/>
  <c r="AJ41" i="3"/>
  <c r="Z41" i="3"/>
  <c r="AT33" i="3"/>
  <c r="BD33" i="3"/>
  <c r="AJ33" i="3"/>
  <c r="Z33" i="3"/>
  <c r="AT25" i="3"/>
  <c r="AJ25" i="3"/>
  <c r="BD25" i="3"/>
  <c r="Z25" i="3"/>
  <c r="AT17" i="3"/>
  <c r="BD17" i="3"/>
  <c r="AJ17" i="3"/>
  <c r="Z17" i="3"/>
  <c r="AT157" i="3"/>
  <c r="BD157" i="3"/>
  <c r="AJ157" i="3"/>
  <c r="Z157" i="3"/>
  <c r="AJ52" i="3"/>
  <c r="Z52" i="3"/>
  <c r="BD52" i="3"/>
  <c r="AT52" i="3"/>
  <c r="AJ146" i="3"/>
  <c r="BD146" i="3"/>
  <c r="Z146" i="3"/>
  <c r="AT146" i="3"/>
  <c r="AT49" i="3"/>
  <c r="BD49" i="3"/>
  <c r="Z49" i="3"/>
  <c r="AJ49" i="3"/>
  <c r="AT73" i="3"/>
  <c r="BD73" i="3"/>
  <c r="Z73" i="3"/>
  <c r="AJ73" i="3"/>
  <c r="AT63" i="3"/>
  <c r="BD63" i="3"/>
  <c r="AJ63" i="3"/>
  <c r="Z63" i="3"/>
  <c r="AT40" i="3"/>
  <c r="BD40" i="3"/>
  <c r="AJ40" i="3"/>
  <c r="Z40" i="3"/>
  <c r="AT16" i="3"/>
  <c r="BD16" i="3"/>
  <c r="AJ16" i="3"/>
  <c r="Z187" i="3"/>
  <c r="AT187" i="3"/>
  <c r="AJ187" i="3"/>
  <c r="BD187" i="3"/>
  <c r="Z109" i="3"/>
  <c r="AT109" i="3"/>
  <c r="AJ109" i="3"/>
  <c r="BD109" i="3"/>
  <c r="BD70" i="3"/>
  <c r="AJ70" i="3"/>
  <c r="Z70" i="3"/>
  <c r="AT70" i="3"/>
  <c r="Z29" i="3"/>
  <c r="BD29" i="3"/>
  <c r="AJ29" i="3"/>
  <c r="AT29" i="3"/>
  <c r="AJ171" i="3"/>
  <c r="AT171" i="3"/>
  <c r="Z171" i="3"/>
  <c r="BD171" i="3"/>
  <c r="Z75" i="3"/>
  <c r="AT75" i="3"/>
  <c r="AJ75" i="3"/>
  <c r="BD75" i="3"/>
  <c r="AT42" i="3"/>
  <c r="BD42" i="3"/>
  <c r="Z42" i="3"/>
  <c r="AJ42" i="3"/>
  <c r="BD169" i="3"/>
  <c r="Z169" i="3"/>
  <c r="AJ169" i="3"/>
  <c r="AT169" i="3"/>
  <c r="BD160" i="3"/>
  <c r="Z160" i="3"/>
  <c r="AJ160" i="3"/>
  <c r="AT160" i="3"/>
  <c r="BD152" i="3"/>
  <c r="Z152" i="3"/>
  <c r="AT152" i="3"/>
  <c r="AJ152" i="3"/>
  <c r="BD143" i="3"/>
  <c r="Z143" i="3"/>
  <c r="AT143" i="3"/>
  <c r="AJ143" i="3"/>
  <c r="AT55" i="3"/>
  <c r="BD55" i="3"/>
  <c r="AJ55" i="3"/>
  <c r="Z55" i="3"/>
  <c r="AT47" i="3"/>
  <c r="BD47" i="3"/>
  <c r="AJ47" i="3"/>
  <c r="Z47" i="3"/>
  <c r="AT32" i="3"/>
  <c r="BD32" i="3"/>
  <c r="AJ32" i="3"/>
  <c r="Z32" i="3"/>
  <c r="AT24" i="3"/>
  <c r="AJ24" i="3"/>
  <c r="BD24" i="3"/>
  <c r="Z24" i="3"/>
  <c r="AJ8" i="3"/>
  <c r="AT8" i="3"/>
  <c r="BD8" i="3"/>
  <c r="Z8" i="3"/>
  <c r="BD177" i="3"/>
  <c r="Z177" i="3"/>
  <c r="AJ177" i="3"/>
  <c r="AT177" i="3"/>
  <c r="BD168" i="3"/>
  <c r="Z168" i="3"/>
  <c r="AJ168" i="3"/>
  <c r="AT168" i="3"/>
  <c r="AT159" i="3"/>
  <c r="BD159" i="3"/>
  <c r="Z159" i="3"/>
  <c r="AJ159" i="3"/>
  <c r="Z142" i="3"/>
  <c r="BD142" i="3"/>
  <c r="AT142" i="3"/>
  <c r="AJ142" i="3"/>
  <c r="Z111" i="3"/>
  <c r="BD111" i="3"/>
  <c r="AT111" i="3"/>
  <c r="AJ111" i="3"/>
  <c r="BD101" i="3"/>
  <c r="AT101" i="3"/>
  <c r="AJ101" i="3"/>
  <c r="Z101" i="3"/>
  <c r="AT72" i="3"/>
  <c r="BD72" i="3"/>
  <c r="AJ72" i="3"/>
  <c r="Z72" i="3"/>
  <c r="BD62" i="3"/>
  <c r="AJ62" i="3"/>
  <c r="Z62" i="3"/>
  <c r="AT62" i="3"/>
  <c r="BD54" i="3"/>
  <c r="AJ54" i="3"/>
  <c r="Z54" i="3"/>
  <c r="AT54" i="3"/>
  <c r="BD46" i="3"/>
  <c r="AJ46" i="3"/>
  <c r="Z46" i="3"/>
  <c r="AT46" i="3"/>
  <c r="BD39" i="3"/>
  <c r="AJ39" i="3"/>
  <c r="Z39" i="3"/>
  <c r="AT39" i="3"/>
  <c r="BD31" i="3"/>
  <c r="AJ31" i="3"/>
  <c r="Z31" i="3"/>
  <c r="AT31" i="3"/>
  <c r="BD23" i="3"/>
  <c r="AJ23" i="3"/>
  <c r="Z23" i="3"/>
  <c r="AT23" i="3"/>
  <c r="BD15" i="3"/>
  <c r="AJ15" i="3"/>
  <c r="Z15" i="3"/>
  <c r="AT15" i="3"/>
  <c r="AT166" i="3"/>
  <c r="BD166" i="3"/>
  <c r="Z166" i="3"/>
  <c r="AJ166" i="3"/>
  <c r="Z44" i="3"/>
  <c r="BD44" i="3"/>
  <c r="AJ44" i="3"/>
  <c r="AT44" i="3"/>
  <c r="Z162" i="3"/>
  <c r="AJ162" i="3"/>
  <c r="AT162" i="3"/>
  <c r="BD162" i="3"/>
  <c r="AT65" i="3"/>
  <c r="BD65" i="3"/>
  <c r="Z65" i="3"/>
  <c r="AJ65" i="3"/>
  <c r="AT34" i="3"/>
  <c r="BD34" i="3"/>
  <c r="AJ34" i="3"/>
  <c r="Z34" i="3"/>
  <c r="AT9" i="3"/>
  <c r="BD9" i="3"/>
  <c r="AJ9" i="3"/>
  <c r="Z9" i="3"/>
  <c r="BD176" i="3"/>
  <c r="Z176" i="3"/>
  <c r="AJ176" i="3"/>
  <c r="AT176" i="3"/>
  <c r="AT167" i="3"/>
  <c r="BD167" i="3"/>
  <c r="Z167" i="3"/>
  <c r="AJ167" i="3"/>
  <c r="AT158" i="3"/>
  <c r="BD158" i="3"/>
  <c r="Z158" i="3"/>
  <c r="AJ158" i="3"/>
  <c r="AT150" i="3"/>
  <c r="Z150" i="3"/>
  <c r="AJ150" i="3"/>
  <c r="BD150" i="3"/>
  <c r="Z141" i="3"/>
  <c r="AT141" i="3"/>
  <c r="AJ141" i="3"/>
  <c r="BD141" i="3"/>
  <c r="Z110" i="3"/>
  <c r="AT110" i="3"/>
  <c r="AJ110" i="3"/>
  <c r="BD110" i="3"/>
  <c r="AJ100" i="3"/>
  <c r="AT100" i="3"/>
  <c r="BD100" i="3"/>
  <c r="Z100" i="3"/>
  <c r="AT71" i="3"/>
  <c r="BD71" i="3"/>
  <c r="AJ71" i="3"/>
  <c r="Z71" i="3"/>
  <c r="BD61" i="3"/>
  <c r="AJ61" i="3"/>
  <c r="Z61" i="3"/>
  <c r="AT61" i="3"/>
  <c r="BD53" i="3"/>
  <c r="Z53" i="3"/>
  <c r="AJ53" i="3"/>
  <c r="AT53" i="3"/>
  <c r="BD45" i="3"/>
  <c r="AJ45" i="3"/>
  <c r="Z45" i="3"/>
  <c r="AT45" i="3"/>
  <c r="BD38" i="3"/>
  <c r="AJ38" i="3"/>
  <c r="Z38" i="3"/>
  <c r="AT38" i="3"/>
  <c r="BD30" i="3"/>
  <c r="AJ30" i="3"/>
  <c r="Z30" i="3"/>
  <c r="AT30" i="3"/>
  <c r="BD22" i="3"/>
  <c r="AJ22" i="3"/>
  <c r="Z22" i="3"/>
  <c r="AT22" i="3"/>
  <c r="BD14" i="3"/>
  <c r="Z14" i="3"/>
  <c r="AJ14" i="3"/>
  <c r="AT14" i="3"/>
  <c r="X322" i="15"/>
  <c r="Q11" i="29"/>
  <c r="R11" i="29" s="1"/>
  <c r="AG332" i="15"/>
  <c r="AE322" i="15"/>
  <c r="AE206" i="15"/>
  <c r="AG307" i="15"/>
  <c r="AE120" i="15"/>
  <c r="AG215" i="15"/>
  <c r="AE11" i="29"/>
  <c r="Q8" i="29"/>
  <c r="AE332" i="15"/>
  <c r="Q334" i="15"/>
  <c r="AS11" i="29"/>
  <c r="AE237" i="15"/>
  <c r="AE15" i="15"/>
  <c r="AT9" i="27"/>
  <c r="AS14" i="28"/>
  <c r="AG239" i="15"/>
  <c r="AG184" i="15"/>
  <c r="AG206" i="15" s="1"/>
  <c r="AF206" i="15"/>
  <c r="AE239" i="15"/>
  <c r="AS7" i="28" s="1"/>
  <c r="AE307" i="15"/>
  <c r="AG237" i="15"/>
  <c r="AY11" i="29"/>
  <c r="AG120" i="15"/>
  <c r="AS7" i="29"/>
  <c r="AE70" i="15"/>
  <c r="AE118" i="15"/>
  <c r="AS8" i="29"/>
  <c r="AE334" i="15"/>
  <c r="BH9" i="27"/>
  <c r="X332" i="15"/>
  <c r="X237" i="15"/>
  <c r="X15" i="15"/>
  <c r="X239" i="15"/>
  <c r="X206" i="15"/>
  <c r="X120" i="15"/>
  <c r="Q237" i="15"/>
  <c r="Q227" i="15"/>
  <c r="Q322" i="15"/>
  <c r="Q239" i="15"/>
  <c r="Q206" i="15"/>
  <c r="Q307" i="15"/>
  <c r="Q118" i="15"/>
  <c r="Q120" i="15"/>
  <c r="Q15" i="15"/>
  <c r="Q332" i="15"/>
  <c r="P215" i="15"/>
  <c r="Q207" i="15"/>
  <c r="Q215" i="15" s="1"/>
  <c r="P237" i="15"/>
  <c r="P227" i="15"/>
  <c r="P206" i="15"/>
  <c r="I215" i="15"/>
  <c r="J215" i="15" s="1"/>
  <c r="P6" i="18"/>
  <c r="Q6" i="18" s="1"/>
  <c r="R206" i="15"/>
  <c r="P322" i="15"/>
  <c r="P332" i="15"/>
  <c r="C6" i="18"/>
  <c r="P307" i="15"/>
  <c r="R307" i="15"/>
  <c r="AP7" i="18"/>
  <c r="R237" i="15"/>
  <c r="K264" i="15"/>
  <c r="P70" i="15"/>
  <c r="P7" i="18"/>
  <c r="P264" i="15"/>
  <c r="AE8" i="27" s="1"/>
  <c r="AC6" i="18"/>
  <c r="AC7" i="18"/>
  <c r="W264" i="15"/>
  <c r="I264" i="15"/>
  <c r="I332" i="15"/>
  <c r="J332" i="15" s="1"/>
  <c r="AP6" i="18"/>
  <c r="AD264" i="15"/>
  <c r="BH8" i="27" s="1"/>
  <c r="R264" i="15"/>
  <c r="Y264" i="15"/>
  <c r="Z264" i="15" s="1"/>
  <c r="AF264" i="15"/>
  <c r="R215" i="15"/>
  <c r="P8" i="18"/>
  <c r="Q8" i="18" s="1"/>
  <c r="R332" i="15"/>
  <c r="R227" i="15"/>
  <c r="P118" i="15"/>
  <c r="AG8" i="3"/>
  <c r="V14" i="18"/>
  <c r="P14" i="18"/>
  <c r="P12" i="18"/>
  <c r="AB102" i="3"/>
  <c r="H15" i="15" s="1"/>
  <c r="AL102" i="3"/>
  <c r="I237" i="15"/>
  <c r="J237" i="15" s="1"/>
  <c r="K215" i="15"/>
  <c r="K237" i="15"/>
  <c r="I227" i="15"/>
  <c r="J227" i="15" s="1"/>
  <c r="O108" i="15"/>
  <c r="P108" i="15"/>
  <c r="AC108" i="15"/>
  <c r="W108" i="15"/>
  <c r="AD108" i="15"/>
  <c r="V108" i="15"/>
  <c r="K206" i="15"/>
  <c r="K72" i="15"/>
  <c r="L72" i="15" s="1"/>
  <c r="AQ72" i="3"/>
  <c r="AA72" i="3"/>
  <c r="AF116" i="15"/>
  <c r="AG116" i="15" s="1"/>
  <c r="BK142" i="3"/>
  <c r="AF21" i="15" s="1"/>
  <c r="AG21" i="15" s="1"/>
  <c r="AA142" i="3"/>
  <c r="AB142" i="3" s="1"/>
  <c r="H21" i="15" s="1"/>
  <c r="Y71" i="15"/>
  <c r="V83" i="15"/>
  <c r="AQ178" i="3"/>
  <c r="R18" i="15" s="1"/>
  <c r="S18" i="15" s="1"/>
  <c r="BK140" i="3"/>
  <c r="AF30" i="15" s="1"/>
  <c r="AG30" i="15" s="1"/>
  <c r="AG140" i="3"/>
  <c r="K30" i="15" s="1"/>
  <c r="BK179" i="3"/>
  <c r="AD215" i="15"/>
  <c r="BK51" i="3"/>
  <c r="AF111" i="15" s="1"/>
  <c r="AG111" i="15" s="1"/>
  <c r="BA51" i="3"/>
  <c r="Y111" i="15" s="1"/>
  <c r="R111" i="15"/>
  <c r="S111" i="15" s="1"/>
  <c r="K111" i="15"/>
  <c r="W215" i="15"/>
  <c r="BK103" i="3"/>
  <c r="H16" i="15"/>
  <c r="AV14" i="18"/>
  <c r="I14" i="18"/>
  <c r="AC14" i="18"/>
  <c r="AP14" i="18"/>
  <c r="AI14" i="18"/>
  <c r="C14" i="18"/>
  <c r="AT144" i="3"/>
  <c r="AE109" i="3"/>
  <c r="H23" i="15" s="1"/>
  <c r="AP8" i="18"/>
  <c r="AP12" i="18"/>
  <c r="AC12" i="18"/>
  <c r="C12" i="18"/>
  <c r="W22" i="15"/>
  <c r="X22" i="15" s="1"/>
  <c r="P22" i="15"/>
  <c r="Q22" i="15" s="1"/>
  <c r="AD22" i="15"/>
  <c r="AE22" i="15" s="1"/>
  <c r="AD118" i="15"/>
  <c r="AD70" i="15"/>
  <c r="AF307" i="15"/>
  <c r="AD307" i="15"/>
  <c r="AD237" i="15"/>
  <c r="W307" i="15"/>
  <c r="Y237" i="15"/>
  <c r="W237" i="15"/>
  <c r="W322" i="15"/>
  <c r="Y332" i="15"/>
  <c r="AF332" i="15"/>
  <c r="W332" i="15"/>
  <c r="AD332" i="15"/>
  <c r="AD322" i="15"/>
  <c r="Y307" i="15"/>
  <c r="AF237" i="15"/>
  <c r="Y215" i="15"/>
  <c r="AF215" i="15"/>
  <c r="Y206" i="15"/>
  <c r="W206" i="15"/>
  <c r="AD206" i="15"/>
  <c r="BA33" i="3"/>
  <c r="Y62" i="15" s="1"/>
  <c r="BK33" i="3"/>
  <c r="AF62" i="15" s="1"/>
  <c r="AG62" i="15" s="1"/>
  <c r="AQ33" i="3"/>
  <c r="R62" i="15" s="1"/>
  <c r="AG148" i="3"/>
  <c r="AQ77" i="3"/>
  <c r="O83" i="15"/>
  <c r="BE142" i="3"/>
  <c r="BT142" i="3" s="1"/>
  <c r="AD21" i="15" s="1"/>
  <c r="AE21" i="15" s="1"/>
  <c r="K116" i="15"/>
  <c r="AG47" i="3"/>
  <c r="K110" i="15" s="1"/>
  <c r="L110" i="15" s="1"/>
  <c r="AQ55" i="3"/>
  <c r="AQ36" i="3"/>
  <c r="R65" i="15" s="1"/>
  <c r="R26" i="15"/>
  <c r="AQ13" i="3"/>
  <c r="AA183" i="3"/>
  <c r="AC83" i="15"/>
  <c r="AK142" i="3"/>
  <c r="AL142" i="3" s="1"/>
  <c r="AG169" i="3"/>
  <c r="K102" i="15" s="1"/>
  <c r="AQ156" i="3"/>
  <c r="AU142" i="3"/>
  <c r="AA187" i="3"/>
  <c r="BA175" i="3"/>
  <c r="BK8" i="3"/>
  <c r="AG175" i="3"/>
  <c r="AG152" i="3"/>
  <c r="AG108" i="3"/>
  <c r="AG73" i="3"/>
  <c r="K61" i="15"/>
  <c r="AQ139" i="3"/>
  <c r="R74" i="15"/>
  <c r="AQ60" i="3"/>
  <c r="AQ40" i="3"/>
  <c r="R67" i="15" s="1"/>
  <c r="AQ20" i="3"/>
  <c r="R49" i="15" s="1"/>
  <c r="AG183" i="3"/>
  <c r="K86" i="15" s="1"/>
  <c r="L86" i="15" s="1"/>
  <c r="BA101" i="3"/>
  <c r="AG9" i="3"/>
  <c r="AG174" i="3"/>
  <c r="AG149" i="3"/>
  <c r="AG104" i="3"/>
  <c r="AG72" i="3"/>
  <c r="AG48" i="3"/>
  <c r="AG28" i="3"/>
  <c r="K57" i="15" s="1"/>
  <c r="AQ160" i="3"/>
  <c r="R94" i="15" s="1"/>
  <c r="R19" i="15"/>
  <c r="R72" i="15"/>
  <c r="AQ59" i="3"/>
  <c r="AQ37" i="3"/>
  <c r="R66" i="15" s="1"/>
  <c r="AQ16" i="3"/>
  <c r="R45" i="15" s="1"/>
  <c r="AG178" i="3"/>
  <c r="K18" i="15" s="1"/>
  <c r="L18" i="15" s="1"/>
  <c r="BA73" i="3"/>
  <c r="BK48" i="3"/>
  <c r="BA56" i="3"/>
  <c r="AG166" i="3"/>
  <c r="K99" i="15" s="1"/>
  <c r="AG143" i="3"/>
  <c r="K28" i="15" s="1"/>
  <c r="AG100" i="3"/>
  <c r="AG64" i="3"/>
  <c r="AG24" i="3"/>
  <c r="K53" i="15" s="1"/>
  <c r="AQ153" i="3"/>
  <c r="AQ76" i="3"/>
  <c r="AQ52" i="3"/>
  <c r="R112" i="15" s="1"/>
  <c r="AQ12" i="3"/>
  <c r="BA169" i="3"/>
  <c r="Y102" i="15" s="1"/>
  <c r="BA41" i="3"/>
  <c r="Y68" i="15" s="1"/>
  <c r="AG101" i="3"/>
  <c r="AQ8" i="3"/>
  <c r="K74" i="15"/>
  <c r="AG63" i="3"/>
  <c r="AG41" i="3"/>
  <c r="K68" i="15" s="1"/>
  <c r="AG20" i="3"/>
  <c r="K49" i="15" s="1"/>
  <c r="AQ174" i="3"/>
  <c r="AQ152" i="3"/>
  <c r="AQ105" i="3"/>
  <c r="AQ29" i="3"/>
  <c r="R58" i="15" s="1"/>
  <c r="BA25" i="3"/>
  <c r="Y54" i="15" s="1"/>
  <c r="BK109" i="3"/>
  <c r="AF23" i="15" s="1"/>
  <c r="AG23" i="15" s="1"/>
  <c r="BK64" i="3"/>
  <c r="BK9" i="3"/>
  <c r="AG160" i="3"/>
  <c r="K94" i="15" s="1"/>
  <c r="AG59" i="3"/>
  <c r="AG17" i="3"/>
  <c r="K46" i="15" s="1"/>
  <c r="AQ170" i="3"/>
  <c r="AQ104" i="3"/>
  <c r="AQ69" i="3"/>
  <c r="AQ28" i="3"/>
  <c r="R57" i="15" s="1"/>
  <c r="BA160" i="3"/>
  <c r="Y94" i="15" s="1"/>
  <c r="BK149" i="3"/>
  <c r="AG157" i="3"/>
  <c r="K26" i="15"/>
  <c r="AG56" i="3"/>
  <c r="AG36" i="3"/>
  <c r="K65" i="15" s="1"/>
  <c r="AQ144" i="3"/>
  <c r="R29" i="15" s="1"/>
  <c r="AQ44" i="3"/>
  <c r="BA156" i="3"/>
  <c r="BK166" i="3"/>
  <c r="AF99" i="15" s="1"/>
  <c r="AG99" i="15" s="1"/>
  <c r="AG25" i="3"/>
  <c r="K54" i="15" s="1"/>
  <c r="AG156" i="3"/>
  <c r="AG109" i="3"/>
  <c r="K23" i="15" s="1"/>
  <c r="AG76" i="3"/>
  <c r="AG33" i="3"/>
  <c r="K62" i="15" s="1"/>
  <c r="AG14" i="3"/>
  <c r="AQ143" i="3"/>
  <c r="R28" i="15" s="1"/>
  <c r="R75" i="15"/>
  <c r="AQ21" i="3"/>
  <c r="BA140" i="3"/>
  <c r="BK17" i="3"/>
  <c r="AF46" i="15" s="1"/>
  <c r="AG46" i="15" s="1"/>
  <c r="BA181" i="3"/>
  <c r="BK150" i="3"/>
  <c r="BA150" i="3"/>
  <c r="BK110" i="3"/>
  <c r="BA110" i="3"/>
  <c r="AF83" i="15"/>
  <c r="AG83" i="15" s="1"/>
  <c r="Y83" i="15"/>
  <c r="BK65" i="3"/>
  <c r="BK49" i="3"/>
  <c r="BA49" i="3"/>
  <c r="BK34" i="3"/>
  <c r="AF63" i="15" s="1"/>
  <c r="AG63" i="15" s="1"/>
  <c r="BA34" i="3"/>
  <c r="Y63" i="15" s="1"/>
  <c r="BA146" i="3"/>
  <c r="BA78" i="3"/>
  <c r="BA45" i="3"/>
  <c r="BA179" i="3"/>
  <c r="Y106" i="15" s="1"/>
  <c r="Z106" i="15" s="1"/>
  <c r="BK54" i="3"/>
  <c r="BK71" i="3"/>
  <c r="AF77" i="15"/>
  <c r="AG77" i="15" s="1"/>
  <c r="BK155" i="3"/>
  <c r="BA186" i="3"/>
  <c r="Y89" i="15" s="1"/>
  <c r="BK186" i="3"/>
  <c r="AF89" i="15" s="1"/>
  <c r="AG89" i="15" s="1"/>
  <c r="AG177" i="3"/>
  <c r="AG159" i="3"/>
  <c r="K93" i="15" s="1"/>
  <c r="AG151" i="3"/>
  <c r="AG142" i="3"/>
  <c r="K21" i="15" s="1"/>
  <c r="AG111" i="3"/>
  <c r="K25" i="15" s="1"/>
  <c r="AG75" i="3"/>
  <c r="AG66" i="3"/>
  <c r="AG58" i="3"/>
  <c r="AG50" i="3"/>
  <c r="AG43" i="3"/>
  <c r="AG35" i="3"/>
  <c r="K64" i="15" s="1"/>
  <c r="AG27" i="3"/>
  <c r="K56" i="15" s="1"/>
  <c r="AG19" i="3"/>
  <c r="K48" i="15" s="1"/>
  <c r="AQ173" i="3"/>
  <c r="R103" i="15" s="1"/>
  <c r="AQ155" i="3"/>
  <c r="AQ147" i="3"/>
  <c r="R34" i="15" s="1"/>
  <c r="AQ107" i="3"/>
  <c r="R77" i="15"/>
  <c r="R71" i="15"/>
  <c r="S71" i="15" s="1"/>
  <c r="AQ71" i="3"/>
  <c r="AQ62" i="3"/>
  <c r="R113" i="15" s="1"/>
  <c r="S113" i="15" s="1"/>
  <c r="T113" i="15" s="1"/>
  <c r="AQ54" i="3"/>
  <c r="AQ46" i="3"/>
  <c r="AQ39" i="3"/>
  <c r="AQ31" i="3"/>
  <c r="R60" i="15" s="1"/>
  <c r="AQ23" i="3"/>
  <c r="R52" i="15" s="1"/>
  <c r="AQ15" i="3"/>
  <c r="R44" i="15" s="1"/>
  <c r="S44" i="15" s="1"/>
  <c r="AG181" i="3"/>
  <c r="BA174" i="3"/>
  <c r="BA159" i="3"/>
  <c r="Y93" i="15" s="1"/>
  <c r="BA143" i="3"/>
  <c r="Y28" i="15" s="1"/>
  <c r="BA104" i="3"/>
  <c r="BA76" i="3"/>
  <c r="BA59" i="3"/>
  <c r="BA28" i="3"/>
  <c r="Y57" i="15" s="1"/>
  <c r="BK21" i="3"/>
  <c r="BK52" i="3"/>
  <c r="AF112" i="15" s="1"/>
  <c r="AG112" i="15" s="1"/>
  <c r="BK69" i="3"/>
  <c r="AF75" i="15"/>
  <c r="AG75" i="15" s="1"/>
  <c r="AF19" i="15"/>
  <c r="AG19" i="15" s="1"/>
  <c r="BK153" i="3"/>
  <c r="BK170" i="3"/>
  <c r="BK176" i="3"/>
  <c r="AF42" i="15" s="1"/>
  <c r="AG42" i="15" s="1"/>
  <c r="AY12" i="28" s="1"/>
  <c r="BA176" i="3"/>
  <c r="Y42" i="15" s="1"/>
  <c r="Z42" i="15" s="1"/>
  <c r="BK158" i="3"/>
  <c r="BA158" i="3"/>
  <c r="BK141" i="3"/>
  <c r="AF20" i="15" s="1"/>
  <c r="AG20" i="15" s="1"/>
  <c r="BA141" i="3"/>
  <c r="Y20" i="15" s="1"/>
  <c r="AF15" i="15"/>
  <c r="BA102" i="3"/>
  <c r="Y15" i="15" s="1"/>
  <c r="Z15" i="15" s="1"/>
  <c r="BK74" i="3"/>
  <c r="BA74" i="3"/>
  <c r="BK57" i="3"/>
  <c r="BA57" i="3"/>
  <c r="BK42" i="3"/>
  <c r="AF69" i="15" s="1"/>
  <c r="AG69" i="15" s="1"/>
  <c r="BA42" i="3"/>
  <c r="Y69" i="15" s="1"/>
  <c r="BK26" i="3"/>
  <c r="AF55" i="15" s="1"/>
  <c r="AG55" i="15" s="1"/>
  <c r="BA26" i="3"/>
  <c r="Y55" i="15" s="1"/>
  <c r="BK18" i="3"/>
  <c r="AF47" i="15" s="1"/>
  <c r="AG47" i="15" s="1"/>
  <c r="BA18" i="3"/>
  <c r="Y47" i="15" s="1"/>
  <c r="BA106" i="3"/>
  <c r="BA61" i="3"/>
  <c r="BA30" i="3"/>
  <c r="Y59" i="15" s="1"/>
  <c r="BK23" i="3"/>
  <c r="AF52" i="15" s="1"/>
  <c r="AG52" i="15" s="1"/>
  <c r="BK148" i="3"/>
  <c r="BA148" i="3"/>
  <c r="BK139" i="3"/>
  <c r="BA139" i="3"/>
  <c r="BK108" i="3"/>
  <c r="BA108" i="3"/>
  <c r="BK100" i="3"/>
  <c r="BA100" i="3"/>
  <c r="AF72" i="15"/>
  <c r="AG72" i="15" s="1"/>
  <c r="Y72" i="15"/>
  <c r="BK72" i="3"/>
  <c r="BK63" i="3"/>
  <c r="BK55" i="3"/>
  <c r="BA55" i="3"/>
  <c r="BK47" i="3"/>
  <c r="AF110" i="15" s="1"/>
  <c r="BA47" i="3"/>
  <c r="Y110" i="15" s="1"/>
  <c r="Z110" i="15" s="1"/>
  <c r="BK40" i="3"/>
  <c r="AF67" i="15" s="1"/>
  <c r="AG67" i="15" s="1"/>
  <c r="BA40" i="3"/>
  <c r="Y67" i="15" s="1"/>
  <c r="BK32" i="3"/>
  <c r="AF61" i="15" s="1"/>
  <c r="AG61" i="15" s="1"/>
  <c r="BA32" i="3"/>
  <c r="Y61" i="15" s="1"/>
  <c r="BK24" i="3"/>
  <c r="AF53" i="15" s="1"/>
  <c r="AG53" i="15" s="1"/>
  <c r="BA24" i="3"/>
  <c r="Y53" i="15" s="1"/>
  <c r="BK16" i="3"/>
  <c r="AF45" i="15" s="1"/>
  <c r="AG45" i="15" s="1"/>
  <c r="BA16" i="3"/>
  <c r="AG176" i="3"/>
  <c r="K42" i="15" s="1"/>
  <c r="AG158" i="3"/>
  <c r="AG150" i="3"/>
  <c r="AG141" i="3"/>
  <c r="K20" i="15" s="1"/>
  <c r="AG110" i="3"/>
  <c r="AG102" i="3"/>
  <c r="K15" i="15" s="1"/>
  <c r="L15" i="15" s="1"/>
  <c r="K83" i="15"/>
  <c r="AG74" i="3"/>
  <c r="AG65" i="3"/>
  <c r="AG57" i="3"/>
  <c r="AG49" i="3"/>
  <c r="AG42" i="3"/>
  <c r="K69" i="15" s="1"/>
  <c r="AG34" i="3"/>
  <c r="K63" i="15" s="1"/>
  <c r="AG26" i="3"/>
  <c r="K55" i="15" s="1"/>
  <c r="AG18" i="3"/>
  <c r="K47" i="15" s="1"/>
  <c r="AQ171" i="3"/>
  <c r="AQ154" i="3"/>
  <c r="AQ146" i="3"/>
  <c r="R27" i="15"/>
  <c r="AQ106" i="3"/>
  <c r="R76" i="15"/>
  <c r="AQ78" i="3"/>
  <c r="AQ70" i="3"/>
  <c r="AQ61" i="3"/>
  <c r="AQ45" i="3"/>
  <c r="AQ38" i="3"/>
  <c r="AQ30" i="3"/>
  <c r="R59" i="15" s="1"/>
  <c r="AQ22" i="3"/>
  <c r="R51" i="15" s="1"/>
  <c r="AQ14" i="3"/>
  <c r="AG187" i="3"/>
  <c r="K107" i="15" s="1"/>
  <c r="AQ181" i="3"/>
  <c r="AQ187" i="3"/>
  <c r="R107" i="15" s="1"/>
  <c r="BA171" i="3"/>
  <c r="BA157" i="3"/>
  <c r="BA142" i="3"/>
  <c r="Y21" i="15" s="1"/>
  <c r="BA103" i="3"/>
  <c r="BA75" i="3"/>
  <c r="BA58" i="3"/>
  <c r="BA43" i="3"/>
  <c r="BA27" i="3"/>
  <c r="Y56" i="15" s="1"/>
  <c r="BA9" i="3"/>
  <c r="BK19" i="3"/>
  <c r="AF48" i="15" s="1"/>
  <c r="AG48" i="15" s="1"/>
  <c r="BK35" i="3"/>
  <c r="AF64" i="15" s="1"/>
  <c r="AG64" i="15" s="1"/>
  <c r="BK50" i="3"/>
  <c r="BK66" i="3"/>
  <c r="BK111" i="3"/>
  <c r="AF25" i="15" s="1"/>
  <c r="AG25" i="15" s="1"/>
  <c r="BK151" i="3"/>
  <c r="BA154" i="3"/>
  <c r="Y27" i="15"/>
  <c r="Y76" i="15"/>
  <c r="BA70" i="3"/>
  <c r="BA22" i="3"/>
  <c r="Y51" i="15" s="1"/>
  <c r="BK15" i="3"/>
  <c r="AF44" i="15" s="1"/>
  <c r="BK31" i="3"/>
  <c r="AF60" i="15" s="1"/>
  <c r="AG60" i="15" s="1"/>
  <c r="BK46" i="3"/>
  <c r="BK62" i="3"/>
  <c r="AF113" i="15" s="1"/>
  <c r="AG113" i="15" s="1"/>
  <c r="AF71" i="15"/>
  <c r="BK107" i="3"/>
  <c r="BK147" i="3"/>
  <c r="AF34" i="15" s="1"/>
  <c r="AG34" i="15" s="1"/>
  <c r="BK163" i="3"/>
  <c r="BA8" i="3"/>
  <c r="AG173" i="3"/>
  <c r="K103" i="15" s="1"/>
  <c r="AG155" i="3"/>
  <c r="AG147" i="3"/>
  <c r="K34" i="15" s="1"/>
  <c r="AG107" i="3"/>
  <c r="K77" i="15"/>
  <c r="K71" i="15"/>
  <c r="L71" i="15" s="1"/>
  <c r="AG71" i="3"/>
  <c r="AG62" i="3"/>
  <c r="K113" i="15" s="1"/>
  <c r="AG54" i="3"/>
  <c r="AG46" i="3"/>
  <c r="AG39" i="3"/>
  <c r="AG31" i="3"/>
  <c r="K60" i="15" s="1"/>
  <c r="AG23" i="3"/>
  <c r="K52" i="15" s="1"/>
  <c r="AG15" i="3"/>
  <c r="K44" i="15" s="1"/>
  <c r="L44" i="15" s="1"/>
  <c r="AQ177" i="3"/>
  <c r="AQ159" i="3"/>
  <c r="R93" i="15" s="1"/>
  <c r="AQ151" i="3"/>
  <c r="AQ142" i="3"/>
  <c r="R21" i="15" s="1"/>
  <c r="AQ111" i="3"/>
  <c r="R25" i="15" s="1"/>
  <c r="AQ103" i="3"/>
  <c r="AQ75" i="3"/>
  <c r="AQ66" i="3"/>
  <c r="AQ58" i="3"/>
  <c r="AQ50" i="3"/>
  <c r="AQ43" i="3"/>
  <c r="AQ35" i="3"/>
  <c r="R64" i="15" s="1"/>
  <c r="AQ27" i="3"/>
  <c r="R56" i="15" s="1"/>
  <c r="AQ19" i="3"/>
  <c r="R48" i="15" s="1"/>
  <c r="AQ186" i="3"/>
  <c r="R89" i="15" s="1"/>
  <c r="BA166" i="3"/>
  <c r="Y99" i="15" s="1"/>
  <c r="BA152" i="3"/>
  <c r="Y26" i="15"/>
  <c r="Z26" i="15" s="1"/>
  <c r="AA26" i="15" s="1"/>
  <c r="Y74" i="15"/>
  <c r="Y116" i="15"/>
  <c r="BA36" i="3"/>
  <c r="Y65" i="15" s="1"/>
  <c r="BA20" i="3"/>
  <c r="Y49" i="15" s="1"/>
  <c r="BK13" i="3"/>
  <c r="BK29" i="3"/>
  <c r="AF58" i="15" s="1"/>
  <c r="AG58" i="15" s="1"/>
  <c r="BK44" i="3"/>
  <c r="BK60" i="3"/>
  <c r="BK77" i="3"/>
  <c r="BK105" i="3"/>
  <c r="BK144" i="3"/>
  <c r="AF29" i="15" s="1"/>
  <c r="AG29" i="15" s="1"/>
  <c r="BK161" i="3"/>
  <c r="AA169" i="3"/>
  <c r="BK169" i="3"/>
  <c r="AF102" i="15" s="1"/>
  <c r="AG102" i="15" s="1"/>
  <c r="AG171" i="3"/>
  <c r="AG154" i="3"/>
  <c r="AG146" i="3"/>
  <c r="K27" i="15"/>
  <c r="AG106" i="3"/>
  <c r="K76" i="15"/>
  <c r="AG78" i="3"/>
  <c r="AG70" i="3"/>
  <c r="AG61" i="3"/>
  <c r="AG45" i="3"/>
  <c r="AG38" i="3"/>
  <c r="AG30" i="3"/>
  <c r="K59" i="15" s="1"/>
  <c r="AG22" i="3"/>
  <c r="K51" i="15" s="1"/>
  <c r="AG13" i="3"/>
  <c r="AQ176" i="3"/>
  <c r="R42" i="15" s="1"/>
  <c r="S42" i="15" s="1"/>
  <c r="AQ158" i="3"/>
  <c r="AQ150" i="3"/>
  <c r="AQ141" i="3"/>
  <c r="R20" i="15" s="1"/>
  <c r="AQ110" i="3"/>
  <c r="AQ102" i="3"/>
  <c r="R15" i="15" s="1"/>
  <c r="S15" i="15" s="1"/>
  <c r="R83" i="15"/>
  <c r="AQ74" i="3"/>
  <c r="AQ65" i="3"/>
  <c r="AQ57" i="3"/>
  <c r="AQ49" i="3"/>
  <c r="AQ42" i="3"/>
  <c r="R69" i="15" s="1"/>
  <c r="AQ34" i="3"/>
  <c r="R63" i="15" s="1"/>
  <c r="AQ26" i="3"/>
  <c r="R55" i="15" s="1"/>
  <c r="AQ18" i="3"/>
  <c r="R47" i="15" s="1"/>
  <c r="AQ183" i="3"/>
  <c r="R86" i="15" s="1"/>
  <c r="S86" i="15" s="1"/>
  <c r="BA187" i="3"/>
  <c r="Y107" i="15" s="1"/>
  <c r="AG170" i="3"/>
  <c r="AG153" i="3"/>
  <c r="AG144" i="3"/>
  <c r="K29" i="15" s="1"/>
  <c r="K19" i="15"/>
  <c r="AG105" i="3"/>
  <c r="K75" i="15"/>
  <c r="AG77" i="3"/>
  <c r="AG69" i="3"/>
  <c r="AG60" i="3"/>
  <c r="AG52" i="3"/>
  <c r="K112" i="15" s="1"/>
  <c r="AG44" i="3"/>
  <c r="AG37" i="3"/>
  <c r="K66" i="15" s="1"/>
  <c r="AG29" i="3"/>
  <c r="K58" i="15" s="1"/>
  <c r="AG21" i="3"/>
  <c r="AG12" i="3"/>
  <c r="AQ175" i="3"/>
  <c r="AQ157" i="3"/>
  <c r="AQ149" i="3"/>
  <c r="AQ140" i="3"/>
  <c r="R30" i="15" s="1"/>
  <c r="AQ109" i="3"/>
  <c r="R23" i="15" s="1"/>
  <c r="AQ101" i="3"/>
  <c r="AQ73" i="3"/>
  <c r="AQ64" i="3"/>
  <c r="AQ56" i="3"/>
  <c r="AQ48" i="3"/>
  <c r="AQ41" i="3"/>
  <c r="R68" i="15" s="1"/>
  <c r="AQ25" i="3"/>
  <c r="R54" i="15" s="1"/>
  <c r="AQ17" i="3"/>
  <c r="R46" i="15" s="1"/>
  <c r="AG186" i="3"/>
  <c r="K89" i="15" s="1"/>
  <c r="BA177" i="3"/>
  <c r="BA109" i="3"/>
  <c r="Y23" i="15" s="1"/>
  <c r="BA183" i="3"/>
  <c r="Y86" i="15" s="1"/>
  <c r="Z86" i="15" s="1"/>
  <c r="BK173" i="3"/>
  <c r="AF103" i="15" s="1"/>
  <c r="AG103" i="15" s="1"/>
  <c r="BN109" i="3"/>
  <c r="I23" i="15" s="1"/>
  <c r="J23" i="15" s="1"/>
  <c r="X6" i="28" l="1"/>
  <c r="BQ142" i="3"/>
  <c r="J6" i="28"/>
  <c r="C7" i="28"/>
  <c r="W6" i="28"/>
  <c r="AB6" i="28" s="1"/>
  <c r="AE7" i="28"/>
  <c r="AH7" i="28" s="1"/>
  <c r="AF106" i="15"/>
  <c r="AG106" i="15" s="1"/>
  <c r="AF91" i="15"/>
  <c r="AG91" i="15" s="1"/>
  <c r="Q7" i="28"/>
  <c r="AC21" i="15"/>
  <c r="BH142" i="3"/>
  <c r="BS142" i="3"/>
  <c r="Y227" i="15"/>
  <c r="AC220" i="15"/>
  <c r="BJ166" i="3"/>
  <c r="AF220" i="15" s="1"/>
  <c r="BH166" i="3"/>
  <c r="BS166" i="3"/>
  <c r="AD220" i="15" s="1"/>
  <c r="AC221" i="15"/>
  <c r="BJ167" i="3"/>
  <c r="AF221" i="15" s="1"/>
  <c r="AG221" i="15" s="1"/>
  <c r="BS167" i="3"/>
  <c r="AD221" i="15" s="1"/>
  <c r="AE221" i="15" s="1"/>
  <c r="BH167" i="3"/>
  <c r="AC222" i="15"/>
  <c r="BS168" i="3"/>
  <c r="AD222" i="15" s="1"/>
  <c r="AE222" i="15" s="1"/>
  <c r="BJ168" i="3"/>
  <c r="AF222" i="15" s="1"/>
  <c r="AG222" i="15" s="1"/>
  <c r="BH168" i="3"/>
  <c r="I307" i="15"/>
  <c r="J307" i="15" s="1"/>
  <c r="I183" i="15"/>
  <c r="J183" i="15" s="1"/>
  <c r="Z307" i="15"/>
  <c r="P7" i="27"/>
  <c r="BF102" i="3"/>
  <c r="BS102" i="3" s="1"/>
  <c r="AV102" i="3"/>
  <c r="K307" i="15"/>
  <c r="Y183" i="15"/>
  <c r="I303" i="15"/>
  <c r="J303" i="15" s="1"/>
  <c r="C8" i="18"/>
  <c r="D8" i="18" s="1"/>
  <c r="Z332" i="15"/>
  <c r="L307" i="15"/>
  <c r="S332" i="15"/>
  <c r="AK11" i="29"/>
  <c r="AP11" i="29" s="1"/>
  <c r="AK14" i="28"/>
  <c r="AQ14" i="28" s="1"/>
  <c r="W11" i="29"/>
  <c r="AA11" i="29" s="1"/>
  <c r="T331" i="15"/>
  <c r="T332" i="15" s="1"/>
  <c r="S237" i="15"/>
  <c r="Z382" i="15"/>
  <c r="Z383" i="15" s="1"/>
  <c r="AM9" i="27" s="1"/>
  <c r="AP9" i="27" s="1"/>
  <c r="Z215" i="15"/>
  <c r="L237" i="15"/>
  <c r="L215" i="15"/>
  <c r="S206" i="15"/>
  <c r="Z227" i="15"/>
  <c r="M307" i="15"/>
  <c r="S307" i="15"/>
  <c r="L206" i="15"/>
  <c r="I11" i="29"/>
  <c r="K11" i="29" s="1"/>
  <c r="I14" i="28"/>
  <c r="L14" i="28" s="1"/>
  <c r="Z206" i="15"/>
  <c r="S227" i="15"/>
  <c r="S215" i="15"/>
  <c r="AA363" i="15"/>
  <c r="T227" i="15"/>
  <c r="T237" i="15"/>
  <c r="X11" i="29"/>
  <c r="AA332" i="15"/>
  <c r="AA227" i="15"/>
  <c r="S20" i="15"/>
  <c r="T20" i="15" s="1"/>
  <c r="L113" i="15"/>
  <c r="M113" i="15" s="1"/>
  <c r="S94" i="15"/>
  <c r="T94" i="15" s="1"/>
  <c r="L124" i="15"/>
  <c r="M124" i="15" s="1"/>
  <c r="S47" i="15"/>
  <c r="T47" i="15" s="1"/>
  <c r="S25" i="15"/>
  <c r="T25" i="15" s="1"/>
  <c r="L29" i="15"/>
  <c r="M29" i="15" s="1"/>
  <c r="AA17" i="15"/>
  <c r="Z54" i="15"/>
  <c r="AA54" i="15" s="1"/>
  <c r="L112" i="15"/>
  <c r="M112" i="15" s="1"/>
  <c r="Z51" i="15"/>
  <c r="AA51" i="15" s="1"/>
  <c r="S76" i="15"/>
  <c r="T76" i="15" s="1"/>
  <c r="Y30" i="15"/>
  <c r="Z30" i="15" s="1"/>
  <c r="AA30" i="15" s="1"/>
  <c r="W30" i="15"/>
  <c r="X30" i="15" s="1"/>
  <c r="L67" i="15"/>
  <c r="M67" i="15" s="1"/>
  <c r="AL14" i="28"/>
  <c r="AA184" i="15"/>
  <c r="AA206" i="15" s="1"/>
  <c r="AA210" i="15"/>
  <c r="AA215" i="15" s="1"/>
  <c r="T212" i="15"/>
  <c r="T215" i="15" s="1"/>
  <c r="T186" i="15"/>
  <c r="T206" i="15" s="1"/>
  <c r="S83" i="15"/>
  <c r="T83" i="15" s="1"/>
  <c r="S56" i="15"/>
  <c r="T56" i="15" s="1"/>
  <c r="L93" i="15"/>
  <c r="M93" i="15" s="1"/>
  <c r="L65" i="15"/>
  <c r="M65" i="15" s="1"/>
  <c r="J14" i="28"/>
  <c r="L63" i="15"/>
  <c r="M63" i="15" s="1"/>
  <c r="L23" i="15"/>
  <c r="M23" i="15" s="1"/>
  <c r="S58" i="15"/>
  <c r="T58" i="15" s="1"/>
  <c r="L102" i="15"/>
  <c r="M102" i="15" s="1"/>
  <c r="S51" i="15"/>
  <c r="T51" i="15" s="1"/>
  <c r="L69" i="15"/>
  <c r="M69" i="15" s="1"/>
  <c r="L20" i="15"/>
  <c r="M20" i="15" s="1"/>
  <c r="Z61" i="15"/>
  <c r="AA61" i="15" s="1"/>
  <c r="Z47" i="15"/>
  <c r="AA47" i="15" s="1"/>
  <c r="Z93" i="15"/>
  <c r="AA93" i="15" s="1"/>
  <c r="S103" i="15"/>
  <c r="T103" i="15" s="1"/>
  <c r="L26" i="15"/>
  <c r="M26" i="15" s="1"/>
  <c r="L46" i="15"/>
  <c r="M46" i="15" s="1"/>
  <c r="S49" i="15"/>
  <c r="T49" i="15" s="1"/>
  <c r="S62" i="15"/>
  <c r="T62" i="15" s="1"/>
  <c r="L111" i="15"/>
  <c r="M111" i="15" s="1"/>
  <c r="R303" i="15"/>
  <c r="S264" i="15"/>
  <c r="S303" i="15" s="1"/>
  <c r="Z237" i="15"/>
  <c r="W183" i="15"/>
  <c r="T304" i="15"/>
  <c r="T307" i="15" s="1"/>
  <c r="M214" i="15"/>
  <c r="M215" i="15" s="1"/>
  <c r="AA228" i="15"/>
  <c r="AL6" i="28" s="1"/>
  <c r="M230" i="15"/>
  <c r="J11" i="29" s="1"/>
  <c r="L51" i="15"/>
  <c r="M51" i="15" s="1"/>
  <c r="L34" i="15"/>
  <c r="M34" i="15" s="1"/>
  <c r="S30" i="15"/>
  <c r="T30" i="15" s="1"/>
  <c r="S69" i="15"/>
  <c r="T69" i="15" s="1"/>
  <c r="L107" i="15"/>
  <c r="M107" i="15" s="1"/>
  <c r="Z53" i="15"/>
  <c r="AA53" i="15" s="1"/>
  <c r="S34" i="15"/>
  <c r="T34" i="15" s="1"/>
  <c r="L74" i="15"/>
  <c r="M74" i="15" s="1"/>
  <c r="L30" i="15"/>
  <c r="M30" i="15" s="1"/>
  <c r="Z28" i="15"/>
  <c r="AA28" i="15" s="1"/>
  <c r="Z83" i="15"/>
  <c r="AA83" i="15" s="1"/>
  <c r="L53" i="15"/>
  <c r="M53" i="15" s="1"/>
  <c r="L57" i="15"/>
  <c r="M57" i="15" s="1"/>
  <c r="S89" i="15"/>
  <c r="T89" i="15" s="1"/>
  <c r="L77" i="15"/>
  <c r="M77" i="15" s="1"/>
  <c r="Z76" i="15"/>
  <c r="AA76" i="15" s="1"/>
  <c r="Z21" i="15"/>
  <c r="AA21" i="15" s="1"/>
  <c r="S27" i="15"/>
  <c r="T27" i="15" s="1"/>
  <c r="L48" i="15"/>
  <c r="M48" i="15" s="1"/>
  <c r="Z89" i="15"/>
  <c r="AA89" i="15" s="1"/>
  <c r="L54" i="15"/>
  <c r="M54" i="15" s="1"/>
  <c r="Z68" i="15"/>
  <c r="AA68" i="15" s="1"/>
  <c r="S45" i="15"/>
  <c r="T45" i="15" s="1"/>
  <c r="S67" i="15"/>
  <c r="T67" i="15" s="1"/>
  <c r="L116" i="15"/>
  <c r="M116" i="15" s="1"/>
  <c r="Z112" i="15"/>
  <c r="Z103" i="15"/>
  <c r="AA103" i="15" s="1"/>
  <c r="C8" i="28"/>
  <c r="F8" i="28" s="1"/>
  <c r="W238" i="15"/>
  <c r="L75" i="15"/>
  <c r="M75" i="15" s="1"/>
  <c r="Z65" i="15"/>
  <c r="AA65" i="15" s="1"/>
  <c r="S54" i="15"/>
  <c r="T54" i="15" s="1"/>
  <c r="S93" i="15"/>
  <c r="T93" i="15" s="1"/>
  <c r="L55" i="15"/>
  <c r="M55" i="15" s="1"/>
  <c r="T17" i="15"/>
  <c r="S99" i="15"/>
  <c r="T99" i="15" s="1"/>
  <c r="S68" i="15"/>
  <c r="T68" i="15" s="1"/>
  <c r="Z99" i="15"/>
  <c r="AA99" i="15" s="1"/>
  <c r="Z107" i="15"/>
  <c r="L52" i="15"/>
  <c r="M52" i="15" s="1"/>
  <c r="S59" i="15"/>
  <c r="T59" i="15" s="1"/>
  <c r="Z23" i="15"/>
  <c r="AA23" i="15" s="1"/>
  <c r="L76" i="15"/>
  <c r="M76" i="15" s="1"/>
  <c r="Z49" i="15"/>
  <c r="AA49" i="15" s="1"/>
  <c r="S48" i="15"/>
  <c r="T48" i="15" s="1"/>
  <c r="L60" i="15"/>
  <c r="M60" i="15" s="1"/>
  <c r="Z27" i="15"/>
  <c r="AA27" i="15" s="1"/>
  <c r="Z67" i="15"/>
  <c r="AA67" i="15" s="1"/>
  <c r="Z72" i="15"/>
  <c r="AA72" i="15" s="1"/>
  <c r="Z55" i="15"/>
  <c r="Z57" i="15"/>
  <c r="AA57" i="15" s="1"/>
  <c r="L56" i="15"/>
  <c r="M56" i="15" s="1"/>
  <c r="Z63" i="15"/>
  <c r="AA63" i="15" s="1"/>
  <c r="S75" i="15"/>
  <c r="T75" i="15" s="1"/>
  <c r="L94" i="15"/>
  <c r="M94" i="15" s="1"/>
  <c r="Z102" i="15"/>
  <c r="AA102" i="15" s="1"/>
  <c r="S66" i="15"/>
  <c r="T66" i="15" s="1"/>
  <c r="Z62" i="15"/>
  <c r="AA62" i="15" s="1"/>
  <c r="Z111" i="15"/>
  <c r="AA111" i="15" s="1"/>
  <c r="Y85" i="15"/>
  <c r="Z71" i="15"/>
  <c r="Z29" i="15"/>
  <c r="AA29" i="15" s="1"/>
  <c r="Y238" i="15"/>
  <c r="W14" i="28"/>
  <c r="AB14" i="28" s="1"/>
  <c r="L243" i="15"/>
  <c r="M50" i="15"/>
  <c r="L25" i="15"/>
  <c r="M25" i="15" s="1"/>
  <c r="L28" i="15"/>
  <c r="M28" i="15" s="1"/>
  <c r="Y113" i="15"/>
  <c r="Z113" i="15" s="1"/>
  <c r="AA113" i="15" s="1"/>
  <c r="W113" i="15"/>
  <c r="Z66" i="15"/>
  <c r="AA66" i="15" s="1"/>
  <c r="X14" i="28"/>
  <c r="L89" i="15"/>
  <c r="M89" i="15" s="1"/>
  <c r="L58" i="15"/>
  <c r="M58" i="15" s="1"/>
  <c r="S55" i="15"/>
  <c r="T55" i="15" s="1"/>
  <c r="L59" i="15"/>
  <c r="M59" i="15" s="1"/>
  <c r="L27" i="15"/>
  <c r="M27" i="15" s="1"/>
  <c r="Z116" i="15"/>
  <c r="AA116" i="15" s="1"/>
  <c r="S64" i="15"/>
  <c r="T64" i="15" s="1"/>
  <c r="S21" i="15"/>
  <c r="T21" i="15" s="1"/>
  <c r="Z56" i="15"/>
  <c r="AA56" i="15" s="1"/>
  <c r="S107" i="15"/>
  <c r="T107" i="15" s="1"/>
  <c r="Z69" i="15"/>
  <c r="AA69" i="15" s="1"/>
  <c r="Z20" i="15"/>
  <c r="AA20" i="15" s="1"/>
  <c r="S52" i="15"/>
  <c r="T52" i="15" s="1"/>
  <c r="S77" i="15"/>
  <c r="L21" i="15"/>
  <c r="M21" i="15" s="1"/>
  <c r="S57" i="15"/>
  <c r="T57" i="15" s="1"/>
  <c r="L68" i="15"/>
  <c r="M68" i="15" s="1"/>
  <c r="S112" i="15"/>
  <c r="W8" i="29" s="1"/>
  <c r="AB8" i="29" s="1"/>
  <c r="L99" i="15"/>
  <c r="M99" i="15" s="1"/>
  <c r="S72" i="15"/>
  <c r="T72" i="15" s="1"/>
  <c r="S26" i="15"/>
  <c r="T26" i="15" s="1"/>
  <c r="M206" i="15"/>
  <c r="Z34" i="15"/>
  <c r="AA34" i="15" s="1"/>
  <c r="L223" i="15"/>
  <c r="M223" i="15" s="1"/>
  <c r="M227" i="15" s="1"/>
  <c r="L42" i="15"/>
  <c r="I12" i="28" s="1"/>
  <c r="L64" i="15"/>
  <c r="M64" i="15" s="1"/>
  <c r="S28" i="15"/>
  <c r="T28" i="15" s="1"/>
  <c r="Z94" i="15"/>
  <c r="AA94" i="15" s="1"/>
  <c r="L49" i="15"/>
  <c r="M49" i="15" s="1"/>
  <c r="S74" i="15"/>
  <c r="T74" i="15" s="1"/>
  <c r="K303" i="15"/>
  <c r="L264" i="15"/>
  <c r="S46" i="15"/>
  <c r="T46" i="15" s="1"/>
  <c r="S23" i="15"/>
  <c r="T23" i="15" s="1"/>
  <c r="L66" i="15"/>
  <c r="M66" i="15" s="1"/>
  <c r="L19" i="15"/>
  <c r="M19" i="15" s="1"/>
  <c r="S63" i="15"/>
  <c r="T63" i="15" s="1"/>
  <c r="Z74" i="15"/>
  <c r="AA74" i="15" s="1"/>
  <c r="L103" i="15"/>
  <c r="L47" i="15"/>
  <c r="M47" i="15" s="1"/>
  <c r="L83" i="15"/>
  <c r="M83" i="15" s="1"/>
  <c r="Z59" i="15"/>
  <c r="AA59" i="15" s="1"/>
  <c r="S60" i="15"/>
  <c r="T60" i="15" s="1"/>
  <c r="L62" i="15"/>
  <c r="M62" i="15" s="1"/>
  <c r="S29" i="15"/>
  <c r="T29" i="15" s="1"/>
  <c r="S19" i="15"/>
  <c r="T19" i="15" s="1"/>
  <c r="L61" i="15"/>
  <c r="M61" i="15" s="1"/>
  <c r="S65" i="15"/>
  <c r="T65" i="15" s="1"/>
  <c r="AT8" i="27"/>
  <c r="S102" i="15"/>
  <c r="T102" i="15" s="1"/>
  <c r="K183" i="15"/>
  <c r="Z18" i="15"/>
  <c r="AA18" i="15" s="1"/>
  <c r="Y383" i="15"/>
  <c r="AE7" i="29"/>
  <c r="AF7" i="29" s="1"/>
  <c r="K70" i="15"/>
  <c r="K85" i="15"/>
  <c r="R70" i="15"/>
  <c r="AG71" i="15"/>
  <c r="AG44" i="15"/>
  <c r="AY7" i="28" s="1"/>
  <c r="AF70" i="15"/>
  <c r="Y70" i="15"/>
  <c r="AA86" i="15"/>
  <c r="T86" i="15"/>
  <c r="T71" i="15"/>
  <c r="AE13" i="28"/>
  <c r="T110" i="15"/>
  <c r="W303" i="15"/>
  <c r="K227" i="15"/>
  <c r="K118" i="15"/>
  <c r="T120" i="15"/>
  <c r="S238" i="15"/>
  <c r="S183" i="15"/>
  <c r="AE183" i="15"/>
  <c r="P386" i="15"/>
  <c r="W333" i="15"/>
  <c r="AC8" i="17" s="1"/>
  <c r="Y303" i="15"/>
  <c r="W386" i="15"/>
  <c r="X238" i="15"/>
  <c r="AG7" i="27" s="1"/>
  <c r="X183" i="15"/>
  <c r="AA120" i="15"/>
  <c r="AT7" i="27" s="1"/>
  <c r="Z183" i="15"/>
  <c r="Z238" i="15"/>
  <c r="AM7" i="27" s="1"/>
  <c r="AG183" i="15"/>
  <c r="T239" i="15"/>
  <c r="AA239" i="15"/>
  <c r="AE382" i="15"/>
  <c r="AE383" i="15" s="1"/>
  <c r="AV9" i="27" s="1"/>
  <c r="T334" i="15"/>
  <c r="T382" i="15" s="1"/>
  <c r="T383" i="15" s="1"/>
  <c r="Y9" i="27" s="1"/>
  <c r="S382" i="15"/>
  <c r="S383" i="15" s="1"/>
  <c r="AF43" i="15"/>
  <c r="L382" i="15"/>
  <c r="L383" i="15" s="1"/>
  <c r="I9" i="27" s="1"/>
  <c r="K382" i="15"/>
  <c r="K383" i="15" s="1"/>
  <c r="I9" i="17" s="1"/>
  <c r="L9" i="17" s="1"/>
  <c r="AF183" i="15"/>
  <c r="P303" i="15"/>
  <c r="P333" i="15" s="1"/>
  <c r="AF303" i="15"/>
  <c r="AD303" i="15"/>
  <c r="AA110" i="15"/>
  <c r="Q183" i="15"/>
  <c r="Q238" i="15"/>
  <c r="R7" i="27" s="1"/>
  <c r="AD333" i="15"/>
  <c r="AP8" i="17" s="1"/>
  <c r="AG110" i="15"/>
  <c r="AF118" i="15"/>
  <c r="AU7" i="28"/>
  <c r="Q382" i="15"/>
  <c r="Q383" i="15" s="1"/>
  <c r="R9" i="27" s="1"/>
  <c r="M239" i="15"/>
  <c r="AG18" i="15"/>
  <c r="K332" i="15"/>
  <c r="L332" i="15"/>
  <c r="BN186" i="3"/>
  <c r="I89" i="15" s="1"/>
  <c r="J89" i="15" s="1"/>
  <c r="AN103" i="3"/>
  <c r="P13" i="18"/>
  <c r="Q13" i="18" s="1"/>
  <c r="AE186" i="3"/>
  <c r="H89" i="15" s="1"/>
  <c r="M332" i="15"/>
  <c r="V6" i="18"/>
  <c r="Y6" i="18" s="1"/>
  <c r="AL141" i="3"/>
  <c r="AO141" i="3"/>
  <c r="BP141" i="3"/>
  <c r="P20" i="15" s="1"/>
  <c r="M120" i="15"/>
  <c r="M71" i="15"/>
  <c r="J264" i="15"/>
  <c r="I383" i="15"/>
  <c r="M86" i="15"/>
  <c r="AF102" i="3"/>
  <c r="AI12" i="28"/>
  <c r="AH12" i="28"/>
  <c r="AG12" i="28"/>
  <c r="H12" i="28"/>
  <c r="AF12" i="28"/>
  <c r="E12" i="28"/>
  <c r="D12" i="28"/>
  <c r="G12" i="28"/>
  <c r="V11" i="29"/>
  <c r="U11" i="29"/>
  <c r="T18" i="15"/>
  <c r="BG9" i="27"/>
  <c r="BE9" i="27"/>
  <c r="BC9" i="27"/>
  <c r="BD9" i="27"/>
  <c r="S11" i="29"/>
  <c r="T11" i="29"/>
  <c r="T111" i="15"/>
  <c r="T44" i="15"/>
  <c r="H6" i="28"/>
  <c r="D6" i="28"/>
  <c r="G6" i="28"/>
  <c r="F6" i="28"/>
  <c r="E6" i="28"/>
  <c r="AE264" i="15"/>
  <c r="AV14" i="28"/>
  <c r="AX14" i="28"/>
  <c r="AW14" i="28"/>
  <c r="AU14" i="28"/>
  <c r="AT14" i="28"/>
  <c r="AU11" i="29"/>
  <c r="AW11" i="29"/>
  <c r="AT11" i="29"/>
  <c r="AX11" i="29"/>
  <c r="AV11" i="29"/>
  <c r="BD14" i="28"/>
  <c r="AZ14" i="28"/>
  <c r="BB14" i="28"/>
  <c r="BC14" i="28"/>
  <c r="I6" i="18"/>
  <c r="J6" i="18" s="1"/>
  <c r="H14" i="28"/>
  <c r="G14" i="28"/>
  <c r="E14" i="28"/>
  <c r="D14" i="28"/>
  <c r="F14" i="28"/>
  <c r="AW7" i="29"/>
  <c r="AX7" i="29"/>
  <c r="AT7" i="29"/>
  <c r="AV7" i="29"/>
  <c r="AU7" i="29"/>
  <c r="U8" i="29"/>
  <c r="R8" i="29"/>
  <c r="S8" i="29"/>
  <c r="T8" i="29"/>
  <c r="V8" i="29"/>
  <c r="V14" i="28"/>
  <c r="S14" i="28"/>
  <c r="T14" i="28"/>
  <c r="U14" i="28"/>
  <c r="R14" i="28"/>
  <c r="V13" i="28"/>
  <c r="U13" i="28"/>
  <c r="T13" i="28"/>
  <c r="R13" i="28"/>
  <c r="S13" i="28"/>
  <c r="R238" i="15"/>
  <c r="AX6" i="28"/>
  <c r="AW6" i="28"/>
  <c r="AT6" i="28"/>
  <c r="AV6" i="28"/>
  <c r="AU6" i="28"/>
  <c r="V12" i="28"/>
  <c r="T12" i="28"/>
  <c r="U12" i="28"/>
  <c r="S12" i="28"/>
  <c r="R12" i="28"/>
  <c r="AI9" i="27"/>
  <c r="AJ9" i="27"/>
  <c r="AL9" i="27"/>
  <c r="AK9" i="27"/>
  <c r="AH9" i="27"/>
  <c r="AI14" i="28"/>
  <c r="AG14" i="28"/>
  <c r="AJ14" i="28"/>
  <c r="AF14" i="28"/>
  <c r="AH14" i="28"/>
  <c r="V8" i="28"/>
  <c r="U8" i="28"/>
  <c r="T8" i="28"/>
  <c r="R8" i="28"/>
  <c r="S8" i="28"/>
  <c r="AJ11" i="29"/>
  <c r="AG11" i="29"/>
  <c r="AF11" i="29"/>
  <c r="AH11" i="29"/>
  <c r="I12" i="18"/>
  <c r="K12" i="18" s="1"/>
  <c r="BC12" i="28"/>
  <c r="BD12" i="28"/>
  <c r="BB12" i="28"/>
  <c r="AZ12" i="28"/>
  <c r="BA12" i="28"/>
  <c r="H11" i="29"/>
  <c r="F11" i="29"/>
  <c r="D11" i="29"/>
  <c r="E11" i="29"/>
  <c r="G11" i="29"/>
  <c r="AF6" i="28"/>
  <c r="AJ6" i="28"/>
  <c r="AG6" i="28"/>
  <c r="AI6" i="28"/>
  <c r="AH6" i="28"/>
  <c r="Q7" i="29"/>
  <c r="AP9" i="18"/>
  <c r="AU9" i="18" s="1"/>
  <c r="AE108" i="15"/>
  <c r="AS9" i="28" s="1"/>
  <c r="P238" i="15"/>
  <c r="AV8" i="28"/>
  <c r="AW8" i="28"/>
  <c r="AX8" i="28"/>
  <c r="AU8" i="28"/>
  <c r="AT8" i="28"/>
  <c r="AV6" i="18"/>
  <c r="AX6" i="18" s="1"/>
  <c r="AG15" i="15"/>
  <c r="AG264" i="15"/>
  <c r="AG303" i="15" s="1"/>
  <c r="AV8" i="29"/>
  <c r="AX8" i="29"/>
  <c r="AT8" i="29"/>
  <c r="AU8" i="29"/>
  <c r="AW8" i="29"/>
  <c r="BD11" i="29"/>
  <c r="AZ11" i="29"/>
  <c r="BC11" i="29"/>
  <c r="BA11" i="29"/>
  <c r="BB11" i="29"/>
  <c r="V6" i="28"/>
  <c r="T6" i="28"/>
  <c r="R6" i="28"/>
  <c r="S6" i="28"/>
  <c r="U6" i="28"/>
  <c r="AV12" i="28"/>
  <c r="AU12" i="28"/>
  <c r="AX12" i="28"/>
  <c r="AW12" i="28"/>
  <c r="AT12" i="28"/>
  <c r="AA264" i="15"/>
  <c r="X264" i="15"/>
  <c r="X386" i="15" s="1"/>
  <c r="AI12" i="18"/>
  <c r="AL12" i="18" s="1"/>
  <c r="AK12" i="28"/>
  <c r="AC9" i="18"/>
  <c r="AH9" i="18" s="1"/>
  <c r="X108" i="15"/>
  <c r="AE9" i="28" s="1"/>
  <c r="AI6" i="18"/>
  <c r="AJ6" i="18" s="1"/>
  <c r="V12" i="18"/>
  <c r="W12" i="18" s="1"/>
  <c r="W12" i="28"/>
  <c r="R383" i="15"/>
  <c r="V9" i="17" s="1"/>
  <c r="P109" i="15"/>
  <c r="Q108" i="15"/>
  <c r="Q9" i="28" s="1"/>
  <c r="Q264" i="15"/>
  <c r="Q333" i="15" s="1"/>
  <c r="P7" i="16"/>
  <c r="Q7" i="16" s="1"/>
  <c r="AD102" i="3"/>
  <c r="P383" i="15"/>
  <c r="AI7" i="18"/>
  <c r="AV7" i="18"/>
  <c r="AV11" i="18"/>
  <c r="V8" i="18"/>
  <c r="Z8" i="18" s="1"/>
  <c r="V7" i="18"/>
  <c r="O21" i="15"/>
  <c r="BO142" i="3"/>
  <c r="AN142" i="3"/>
  <c r="AQ7" i="18"/>
  <c r="AS7" i="18"/>
  <c r="AR7" i="18"/>
  <c r="AU7" i="18"/>
  <c r="AT7" i="18"/>
  <c r="AQ14" i="18"/>
  <c r="AU14" i="18"/>
  <c r="AT14" i="18"/>
  <c r="AS14" i="18"/>
  <c r="AR14" i="18"/>
  <c r="V13" i="18"/>
  <c r="AD9" i="17"/>
  <c r="AF9" i="17"/>
  <c r="AE9" i="17"/>
  <c r="AG9" i="17"/>
  <c r="AH9" i="17"/>
  <c r="AQ6" i="18"/>
  <c r="AU6" i="18"/>
  <c r="AT6" i="18"/>
  <c r="AS6" i="18"/>
  <c r="AR6" i="18"/>
  <c r="AD14" i="18"/>
  <c r="AH14" i="18"/>
  <c r="AG14" i="18"/>
  <c r="AF14" i="18"/>
  <c r="AE14" i="18"/>
  <c r="J14" i="18"/>
  <c r="N14" i="18"/>
  <c r="L14" i="18"/>
  <c r="K14" i="18"/>
  <c r="M14" i="18"/>
  <c r="AD7" i="18"/>
  <c r="AF7" i="18"/>
  <c r="AH7" i="18"/>
  <c r="AG7" i="18"/>
  <c r="AE7" i="18"/>
  <c r="AW14" i="18"/>
  <c r="BA14" i="18"/>
  <c r="AZ14" i="18"/>
  <c r="AY14" i="18"/>
  <c r="AX14" i="18"/>
  <c r="Q12" i="18"/>
  <c r="S12" i="18"/>
  <c r="U12" i="18"/>
  <c r="T12" i="18"/>
  <c r="R12" i="18"/>
  <c r="U6" i="18"/>
  <c r="T6" i="18"/>
  <c r="S6" i="18"/>
  <c r="R6" i="18"/>
  <c r="AD6" i="18"/>
  <c r="AH6" i="18"/>
  <c r="AG6" i="18"/>
  <c r="AF6" i="18"/>
  <c r="AE6" i="18"/>
  <c r="Q7" i="18"/>
  <c r="S7" i="18"/>
  <c r="U7" i="18"/>
  <c r="T7" i="18"/>
  <c r="R7" i="18"/>
  <c r="AQ9" i="17"/>
  <c r="AU9" i="17"/>
  <c r="AT9" i="17"/>
  <c r="AS9" i="17"/>
  <c r="AR9" i="17"/>
  <c r="AQ12" i="18"/>
  <c r="AU12" i="18"/>
  <c r="AT12" i="18"/>
  <c r="AS12" i="18"/>
  <c r="AR12" i="18"/>
  <c r="U8" i="18"/>
  <c r="T8" i="18"/>
  <c r="S8" i="18"/>
  <c r="R8" i="18"/>
  <c r="AX9" i="17"/>
  <c r="BA9" i="17"/>
  <c r="AZ9" i="17"/>
  <c r="AY9" i="17"/>
  <c r="AW9" i="17"/>
  <c r="D12" i="18"/>
  <c r="F12" i="18"/>
  <c r="H12" i="18"/>
  <c r="G12" i="18"/>
  <c r="E12" i="18"/>
  <c r="AQ8" i="18"/>
  <c r="AU8" i="18"/>
  <c r="AT8" i="18"/>
  <c r="AS8" i="18"/>
  <c r="AR8" i="18"/>
  <c r="D14" i="18"/>
  <c r="F14" i="18"/>
  <c r="H14" i="18"/>
  <c r="G14" i="18"/>
  <c r="E14" i="18"/>
  <c r="D6" i="18"/>
  <c r="E6" i="18"/>
  <c r="G6" i="18"/>
  <c r="H6" i="18"/>
  <c r="F6" i="18"/>
  <c r="Q14" i="18"/>
  <c r="S14" i="18"/>
  <c r="U14" i="18"/>
  <c r="T14" i="18"/>
  <c r="R14" i="18"/>
  <c r="AD12" i="18"/>
  <c r="AH12" i="18"/>
  <c r="AG12" i="18"/>
  <c r="AF12" i="18"/>
  <c r="AE12" i="18"/>
  <c r="AL14" i="18"/>
  <c r="AK14" i="18"/>
  <c r="AN14" i="18"/>
  <c r="AJ14" i="18"/>
  <c r="AM14" i="18"/>
  <c r="W14" i="18"/>
  <c r="AA14" i="18" s="1"/>
  <c r="Y14" i="18"/>
  <c r="Z14" i="18"/>
  <c r="X14" i="18"/>
  <c r="R118" i="15"/>
  <c r="R85" i="15"/>
  <c r="AE160" i="3"/>
  <c r="H94" i="15" s="1"/>
  <c r="BM102" i="3"/>
  <c r="AP102" i="3"/>
  <c r="P9" i="18"/>
  <c r="O15" i="15"/>
  <c r="BO102" i="3"/>
  <c r="AN102" i="3"/>
  <c r="O71" i="15"/>
  <c r="I13" i="18"/>
  <c r="AC13" i="18"/>
  <c r="W109" i="15"/>
  <c r="AD109" i="15"/>
  <c r="I8" i="18"/>
  <c r="K108" i="15"/>
  <c r="R108" i="15"/>
  <c r="Y108" i="15"/>
  <c r="Z108" i="15" s="1"/>
  <c r="AF108" i="15"/>
  <c r="BN72" i="3"/>
  <c r="AE72" i="3"/>
  <c r="W83" i="15"/>
  <c r="X83" i="15" s="1"/>
  <c r="W71" i="15"/>
  <c r="X71" i="15" s="1"/>
  <c r="H18" i="15"/>
  <c r="AD178" i="3"/>
  <c r="AZ178" i="3"/>
  <c r="AF178" i="3"/>
  <c r="AP178" i="3"/>
  <c r="BM178" i="3"/>
  <c r="BJ178" i="3"/>
  <c r="AE66" i="3"/>
  <c r="AE104" i="3"/>
  <c r="AE166" i="3"/>
  <c r="H99" i="15" s="1"/>
  <c r="AB141" i="3"/>
  <c r="H20" i="15" s="1"/>
  <c r="AZ142" i="3"/>
  <c r="AP142" i="3"/>
  <c r="BJ142" i="3"/>
  <c r="AF142" i="3"/>
  <c r="BM142" i="3"/>
  <c r="AD142" i="3"/>
  <c r="AF103" i="3"/>
  <c r="AP103" i="3"/>
  <c r="AD103" i="3"/>
  <c r="AZ103" i="3"/>
  <c r="BJ103" i="3"/>
  <c r="H320" i="15"/>
  <c r="K320" i="15"/>
  <c r="L320" i="15" s="1"/>
  <c r="I320" i="15"/>
  <c r="J320" i="15" s="1"/>
  <c r="Y320" i="15"/>
  <c r="Z320" i="15" s="1"/>
  <c r="R320" i="15"/>
  <c r="AF320" i="15"/>
  <c r="AG320" i="15" s="1"/>
  <c r="AG322" i="15" s="1"/>
  <c r="AE73" i="3"/>
  <c r="AV12" i="18"/>
  <c r="AV8" i="18"/>
  <c r="I7" i="18"/>
  <c r="AP11" i="16"/>
  <c r="AC11" i="16"/>
  <c r="C11" i="16"/>
  <c r="P11" i="16"/>
  <c r="AI11" i="16"/>
  <c r="AP7" i="16"/>
  <c r="AV11" i="16"/>
  <c r="AC7" i="16"/>
  <c r="I11" i="16"/>
  <c r="V11" i="16"/>
  <c r="AP8" i="16"/>
  <c r="P8" i="16"/>
  <c r="Y22" i="15"/>
  <c r="Z22" i="15" s="1"/>
  <c r="K22" i="15"/>
  <c r="R22" i="15"/>
  <c r="S22" i="15" s="1"/>
  <c r="AD83" i="15"/>
  <c r="AE83" i="15" s="1"/>
  <c r="P83" i="15"/>
  <c r="Q83" i="15" s="1"/>
  <c r="Q10" i="28" s="1"/>
  <c r="BN73" i="3"/>
  <c r="BI142" i="3"/>
  <c r="BN66" i="3"/>
  <c r="BN141" i="3"/>
  <c r="I20" i="15" s="1"/>
  <c r="J20" i="15" s="1"/>
  <c r="AE141" i="3"/>
  <c r="BN187" i="3"/>
  <c r="I107" i="15" s="1"/>
  <c r="J107" i="15" s="1"/>
  <c r="AE187" i="3"/>
  <c r="H107" i="15" s="1"/>
  <c r="BN183" i="3"/>
  <c r="I86" i="15" s="1"/>
  <c r="AE183" i="3"/>
  <c r="H86" i="15" s="1"/>
  <c r="BR142" i="3"/>
  <c r="W21" i="15" s="1"/>
  <c r="X21" i="15" s="1"/>
  <c r="AY142" i="3"/>
  <c r="BN142" i="3"/>
  <c r="I21" i="15" s="1"/>
  <c r="J21" i="15" s="1"/>
  <c r="AE142" i="3"/>
  <c r="AE144" i="3"/>
  <c r="H29" i="15" s="1"/>
  <c r="BN144" i="3"/>
  <c r="I29" i="15" s="1"/>
  <c r="J29" i="15" s="1"/>
  <c r="H116" i="15"/>
  <c r="I116" i="15"/>
  <c r="H83" i="15"/>
  <c r="I83" i="15"/>
  <c r="J83" i="15" s="1"/>
  <c r="BN159" i="3"/>
  <c r="I93" i="15" s="1"/>
  <c r="J93" i="15" s="1"/>
  <c r="AE159" i="3"/>
  <c r="H93" i="15" s="1"/>
  <c r="AE103" i="3"/>
  <c r="I16" i="15"/>
  <c r="J16" i="15" s="1"/>
  <c r="BN166" i="3"/>
  <c r="I99" i="15" s="1"/>
  <c r="J99" i="15" s="1"/>
  <c r="BN104" i="3"/>
  <c r="I17" i="15" s="1"/>
  <c r="BP142" i="3"/>
  <c r="P21" i="15" s="1"/>
  <c r="AO142" i="3"/>
  <c r="BN160" i="3"/>
  <c r="I94" i="15" s="1"/>
  <c r="J94" i="15" s="1"/>
  <c r="BN169" i="3"/>
  <c r="I102" i="15" s="1"/>
  <c r="J102" i="15" s="1"/>
  <c r="AE169" i="3"/>
  <c r="H102" i="15" s="1"/>
  <c r="AK9" i="28" l="1"/>
  <c r="C11" i="28"/>
  <c r="AG43" i="15"/>
  <c r="AY11" i="28"/>
  <c r="X7" i="28"/>
  <c r="AK7" i="28"/>
  <c r="AM7" i="28" s="1"/>
  <c r="AK11" i="28"/>
  <c r="W11" i="28"/>
  <c r="W7" i="28"/>
  <c r="AC7" i="28" s="1"/>
  <c r="I7" i="28"/>
  <c r="O7" i="28" s="1"/>
  <c r="AA71" i="15"/>
  <c r="AK10" i="28"/>
  <c r="AF85" i="15"/>
  <c r="AY10" i="28"/>
  <c r="AY9" i="29"/>
  <c r="I9" i="29"/>
  <c r="I238" i="15"/>
  <c r="J238" i="15" s="1"/>
  <c r="C7" i="27" s="1"/>
  <c r="AD386" i="15"/>
  <c r="BJ102" i="3"/>
  <c r="AP13" i="18"/>
  <c r="AS13" i="18" s="1"/>
  <c r="E8" i="18"/>
  <c r="M237" i="15"/>
  <c r="AF238" i="15"/>
  <c r="AE220" i="15"/>
  <c r="AE386" i="15" s="1"/>
  <c r="AD227" i="15"/>
  <c r="BH7" i="27"/>
  <c r="AD238" i="15"/>
  <c r="AG220" i="15"/>
  <c r="AG386" i="15" s="1"/>
  <c r="AF227" i="15"/>
  <c r="AZ102" i="3"/>
  <c r="BQ102" i="3"/>
  <c r="G8" i="18"/>
  <c r="H8" i="18"/>
  <c r="F8" i="18"/>
  <c r="V15" i="15"/>
  <c r="AX102" i="3"/>
  <c r="AC15" i="15"/>
  <c r="BH102" i="3"/>
  <c r="N11" i="29"/>
  <c r="M42" i="15"/>
  <c r="J12" i="28" s="1"/>
  <c r="M14" i="28"/>
  <c r="AN11" i="29"/>
  <c r="AO14" i="28"/>
  <c r="AP14" i="28"/>
  <c r="AM11" i="29"/>
  <c r="AQ11" i="29"/>
  <c r="AO11" i="29"/>
  <c r="Z11" i="29"/>
  <c r="AC11" i="29"/>
  <c r="Y14" i="28"/>
  <c r="AC14" i="28" s="1"/>
  <c r="AB11" i="29"/>
  <c r="AA14" i="28"/>
  <c r="Z14" i="28"/>
  <c r="Y11" i="29"/>
  <c r="AN14" i="28"/>
  <c r="E8" i="28"/>
  <c r="G8" i="28"/>
  <c r="D8" i="28"/>
  <c r="H8" i="28"/>
  <c r="I13" i="28"/>
  <c r="K13" i="28" s="1"/>
  <c r="AM14" i="28"/>
  <c r="L227" i="15"/>
  <c r="AJ7" i="29"/>
  <c r="AI7" i="29"/>
  <c r="AF385" i="15"/>
  <c r="AV13" i="17" s="1"/>
  <c r="AH7" i="29"/>
  <c r="K14" i="28"/>
  <c r="AG7" i="29"/>
  <c r="N14" i="28"/>
  <c r="O14" i="28"/>
  <c r="L303" i="15"/>
  <c r="M11" i="29"/>
  <c r="M243" i="15"/>
  <c r="L11" i="29"/>
  <c r="K238" i="15"/>
  <c r="O11" i="29"/>
  <c r="Z118" i="15"/>
  <c r="L183" i="15"/>
  <c r="M103" i="15"/>
  <c r="J13" i="28" s="1"/>
  <c r="AK13" i="28"/>
  <c r="AK7" i="29"/>
  <c r="AN7" i="29" s="1"/>
  <c r="I8" i="29"/>
  <c r="O8" i="29" s="1"/>
  <c r="S85" i="15"/>
  <c r="W13" i="28"/>
  <c r="AB13" i="28" s="1"/>
  <c r="T112" i="15"/>
  <c r="T118" i="15" s="1"/>
  <c r="T77" i="15"/>
  <c r="T85" i="15" s="1"/>
  <c r="AA55" i="15"/>
  <c r="AL7" i="29" s="1"/>
  <c r="AA107" i="15"/>
  <c r="AL13" i="28" s="1"/>
  <c r="AA112" i="15"/>
  <c r="AA118" i="15" s="1"/>
  <c r="S108" i="15"/>
  <c r="W9" i="28" s="1"/>
  <c r="X13" i="28"/>
  <c r="L108" i="15"/>
  <c r="Z70" i="15"/>
  <c r="W8" i="28"/>
  <c r="Y8" i="28" s="1"/>
  <c r="R386" i="15"/>
  <c r="S320" i="15"/>
  <c r="K385" i="15"/>
  <c r="I13" i="17" s="1"/>
  <c r="N13" i="17" s="1"/>
  <c r="L22" i="15"/>
  <c r="M22" i="15" s="1"/>
  <c r="S118" i="15"/>
  <c r="Y118" i="15"/>
  <c r="AI8" i="16" s="1"/>
  <c r="AI8" i="18"/>
  <c r="AJ8" i="18" s="1"/>
  <c r="X113" i="15"/>
  <c r="W118" i="15"/>
  <c r="AC8" i="16" s="1"/>
  <c r="AD8" i="16" s="1"/>
  <c r="AC8" i="18"/>
  <c r="AA237" i="15"/>
  <c r="AL11" i="29"/>
  <c r="AI9" i="17"/>
  <c r="W7" i="29"/>
  <c r="AC7" i="29" s="1"/>
  <c r="S70" i="15"/>
  <c r="AF119" i="15"/>
  <c r="AY7" i="29"/>
  <c r="AZ7" i="29" s="1"/>
  <c r="AG70" i="15"/>
  <c r="AZ7" i="28"/>
  <c r="X7" i="29"/>
  <c r="T70" i="15"/>
  <c r="R385" i="15"/>
  <c r="I7" i="29"/>
  <c r="L7" i="29" s="1"/>
  <c r="L70" i="15"/>
  <c r="L85" i="15"/>
  <c r="I10" i="28"/>
  <c r="L10" i="28" s="1"/>
  <c r="AG85" i="15"/>
  <c r="Y119" i="15"/>
  <c r="Z85" i="15"/>
  <c r="AA85" i="15"/>
  <c r="Y333" i="15"/>
  <c r="Y385" i="15"/>
  <c r="AI13" i="17" s="1"/>
  <c r="AY6" i="29"/>
  <c r="AK8" i="28"/>
  <c r="AP8" i="28" s="1"/>
  <c r="AG118" i="15"/>
  <c r="AY8" i="28"/>
  <c r="BA8" i="28" s="1"/>
  <c r="AK8" i="29"/>
  <c r="AO8" i="29" s="1"/>
  <c r="L118" i="15"/>
  <c r="I8" i="28"/>
  <c r="N8" i="28" s="1"/>
  <c r="W6" i="29"/>
  <c r="AA382" i="15"/>
  <c r="AE11" i="27"/>
  <c r="AE6" i="27"/>
  <c r="P8" i="27"/>
  <c r="J383" i="15"/>
  <c r="AQ9" i="27"/>
  <c r="AR9" i="27"/>
  <c r="AS9" i="27"/>
  <c r="AO9" i="27"/>
  <c r="AV7" i="28"/>
  <c r="AI7" i="28"/>
  <c r="AG7" i="28"/>
  <c r="AJ7" i="28"/>
  <c r="M44" i="15"/>
  <c r="J7" i="28" s="1"/>
  <c r="AW7" i="28"/>
  <c r="AX7" i="28"/>
  <c r="M110" i="15"/>
  <c r="AT7" i="28"/>
  <c r="AF7" i="28"/>
  <c r="M334" i="15"/>
  <c r="M382" i="15" s="1"/>
  <c r="M383" i="15" s="1"/>
  <c r="J9" i="27" s="1"/>
  <c r="AY8" i="29"/>
  <c r="BD8" i="29" s="1"/>
  <c r="L386" i="15"/>
  <c r="AE303" i="15"/>
  <c r="AZ9" i="27"/>
  <c r="AY9" i="27"/>
  <c r="BA9" i="27"/>
  <c r="AX9" i="27"/>
  <c r="AW9" i="27"/>
  <c r="V9" i="27"/>
  <c r="T9" i="27"/>
  <c r="S9" i="27"/>
  <c r="W9" i="27"/>
  <c r="U9" i="27"/>
  <c r="J86" i="15"/>
  <c r="M183" i="15"/>
  <c r="AE333" i="15"/>
  <c r="AV8" i="27" s="1"/>
  <c r="BA8" i="27" s="1"/>
  <c r="Q386" i="15"/>
  <c r="AG333" i="15"/>
  <c r="BB8" i="27" s="1"/>
  <c r="Q303" i="15"/>
  <c r="T238" i="15"/>
  <c r="Y7" i="27" s="1"/>
  <c r="T183" i="15"/>
  <c r="I386" i="15"/>
  <c r="J386" i="15" s="1"/>
  <c r="Y43" i="15"/>
  <c r="I70" i="15"/>
  <c r="J70" i="15" s="1"/>
  <c r="AF386" i="15"/>
  <c r="R43" i="15"/>
  <c r="X303" i="15"/>
  <c r="Z303" i="15"/>
  <c r="K386" i="15"/>
  <c r="AA238" i="15"/>
  <c r="AN7" i="27" s="1"/>
  <c r="AA183" i="15"/>
  <c r="K43" i="15"/>
  <c r="AF333" i="15"/>
  <c r="S43" i="15"/>
  <c r="X333" i="15"/>
  <c r="AG8" i="27" s="1"/>
  <c r="Y386" i="15"/>
  <c r="Q20" i="15"/>
  <c r="P385" i="15"/>
  <c r="AA303" i="15"/>
  <c r="I43" i="15"/>
  <c r="J43" i="15" s="1"/>
  <c r="AA15" i="15"/>
  <c r="R13" i="18"/>
  <c r="S13" i="18"/>
  <c r="U13" i="18"/>
  <c r="T13" i="18"/>
  <c r="W6" i="18"/>
  <c r="Z6" i="18"/>
  <c r="AA6" i="18"/>
  <c r="X6" i="18"/>
  <c r="AC6" i="28"/>
  <c r="Y6" i="28"/>
  <c r="AA6" i="28"/>
  <c r="Z6" i="28"/>
  <c r="O20" i="15"/>
  <c r="AN141" i="3"/>
  <c r="BO141" i="3"/>
  <c r="C9" i="17"/>
  <c r="F9" i="17" s="1"/>
  <c r="M18" i="15"/>
  <c r="T15" i="15"/>
  <c r="M264" i="15"/>
  <c r="C9" i="27"/>
  <c r="E9" i="27" s="1"/>
  <c r="M15" i="15"/>
  <c r="M85" i="15"/>
  <c r="M320" i="15"/>
  <c r="M322" i="15" s="1"/>
  <c r="L322" i="15"/>
  <c r="I11" i="18"/>
  <c r="M11" i="18" s="1"/>
  <c r="I118" i="15"/>
  <c r="J118" i="15" s="1"/>
  <c r="J116" i="15"/>
  <c r="C8" i="29" s="1"/>
  <c r="H8" i="29" s="1"/>
  <c r="AN6" i="18"/>
  <c r="K6" i="18"/>
  <c r="L6" i="18"/>
  <c r="M6" i="18"/>
  <c r="N6" i="18"/>
  <c r="AK6" i="18"/>
  <c r="AM6" i="18"/>
  <c r="AN6" i="28"/>
  <c r="AM12" i="28"/>
  <c r="AA42" i="15"/>
  <c r="AL12" i="28" s="1"/>
  <c r="AT9" i="18"/>
  <c r="AR9" i="18"/>
  <c r="AS9" i="18"/>
  <c r="M12" i="18"/>
  <c r="AQ9" i="18"/>
  <c r="L12" i="18"/>
  <c r="J12" i="18"/>
  <c r="N12" i="18"/>
  <c r="U7" i="16"/>
  <c r="Z8" i="29"/>
  <c r="Y8" i="29"/>
  <c r="AA8" i="29"/>
  <c r="AD9" i="18"/>
  <c r="AF9" i="18"/>
  <c r="AE9" i="18"/>
  <c r="AG9" i="18"/>
  <c r="AL6" i="18"/>
  <c r="AC8" i="29"/>
  <c r="J9" i="17"/>
  <c r="AC12" i="28"/>
  <c r="T42" i="15"/>
  <c r="X12" i="28" s="1"/>
  <c r="X7" i="27"/>
  <c r="AC7" i="27" s="1"/>
  <c r="X9" i="27"/>
  <c r="T264" i="15"/>
  <c r="T22" i="15"/>
  <c r="AV9" i="18"/>
  <c r="BA9" i="18" s="1"/>
  <c r="AG108" i="15"/>
  <c r="V7" i="28"/>
  <c r="T7" i="28"/>
  <c r="R7" i="28"/>
  <c r="S7" i="28"/>
  <c r="U7" i="28"/>
  <c r="M9" i="17"/>
  <c r="BA6" i="18"/>
  <c r="AI7" i="27"/>
  <c r="AL7" i="27"/>
  <c r="AJ7" i="27"/>
  <c r="AK7" i="27"/>
  <c r="AH7" i="27"/>
  <c r="Q85" i="15"/>
  <c r="Q9" i="29"/>
  <c r="I9" i="18"/>
  <c r="K9" i="18" s="1"/>
  <c r="N9" i="17"/>
  <c r="AZ6" i="18"/>
  <c r="Q109" i="15"/>
  <c r="Q10" i="29"/>
  <c r="W7" i="27"/>
  <c r="V7" i="27"/>
  <c r="T7" i="27"/>
  <c r="U7" i="27"/>
  <c r="S7" i="27"/>
  <c r="X109" i="15"/>
  <c r="AE10" i="29"/>
  <c r="AR7" i="27"/>
  <c r="AO7" i="27"/>
  <c r="AS7" i="27"/>
  <c r="AQ7" i="27"/>
  <c r="AP7" i="27"/>
  <c r="AE109" i="15"/>
  <c r="K9" i="17"/>
  <c r="AW6" i="18"/>
  <c r="R7" i="29"/>
  <c r="V7" i="29"/>
  <c r="S7" i="29"/>
  <c r="T7" i="29"/>
  <c r="U7" i="29"/>
  <c r="K12" i="28"/>
  <c r="M12" i="28"/>
  <c r="O12" i="28"/>
  <c r="L12" i="28"/>
  <c r="N12" i="28"/>
  <c r="BD6" i="28"/>
  <c r="BA6" i="28"/>
  <c r="BB6" i="28"/>
  <c r="BC6" i="28"/>
  <c r="AZ6" i="28"/>
  <c r="K9" i="27"/>
  <c r="M9" i="27"/>
  <c r="O9" i="27"/>
  <c r="N9" i="27"/>
  <c r="L9" i="27"/>
  <c r="AY6" i="18"/>
  <c r="K6" i="28"/>
  <c r="N6" i="28"/>
  <c r="M6" i="28"/>
  <c r="L6" i="28"/>
  <c r="O6" i="28"/>
  <c r="Z12" i="18"/>
  <c r="AA12" i="18"/>
  <c r="AI11" i="18"/>
  <c r="AL11" i="18" s="1"/>
  <c r="AK6" i="29"/>
  <c r="Y322" i="15"/>
  <c r="AM12" i="18"/>
  <c r="AN12" i="18"/>
  <c r="AJ12" i="18"/>
  <c r="AK12" i="18"/>
  <c r="AI13" i="18"/>
  <c r="AL13" i="18" s="1"/>
  <c r="R7" i="16"/>
  <c r="W9" i="17"/>
  <c r="AA9" i="17"/>
  <c r="X9" i="17"/>
  <c r="Z9" i="17"/>
  <c r="Y9" i="17"/>
  <c r="X12" i="18"/>
  <c r="S7" i="16"/>
  <c r="T7" i="16"/>
  <c r="Y12" i="18"/>
  <c r="Q21" i="15"/>
  <c r="R8" i="27"/>
  <c r="P8" i="17"/>
  <c r="T8" i="17" s="1"/>
  <c r="P9" i="17"/>
  <c r="Q9" i="17" s="1"/>
  <c r="P7" i="17"/>
  <c r="AF322" i="15"/>
  <c r="P11" i="18"/>
  <c r="W8" i="18"/>
  <c r="W13" i="18"/>
  <c r="AA8" i="18"/>
  <c r="X8" i="18"/>
  <c r="Y8" i="18"/>
  <c r="P85" i="15"/>
  <c r="P10" i="18"/>
  <c r="V11" i="18"/>
  <c r="W11" i="18" s="1"/>
  <c r="AD7" i="16"/>
  <c r="AH7" i="16"/>
  <c r="AG7" i="16"/>
  <c r="AF7" i="16"/>
  <c r="AE7" i="16"/>
  <c r="W7" i="18"/>
  <c r="Y7" i="18"/>
  <c r="AA7" i="18"/>
  <c r="Z7" i="18"/>
  <c r="X7" i="18"/>
  <c r="AW11" i="16"/>
  <c r="BA11" i="16"/>
  <c r="AZ11" i="16"/>
  <c r="AY11" i="16"/>
  <c r="AX11" i="16"/>
  <c r="J7" i="18"/>
  <c r="L7" i="18"/>
  <c r="N7" i="18"/>
  <c r="M7" i="18"/>
  <c r="K7" i="18"/>
  <c r="AQ8" i="17"/>
  <c r="AS8" i="17"/>
  <c r="AR8" i="17"/>
  <c r="AU8" i="17"/>
  <c r="AT8" i="17"/>
  <c r="AQ7" i="16"/>
  <c r="AR7" i="16"/>
  <c r="AU7" i="16"/>
  <c r="AT7" i="16"/>
  <c r="AS7" i="16"/>
  <c r="AW8" i="18"/>
  <c r="AX8" i="18"/>
  <c r="AZ8" i="18"/>
  <c r="BA8" i="18"/>
  <c r="AY8" i="18"/>
  <c r="J8" i="18"/>
  <c r="N8" i="18"/>
  <c r="M8" i="18"/>
  <c r="L8" i="18"/>
  <c r="K8" i="18"/>
  <c r="T8" i="16"/>
  <c r="S8" i="16"/>
  <c r="R8" i="16"/>
  <c r="Q8" i="16"/>
  <c r="U8" i="16"/>
  <c r="AK11" i="16"/>
  <c r="AN11" i="16"/>
  <c r="AM11" i="16"/>
  <c r="AL11" i="16"/>
  <c r="AJ11" i="16"/>
  <c r="C11" i="18"/>
  <c r="D11" i="18" s="1"/>
  <c r="AQ8" i="16"/>
  <c r="AT8" i="16"/>
  <c r="AS8" i="16"/>
  <c r="AR8" i="16"/>
  <c r="AU8" i="16"/>
  <c r="Q11" i="16"/>
  <c r="U11" i="16"/>
  <c r="T11" i="16"/>
  <c r="S11" i="16"/>
  <c r="R11" i="16"/>
  <c r="BA12" i="18"/>
  <c r="AZ12" i="18"/>
  <c r="AY12" i="18"/>
  <c r="AX12" i="18"/>
  <c r="AW12" i="18"/>
  <c r="AQ13" i="18"/>
  <c r="D11" i="16"/>
  <c r="H11" i="16"/>
  <c r="G11" i="16"/>
  <c r="F11" i="16"/>
  <c r="E11" i="16"/>
  <c r="AJ7" i="18"/>
  <c r="AN7" i="18"/>
  <c r="AM7" i="18"/>
  <c r="AL7" i="18"/>
  <c r="AK7" i="18"/>
  <c r="R322" i="15"/>
  <c r="Q9" i="18"/>
  <c r="S9" i="18"/>
  <c r="U9" i="18"/>
  <c r="T9" i="18"/>
  <c r="R9" i="18"/>
  <c r="AD8" i="17"/>
  <c r="AH8" i="17"/>
  <c r="AG8" i="17"/>
  <c r="AF8" i="17"/>
  <c r="AE8" i="17"/>
  <c r="AA11" i="16"/>
  <c r="Z11" i="16"/>
  <c r="Y11" i="16"/>
  <c r="X11" i="16"/>
  <c r="W11" i="16"/>
  <c r="AD11" i="16"/>
  <c r="AF11" i="16"/>
  <c r="AH11" i="16"/>
  <c r="AE11" i="16"/>
  <c r="AW7" i="18"/>
  <c r="BA7" i="18"/>
  <c r="AZ7" i="18"/>
  <c r="AY7" i="18"/>
  <c r="AX7" i="18"/>
  <c r="J13" i="18"/>
  <c r="N13" i="18"/>
  <c r="M13" i="18"/>
  <c r="L13" i="18"/>
  <c r="K13" i="18"/>
  <c r="J11" i="16"/>
  <c r="K11" i="16"/>
  <c r="M11" i="16"/>
  <c r="N11" i="16"/>
  <c r="L11" i="16"/>
  <c r="AQ11" i="16"/>
  <c r="AT11" i="16"/>
  <c r="AS11" i="16"/>
  <c r="AR11" i="16"/>
  <c r="AU11" i="16"/>
  <c r="AD13" i="18"/>
  <c r="AF13" i="18"/>
  <c r="AH13" i="18"/>
  <c r="AG13" i="18"/>
  <c r="AE13" i="18"/>
  <c r="AA13" i="18"/>
  <c r="Z13" i="18"/>
  <c r="Y13" i="18"/>
  <c r="X13" i="18"/>
  <c r="P43" i="15"/>
  <c r="AW11" i="18"/>
  <c r="AX11" i="18"/>
  <c r="BA11" i="18"/>
  <c r="AZ11" i="18"/>
  <c r="AY11" i="18"/>
  <c r="R109" i="15"/>
  <c r="C7" i="18"/>
  <c r="I322" i="15"/>
  <c r="K322" i="15"/>
  <c r="K333" i="15" s="1"/>
  <c r="K109" i="15"/>
  <c r="AF109" i="15"/>
  <c r="AV13" i="18"/>
  <c r="AI9" i="18"/>
  <c r="Y109" i="15"/>
  <c r="C13" i="18"/>
  <c r="V9" i="18"/>
  <c r="H108" i="15"/>
  <c r="I108" i="15"/>
  <c r="J108" i="15" s="1"/>
  <c r="I10" i="18"/>
  <c r="AD141" i="3"/>
  <c r="AF141" i="3"/>
  <c r="BM141" i="3"/>
  <c r="AZ141" i="3"/>
  <c r="BJ141" i="3"/>
  <c r="AP141" i="3"/>
  <c r="V10" i="18"/>
  <c r="AV10" i="18"/>
  <c r="AI10" i="18"/>
  <c r="AV8" i="16"/>
  <c r="I8" i="16"/>
  <c r="AV6" i="16"/>
  <c r="V8" i="16"/>
  <c r="I7" i="16"/>
  <c r="V7" i="16"/>
  <c r="AI7" i="16"/>
  <c r="AV7" i="16"/>
  <c r="BG152" i="14"/>
  <c r="BA152" i="14"/>
  <c r="AX152" i="14"/>
  <c r="AO152" i="14"/>
  <c r="AF152" i="14"/>
  <c r="V152" i="14"/>
  <c r="Z152" i="14" s="1"/>
  <c r="K152" i="14"/>
  <c r="W152" i="14" s="1"/>
  <c r="AA152" i="14" s="1"/>
  <c r="B152" i="14"/>
  <c r="BG151" i="14"/>
  <c r="AX151" i="14"/>
  <c r="AO151" i="14"/>
  <c r="AF151" i="14"/>
  <c r="V151" i="14"/>
  <c r="AR151" i="14" s="1"/>
  <c r="K151" i="14"/>
  <c r="W151" i="14" s="1"/>
  <c r="AA151" i="14" s="1"/>
  <c r="B151" i="14"/>
  <c r="BG150" i="14"/>
  <c r="AX150" i="14"/>
  <c r="AO150" i="14"/>
  <c r="AF150" i="14"/>
  <c r="AD150" i="14"/>
  <c r="V150" i="14"/>
  <c r="AR150" i="14" s="1"/>
  <c r="K150" i="14"/>
  <c r="W150" i="14" s="1"/>
  <c r="AA150" i="14" s="1"/>
  <c r="B150" i="14"/>
  <c r="BH149" i="14"/>
  <c r="BG149" i="14"/>
  <c r="BF149" i="14"/>
  <c r="BE149" i="14"/>
  <c r="AY149" i="14"/>
  <c r="AX149" i="14"/>
  <c r="AW149" i="14"/>
  <c r="AV149" i="14"/>
  <c r="AP149" i="14"/>
  <c r="AO149" i="14"/>
  <c r="AN149" i="14"/>
  <c r="AM149" i="14"/>
  <c r="AG149" i="14"/>
  <c r="AF149" i="14"/>
  <c r="AE149" i="14"/>
  <c r="AD149" i="14"/>
  <c r="B149" i="14"/>
  <c r="BH148" i="14"/>
  <c r="BG148" i="14"/>
  <c r="BF148" i="14"/>
  <c r="BE148" i="14"/>
  <c r="AY148" i="14"/>
  <c r="AX148" i="14"/>
  <c r="AW148" i="14"/>
  <c r="AV148" i="14"/>
  <c r="AP148" i="14"/>
  <c r="AO148" i="14"/>
  <c r="AN148" i="14"/>
  <c r="AM148" i="14"/>
  <c r="AG148" i="14"/>
  <c r="AF148" i="14"/>
  <c r="AE148" i="14"/>
  <c r="AD148" i="14"/>
  <c r="B148" i="14"/>
  <c r="BA147" i="14"/>
  <c r="AR147" i="14"/>
  <c r="AA147" i="14"/>
  <c r="V147" i="14"/>
  <c r="AI147" i="14" s="1"/>
  <c r="B147" i="14"/>
  <c r="AI146" i="14"/>
  <c r="Z146" i="14"/>
  <c r="W146" i="14"/>
  <c r="AA146" i="14" s="1"/>
  <c r="V146" i="14"/>
  <c r="AR146" i="14" s="1"/>
  <c r="B146" i="14"/>
  <c r="BP137" i="14"/>
  <c r="BO137" i="14"/>
  <c r="BN137" i="14"/>
  <c r="BM137" i="14"/>
  <c r="BL137" i="14"/>
  <c r="BK137" i="14"/>
  <c r="BJ137" i="14"/>
  <c r="BI137" i="14"/>
  <c r="BH137" i="14"/>
  <c r="BG137" i="14"/>
  <c r="BF137" i="14"/>
  <c r="BE137" i="14"/>
  <c r="AY137" i="14"/>
  <c r="AX137" i="14"/>
  <c r="AW137" i="14"/>
  <c r="AV137" i="14"/>
  <c r="AP137" i="14"/>
  <c r="AO137" i="14"/>
  <c r="AN137" i="14"/>
  <c r="AM137" i="14"/>
  <c r="AG137" i="14"/>
  <c r="AF137" i="14"/>
  <c r="AE137" i="14"/>
  <c r="AD137" i="14"/>
  <c r="B137" i="14"/>
  <c r="BP136" i="14"/>
  <c r="BO136" i="14"/>
  <c r="BN136" i="14"/>
  <c r="BM136" i="14"/>
  <c r="BL136" i="14"/>
  <c r="BK136" i="14"/>
  <c r="BJ136" i="14"/>
  <c r="BI136" i="14"/>
  <c r="BH136" i="14"/>
  <c r="BG136" i="14"/>
  <c r="BF136" i="14"/>
  <c r="BE136" i="14"/>
  <c r="BA136" i="14"/>
  <c r="AY136" i="14"/>
  <c r="AX136" i="14"/>
  <c r="AW136" i="14"/>
  <c r="AV136" i="14"/>
  <c r="AR136" i="14"/>
  <c r="AP136" i="14"/>
  <c r="AO136" i="14"/>
  <c r="AN136" i="14"/>
  <c r="AM136" i="14"/>
  <c r="AI136" i="14"/>
  <c r="AG136" i="14"/>
  <c r="AF136" i="14"/>
  <c r="AE136" i="14"/>
  <c r="AD136" i="14"/>
  <c r="Z136" i="14"/>
  <c r="V136" i="14"/>
  <c r="B136" i="14"/>
  <c r="BP135" i="14"/>
  <c r="BO135" i="14"/>
  <c r="BN135" i="14"/>
  <c r="BM135" i="14"/>
  <c r="BL135" i="14"/>
  <c r="BK135" i="14"/>
  <c r="BJ135" i="14"/>
  <c r="BI135" i="14"/>
  <c r="BG135" i="14"/>
  <c r="BF135" i="14"/>
  <c r="BE135" i="14"/>
  <c r="BA135" i="14"/>
  <c r="AX135" i="14"/>
  <c r="AW135" i="14"/>
  <c r="AV135" i="14"/>
  <c r="AR135" i="14"/>
  <c r="AO135" i="14"/>
  <c r="AN135" i="14"/>
  <c r="AM135" i="14"/>
  <c r="AI135" i="14"/>
  <c r="AF135" i="14"/>
  <c r="AE135" i="14"/>
  <c r="AD135" i="14"/>
  <c r="Z135" i="14"/>
  <c r="W135" i="14"/>
  <c r="AY135" i="14" s="1"/>
  <c r="V135" i="14"/>
  <c r="B135" i="14"/>
  <c r="BP134" i="14"/>
  <c r="BO134" i="14"/>
  <c r="BN134" i="14"/>
  <c r="BM134" i="14"/>
  <c r="BL134" i="14"/>
  <c r="BK134" i="14"/>
  <c r="BJ134" i="14"/>
  <c r="BI134" i="14"/>
  <c r="BH134" i="14"/>
  <c r="BF134" i="14"/>
  <c r="BE134" i="14"/>
  <c r="BA134" i="14"/>
  <c r="AY134" i="14"/>
  <c r="AW134" i="14"/>
  <c r="AV134" i="14"/>
  <c r="AR134" i="14"/>
  <c r="AP134" i="14"/>
  <c r="AN134" i="14"/>
  <c r="AM134" i="14"/>
  <c r="AI134" i="14"/>
  <c r="AG134" i="14"/>
  <c r="AF134" i="14"/>
  <c r="AE134" i="14"/>
  <c r="AD134" i="14"/>
  <c r="Z134" i="14"/>
  <c r="V134" i="14"/>
  <c r="U134" i="14"/>
  <c r="AO134" i="14" s="1"/>
  <c r="B134" i="14"/>
  <c r="BP133" i="14"/>
  <c r="BO133" i="14"/>
  <c r="BN133" i="14"/>
  <c r="BM133" i="14"/>
  <c r="BL133" i="14"/>
  <c r="BK133" i="14"/>
  <c r="BJ133" i="14"/>
  <c r="BI133" i="14"/>
  <c r="BH133" i="14"/>
  <c r="BF133" i="14"/>
  <c r="BE133" i="14"/>
  <c r="BA133" i="14"/>
  <c r="AY133" i="14"/>
  <c r="AW133" i="14"/>
  <c r="AV133" i="14"/>
  <c r="AR133" i="14"/>
  <c r="AP133" i="14"/>
  <c r="AN133" i="14"/>
  <c r="AM133" i="14"/>
  <c r="AI133" i="14"/>
  <c r="AG133" i="14"/>
  <c r="AE133" i="14"/>
  <c r="AD133" i="14"/>
  <c r="Z133" i="14"/>
  <c r="V133" i="14"/>
  <c r="U133" i="14"/>
  <c r="BG133" i="14" s="1"/>
  <c r="B133" i="14"/>
  <c r="BP132" i="14"/>
  <c r="BO132" i="14"/>
  <c r="BN132" i="14"/>
  <c r="BM132" i="14"/>
  <c r="BL132" i="14"/>
  <c r="BK132" i="14"/>
  <c r="BJ132" i="14"/>
  <c r="BI132" i="14"/>
  <c r="BG132" i="14"/>
  <c r="BF132" i="14"/>
  <c r="BE132" i="14"/>
  <c r="AX132" i="14"/>
  <c r="AW132" i="14"/>
  <c r="AV132" i="14"/>
  <c r="AO132" i="14"/>
  <c r="AN132" i="14"/>
  <c r="AM132" i="14"/>
  <c r="AF132" i="14"/>
  <c r="AE132" i="14"/>
  <c r="AD132" i="14"/>
  <c r="W132" i="14"/>
  <c r="BH132" i="14" s="1"/>
  <c r="V132" i="14"/>
  <c r="B132" i="14"/>
  <c r="BP131" i="14"/>
  <c r="BO131" i="14"/>
  <c r="BN131" i="14"/>
  <c r="BM131" i="14"/>
  <c r="BL131" i="14"/>
  <c r="BK131" i="14"/>
  <c r="BJ131" i="14"/>
  <c r="BI131" i="14"/>
  <c r="BH131" i="14"/>
  <c r="BG131" i="14"/>
  <c r="BF131" i="14"/>
  <c r="BE131" i="14"/>
  <c r="BA131" i="14"/>
  <c r="AY131" i="14"/>
  <c r="AX131" i="14"/>
  <c r="AW131" i="14"/>
  <c r="AV131" i="14"/>
  <c r="AR131" i="14"/>
  <c r="AP131" i="14"/>
  <c r="AO131" i="14"/>
  <c r="AN131" i="14"/>
  <c r="AM131" i="14"/>
  <c r="AI131" i="14"/>
  <c r="AG131" i="14"/>
  <c r="AF131" i="14"/>
  <c r="AE131" i="14"/>
  <c r="AD131" i="14"/>
  <c r="Z131" i="14"/>
  <c r="V131" i="14"/>
  <c r="B131" i="14"/>
  <c r="BP130" i="14"/>
  <c r="BO130" i="14"/>
  <c r="BN130" i="14"/>
  <c r="BM130" i="14"/>
  <c r="BL130" i="14"/>
  <c r="BK130" i="14"/>
  <c r="BJ130" i="14"/>
  <c r="BI130" i="14"/>
  <c r="BH130" i="14"/>
  <c r="BG130" i="14"/>
  <c r="BF130" i="14"/>
  <c r="BE130" i="14"/>
  <c r="BA130" i="14"/>
  <c r="AY130" i="14"/>
  <c r="AX130" i="14"/>
  <c r="AW130" i="14"/>
  <c r="AV130" i="14"/>
  <c r="AR130" i="14"/>
  <c r="AP130" i="14"/>
  <c r="AO130" i="14"/>
  <c r="AN130" i="14"/>
  <c r="AM130" i="14"/>
  <c r="AI130" i="14"/>
  <c r="AG130" i="14"/>
  <c r="AF130" i="14"/>
  <c r="AE130" i="14"/>
  <c r="AD130" i="14"/>
  <c r="Z130" i="14"/>
  <c r="V130" i="14"/>
  <c r="B130" i="14"/>
  <c r="BO129" i="14"/>
  <c r="BM129" i="14"/>
  <c r="BK129" i="14"/>
  <c r="BI129" i="14"/>
  <c r="BG129" i="14"/>
  <c r="BE129" i="14"/>
  <c r="BB129" i="14"/>
  <c r="BP129" i="14" s="1"/>
  <c r="BA129" i="14"/>
  <c r="AX129" i="14"/>
  <c r="AV129" i="14"/>
  <c r="AS129" i="14"/>
  <c r="BN129" i="14" s="1"/>
  <c r="AR129" i="14"/>
  <c r="AO129" i="14"/>
  <c r="AM129" i="14"/>
  <c r="AJ129" i="14"/>
  <c r="BL129" i="14" s="1"/>
  <c r="AI129" i="14"/>
  <c r="AF129" i="14"/>
  <c r="AD129" i="14"/>
  <c r="AA129" i="14"/>
  <c r="BJ129" i="14" s="1"/>
  <c r="Z129" i="14"/>
  <c r="V129" i="14"/>
  <c r="K129" i="14"/>
  <c r="W129" i="14" s="1"/>
  <c r="B129" i="14"/>
  <c r="BP127" i="14"/>
  <c r="BO127" i="14"/>
  <c r="BN127" i="14"/>
  <c r="BM127" i="14"/>
  <c r="BL127" i="14"/>
  <c r="BK127" i="14"/>
  <c r="BJ127" i="14"/>
  <c r="BI127" i="14"/>
  <c r="BP126" i="14"/>
  <c r="BO126" i="14"/>
  <c r="BN126" i="14"/>
  <c r="BM126" i="14"/>
  <c r="BL126" i="14"/>
  <c r="BK126" i="14"/>
  <c r="BJ126" i="14"/>
  <c r="BI126" i="14"/>
  <c r="K126" i="14"/>
  <c r="BP123" i="14"/>
  <c r="BO123" i="14"/>
  <c r="BN123" i="14"/>
  <c r="BM123" i="14"/>
  <c r="BL123" i="14"/>
  <c r="BK123" i="14"/>
  <c r="BJ123" i="14"/>
  <c r="BI123" i="14"/>
  <c r="BP122" i="14"/>
  <c r="BO122" i="14"/>
  <c r="BN122" i="14"/>
  <c r="BM122" i="14"/>
  <c r="BL122" i="14"/>
  <c r="BK122" i="14"/>
  <c r="BJ122" i="14"/>
  <c r="BI122" i="14"/>
  <c r="BP121" i="14"/>
  <c r="BO121" i="14"/>
  <c r="BN121" i="14"/>
  <c r="BM121" i="14"/>
  <c r="BL121" i="14"/>
  <c r="BK121" i="14"/>
  <c r="BJ121" i="14"/>
  <c r="BI121" i="14"/>
  <c r="BP120" i="14"/>
  <c r="BO120" i="14"/>
  <c r="BN120" i="14"/>
  <c r="BM120" i="14"/>
  <c r="BL120" i="14"/>
  <c r="BK120" i="14"/>
  <c r="BJ120" i="14"/>
  <c r="BI120" i="14"/>
  <c r="BP119" i="14"/>
  <c r="BO119" i="14"/>
  <c r="BN119" i="14"/>
  <c r="BM119" i="14"/>
  <c r="BL119" i="14"/>
  <c r="BK119" i="14"/>
  <c r="BJ119" i="14"/>
  <c r="BI119" i="14"/>
  <c r="BH119" i="14"/>
  <c r="BG119" i="14"/>
  <c r="BF119" i="14"/>
  <c r="BE119" i="14"/>
  <c r="AY119" i="14"/>
  <c r="AX119" i="14"/>
  <c r="AW119" i="14"/>
  <c r="AV119" i="14"/>
  <c r="AP119" i="14"/>
  <c r="AO119" i="14"/>
  <c r="AN119" i="14"/>
  <c r="AM119" i="14"/>
  <c r="AG119" i="14"/>
  <c r="AF119" i="14"/>
  <c r="AE119" i="14"/>
  <c r="AD119" i="14"/>
  <c r="V119" i="14"/>
  <c r="AI119" i="14" s="1"/>
  <c r="B119" i="14"/>
  <c r="BP118" i="14"/>
  <c r="BO118" i="14"/>
  <c r="BN118" i="14"/>
  <c r="BM118" i="14"/>
  <c r="BL118" i="14"/>
  <c r="BK118" i="14"/>
  <c r="BJ118" i="14"/>
  <c r="BI118" i="14"/>
  <c r="BH118" i="14"/>
  <c r="BG118" i="14"/>
  <c r="BF118" i="14"/>
  <c r="BE118" i="14"/>
  <c r="BA118" i="14"/>
  <c r="AY118" i="14"/>
  <c r="AX118" i="14"/>
  <c r="AW118" i="14"/>
  <c r="AV118" i="14"/>
  <c r="AR118" i="14"/>
  <c r="AP118" i="14"/>
  <c r="AO118" i="14"/>
  <c r="AN118" i="14"/>
  <c r="AM118" i="14"/>
  <c r="AI118" i="14"/>
  <c r="AG118" i="14"/>
  <c r="AF118" i="14"/>
  <c r="AE118" i="14"/>
  <c r="AD118" i="14"/>
  <c r="Z118" i="14"/>
  <c r="V118" i="14"/>
  <c r="B118" i="14"/>
  <c r="BP117" i="14"/>
  <c r="BO117" i="14"/>
  <c r="BN117" i="14"/>
  <c r="BM117" i="14"/>
  <c r="BL117" i="14"/>
  <c r="BK117" i="14"/>
  <c r="BJ117" i="14"/>
  <c r="BI117" i="14"/>
  <c r="BH117" i="14"/>
  <c r="BF117" i="14"/>
  <c r="BE117" i="14"/>
  <c r="AY117" i="14"/>
  <c r="AW117" i="14"/>
  <c r="AV117" i="14"/>
  <c r="AP117" i="14"/>
  <c r="AN117" i="14"/>
  <c r="AM117" i="14"/>
  <c r="AG117" i="14"/>
  <c r="AE117" i="14"/>
  <c r="AD117" i="14"/>
  <c r="V117" i="14"/>
  <c r="BA117" i="14" s="1"/>
  <c r="U117" i="14"/>
  <c r="AX117" i="14" s="1"/>
  <c r="B117" i="14"/>
  <c r="BO116" i="14"/>
  <c r="BM116" i="14"/>
  <c r="BK116" i="14"/>
  <c r="BI116" i="14"/>
  <c r="BH116" i="14"/>
  <c r="BG116" i="14"/>
  <c r="BE116" i="14"/>
  <c r="BB116" i="14"/>
  <c r="BP116" i="14" s="1"/>
  <c r="BA116" i="14"/>
  <c r="AY116" i="14"/>
  <c r="AX116" i="14"/>
  <c r="AV116" i="14"/>
  <c r="AS116" i="14"/>
  <c r="AW116" i="14" s="1"/>
  <c r="AR116" i="14"/>
  <c r="AP116" i="14"/>
  <c r="AO116" i="14"/>
  <c r="AM116" i="14"/>
  <c r="AJ116" i="14"/>
  <c r="AN116" i="14" s="1"/>
  <c r="AI116" i="14"/>
  <c r="AG116" i="14"/>
  <c r="AF116" i="14"/>
  <c r="AD116" i="14"/>
  <c r="AA116" i="14"/>
  <c r="BJ116" i="14" s="1"/>
  <c r="Z116" i="14"/>
  <c r="V116" i="14"/>
  <c r="B116" i="14"/>
  <c r="BP115" i="14"/>
  <c r="BO115" i="14"/>
  <c r="BN115" i="14"/>
  <c r="BM115" i="14"/>
  <c r="BL115" i="14"/>
  <c r="BK115" i="14"/>
  <c r="BJ115" i="14"/>
  <c r="BI115" i="14"/>
  <c r="BH115" i="14"/>
  <c r="BG115" i="14"/>
  <c r="BF115" i="14"/>
  <c r="BE115" i="14"/>
  <c r="BA115" i="14"/>
  <c r="AY115" i="14"/>
  <c r="AX115" i="14"/>
  <c r="AW115" i="14"/>
  <c r="AV115" i="14"/>
  <c r="AR115" i="14"/>
  <c r="AP115" i="14"/>
  <c r="AO115" i="14"/>
  <c r="AN115" i="14"/>
  <c r="AM115" i="14"/>
  <c r="AI115" i="14"/>
  <c r="AG115" i="14"/>
  <c r="AF115" i="14"/>
  <c r="AE115" i="14"/>
  <c r="AD115" i="14"/>
  <c r="Z115" i="14"/>
  <c r="V115" i="14"/>
  <c r="B115" i="14"/>
  <c r="BP114" i="14"/>
  <c r="BO114" i="14"/>
  <c r="BN114" i="14"/>
  <c r="BM114" i="14"/>
  <c r="BL114" i="14"/>
  <c r="BK114" i="14"/>
  <c r="BJ114" i="14"/>
  <c r="BI114" i="14"/>
  <c r="BH114" i="14"/>
  <c r="BG114" i="14"/>
  <c r="BF114" i="14"/>
  <c r="BE114" i="14"/>
  <c r="BA114" i="14"/>
  <c r="AY114" i="14"/>
  <c r="AX114" i="14"/>
  <c r="AW114" i="14"/>
  <c r="AV114" i="14"/>
  <c r="AR114" i="14"/>
  <c r="AP114" i="14"/>
  <c r="AO114" i="14"/>
  <c r="AN114" i="14"/>
  <c r="AM114" i="14"/>
  <c r="AI114" i="14"/>
  <c r="AG114" i="14"/>
  <c r="AF114" i="14"/>
  <c r="AE114" i="14"/>
  <c r="AD114" i="14"/>
  <c r="Z114" i="14"/>
  <c r="V114" i="14"/>
  <c r="B114" i="14"/>
  <c r="BP113" i="14"/>
  <c r="BO113" i="14"/>
  <c r="BN113" i="14"/>
  <c r="BM113" i="14"/>
  <c r="BL113" i="14"/>
  <c r="BK113" i="14"/>
  <c r="BJ113" i="14"/>
  <c r="BI113" i="14"/>
  <c r="BH113" i="14"/>
  <c r="BG113" i="14"/>
  <c r="BF113" i="14"/>
  <c r="BE113" i="14"/>
  <c r="BA113" i="14"/>
  <c r="AY113" i="14"/>
  <c r="AX113" i="14"/>
  <c r="AW113" i="14"/>
  <c r="AV113" i="14"/>
  <c r="AR113" i="14"/>
  <c r="AP113" i="14"/>
  <c r="AO113" i="14"/>
  <c r="AN113" i="14"/>
  <c r="AM113" i="14"/>
  <c r="AI113" i="14"/>
  <c r="AG113" i="14"/>
  <c r="AF113" i="14"/>
  <c r="AE113" i="14"/>
  <c r="AD113" i="14"/>
  <c r="Z113" i="14"/>
  <c r="V113" i="14"/>
  <c r="B113" i="14"/>
  <c r="BP112" i="14"/>
  <c r="BO112" i="14"/>
  <c r="BN112" i="14"/>
  <c r="BM112" i="14"/>
  <c r="BL112" i="14"/>
  <c r="BK112" i="14"/>
  <c r="BJ112" i="14"/>
  <c r="BI112" i="14"/>
  <c r="BH112" i="14"/>
  <c r="BG112" i="14"/>
  <c r="BF112" i="14"/>
  <c r="BE112" i="14"/>
  <c r="BA112" i="14"/>
  <c r="AY112" i="14"/>
  <c r="AX112" i="14"/>
  <c r="AW112" i="14"/>
  <c r="AV112" i="14"/>
  <c r="AR112" i="14"/>
  <c r="AP112" i="14"/>
  <c r="AO112" i="14"/>
  <c r="AN112" i="14"/>
  <c r="AM112" i="14"/>
  <c r="AI112" i="14"/>
  <c r="AG112" i="14"/>
  <c r="AF112" i="14"/>
  <c r="AE112" i="14"/>
  <c r="AD112" i="14"/>
  <c r="Z112" i="14"/>
  <c r="V112" i="14"/>
  <c r="B112" i="14"/>
  <c r="BP111" i="14"/>
  <c r="BO111" i="14"/>
  <c r="BN111" i="14"/>
  <c r="BM111" i="14"/>
  <c r="BL111" i="14"/>
  <c r="BK111" i="14"/>
  <c r="BJ111" i="14"/>
  <c r="BI111" i="14"/>
  <c r="BH111" i="14"/>
  <c r="BG111" i="14"/>
  <c r="BF111" i="14"/>
  <c r="BE111" i="14"/>
  <c r="BA111" i="14"/>
  <c r="AY111" i="14"/>
  <c r="AX111" i="14"/>
  <c r="AW111" i="14"/>
  <c r="AV111" i="14"/>
  <c r="AR111" i="14"/>
  <c r="AP111" i="14"/>
  <c r="AO111" i="14"/>
  <c r="AN111" i="14"/>
  <c r="AM111" i="14"/>
  <c r="AI111" i="14"/>
  <c r="AG111" i="14"/>
  <c r="AF111" i="14"/>
  <c r="AE111" i="14"/>
  <c r="AD111" i="14"/>
  <c r="Z111" i="14"/>
  <c r="V111" i="14"/>
  <c r="B111" i="14"/>
  <c r="BP110" i="14"/>
  <c r="BO110" i="14"/>
  <c r="BN110" i="14"/>
  <c r="BM110" i="14"/>
  <c r="BL110" i="14"/>
  <c r="BK110" i="14"/>
  <c r="BJ110" i="14"/>
  <c r="BI110" i="14"/>
  <c r="BH110" i="14"/>
  <c r="BG110" i="14"/>
  <c r="BF110" i="14"/>
  <c r="BE110" i="14"/>
  <c r="BA110" i="14"/>
  <c r="AY110" i="14"/>
  <c r="AX110" i="14"/>
  <c r="AW110" i="14"/>
  <c r="AV110" i="14"/>
  <c r="AR110" i="14"/>
  <c r="AP110" i="14"/>
  <c r="AO110" i="14"/>
  <c r="AN110" i="14"/>
  <c r="AM110" i="14"/>
  <c r="AI110" i="14"/>
  <c r="AG110" i="14"/>
  <c r="AF110" i="14"/>
  <c r="AE110" i="14"/>
  <c r="AD110" i="14"/>
  <c r="Z110" i="14"/>
  <c r="V110" i="14"/>
  <c r="B110" i="14"/>
  <c r="BP109" i="14"/>
  <c r="BO109" i="14"/>
  <c r="BN109" i="14"/>
  <c r="BM109" i="14"/>
  <c r="BL109" i="14"/>
  <c r="BK109" i="14"/>
  <c r="BJ109" i="14"/>
  <c r="BI109" i="14"/>
  <c r="BH109" i="14"/>
  <c r="BF109" i="14"/>
  <c r="BE109" i="14"/>
  <c r="BA109" i="14"/>
  <c r="AY109" i="14"/>
  <c r="AW109" i="14"/>
  <c r="AV109" i="14"/>
  <c r="AR109" i="14"/>
  <c r="AP109" i="14"/>
  <c r="AN109" i="14"/>
  <c r="AM109" i="14"/>
  <c r="AI109" i="14"/>
  <c r="AG109" i="14"/>
  <c r="AE109" i="14"/>
  <c r="AD109" i="14"/>
  <c r="Z109" i="14"/>
  <c r="V109" i="14"/>
  <c r="U109" i="14"/>
  <c r="BG109" i="14" s="1"/>
  <c r="B109" i="14"/>
  <c r="AF108" i="14"/>
  <c r="AE108" i="14"/>
  <c r="AD108" i="14"/>
  <c r="W108" i="14"/>
  <c r="AG108" i="14" s="1"/>
  <c r="K108" i="14"/>
  <c r="B108" i="14"/>
  <c r="BP107" i="14"/>
  <c r="BO107" i="14"/>
  <c r="BN107" i="14"/>
  <c r="BM107" i="14"/>
  <c r="BL107" i="14"/>
  <c r="BK107" i="14"/>
  <c r="BJ107" i="14"/>
  <c r="BI107" i="14"/>
  <c r="BG107" i="14"/>
  <c r="BF107" i="14"/>
  <c r="BE107" i="14"/>
  <c r="AX107" i="14"/>
  <c r="AW107" i="14"/>
  <c r="AV107" i="14"/>
  <c r="AO107" i="14"/>
  <c r="AN107" i="14"/>
  <c r="AM107" i="14"/>
  <c r="AF107" i="14"/>
  <c r="AE107" i="14"/>
  <c r="AD107" i="14"/>
  <c r="W107" i="14"/>
  <c r="BH107" i="14" s="1"/>
  <c r="B107" i="14"/>
  <c r="BP106" i="14"/>
  <c r="BO106" i="14"/>
  <c r="BN106" i="14"/>
  <c r="BM106" i="14"/>
  <c r="BL106" i="14"/>
  <c r="BK106" i="14"/>
  <c r="BJ106" i="14"/>
  <c r="BI106" i="14"/>
  <c r="BH106" i="14"/>
  <c r="BG106" i="14"/>
  <c r="BF106" i="14"/>
  <c r="BE106" i="14"/>
  <c r="BA106" i="14"/>
  <c r="AY106" i="14"/>
  <c r="AX106" i="14"/>
  <c r="AW106" i="14"/>
  <c r="AV106" i="14"/>
  <c r="AR106" i="14"/>
  <c r="AP106" i="14"/>
  <c r="AO106" i="14"/>
  <c r="AN106" i="14"/>
  <c r="AM106" i="14"/>
  <c r="AI106" i="14"/>
  <c r="AG106" i="14"/>
  <c r="AF106" i="14"/>
  <c r="AE106" i="14"/>
  <c r="AD106" i="14"/>
  <c r="Z106" i="14"/>
  <c r="V106" i="14"/>
  <c r="B106" i="14"/>
  <c r="BO105" i="14"/>
  <c r="BM105" i="14"/>
  <c r="BK105" i="14"/>
  <c r="BI105" i="14"/>
  <c r="AF105" i="14"/>
  <c r="AD105" i="14"/>
  <c r="K105" i="14"/>
  <c r="AA105" i="14" s="1"/>
  <c r="BN104" i="14"/>
  <c r="BL104" i="14"/>
  <c r="BJ104" i="14"/>
  <c r="BG104" i="14"/>
  <c r="BB104" i="14"/>
  <c r="BA104" i="14"/>
  <c r="AX104" i="14"/>
  <c r="AW104" i="14"/>
  <c r="AR104" i="14"/>
  <c r="AO104" i="14"/>
  <c r="AN104" i="14"/>
  <c r="AJ104" i="14"/>
  <c r="AI104" i="14"/>
  <c r="AF104" i="14"/>
  <c r="AE104" i="14"/>
  <c r="Z104" i="14"/>
  <c r="V104" i="14"/>
  <c r="K104" i="14"/>
  <c r="AQ104" i="14" s="1"/>
  <c r="B104" i="14"/>
  <c r="BP103" i="14"/>
  <c r="BO103" i="14"/>
  <c r="BM103" i="14"/>
  <c r="BK103" i="14"/>
  <c r="BI103" i="14"/>
  <c r="BG103" i="14"/>
  <c r="BF103" i="14"/>
  <c r="BE103" i="14"/>
  <c r="AX103" i="14"/>
  <c r="AV103" i="14"/>
  <c r="AS103" i="14"/>
  <c r="AW103" i="14" s="1"/>
  <c r="AO103" i="14"/>
  <c r="AM103" i="14"/>
  <c r="AJ103" i="14"/>
  <c r="AN103" i="14" s="1"/>
  <c r="AF103" i="14"/>
  <c r="AD103" i="14"/>
  <c r="AA103" i="14"/>
  <c r="AE103" i="14" s="1"/>
  <c r="Z103" i="14"/>
  <c r="V103" i="14"/>
  <c r="AI103" i="14" s="1"/>
  <c r="BA103" i="14" s="1"/>
  <c r="K103" i="14"/>
  <c r="W103" i="14" s="1"/>
  <c r="B103" i="14"/>
  <c r="BP102" i="14"/>
  <c r="BO102" i="14"/>
  <c r="BN102" i="14"/>
  <c r="BM102" i="14"/>
  <c r="BL102" i="14"/>
  <c r="BK102" i="14"/>
  <c r="BJ102" i="14"/>
  <c r="BI102" i="14"/>
  <c r="BG102" i="14"/>
  <c r="BF102" i="14"/>
  <c r="BE102" i="14"/>
  <c r="AX102" i="14"/>
  <c r="AW102" i="14"/>
  <c r="AV102" i="14"/>
  <c r="AO102" i="14"/>
  <c r="AN102" i="14"/>
  <c r="AM102" i="14"/>
  <c r="AF102" i="14"/>
  <c r="AE102" i="14"/>
  <c r="AD102" i="14"/>
  <c r="V102" i="14"/>
  <c r="BA102" i="14" s="1"/>
  <c r="B102" i="14"/>
  <c r="BP101" i="14"/>
  <c r="BO101" i="14"/>
  <c r="BN101" i="14"/>
  <c r="BM101" i="14"/>
  <c r="BL101" i="14"/>
  <c r="BK101" i="14"/>
  <c r="BI101" i="14"/>
  <c r="BG101" i="14"/>
  <c r="BF101" i="14"/>
  <c r="BE101" i="14"/>
  <c r="BA101" i="14"/>
  <c r="AX101" i="14"/>
  <c r="AW101" i="14"/>
  <c r="AV101" i="14"/>
  <c r="AR101" i="14"/>
  <c r="AO101" i="14"/>
  <c r="AN101" i="14"/>
  <c r="AM101" i="14"/>
  <c r="AI101" i="14"/>
  <c r="AF101" i="14"/>
  <c r="AD101" i="14"/>
  <c r="Z101" i="14"/>
  <c r="V101" i="14"/>
  <c r="B101" i="14"/>
  <c r="BO100" i="14"/>
  <c r="BM100" i="14"/>
  <c r="BK100" i="14"/>
  <c r="BI100" i="14"/>
  <c r="W100" i="14"/>
  <c r="AA100" i="14" s="1"/>
  <c r="BJ100" i="14" s="1"/>
  <c r="B100" i="14"/>
  <c r="BP99" i="14"/>
  <c r="BO99" i="14"/>
  <c r="BN99" i="14"/>
  <c r="BM99" i="14"/>
  <c r="BL99" i="14"/>
  <c r="BK99" i="14"/>
  <c r="BJ99" i="14"/>
  <c r="BI99" i="14"/>
  <c r="W99" i="14"/>
  <c r="V99" i="14"/>
  <c r="B99" i="14"/>
  <c r="BP98" i="14"/>
  <c r="BO98" i="14"/>
  <c r="BN98" i="14"/>
  <c r="BM98" i="14"/>
  <c r="BL98" i="14"/>
  <c r="BK98" i="14"/>
  <c r="BJ98" i="14"/>
  <c r="BI98" i="14"/>
  <c r="BG98" i="14"/>
  <c r="BF98" i="14"/>
  <c r="BE98" i="14"/>
  <c r="AX98" i="14"/>
  <c r="AW98" i="14"/>
  <c r="AV98" i="14"/>
  <c r="AO98" i="14"/>
  <c r="AN98" i="14"/>
  <c r="AM98" i="14"/>
  <c r="AF98" i="14"/>
  <c r="AE98" i="14"/>
  <c r="AD98" i="14"/>
  <c r="V98" i="14"/>
  <c r="Z98" i="14" s="1"/>
  <c r="B98" i="14"/>
  <c r="BP97" i="14"/>
  <c r="BO97" i="14"/>
  <c r="BN97" i="14"/>
  <c r="BM97" i="14"/>
  <c r="BK97" i="14"/>
  <c r="BI97" i="14"/>
  <c r="BG97" i="14"/>
  <c r="BF97" i="14"/>
  <c r="BE97" i="14"/>
  <c r="BA97" i="14"/>
  <c r="AY97" i="14"/>
  <c r="AX97" i="14"/>
  <c r="AW97" i="14"/>
  <c r="AV97" i="14"/>
  <c r="AR97" i="14"/>
  <c r="AO97" i="14"/>
  <c r="AM97" i="14"/>
  <c r="AI97" i="14"/>
  <c r="AF97" i="14"/>
  <c r="AD97" i="14"/>
  <c r="Z97" i="14"/>
  <c r="W97" i="14"/>
  <c r="AP97" i="14" s="1"/>
  <c r="V97" i="14"/>
  <c r="B97" i="14"/>
  <c r="BP96" i="14"/>
  <c r="BO96" i="14"/>
  <c r="BN96" i="14"/>
  <c r="BM96" i="14"/>
  <c r="BL96" i="14"/>
  <c r="BK96" i="14"/>
  <c r="BI96" i="14"/>
  <c r="BG96" i="14"/>
  <c r="BF96" i="14"/>
  <c r="BE96" i="14"/>
  <c r="BA96" i="14"/>
  <c r="AX96" i="14"/>
  <c r="AW96" i="14"/>
  <c r="AV96" i="14"/>
  <c r="AR96" i="14"/>
  <c r="AO96" i="14"/>
  <c r="AN96" i="14"/>
  <c r="AM96" i="14"/>
  <c r="AI96" i="14"/>
  <c r="AF96" i="14"/>
  <c r="AD96" i="14"/>
  <c r="Z96" i="14"/>
  <c r="W96" i="14"/>
  <c r="AY96" i="14" s="1"/>
  <c r="V96" i="14"/>
  <c r="B96" i="14"/>
  <c r="BP95" i="14"/>
  <c r="BO95" i="14"/>
  <c r="BN95" i="14"/>
  <c r="BM95" i="14"/>
  <c r="BL95" i="14"/>
  <c r="BK95" i="14"/>
  <c r="BJ95" i="14"/>
  <c r="BI95" i="14"/>
  <c r="BH95" i="14"/>
  <c r="BG95" i="14"/>
  <c r="BF95" i="14"/>
  <c r="BE95" i="14"/>
  <c r="AY95" i="14"/>
  <c r="AX95" i="14"/>
  <c r="AW95" i="14"/>
  <c r="AV95" i="14"/>
  <c r="AP95" i="14"/>
  <c r="AO95" i="14"/>
  <c r="AN95" i="14"/>
  <c r="AM95" i="14"/>
  <c r="AG95" i="14"/>
  <c r="AF95" i="14"/>
  <c r="AE95" i="14"/>
  <c r="AD95" i="14"/>
  <c r="V95" i="14"/>
  <c r="AR95" i="14" s="1"/>
  <c r="B95" i="14"/>
  <c r="BO94" i="14"/>
  <c r="BM94" i="14"/>
  <c r="BK94" i="14"/>
  <c r="BI94" i="14"/>
  <c r="BG94" i="14"/>
  <c r="BE94" i="14"/>
  <c r="BA94" i="14"/>
  <c r="AX94" i="14"/>
  <c r="AV94" i="14"/>
  <c r="AR94" i="14"/>
  <c r="AO94" i="14"/>
  <c r="AM94" i="14"/>
  <c r="AI94" i="14"/>
  <c r="AF94" i="14"/>
  <c r="AD94" i="14"/>
  <c r="Z94" i="14"/>
  <c r="W94" i="14"/>
  <c r="BH94" i="14" s="1"/>
  <c r="V94" i="14"/>
  <c r="B94" i="14"/>
  <c r="BP93" i="14"/>
  <c r="BO93" i="14"/>
  <c r="BN93" i="14"/>
  <c r="BM93" i="14"/>
  <c r="BL93" i="14"/>
  <c r="BK93" i="14"/>
  <c r="BJ93" i="14"/>
  <c r="BI93" i="14"/>
  <c r="BH93" i="14"/>
  <c r="BG93" i="14"/>
  <c r="BF93" i="14"/>
  <c r="BE93" i="14"/>
  <c r="BA93" i="14"/>
  <c r="AY93" i="14"/>
  <c r="AX93" i="14"/>
  <c r="AW93" i="14"/>
  <c r="AV93" i="14"/>
  <c r="AR93" i="14"/>
  <c r="AP93" i="14"/>
  <c r="AO93" i="14"/>
  <c r="AN93" i="14"/>
  <c r="AM93" i="14"/>
  <c r="AI93" i="14"/>
  <c r="AG93" i="14"/>
  <c r="AF93" i="14"/>
  <c r="AE93" i="14"/>
  <c r="AD93" i="14"/>
  <c r="Z93" i="14"/>
  <c r="V93" i="14"/>
  <c r="B93" i="14"/>
  <c r="BP92" i="14"/>
  <c r="BO92" i="14"/>
  <c r="BN92" i="14"/>
  <c r="BM92" i="14"/>
  <c r="BL92" i="14"/>
  <c r="BK92" i="14"/>
  <c r="BJ92" i="14"/>
  <c r="BI92" i="14"/>
  <c r="BH92" i="14"/>
  <c r="BG92" i="14"/>
  <c r="BF92" i="14"/>
  <c r="BE92" i="14"/>
  <c r="BA92" i="14"/>
  <c r="AY92" i="14"/>
  <c r="AX92" i="14"/>
  <c r="AW92" i="14"/>
  <c r="AV92" i="14"/>
  <c r="AR92" i="14"/>
  <c r="AP92" i="14"/>
  <c r="AO92" i="14"/>
  <c r="AN92" i="14"/>
  <c r="AM92" i="14"/>
  <c r="AI92" i="14"/>
  <c r="AG92" i="14"/>
  <c r="AF92" i="14"/>
  <c r="AE92" i="14"/>
  <c r="AD92" i="14"/>
  <c r="Z92" i="14"/>
  <c r="V92" i="14"/>
  <c r="B92" i="14"/>
  <c r="BP91" i="14"/>
  <c r="BO91" i="14"/>
  <c r="BN91" i="14"/>
  <c r="BM91" i="14"/>
  <c r="BL91" i="14"/>
  <c r="BK91" i="14"/>
  <c r="BJ91" i="14"/>
  <c r="BI91" i="14"/>
  <c r="BH91" i="14"/>
  <c r="BG91" i="14"/>
  <c r="BF91" i="14"/>
  <c r="BE91" i="14"/>
  <c r="BA91" i="14"/>
  <c r="AY91" i="14"/>
  <c r="AX91" i="14"/>
  <c r="AW91" i="14"/>
  <c r="AV91" i="14"/>
  <c r="AR91" i="14"/>
  <c r="AP91" i="14"/>
  <c r="AO91" i="14"/>
  <c r="AN91" i="14"/>
  <c r="AM91" i="14"/>
  <c r="AI91" i="14"/>
  <c r="AG91" i="14"/>
  <c r="AF91" i="14"/>
  <c r="AE91" i="14"/>
  <c r="AD91" i="14"/>
  <c r="Z91" i="14"/>
  <c r="V91" i="14"/>
  <c r="B91" i="14"/>
  <c r="BP90" i="14"/>
  <c r="BO90" i="14"/>
  <c r="BN90" i="14"/>
  <c r="BM90" i="14"/>
  <c r="BL90" i="14"/>
  <c r="BK90" i="14"/>
  <c r="BJ90" i="14"/>
  <c r="BI90" i="14"/>
  <c r="BH90" i="14"/>
  <c r="BG90" i="14"/>
  <c r="BF90" i="14"/>
  <c r="BE90" i="14"/>
  <c r="BA90" i="14"/>
  <c r="AY90" i="14"/>
  <c r="AX90" i="14"/>
  <c r="AW90" i="14"/>
  <c r="AV90" i="14"/>
  <c r="AR90" i="14"/>
  <c r="AP90" i="14"/>
  <c r="AO90" i="14"/>
  <c r="AN90" i="14"/>
  <c r="AM90" i="14"/>
  <c r="AI90" i="14"/>
  <c r="AG90" i="14"/>
  <c r="AF90" i="14"/>
  <c r="AE90" i="14"/>
  <c r="AD90" i="14"/>
  <c r="Z90" i="14"/>
  <c r="V90" i="14"/>
  <c r="L90" i="14"/>
  <c r="B90" i="14"/>
  <c r="BP89" i="14"/>
  <c r="BO89" i="14"/>
  <c r="BN89" i="14"/>
  <c r="BM89" i="14"/>
  <c r="BL89" i="14"/>
  <c r="BK89" i="14"/>
  <c r="BJ89" i="14"/>
  <c r="BI89" i="14"/>
  <c r="BG89" i="14"/>
  <c r="BF89" i="14"/>
  <c r="BE89" i="14"/>
  <c r="BA89" i="14"/>
  <c r="AX89" i="14"/>
  <c r="AW89" i="14"/>
  <c r="AV89" i="14"/>
  <c r="AR89" i="14"/>
  <c r="AO89" i="14"/>
  <c r="AN89" i="14"/>
  <c r="AM89" i="14"/>
  <c r="AI89" i="14"/>
  <c r="AF89" i="14"/>
  <c r="AE89" i="14"/>
  <c r="AD89" i="14"/>
  <c r="Z89" i="14"/>
  <c r="W89" i="14"/>
  <c r="AG89" i="14" s="1"/>
  <c r="V89" i="14"/>
  <c r="B89" i="14"/>
  <c r="BP88" i="14"/>
  <c r="BO88" i="14"/>
  <c r="BN88" i="14"/>
  <c r="BM88" i="14"/>
  <c r="BL88" i="14"/>
  <c r="BK88" i="14"/>
  <c r="BJ88" i="14"/>
  <c r="BI88" i="14"/>
  <c r="BH88" i="14"/>
  <c r="BG88" i="14"/>
  <c r="BF88" i="14"/>
  <c r="BE88" i="14"/>
  <c r="BA88" i="14"/>
  <c r="AY88" i="14"/>
  <c r="AX88" i="14"/>
  <c r="AW88" i="14"/>
  <c r="AV88" i="14"/>
  <c r="AR88" i="14"/>
  <c r="AP88" i="14"/>
  <c r="AO88" i="14"/>
  <c r="AN88" i="14"/>
  <c r="AM88" i="14"/>
  <c r="AI88" i="14"/>
  <c r="AG88" i="14"/>
  <c r="AF88" i="14"/>
  <c r="AE88" i="14"/>
  <c r="AD88" i="14"/>
  <c r="Z88" i="14"/>
  <c r="V88" i="14"/>
  <c r="B88" i="14"/>
  <c r="BP87" i="14"/>
  <c r="BO87" i="14"/>
  <c r="BN87" i="14"/>
  <c r="BM87" i="14"/>
  <c r="BL87" i="14"/>
  <c r="BK87" i="14"/>
  <c r="BJ87" i="14"/>
  <c r="BI87" i="14"/>
  <c r="BH87" i="14"/>
  <c r="BG87" i="14"/>
  <c r="BF87" i="14"/>
  <c r="BE87" i="14"/>
  <c r="BA87" i="14"/>
  <c r="AY87" i="14"/>
  <c r="AX87" i="14"/>
  <c r="AW87" i="14"/>
  <c r="AV87" i="14"/>
  <c r="AR87" i="14"/>
  <c r="AP87" i="14"/>
  <c r="AO87" i="14"/>
  <c r="AN87" i="14"/>
  <c r="AM87" i="14"/>
  <c r="AI87" i="14"/>
  <c r="AG87" i="14"/>
  <c r="AF87" i="14"/>
  <c r="AE87" i="14"/>
  <c r="AD87" i="14"/>
  <c r="Z87" i="14"/>
  <c r="V87" i="14"/>
  <c r="B87" i="14"/>
  <c r="BH86" i="14"/>
  <c r="BG86" i="14"/>
  <c r="BF86" i="14"/>
  <c r="BE86" i="14"/>
  <c r="BA86" i="14"/>
  <c r="AY86" i="14"/>
  <c r="AX86" i="14"/>
  <c r="AW86" i="14"/>
  <c r="AV86" i="14"/>
  <c r="AR86" i="14"/>
  <c r="AP86" i="14"/>
  <c r="AO86" i="14"/>
  <c r="AN86" i="14"/>
  <c r="AM86" i="14"/>
  <c r="AI86" i="14"/>
  <c r="AG86" i="14"/>
  <c r="AF86" i="14"/>
  <c r="AD86" i="14"/>
  <c r="AA86" i="14"/>
  <c r="AE86" i="14" s="1"/>
  <c r="Z86" i="14"/>
  <c r="V86" i="14"/>
  <c r="B86" i="14"/>
  <c r="BP85" i="14"/>
  <c r="BO85" i="14"/>
  <c r="BN85" i="14"/>
  <c r="BM85" i="14"/>
  <c r="BL85" i="14"/>
  <c r="BK85" i="14"/>
  <c r="BI85" i="14"/>
  <c r="BH85" i="14"/>
  <c r="BG85" i="14"/>
  <c r="BF85" i="14"/>
  <c r="BE85" i="14"/>
  <c r="BA85" i="14"/>
  <c r="AY85" i="14"/>
  <c r="AX85" i="14"/>
  <c r="AW85" i="14"/>
  <c r="AV85" i="14"/>
  <c r="AR85" i="14"/>
  <c r="AP85" i="14"/>
  <c r="AO85" i="14"/>
  <c r="AN85" i="14"/>
  <c r="AM85" i="14"/>
  <c r="AI85" i="14"/>
  <c r="AG85" i="14"/>
  <c r="AF85" i="14"/>
  <c r="AD85" i="14"/>
  <c r="AA85" i="14"/>
  <c r="BJ85" i="14" s="1"/>
  <c r="Z85" i="14"/>
  <c r="V85" i="14"/>
  <c r="B85" i="14"/>
  <c r="BP84" i="14"/>
  <c r="BO84" i="14"/>
  <c r="BN84" i="14"/>
  <c r="BM84" i="14"/>
  <c r="BL84" i="14"/>
  <c r="BK84" i="14"/>
  <c r="BI84" i="14"/>
  <c r="BH84" i="14"/>
  <c r="BG84" i="14"/>
  <c r="BF84" i="14"/>
  <c r="BE84" i="14"/>
  <c r="AY84" i="14"/>
  <c r="AX84" i="14"/>
  <c r="AW84" i="14"/>
  <c r="AV84" i="14"/>
  <c r="AP84" i="14"/>
  <c r="AO84" i="14"/>
  <c r="AN84" i="14"/>
  <c r="AM84" i="14"/>
  <c r="AG84" i="14"/>
  <c r="AF84" i="14"/>
  <c r="AD84" i="14"/>
  <c r="AA84" i="14"/>
  <c r="BJ84" i="14" s="1"/>
  <c r="B84" i="14"/>
  <c r="BP83" i="14"/>
  <c r="BO83" i="14"/>
  <c r="BN83" i="14"/>
  <c r="BM83" i="14"/>
  <c r="BL83" i="14"/>
  <c r="BK83" i="14"/>
  <c r="BI83" i="14"/>
  <c r="BH83" i="14"/>
  <c r="BG83" i="14"/>
  <c r="BF83" i="14"/>
  <c r="BE83" i="14"/>
  <c r="BA83" i="14"/>
  <c r="AY83" i="14"/>
  <c r="AX83" i="14"/>
  <c r="AW83" i="14"/>
  <c r="AV83" i="14"/>
  <c r="AR83" i="14"/>
  <c r="AP83" i="14"/>
  <c r="AO83" i="14"/>
  <c r="AN83" i="14"/>
  <c r="AM83" i="14"/>
  <c r="AI83" i="14"/>
  <c r="AG83" i="14"/>
  <c r="AF83" i="14"/>
  <c r="AD83" i="14"/>
  <c r="AA83" i="14"/>
  <c r="AE83" i="14" s="1"/>
  <c r="Z83" i="14"/>
  <c r="V83" i="14"/>
  <c r="AI84" i="14" s="1"/>
  <c r="J83" i="14"/>
  <c r="V84" i="14" s="1"/>
  <c r="B83" i="14"/>
  <c r="BP82" i="14"/>
  <c r="BO82" i="14"/>
  <c r="BN82" i="14"/>
  <c r="BM82" i="14"/>
  <c r="BL82" i="14"/>
  <c r="BK82" i="14"/>
  <c r="BI82" i="14"/>
  <c r="BH82" i="14"/>
  <c r="BG82" i="14"/>
  <c r="BF82" i="14"/>
  <c r="BE82" i="14"/>
  <c r="BA82" i="14"/>
  <c r="AY82" i="14"/>
  <c r="AX82" i="14"/>
  <c r="AW82" i="14"/>
  <c r="AV82" i="14"/>
  <c r="AR82" i="14"/>
  <c r="AP82" i="14"/>
  <c r="AO82" i="14"/>
  <c r="AN82" i="14"/>
  <c r="AM82" i="14"/>
  <c r="AI82" i="14"/>
  <c r="AG82" i="14"/>
  <c r="AF82" i="14"/>
  <c r="AD82" i="14"/>
  <c r="AA82" i="14"/>
  <c r="AE82" i="14" s="1"/>
  <c r="Z82" i="14"/>
  <c r="V82" i="14"/>
  <c r="B82" i="14"/>
  <c r="BP81" i="14"/>
  <c r="BN81" i="14"/>
  <c r="BL81" i="14"/>
  <c r="BH81" i="14"/>
  <c r="BG81" i="14"/>
  <c r="BF81" i="14"/>
  <c r="BA81" i="14"/>
  <c r="AZ81" i="14"/>
  <c r="BO81" i="14" s="1"/>
  <c r="AY81" i="14"/>
  <c r="AX81" i="14"/>
  <c r="AW81" i="14"/>
  <c r="AR81" i="14"/>
  <c r="AQ81" i="14"/>
  <c r="AV81" i="14" s="1"/>
  <c r="AP81" i="14"/>
  <c r="AO81" i="14"/>
  <c r="AN81" i="14"/>
  <c r="AI81" i="14"/>
  <c r="AH81" i="14"/>
  <c r="BK81" i="14" s="1"/>
  <c r="AG81" i="14"/>
  <c r="AF81" i="14"/>
  <c r="AA81" i="14"/>
  <c r="Y81" i="14" s="1"/>
  <c r="Z81" i="14"/>
  <c r="V81" i="14"/>
  <c r="B81" i="14"/>
  <c r="BP80" i="14"/>
  <c r="BO80" i="14"/>
  <c r="BN80" i="14"/>
  <c r="BM80" i="14"/>
  <c r="BL80" i="14"/>
  <c r="BK80" i="14"/>
  <c r="BJ80" i="14"/>
  <c r="BI80" i="14"/>
  <c r="BH80" i="14"/>
  <c r="BG80" i="14"/>
  <c r="BF80" i="14"/>
  <c r="BE80" i="14"/>
  <c r="BA80" i="14"/>
  <c r="AY80" i="14"/>
  <c r="AX80" i="14"/>
  <c r="AW80" i="14"/>
  <c r="AV80" i="14"/>
  <c r="AR80" i="14"/>
  <c r="AP80" i="14"/>
  <c r="AO80" i="14"/>
  <c r="AN80" i="14"/>
  <c r="AM80" i="14"/>
  <c r="AI80" i="14"/>
  <c r="AG80" i="14"/>
  <c r="AF80" i="14"/>
  <c r="AE80" i="14"/>
  <c r="AD80" i="14"/>
  <c r="Z80" i="14"/>
  <c r="V80" i="14"/>
  <c r="B80" i="14"/>
  <c r="BP79" i="14"/>
  <c r="BN79" i="14"/>
  <c r="BL79" i="14"/>
  <c r="BI79" i="14"/>
  <c r="BH79" i="14"/>
  <c r="BG79" i="14"/>
  <c r="BF79" i="14"/>
  <c r="BA79" i="14"/>
  <c r="AZ79" i="14"/>
  <c r="BO79" i="14" s="1"/>
  <c r="AY79" i="14"/>
  <c r="AX79" i="14"/>
  <c r="AW79" i="14"/>
  <c r="AR79" i="14"/>
  <c r="AQ79" i="14"/>
  <c r="AV79" i="14" s="1"/>
  <c r="AP79" i="14"/>
  <c r="AO79" i="14"/>
  <c r="AN79" i="14"/>
  <c r="AI79" i="14"/>
  <c r="AH79" i="14"/>
  <c r="BK79" i="14" s="1"/>
  <c r="AG79" i="14"/>
  <c r="AF79" i="14"/>
  <c r="AD79" i="14"/>
  <c r="AA79" i="14"/>
  <c r="BJ79" i="14" s="1"/>
  <c r="Z79" i="14"/>
  <c r="V79" i="14"/>
  <c r="B79" i="14"/>
  <c r="BP78" i="14"/>
  <c r="BN78" i="14"/>
  <c r="BL78" i="14"/>
  <c r="BJ78" i="14"/>
  <c r="BH78" i="14"/>
  <c r="BG78" i="14"/>
  <c r="BF78" i="14"/>
  <c r="BA78" i="14"/>
  <c r="AZ78" i="14"/>
  <c r="BE78" i="14" s="1"/>
  <c r="AY78" i="14"/>
  <c r="AX78" i="14"/>
  <c r="AW78" i="14"/>
  <c r="AR78" i="14"/>
  <c r="AQ78" i="14"/>
  <c r="BM78" i="14" s="1"/>
  <c r="AP78" i="14"/>
  <c r="AO78" i="14"/>
  <c r="AN78" i="14"/>
  <c r="AI78" i="14"/>
  <c r="AH78" i="14"/>
  <c r="BK78" i="14" s="1"/>
  <c r="AG78" i="14"/>
  <c r="AF78" i="14"/>
  <c r="AE78" i="14"/>
  <c r="Z78" i="14"/>
  <c r="Y78" i="14"/>
  <c r="BI78" i="14" s="1"/>
  <c r="V78" i="14"/>
  <c r="K78" i="14"/>
  <c r="B78" i="14"/>
  <c r="BP77" i="14"/>
  <c r="BO77" i="14"/>
  <c r="BN77" i="14"/>
  <c r="BM77" i="14"/>
  <c r="BL77" i="14"/>
  <c r="BK77" i="14"/>
  <c r="BJ77" i="14"/>
  <c r="BI77" i="14"/>
  <c r="BH77" i="14"/>
  <c r="BG77" i="14"/>
  <c r="BF77" i="14"/>
  <c r="BE77" i="14"/>
  <c r="AY77" i="14"/>
  <c r="AX77" i="14"/>
  <c r="AW77" i="14"/>
  <c r="AV77" i="14"/>
  <c r="AP77" i="14"/>
  <c r="AO77" i="14"/>
  <c r="AN77" i="14"/>
  <c r="AM77" i="14"/>
  <c r="AG77" i="14"/>
  <c r="AF77" i="14"/>
  <c r="AE77" i="14"/>
  <c r="AD77" i="14"/>
  <c r="V77" i="14"/>
  <c r="Z77" i="14" s="1"/>
  <c r="B77" i="14"/>
  <c r="BP76" i="14"/>
  <c r="BO76" i="14"/>
  <c r="BN76" i="14"/>
  <c r="BM76" i="14"/>
  <c r="BL76" i="14"/>
  <c r="BK76" i="14"/>
  <c r="BJ76" i="14"/>
  <c r="BI76" i="14"/>
  <c r="BH76" i="14"/>
  <c r="BG76" i="14"/>
  <c r="BF76" i="14"/>
  <c r="BE76" i="14"/>
  <c r="BA76" i="14"/>
  <c r="AY76" i="14"/>
  <c r="AX76" i="14"/>
  <c r="AW76" i="14"/>
  <c r="AV76" i="14"/>
  <c r="AR76" i="14"/>
  <c r="AP76" i="14"/>
  <c r="AO76" i="14"/>
  <c r="AN76" i="14"/>
  <c r="AM76" i="14"/>
  <c r="AI76" i="14"/>
  <c r="AG76" i="14"/>
  <c r="AF76" i="14"/>
  <c r="AE76" i="14"/>
  <c r="AD76" i="14"/>
  <c r="Z76" i="14"/>
  <c r="V76" i="14"/>
  <c r="BA77" i="14" s="1"/>
  <c r="B76" i="14"/>
  <c r="BP75" i="14"/>
  <c r="BO75" i="14"/>
  <c r="BN75" i="14"/>
  <c r="BM75" i="14"/>
  <c r="BL75" i="14"/>
  <c r="BK75" i="14"/>
  <c r="BJ75" i="14"/>
  <c r="BI75" i="14"/>
  <c r="BH75" i="14"/>
  <c r="BG75" i="14"/>
  <c r="BF75" i="14"/>
  <c r="BE75" i="14"/>
  <c r="BA75" i="14"/>
  <c r="AY75" i="14"/>
  <c r="AX75" i="14"/>
  <c r="AW75" i="14"/>
  <c r="AV75" i="14"/>
  <c r="AR75" i="14"/>
  <c r="AP75" i="14"/>
  <c r="AO75" i="14"/>
  <c r="AN75" i="14"/>
  <c r="AM75" i="14"/>
  <c r="AI75" i="14"/>
  <c r="AG75" i="14"/>
  <c r="AF75" i="14"/>
  <c r="AE75" i="14"/>
  <c r="AD75" i="14"/>
  <c r="Z75" i="14"/>
  <c r="V75" i="14"/>
  <c r="B75" i="14"/>
  <c r="BP74" i="14"/>
  <c r="BO74" i="14"/>
  <c r="BN74" i="14"/>
  <c r="BM74" i="14"/>
  <c r="BL74" i="14"/>
  <c r="BK74" i="14"/>
  <c r="BJ74" i="14"/>
  <c r="BI74" i="14"/>
  <c r="BH74" i="14"/>
  <c r="BG74" i="14"/>
  <c r="BF74" i="14"/>
  <c r="BE74" i="14"/>
  <c r="BA74" i="14"/>
  <c r="AY74" i="14"/>
  <c r="AX74" i="14"/>
  <c r="AW74" i="14"/>
  <c r="AV74" i="14"/>
  <c r="AR74" i="14"/>
  <c r="AP74" i="14"/>
  <c r="AO74" i="14"/>
  <c r="AN74" i="14"/>
  <c r="AM74" i="14"/>
  <c r="AI74" i="14"/>
  <c r="AG74" i="14"/>
  <c r="AF74" i="14"/>
  <c r="AE74" i="14"/>
  <c r="AD74" i="14"/>
  <c r="Z74" i="14"/>
  <c r="V74" i="14"/>
  <c r="B74" i="14"/>
  <c r="BP73" i="14"/>
  <c r="BO73" i="14"/>
  <c r="BN73" i="14"/>
  <c r="BM73" i="14"/>
  <c r="BL73" i="14"/>
  <c r="BK73" i="14"/>
  <c r="BJ73" i="14"/>
  <c r="BI73" i="14"/>
  <c r="BH73" i="14"/>
  <c r="BG73" i="14"/>
  <c r="BF73" i="14"/>
  <c r="BE73" i="14"/>
  <c r="BA73" i="14"/>
  <c r="AY73" i="14"/>
  <c r="AX73" i="14"/>
  <c r="AW73" i="14"/>
  <c r="AV73" i="14"/>
  <c r="AR73" i="14"/>
  <c r="AP73" i="14"/>
  <c r="AO73" i="14"/>
  <c r="AN73" i="14"/>
  <c r="AM73" i="14"/>
  <c r="AI73" i="14"/>
  <c r="AG73" i="14"/>
  <c r="AF73" i="14"/>
  <c r="AE73" i="14"/>
  <c r="AD73" i="14"/>
  <c r="Z73" i="14"/>
  <c r="V73" i="14"/>
  <c r="B73" i="14"/>
  <c r="BP72" i="14"/>
  <c r="BO72" i="14"/>
  <c r="BN72" i="14"/>
  <c r="BM72" i="14"/>
  <c r="BL72" i="14"/>
  <c r="BK72" i="14"/>
  <c r="BI72" i="14"/>
  <c r="BG72" i="14"/>
  <c r="BF72" i="14"/>
  <c r="BE72" i="14"/>
  <c r="BA72" i="14"/>
  <c r="AX72" i="14"/>
  <c r="AW72" i="14"/>
  <c r="AV72" i="14"/>
  <c r="AR72" i="14"/>
  <c r="AO72" i="14"/>
  <c r="AN72" i="14"/>
  <c r="AM72" i="14"/>
  <c r="AI72" i="14"/>
  <c r="AF72" i="14"/>
  <c r="AD72" i="14"/>
  <c r="Z72" i="14"/>
  <c r="W72" i="14"/>
  <c r="AY72" i="14" s="1"/>
  <c r="V72" i="14"/>
  <c r="K72" i="14"/>
  <c r="B72" i="14"/>
  <c r="BP71" i="14"/>
  <c r="BO71" i="14"/>
  <c r="BN71" i="14"/>
  <c r="BM71" i="14"/>
  <c r="BL71" i="14"/>
  <c r="BK71" i="14"/>
  <c r="BI71" i="14"/>
  <c r="BG71" i="14"/>
  <c r="BF71" i="14"/>
  <c r="BE71" i="14"/>
  <c r="BA71" i="14"/>
  <c r="AX71" i="14"/>
  <c r="AW71" i="14"/>
  <c r="AV71" i="14"/>
  <c r="AR71" i="14"/>
  <c r="AO71" i="14"/>
  <c r="AN71" i="14"/>
  <c r="AM71" i="14"/>
  <c r="AI71" i="14"/>
  <c r="AF71" i="14"/>
  <c r="AD71" i="14"/>
  <c r="Z71" i="14"/>
  <c r="W71" i="14"/>
  <c r="AA71" i="14" s="1"/>
  <c r="V71" i="14"/>
  <c r="B71" i="14"/>
  <c r="BP70" i="14"/>
  <c r="BO70" i="14"/>
  <c r="BN70" i="14"/>
  <c r="BM70" i="14"/>
  <c r="BL70" i="14"/>
  <c r="BK70" i="14"/>
  <c r="BJ70" i="14"/>
  <c r="BI70" i="14"/>
  <c r="BH70" i="14"/>
  <c r="BG70" i="14"/>
  <c r="BF70" i="14"/>
  <c r="BE70" i="14"/>
  <c r="BA70" i="14"/>
  <c r="AY70" i="14"/>
  <c r="AX70" i="14"/>
  <c r="AW70" i="14"/>
  <c r="AV70" i="14"/>
  <c r="AR70" i="14"/>
  <c r="AP70" i="14"/>
  <c r="AO70" i="14"/>
  <c r="AN70" i="14"/>
  <c r="AM70" i="14"/>
  <c r="AI70" i="14"/>
  <c r="AG70" i="14"/>
  <c r="AF70" i="14"/>
  <c r="AE70" i="14"/>
  <c r="AD70" i="14"/>
  <c r="Z70" i="14"/>
  <c r="V70" i="14"/>
  <c r="B70" i="14"/>
  <c r="BP69" i="14"/>
  <c r="BO69" i="14"/>
  <c r="BN69" i="14"/>
  <c r="BM69" i="14"/>
  <c r="BL69" i="14"/>
  <c r="BK69" i="14"/>
  <c r="BJ69" i="14"/>
  <c r="BI69" i="14"/>
  <c r="BH69" i="14"/>
  <c r="BG69" i="14"/>
  <c r="BF69" i="14"/>
  <c r="BE69" i="14"/>
  <c r="BA69" i="14"/>
  <c r="AY69" i="14"/>
  <c r="AX69" i="14"/>
  <c r="AW69" i="14"/>
  <c r="AV69" i="14"/>
  <c r="AR69" i="14"/>
  <c r="AP69" i="14"/>
  <c r="AO69" i="14"/>
  <c r="AN69" i="14"/>
  <c r="AM69" i="14"/>
  <c r="AI69" i="14"/>
  <c r="AG69" i="14"/>
  <c r="AF69" i="14"/>
  <c r="AE69" i="14"/>
  <c r="AD69" i="14"/>
  <c r="Z69" i="14"/>
  <c r="V69" i="14"/>
  <c r="B69" i="14"/>
  <c r="BP68" i="14"/>
  <c r="BO68" i="14"/>
  <c r="BN68" i="14"/>
  <c r="BM68" i="14"/>
  <c r="BL68" i="14"/>
  <c r="BK68" i="14"/>
  <c r="BJ68" i="14"/>
  <c r="BI68" i="14"/>
  <c r="BG68" i="14"/>
  <c r="BF68" i="14"/>
  <c r="BE68" i="14"/>
  <c r="BA68" i="14"/>
  <c r="AX68" i="14"/>
  <c r="AW68" i="14"/>
  <c r="AV68" i="14"/>
  <c r="AR68" i="14"/>
  <c r="AO68" i="14"/>
  <c r="AN68" i="14"/>
  <c r="AM68" i="14"/>
  <c r="AI68" i="14"/>
  <c r="AF68" i="14"/>
  <c r="AE68" i="14"/>
  <c r="AD68" i="14"/>
  <c r="Z68" i="14"/>
  <c r="W68" i="14"/>
  <c r="AG68" i="14" s="1"/>
  <c r="V68" i="14"/>
  <c r="B68" i="14"/>
  <c r="BP67" i="14"/>
  <c r="BO67" i="14"/>
  <c r="BN67" i="14"/>
  <c r="BM67" i="14"/>
  <c r="BL67" i="14"/>
  <c r="BK67" i="14"/>
  <c r="BI67" i="14"/>
  <c r="BG67" i="14"/>
  <c r="BF67" i="14"/>
  <c r="BE67" i="14"/>
  <c r="BA67" i="14"/>
  <c r="AX67" i="14"/>
  <c r="AW67" i="14"/>
  <c r="AV67" i="14"/>
  <c r="AR67" i="14"/>
  <c r="AO67" i="14"/>
  <c r="AN67" i="14"/>
  <c r="AM67" i="14"/>
  <c r="AI67" i="14"/>
  <c r="AF67" i="14"/>
  <c r="AD67" i="14"/>
  <c r="Z67" i="14"/>
  <c r="W67" i="14"/>
  <c r="BH67" i="14" s="1"/>
  <c r="V67" i="14"/>
  <c r="B67" i="14"/>
  <c r="BP66" i="14"/>
  <c r="BO66" i="14"/>
  <c r="BN66" i="14"/>
  <c r="BM66" i="14"/>
  <c r="BL66" i="14"/>
  <c r="BK66" i="14"/>
  <c r="BI66" i="14"/>
  <c r="BG66" i="14"/>
  <c r="BF66" i="14"/>
  <c r="BE66" i="14"/>
  <c r="BA66" i="14"/>
  <c r="AX66" i="14"/>
  <c r="AW66" i="14"/>
  <c r="AV66" i="14"/>
  <c r="AR66" i="14"/>
  <c r="AO66" i="14"/>
  <c r="AN66" i="14"/>
  <c r="AM66" i="14"/>
  <c r="AI66" i="14"/>
  <c r="AF66" i="14"/>
  <c r="AD66" i="14"/>
  <c r="Z66" i="14"/>
  <c r="V66" i="14"/>
  <c r="K66" i="14"/>
  <c r="W66" i="14" s="1"/>
  <c r="B66" i="14"/>
  <c r="BP65" i="14"/>
  <c r="BO65" i="14"/>
  <c r="BN65" i="14"/>
  <c r="BM65" i="14"/>
  <c r="BL65" i="14"/>
  <c r="BK65" i="14"/>
  <c r="BJ65" i="14"/>
  <c r="BI65" i="14"/>
  <c r="BH65" i="14"/>
  <c r="BG65" i="14"/>
  <c r="BF65" i="14"/>
  <c r="BE65" i="14"/>
  <c r="BA65" i="14"/>
  <c r="AY65" i="14"/>
  <c r="AX65" i="14"/>
  <c r="AW65" i="14"/>
  <c r="AV65" i="14"/>
  <c r="AR65" i="14"/>
  <c r="AP65" i="14"/>
  <c r="AO65" i="14"/>
  <c r="AN65" i="14"/>
  <c r="AM65" i="14"/>
  <c r="AI65" i="14"/>
  <c r="AG65" i="14"/>
  <c r="AF65" i="14"/>
  <c r="AE65" i="14"/>
  <c r="AD65" i="14"/>
  <c r="Z65" i="14"/>
  <c r="V65" i="14"/>
  <c r="B65" i="14"/>
  <c r="BP64" i="14"/>
  <c r="BO64" i="14"/>
  <c r="BN64" i="14"/>
  <c r="BM64" i="14"/>
  <c r="BL64" i="14"/>
  <c r="BK64" i="14"/>
  <c r="BJ64" i="14"/>
  <c r="BI64" i="14"/>
  <c r="BH64" i="14"/>
  <c r="BG64" i="14"/>
  <c r="BF64" i="14"/>
  <c r="BE64" i="14"/>
  <c r="BA64" i="14"/>
  <c r="AY64" i="14"/>
  <c r="AX64" i="14"/>
  <c r="AW64" i="14"/>
  <c r="AV64" i="14"/>
  <c r="AR64" i="14"/>
  <c r="AP64" i="14"/>
  <c r="AO64" i="14"/>
  <c r="AN64" i="14"/>
  <c r="AM64" i="14"/>
  <c r="AI64" i="14"/>
  <c r="AG64" i="14"/>
  <c r="AF64" i="14"/>
  <c r="AE64" i="14"/>
  <c r="AD64" i="14"/>
  <c r="Z64" i="14"/>
  <c r="V64" i="14"/>
  <c r="B64" i="14"/>
  <c r="BP63" i="14"/>
  <c r="BO63" i="14"/>
  <c r="BN63" i="14"/>
  <c r="BM63" i="14"/>
  <c r="BL63" i="14"/>
  <c r="BK63" i="14"/>
  <c r="BJ63" i="14"/>
  <c r="BI63" i="14"/>
  <c r="BH63" i="14"/>
  <c r="BG63" i="14"/>
  <c r="BF63" i="14"/>
  <c r="BE63" i="14"/>
  <c r="BA63" i="14"/>
  <c r="AY63" i="14"/>
  <c r="AX63" i="14"/>
  <c r="AW63" i="14"/>
  <c r="AV63" i="14"/>
  <c r="AR63" i="14"/>
  <c r="AP63" i="14"/>
  <c r="AO63" i="14"/>
  <c r="AN63" i="14"/>
  <c r="AM63" i="14"/>
  <c r="AI63" i="14"/>
  <c r="AG63" i="14"/>
  <c r="AF63" i="14"/>
  <c r="AE63" i="14"/>
  <c r="AD63" i="14"/>
  <c r="Z63" i="14"/>
  <c r="V63" i="14"/>
  <c r="B63" i="14"/>
  <c r="BP62" i="14"/>
  <c r="BO62" i="14"/>
  <c r="BN62" i="14"/>
  <c r="BM62" i="14"/>
  <c r="BL62" i="14"/>
  <c r="BK62" i="14"/>
  <c r="BJ62" i="14"/>
  <c r="BI62" i="14"/>
  <c r="BG62" i="14"/>
  <c r="BF62" i="14"/>
  <c r="BE62" i="14"/>
  <c r="BA62" i="14"/>
  <c r="AX62" i="14"/>
  <c r="AW62" i="14"/>
  <c r="AV62" i="14"/>
  <c r="AR62" i="14"/>
  <c r="AO62" i="14"/>
  <c r="AN62" i="14"/>
  <c r="AM62" i="14"/>
  <c r="AI62" i="14"/>
  <c r="AF62" i="14"/>
  <c r="AE62" i="14"/>
  <c r="AD62" i="14"/>
  <c r="Z62" i="14"/>
  <c r="W62" i="14"/>
  <c r="AY62" i="14" s="1"/>
  <c r="V62" i="14"/>
  <c r="B62" i="14"/>
  <c r="BP61" i="14"/>
  <c r="BO61" i="14"/>
  <c r="BN61" i="14"/>
  <c r="BM61" i="14"/>
  <c r="BL61" i="14"/>
  <c r="BK61" i="14"/>
  <c r="BJ61" i="14"/>
  <c r="BI61" i="14"/>
  <c r="BH61" i="14"/>
  <c r="BG61" i="14"/>
  <c r="BF61" i="14"/>
  <c r="BE61" i="14"/>
  <c r="BA61" i="14"/>
  <c r="AY61" i="14"/>
  <c r="AX61" i="14"/>
  <c r="AW61" i="14"/>
  <c r="AV61" i="14"/>
  <c r="AR61" i="14"/>
  <c r="AP61" i="14"/>
  <c r="AO61" i="14"/>
  <c r="AN61" i="14"/>
  <c r="AM61" i="14"/>
  <c r="AI61" i="14"/>
  <c r="AG61" i="14"/>
  <c r="AF61" i="14"/>
  <c r="AE61" i="14"/>
  <c r="AD61" i="14"/>
  <c r="Z61" i="14"/>
  <c r="V61" i="14"/>
  <c r="B61" i="14"/>
  <c r="BP60" i="14"/>
  <c r="BO60" i="14"/>
  <c r="BN60" i="14"/>
  <c r="BM60" i="14"/>
  <c r="BL60" i="14"/>
  <c r="BK60" i="14"/>
  <c r="BJ60" i="14"/>
  <c r="BI60" i="14"/>
  <c r="BH60" i="14"/>
  <c r="BG60" i="14"/>
  <c r="BF60" i="14"/>
  <c r="BE60" i="14"/>
  <c r="BA60" i="14"/>
  <c r="AY60" i="14"/>
  <c r="AX60" i="14"/>
  <c r="AW60" i="14"/>
  <c r="AV60" i="14"/>
  <c r="AR60" i="14"/>
  <c r="AP60" i="14"/>
  <c r="AO60" i="14"/>
  <c r="AN60" i="14"/>
  <c r="AM60" i="14"/>
  <c r="AI60" i="14"/>
  <c r="AG60" i="14"/>
  <c r="AF60" i="14"/>
  <c r="AE60" i="14"/>
  <c r="AD60" i="14"/>
  <c r="Z60" i="14"/>
  <c r="V60" i="14"/>
  <c r="B60" i="14"/>
  <c r="BP59" i="14"/>
  <c r="BO59" i="14"/>
  <c r="BN59" i="14"/>
  <c r="BM59" i="14"/>
  <c r="BL59" i="14"/>
  <c r="BK59" i="14"/>
  <c r="BJ59" i="14"/>
  <c r="BI59" i="14"/>
  <c r="BH59" i="14"/>
  <c r="BG59" i="14"/>
  <c r="BF59" i="14"/>
  <c r="BE59" i="14"/>
  <c r="BA59" i="14"/>
  <c r="AY59" i="14"/>
  <c r="AX59" i="14"/>
  <c r="AW59" i="14"/>
  <c r="AV59" i="14"/>
  <c r="AR59" i="14"/>
  <c r="AP59" i="14"/>
  <c r="AO59" i="14"/>
  <c r="AN59" i="14"/>
  <c r="AM59" i="14"/>
  <c r="AI59" i="14"/>
  <c r="AG59" i="14"/>
  <c r="AF59" i="14"/>
  <c r="AE59" i="14"/>
  <c r="AD59" i="14"/>
  <c r="Z59" i="14"/>
  <c r="V59" i="14"/>
  <c r="B59" i="14"/>
  <c r="BP58" i="14"/>
  <c r="BO58" i="14"/>
  <c r="BN58" i="14"/>
  <c r="BM58" i="14"/>
  <c r="BL58" i="14"/>
  <c r="BK58" i="14"/>
  <c r="BJ58" i="14"/>
  <c r="BI58" i="14"/>
  <c r="BH58" i="14"/>
  <c r="BG58" i="14"/>
  <c r="BF58" i="14"/>
  <c r="BE58" i="14"/>
  <c r="BA58" i="14"/>
  <c r="AY58" i="14"/>
  <c r="AX58" i="14"/>
  <c r="AW58" i="14"/>
  <c r="AV58" i="14"/>
  <c r="AR58" i="14"/>
  <c r="AP58" i="14"/>
  <c r="AO58" i="14"/>
  <c r="AN58" i="14"/>
  <c r="AM58" i="14"/>
  <c r="AI58" i="14"/>
  <c r="AG58" i="14"/>
  <c r="AF58" i="14"/>
  <c r="AE58" i="14"/>
  <c r="AD58" i="14"/>
  <c r="Z58" i="14"/>
  <c r="V58" i="14"/>
  <c r="B58" i="14"/>
  <c r="BP57" i="14"/>
  <c r="BO57" i="14"/>
  <c r="BN57" i="14"/>
  <c r="BM57" i="14"/>
  <c r="BL57" i="14"/>
  <c r="BK57" i="14"/>
  <c r="BJ57" i="14"/>
  <c r="BI57" i="14"/>
  <c r="BH57" i="14"/>
  <c r="BF57" i="14"/>
  <c r="BE57" i="14"/>
  <c r="BA57" i="14"/>
  <c r="AY57" i="14"/>
  <c r="AW57" i="14"/>
  <c r="AV57" i="14"/>
  <c r="AR57" i="14"/>
  <c r="AP57" i="14"/>
  <c r="AN57" i="14"/>
  <c r="AM57" i="14"/>
  <c r="AI57" i="14"/>
  <c r="AG57" i="14"/>
  <c r="AE57" i="14"/>
  <c r="AD57" i="14"/>
  <c r="Z57" i="14"/>
  <c r="V57" i="14"/>
  <c r="U57" i="14"/>
  <c r="AX57" i="14" s="1"/>
  <c r="B57" i="14"/>
  <c r="BP56" i="14"/>
  <c r="BO56" i="14"/>
  <c r="BN56" i="14"/>
  <c r="BM56" i="14"/>
  <c r="BL56" i="14"/>
  <c r="BK56" i="14"/>
  <c r="BJ56" i="14"/>
  <c r="BI56" i="14"/>
  <c r="BH56" i="14"/>
  <c r="BF56" i="14"/>
  <c r="BE56" i="14"/>
  <c r="BA56" i="14"/>
  <c r="AY56" i="14"/>
  <c r="AW56" i="14"/>
  <c r="AV56" i="14"/>
  <c r="AR56" i="14"/>
  <c r="AP56" i="14"/>
  <c r="AN56" i="14"/>
  <c r="AM56" i="14"/>
  <c r="AI56" i="14"/>
  <c r="AG56" i="14"/>
  <c r="AE56" i="14"/>
  <c r="AD56" i="14"/>
  <c r="Z56" i="14"/>
  <c r="V56" i="14"/>
  <c r="U56" i="14"/>
  <c r="BG56" i="14" s="1"/>
  <c r="B56" i="14"/>
  <c r="BP55" i="14"/>
  <c r="BO55" i="14"/>
  <c r="BN55" i="14"/>
  <c r="BM55" i="14"/>
  <c r="BL55" i="14"/>
  <c r="BK55" i="14"/>
  <c r="BJ55" i="14"/>
  <c r="BI55" i="14"/>
  <c r="BH55" i="14"/>
  <c r="BG55" i="14"/>
  <c r="BF55" i="14"/>
  <c r="BE55" i="14"/>
  <c r="BA55" i="14"/>
  <c r="AY55" i="14"/>
  <c r="AX55" i="14"/>
  <c r="AW55" i="14"/>
  <c r="AV55" i="14"/>
  <c r="AR55" i="14"/>
  <c r="AP55" i="14"/>
  <c r="AO55" i="14"/>
  <c r="AN55" i="14"/>
  <c r="AM55" i="14"/>
  <c r="AI55" i="14"/>
  <c r="AG55" i="14"/>
  <c r="AF55" i="14"/>
  <c r="AE55" i="14"/>
  <c r="AD55" i="14"/>
  <c r="Z55" i="14"/>
  <c r="V55" i="14"/>
  <c r="B55" i="14"/>
  <c r="BP54" i="14"/>
  <c r="BO54" i="14"/>
  <c r="BN54" i="14"/>
  <c r="BM54" i="14"/>
  <c r="BL54" i="14"/>
  <c r="BK54" i="14"/>
  <c r="BJ54" i="14"/>
  <c r="BI54" i="14"/>
  <c r="BH54" i="14"/>
  <c r="BG54" i="14"/>
  <c r="BF54" i="14"/>
  <c r="BE54" i="14"/>
  <c r="BA54" i="14"/>
  <c r="AY54" i="14"/>
  <c r="AX54" i="14"/>
  <c r="AW54" i="14"/>
  <c r="AV54" i="14"/>
  <c r="AR54" i="14"/>
  <c r="AP54" i="14"/>
  <c r="AO54" i="14"/>
  <c r="AN54" i="14"/>
  <c r="AM54" i="14"/>
  <c r="AI54" i="14"/>
  <c r="AG54" i="14"/>
  <c r="AF54" i="14"/>
  <c r="AE54" i="14"/>
  <c r="AD54" i="14"/>
  <c r="Z54" i="14"/>
  <c r="V54" i="14"/>
  <c r="B54" i="14"/>
  <c r="BP53" i="14"/>
  <c r="BO53" i="14"/>
  <c r="BN53" i="14"/>
  <c r="BM53" i="14"/>
  <c r="BL53" i="14"/>
  <c r="BK53" i="14"/>
  <c r="BJ53" i="14"/>
  <c r="BI53" i="14"/>
  <c r="BG53" i="14"/>
  <c r="BF53" i="14"/>
  <c r="BE53" i="14"/>
  <c r="BA53" i="14"/>
  <c r="AX53" i="14"/>
  <c r="AW53" i="14"/>
  <c r="AV53" i="14"/>
  <c r="AR53" i="14"/>
  <c r="AO53" i="14"/>
  <c r="AN53" i="14"/>
  <c r="AM53" i="14"/>
  <c r="AI53" i="14"/>
  <c r="AF53" i="14"/>
  <c r="AE53" i="14"/>
  <c r="AD53" i="14"/>
  <c r="Z53" i="14"/>
  <c r="W53" i="14"/>
  <c r="AY53" i="14" s="1"/>
  <c r="V53" i="14"/>
  <c r="B53" i="14"/>
  <c r="BP52" i="14"/>
  <c r="BO52" i="14"/>
  <c r="BN52" i="14"/>
  <c r="BM52" i="14"/>
  <c r="BL52" i="14"/>
  <c r="BK52" i="14"/>
  <c r="BJ52" i="14"/>
  <c r="BI52" i="14"/>
  <c r="BG52" i="14"/>
  <c r="BF52" i="14"/>
  <c r="BE52" i="14"/>
  <c r="BA52" i="14"/>
  <c r="AX52" i="14"/>
  <c r="AW52" i="14"/>
  <c r="AV52" i="14"/>
  <c r="AR52" i="14"/>
  <c r="AO52" i="14"/>
  <c r="AN52" i="14"/>
  <c r="AM52" i="14"/>
  <c r="AI52" i="14"/>
  <c r="AF52" i="14"/>
  <c r="AE52" i="14"/>
  <c r="AD52" i="14"/>
  <c r="Z52" i="14"/>
  <c r="W52" i="14"/>
  <c r="AY52" i="14" s="1"/>
  <c r="V52" i="14"/>
  <c r="B52" i="14"/>
  <c r="BP51" i="14"/>
  <c r="BO51" i="14"/>
  <c r="BN51" i="14"/>
  <c r="BM51" i="14"/>
  <c r="BL51" i="14"/>
  <c r="BK51" i="14"/>
  <c r="BJ51" i="14"/>
  <c r="BI51" i="14"/>
  <c r="BH51" i="14"/>
  <c r="BG51" i="14"/>
  <c r="BF51" i="14"/>
  <c r="BE51" i="14"/>
  <c r="BA51" i="14"/>
  <c r="AY51" i="14"/>
  <c r="AX51" i="14"/>
  <c r="AW51" i="14"/>
  <c r="AV51" i="14"/>
  <c r="AR51" i="14"/>
  <c r="AP51" i="14"/>
  <c r="AO51" i="14"/>
  <c r="AN51" i="14"/>
  <c r="AM51" i="14"/>
  <c r="AI51" i="14"/>
  <c r="AG51" i="14"/>
  <c r="AF51" i="14"/>
  <c r="AE51" i="14"/>
  <c r="AD51" i="14"/>
  <c r="Z51" i="14"/>
  <c r="V51" i="14"/>
  <c r="B51" i="14"/>
  <c r="BP50" i="14"/>
  <c r="BO50" i="14"/>
  <c r="BN50" i="14"/>
  <c r="BM50" i="14"/>
  <c r="BL50" i="14"/>
  <c r="BK50" i="14"/>
  <c r="BJ50" i="14"/>
  <c r="BI50" i="14"/>
  <c r="BH50" i="14"/>
  <c r="BF50" i="14"/>
  <c r="BE50" i="14"/>
  <c r="BA50" i="14"/>
  <c r="AY50" i="14"/>
  <c r="AW50" i="14"/>
  <c r="AV50" i="14"/>
  <c r="AR50" i="14"/>
  <c r="AP50" i="14"/>
  <c r="AN50" i="14"/>
  <c r="AM50" i="14"/>
  <c r="AI50" i="14"/>
  <c r="AG50" i="14"/>
  <c r="AE50" i="14"/>
  <c r="AD50" i="14"/>
  <c r="Z50" i="14"/>
  <c r="V50" i="14"/>
  <c r="U50" i="14"/>
  <c r="AO50" i="14" s="1"/>
  <c r="B50" i="14"/>
  <c r="BP49" i="14"/>
  <c r="BO49" i="14"/>
  <c r="BN49" i="14"/>
  <c r="BM49" i="14"/>
  <c r="BL49" i="14"/>
  <c r="BK49" i="14"/>
  <c r="BJ49" i="14"/>
  <c r="BI49" i="14"/>
  <c r="BH49" i="14"/>
  <c r="BF49" i="14"/>
  <c r="BE49" i="14"/>
  <c r="BA49" i="14"/>
  <c r="AY49" i="14"/>
  <c r="AW49" i="14"/>
  <c r="AV49" i="14"/>
  <c r="AR49" i="14"/>
  <c r="AP49" i="14"/>
  <c r="AN49" i="14"/>
  <c r="AM49" i="14"/>
  <c r="AI49" i="14"/>
  <c r="AG49" i="14"/>
  <c r="AE49" i="14"/>
  <c r="AD49" i="14"/>
  <c r="Z49" i="14"/>
  <c r="V49" i="14"/>
  <c r="U49" i="14"/>
  <c r="BG49" i="14" s="1"/>
  <c r="B49" i="14"/>
  <c r="BP48" i="14"/>
  <c r="BO48" i="14"/>
  <c r="BN48" i="14"/>
  <c r="BM48" i="14"/>
  <c r="BL48" i="14"/>
  <c r="BK48" i="14"/>
  <c r="BJ48" i="14"/>
  <c r="BI48" i="14"/>
  <c r="BH48" i="14"/>
  <c r="BF48" i="14"/>
  <c r="BE48" i="14"/>
  <c r="BA48" i="14"/>
  <c r="AY48" i="14"/>
  <c r="AX48" i="14"/>
  <c r="AW48" i="14"/>
  <c r="AV48" i="14"/>
  <c r="AR48" i="14"/>
  <c r="AP48" i="14"/>
  <c r="AN48" i="14"/>
  <c r="AM48" i="14"/>
  <c r="AI48" i="14"/>
  <c r="AG48" i="14"/>
  <c r="AF48" i="14"/>
  <c r="AE48" i="14"/>
  <c r="AD48" i="14"/>
  <c r="Z48" i="14"/>
  <c r="V48" i="14"/>
  <c r="U48" i="14"/>
  <c r="BG48" i="14" s="1"/>
  <c r="B48" i="14"/>
  <c r="BP47" i="14"/>
  <c r="BO47" i="14"/>
  <c r="BN47" i="14"/>
  <c r="BM47" i="14"/>
  <c r="BL47" i="14"/>
  <c r="BK47" i="14"/>
  <c r="BJ47" i="14"/>
  <c r="BI47" i="14"/>
  <c r="BF47" i="14"/>
  <c r="BE47" i="14"/>
  <c r="BA47" i="14"/>
  <c r="AW47" i="14"/>
  <c r="AV47" i="14"/>
  <c r="AR47" i="14"/>
  <c r="AN47" i="14"/>
  <c r="AM47" i="14"/>
  <c r="AI47" i="14"/>
  <c r="AE47" i="14"/>
  <c r="AD47" i="14"/>
  <c r="Z47" i="14"/>
  <c r="W47" i="14"/>
  <c r="AY47" i="14" s="1"/>
  <c r="V47" i="14"/>
  <c r="U47" i="14"/>
  <c r="AO47" i="14" s="1"/>
  <c r="B47" i="14"/>
  <c r="BP46" i="14"/>
  <c r="BO46" i="14"/>
  <c r="BN46" i="14"/>
  <c r="BM46" i="14"/>
  <c r="BL46" i="14"/>
  <c r="BK46" i="14"/>
  <c r="BJ46" i="14"/>
  <c r="BI46" i="14"/>
  <c r="BH46" i="14"/>
  <c r="BG46" i="14"/>
  <c r="BF46" i="14"/>
  <c r="BE46" i="14"/>
  <c r="BA46" i="14"/>
  <c r="AY46" i="14"/>
  <c r="AX46" i="14"/>
  <c r="AW46" i="14"/>
  <c r="AV46" i="14"/>
  <c r="AR46" i="14"/>
  <c r="AP46" i="14"/>
  <c r="AO46" i="14"/>
  <c r="AN46" i="14"/>
  <c r="AM46" i="14"/>
  <c r="AI46" i="14"/>
  <c r="AG46" i="14"/>
  <c r="AF46" i="14"/>
  <c r="AE46" i="14"/>
  <c r="AD46" i="14"/>
  <c r="Z46" i="14"/>
  <c r="V46" i="14"/>
  <c r="B46" i="14"/>
  <c r="BP45" i="14"/>
  <c r="BO45" i="14"/>
  <c r="BN45" i="14"/>
  <c r="BM45" i="14"/>
  <c r="BL45" i="14"/>
  <c r="BK45" i="14"/>
  <c r="BJ45" i="14"/>
  <c r="BI45" i="14"/>
  <c r="BH45" i="14"/>
  <c r="BG45" i="14"/>
  <c r="BF45" i="14"/>
  <c r="BE45" i="14"/>
  <c r="BA45" i="14"/>
  <c r="AY45" i="14"/>
  <c r="AX45" i="14"/>
  <c r="AW45" i="14"/>
  <c r="AV45" i="14"/>
  <c r="AR45" i="14"/>
  <c r="AP45" i="14"/>
  <c r="AO45" i="14"/>
  <c r="AN45" i="14"/>
  <c r="AM45" i="14"/>
  <c r="AI45" i="14"/>
  <c r="AG45" i="14"/>
  <c r="AF45" i="14"/>
  <c r="AE45" i="14"/>
  <c r="AD45" i="14"/>
  <c r="Z45" i="14"/>
  <c r="V45" i="14"/>
  <c r="B45" i="14"/>
  <c r="BP44" i="14"/>
  <c r="BO44" i="14"/>
  <c r="BN44" i="14"/>
  <c r="BM44" i="14"/>
  <c r="BL44" i="14"/>
  <c r="BK44" i="14"/>
  <c r="BJ44" i="14"/>
  <c r="BI44" i="14"/>
  <c r="BH44" i="14"/>
  <c r="BG44" i="14"/>
  <c r="BF44" i="14"/>
  <c r="BE44" i="14"/>
  <c r="BA44" i="14"/>
  <c r="AY44" i="14"/>
  <c r="AX44" i="14"/>
  <c r="AW44" i="14"/>
  <c r="AV44" i="14"/>
  <c r="AR44" i="14"/>
  <c r="AP44" i="14"/>
  <c r="AO44" i="14"/>
  <c r="AN44" i="14"/>
  <c r="AM44" i="14"/>
  <c r="AI44" i="14"/>
  <c r="AG44" i="14"/>
  <c r="AF44" i="14"/>
  <c r="AE44" i="14"/>
  <c r="AD44" i="14"/>
  <c r="Z44" i="14"/>
  <c r="V44" i="14"/>
  <c r="B44" i="14"/>
  <c r="BP43" i="14"/>
  <c r="BO43" i="14"/>
  <c r="BN43" i="14"/>
  <c r="BM43" i="14"/>
  <c r="BL43" i="14"/>
  <c r="BK43" i="14"/>
  <c r="BJ43" i="14"/>
  <c r="BI43" i="14"/>
  <c r="BH43" i="14"/>
  <c r="BG43" i="14"/>
  <c r="BF43" i="14"/>
  <c r="BE43" i="14"/>
  <c r="BA43" i="14"/>
  <c r="AY43" i="14"/>
  <c r="AX43" i="14"/>
  <c r="AW43" i="14"/>
  <c r="AV43" i="14"/>
  <c r="AR43" i="14"/>
  <c r="AP43" i="14"/>
  <c r="AO43" i="14"/>
  <c r="AN43" i="14"/>
  <c r="AM43" i="14"/>
  <c r="AI43" i="14"/>
  <c r="AG43" i="14"/>
  <c r="AF43" i="14"/>
  <c r="AE43" i="14"/>
  <c r="AD43" i="14"/>
  <c r="Z43" i="14"/>
  <c r="V43" i="14"/>
  <c r="B43" i="14"/>
  <c r="BP42" i="14"/>
  <c r="BO42" i="14"/>
  <c r="BN42" i="14"/>
  <c r="BM42" i="14"/>
  <c r="BL42" i="14"/>
  <c r="BK42" i="14"/>
  <c r="BJ42" i="14"/>
  <c r="BI42" i="14"/>
  <c r="BH42" i="14"/>
  <c r="BG42" i="14"/>
  <c r="BF42" i="14"/>
  <c r="BE42" i="14"/>
  <c r="BA42" i="14"/>
  <c r="AY42" i="14"/>
  <c r="AX42" i="14"/>
  <c r="AW42" i="14"/>
  <c r="AV42" i="14"/>
  <c r="AR42" i="14"/>
  <c r="AP42" i="14"/>
  <c r="AO42" i="14"/>
  <c r="AN42" i="14"/>
  <c r="AM42" i="14"/>
  <c r="AI42" i="14"/>
  <c r="AG42" i="14"/>
  <c r="AF42" i="14"/>
  <c r="AE42" i="14"/>
  <c r="AD42" i="14"/>
  <c r="Z42" i="14"/>
  <c r="V42" i="14"/>
  <c r="B42" i="14"/>
  <c r="BP41" i="14"/>
  <c r="BO41" i="14"/>
  <c r="BN41" i="14"/>
  <c r="BM41" i="14"/>
  <c r="BL41" i="14"/>
  <c r="BK41" i="14"/>
  <c r="BJ41" i="14"/>
  <c r="BI41" i="14"/>
  <c r="BH41" i="14"/>
  <c r="BF41" i="14"/>
  <c r="BE41" i="14"/>
  <c r="BA41" i="14"/>
  <c r="AY41" i="14"/>
  <c r="AW41" i="14"/>
  <c r="AV41" i="14"/>
  <c r="AR41" i="14"/>
  <c r="AP41" i="14"/>
  <c r="AN41" i="14"/>
  <c r="AM41" i="14"/>
  <c r="AI41" i="14"/>
  <c r="AG41" i="14"/>
  <c r="AE41" i="14"/>
  <c r="AD41" i="14"/>
  <c r="Z41" i="14"/>
  <c r="V41" i="14"/>
  <c r="U41" i="14"/>
  <c r="AX41" i="14" s="1"/>
  <c r="B41" i="14"/>
  <c r="BP40" i="14"/>
  <c r="BO40" i="14"/>
  <c r="BN40" i="14"/>
  <c r="BM40" i="14"/>
  <c r="BL40" i="14"/>
  <c r="BK40" i="14"/>
  <c r="BJ40" i="14"/>
  <c r="BI40" i="14"/>
  <c r="BH40" i="14"/>
  <c r="BG40" i="14"/>
  <c r="BF40" i="14"/>
  <c r="BE40" i="14"/>
  <c r="BA40" i="14"/>
  <c r="AY40" i="14"/>
  <c r="AX40" i="14"/>
  <c r="AW40" i="14"/>
  <c r="AV40" i="14"/>
  <c r="AR40" i="14"/>
  <c r="AP40" i="14"/>
  <c r="AO40" i="14"/>
  <c r="AN40" i="14"/>
  <c r="AM40" i="14"/>
  <c r="AI40" i="14"/>
  <c r="AG40" i="14"/>
  <c r="AF40" i="14"/>
  <c r="AE40" i="14"/>
  <c r="AD40" i="14"/>
  <c r="Z40" i="14"/>
  <c r="V40" i="14"/>
  <c r="B40" i="14"/>
  <c r="BP39" i="14"/>
  <c r="BO39" i="14"/>
  <c r="BN39" i="14"/>
  <c r="BM39" i="14"/>
  <c r="BL39" i="14"/>
  <c r="BK39" i="14"/>
  <c r="BJ39" i="14"/>
  <c r="BI39" i="14"/>
  <c r="BH39" i="14"/>
  <c r="BG39" i="14"/>
  <c r="BF39" i="14"/>
  <c r="BE39" i="14"/>
  <c r="BA39" i="14"/>
  <c r="AY39" i="14"/>
  <c r="AX39" i="14"/>
  <c r="AW39" i="14"/>
  <c r="AV39" i="14"/>
  <c r="AR39" i="14"/>
  <c r="AP39" i="14"/>
  <c r="AO39" i="14"/>
  <c r="AN39" i="14"/>
  <c r="AM39" i="14"/>
  <c r="AI39" i="14"/>
  <c r="AG39" i="14"/>
  <c r="AF39" i="14"/>
  <c r="AE39" i="14"/>
  <c r="AD39" i="14"/>
  <c r="Z39" i="14"/>
  <c r="V39" i="14"/>
  <c r="B39" i="14"/>
  <c r="BP38" i="14"/>
  <c r="BO38" i="14"/>
  <c r="BN38" i="14"/>
  <c r="BM38" i="14"/>
  <c r="BL38" i="14"/>
  <c r="BK38" i="14"/>
  <c r="BJ38" i="14"/>
  <c r="BI38" i="14"/>
  <c r="BH38" i="14"/>
  <c r="BG38" i="14"/>
  <c r="BF38" i="14"/>
  <c r="BE38" i="14"/>
  <c r="BA38" i="14"/>
  <c r="AY38" i="14"/>
  <c r="AX38" i="14"/>
  <c r="AW38" i="14"/>
  <c r="AV38" i="14"/>
  <c r="AR38" i="14"/>
  <c r="AP38" i="14"/>
  <c r="AO38" i="14"/>
  <c r="AN38" i="14"/>
  <c r="AM38" i="14"/>
  <c r="AI38" i="14"/>
  <c r="AG38" i="14"/>
  <c r="AF38" i="14"/>
  <c r="AE38" i="14"/>
  <c r="AD38" i="14"/>
  <c r="Z38" i="14"/>
  <c r="V38" i="14"/>
  <c r="B38" i="14"/>
  <c r="BP37" i="14"/>
  <c r="BO37" i="14"/>
  <c r="BN37" i="14"/>
  <c r="BM37" i="14"/>
  <c r="BL37" i="14"/>
  <c r="BK37" i="14"/>
  <c r="BJ37" i="14"/>
  <c r="BI37" i="14"/>
  <c r="BH37" i="14"/>
  <c r="BG37" i="14"/>
  <c r="BF37" i="14"/>
  <c r="BE37" i="14"/>
  <c r="BA37" i="14"/>
  <c r="AY37" i="14"/>
  <c r="AX37" i="14"/>
  <c r="AW37" i="14"/>
  <c r="AV37" i="14"/>
  <c r="AR37" i="14"/>
  <c r="AP37" i="14"/>
  <c r="AO37" i="14"/>
  <c r="AN37" i="14"/>
  <c r="AM37" i="14"/>
  <c r="AI37" i="14"/>
  <c r="AG37" i="14"/>
  <c r="AF37" i="14"/>
  <c r="AE37" i="14"/>
  <c r="AD37" i="14"/>
  <c r="Z37" i="14"/>
  <c r="V37" i="14"/>
  <c r="B37" i="14"/>
  <c r="BP36" i="14"/>
  <c r="BO36" i="14"/>
  <c r="BN36" i="14"/>
  <c r="BM36" i="14"/>
  <c r="BL36" i="14"/>
  <c r="BK36" i="14"/>
  <c r="BJ36" i="14"/>
  <c r="BI36" i="14"/>
  <c r="BH36" i="14"/>
  <c r="BG36" i="14"/>
  <c r="BF36" i="14"/>
  <c r="BE36" i="14"/>
  <c r="BA36" i="14"/>
  <c r="AY36" i="14"/>
  <c r="AX36" i="14"/>
  <c r="AW36" i="14"/>
  <c r="AV36" i="14"/>
  <c r="AR36" i="14"/>
  <c r="AP36" i="14"/>
  <c r="AO36" i="14"/>
  <c r="AN36" i="14"/>
  <c r="AM36" i="14"/>
  <c r="AI36" i="14"/>
  <c r="AG36" i="14"/>
  <c r="AF36" i="14"/>
  <c r="AE36" i="14"/>
  <c r="AD36" i="14"/>
  <c r="Z36" i="14"/>
  <c r="V36" i="14"/>
  <c r="B36" i="14"/>
  <c r="BP35" i="14"/>
  <c r="BO35" i="14"/>
  <c r="BN35" i="14"/>
  <c r="BM35" i="14"/>
  <c r="BL35" i="14"/>
  <c r="BK35" i="14"/>
  <c r="BJ35" i="14"/>
  <c r="BI35" i="14"/>
  <c r="BH35" i="14"/>
  <c r="BG35" i="14"/>
  <c r="BF35" i="14"/>
  <c r="BE35" i="14"/>
  <c r="BA35" i="14"/>
  <c r="AY35" i="14"/>
  <c r="AX35" i="14"/>
  <c r="AW35" i="14"/>
  <c r="AV35" i="14"/>
  <c r="AR35" i="14"/>
  <c r="AP35" i="14"/>
  <c r="AO35" i="14"/>
  <c r="AN35" i="14"/>
  <c r="AM35" i="14"/>
  <c r="AI35" i="14"/>
  <c r="AG35" i="14"/>
  <c r="AF35" i="14"/>
  <c r="AE35" i="14"/>
  <c r="AD35" i="14"/>
  <c r="Z35" i="14"/>
  <c r="V35" i="14"/>
  <c r="B35" i="14"/>
  <c r="BP34" i="14"/>
  <c r="BO34" i="14"/>
  <c r="BN34" i="14"/>
  <c r="BM34" i="14"/>
  <c r="BL34" i="14"/>
  <c r="BK34" i="14"/>
  <c r="BJ34" i="14"/>
  <c r="BI34" i="14"/>
  <c r="BH34" i="14"/>
  <c r="BG34" i="14"/>
  <c r="BF34" i="14"/>
  <c r="BE34" i="14"/>
  <c r="BA34" i="14"/>
  <c r="AY34" i="14"/>
  <c r="AX34" i="14"/>
  <c r="AW34" i="14"/>
  <c r="AV34" i="14"/>
  <c r="AR34" i="14"/>
  <c r="AP34" i="14"/>
  <c r="AO34" i="14"/>
  <c r="AN34" i="14"/>
  <c r="AM34" i="14"/>
  <c r="AI34" i="14"/>
  <c r="AG34" i="14"/>
  <c r="AF34" i="14"/>
  <c r="AE34" i="14"/>
  <c r="AD34" i="14"/>
  <c r="Z34" i="14"/>
  <c r="V34" i="14"/>
  <c r="B34" i="14"/>
  <c r="BP33" i="14"/>
  <c r="BO33" i="14"/>
  <c r="BN33" i="14"/>
  <c r="BM33" i="14"/>
  <c r="BL33" i="14"/>
  <c r="BK33" i="14"/>
  <c r="BJ33" i="14"/>
  <c r="BI33" i="14"/>
  <c r="BH33" i="14"/>
  <c r="BG33" i="14"/>
  <c r="BF33" i="14"/>
  <c r="BE33" i="14"/>
  <c r="BA33" i="14"/>
  <c r="AY33" i="14"/>
  <c r="AX33" i="14"/>
  <c r="AW33" i="14"/>
  <c r="AV33" i="14"/>
  <c r="AR33" i="14"/>
  <c r="AP33" i="14"/>
  <c r="AO33" i="14"/>
  <c r="AN33" i="14"/>
  <c r="AM33" i="14"/>
  <c r="AI33" i="14"/>
  <c r="AG33" i="14"/>
  <c r="AF33" i="14"/>
  <c r="AE33" i="14"/>
  <c r="AD33" i="14"/>
  <c r="Z33" i="14"/>
  <c r="V33" i="14"/>
  <c r="B33" i="14"/>
  <c r="BP32" i="14"/>
  <c r="BO32" i="14"/>
  <c r="BN32" i="14"/>
  <c r="BM32" i="14"/>
  <c r="BL32" i="14"/>
  <c r="BK32" i="14"/>
  <c r="BJ32" i="14"/>
  <c r="BI32" i="14"/>
  <c r="BH32" i="14"/>
  <c r="BG32" i="14"/>
  <c r="BF32" i="14"/>
  <c r="BE32" i="14"/>
  <c r="BA32" i="14"/>
  <c r="AY32" i="14"/>
  <c r="AX32" i="14"/>
  <c r="AW32" i="14"/>
  <c r="AV32" i="14"/>
  <c r="AR32" i="14"/>
  <c r="AP32" i="14"/>
  <c r="AO32" i="14"/>
  <c r="AN32" i="14"/>
  <c r="AM32" i="14"/>
  <c r="AI32" i="14"/>
  <c r="AG32" i="14"/>
  <c r="AF32" i="14"/>
  <c r="AE32" i="14"/>
  <c r="AD32" i="14"/>
  <c r="Z32" i="14"/>
  <c r="V32" i="14"/>
  <c r="B32" i="14"/>
  <c r="BP31" i="14"/>
  <c r="BO31" i="14"/>
  <c r="BN31" i="14"/>
  <c r="BM31" i="14"/>
  <c r="BL31" i="14"/>
  <c r="BK31" i="14"/>
  <c r="BJ31" i="14"/>
  <c r="BI31" i="14"/>
  <c r="BH31" i="14"/>
  <c r="BG31" i="14"/>
  <c r="BF31" i="14"/>
  <c r="BE31" i="14"/>
  <c r="BA31" i="14"/>
  <c r="AY31" i="14"/>
  <c r="AX31" i="14"/>
  <c r="AW31" i="14"/>
  <c r="AV31" i="14"/>
  <c r="AR31" i="14"/>
  <c r="AP31" i="14"/>
  <c r="AO31" i="14"/>
  <c r="AN31" i="14"/>
  <c r="AM31" i="14"/>
  <c r="AI31" i="14"/>
  <c r="AG31" i="14"/>
  <c r="AF31" i="14"/>
  <c r="AE31" i="14"/>
  <c r="AD31" i="14"/>
  <c r="Z31" i="14"/>
  <c r="V31" i="14"/>
  <c r="B31" i="14"/>
  <c r="BP30" i="14"/>
  <c r="BO30" i="14"/>
  <c r="BN30" i="14"/>
  <c r="BM30" i="14"/>
  <c r="BL30" i="14"/>
  <c r="BK30" i="14"/>
  <c r="BJ30" i="14"/>
  <c r="BI30" i="14"/>
  <c r="BH30" i="14"/>
  <c r="BG30" i="14"/>
  <c r="BF30" i="14"/>
  <c r="BE30" i="14"/>
  <c r="BA30" i="14"/>
  <c r="AY30" i="14"/>
  <c r="AX30" i="14"/>
  <c r="AW30" i="14"/>
  <c r="AV30" i="14"/>
  <c r="AR30" i="14"/>
  <c r="AP30" i="14"/>
  <c r="AO30" i="14"/>
  <c r="AN30" i="14"/>
  <c r="AM30" i="14"/>
  <c r="AI30" i="14"/>
  <c r="AG30" i="14"/>
  <c r="AF30" i="14"/>
  <c r="AE30" i="14"/>
  <c r="AD30" i="14"/>
  <c r="Z30" i="14"/>
  <c r="V30" i="14"/>
  <c r="B30" i="14"/>
  <c r="BP29" i="14"/>
  <c r="BO29" i="14"/>
  <c r="BN29" i="14"/>
  <c r="BM29" i="14"/>
  <c r="BL29" i="14"/>
  <c r="BK29" i="14"/>
  <c r="BJ29" i="14"/>
  <c r="BI29" i="14"/>
  <c r="BH29" i="14"/>
  <c r="BG29" i="14"/>
  <c r="BF29" i="14"/>
  <c r="BE29" i="14"/>
  <c r="BA29" i="14"/>
  <c r="AY29" i="14"/>
  <c r="AX29" i="14"/>
  <c r="AW29" i="14"/>
  <c r="AV29" i="14"/>
  <c r="AR29" i="14"/>
  <c r="AP29" i="14"/>
  <c r="AO29" i="14"/>
  <c r="AN29" i="14"/>
  <c r="AM29" i="14"/>
  <c r="AI29" i="14"/>
  <c r="AG29" i="14"/>
  <c r="AF29" i="14"/>
  <c r="AE29" i="14"/>
  <c r="AD29" i="14"/>
  <c r="Z29" i="14"/>
  <c r="V29" i="14"/>
  <c r="B29" i="14"/>
  <c r="BP28" i="14"/>
  <c r="BO28" i="14"/>
  <c r="BN28" i="14"/>
  <c r="BM28" i="14"/>
  <c r="BL28" i="14"/>
  <c r="BK28" i="14"/>
  <c r="BJ28" i="14"/>
  <c r="BI28" i="14"/>
  <c r="BH28" i="14"/>
  <c r="BG28" i="14"/>
  <c r="BF28" i="14"/>
  <c r="BE28" i="14"/>
  <c r="BA28" i="14"/>
  <c r="AY28" i="14"/>
  <c r="AX28" i="14"/>
  <c r="AW28" i="14"/>
  <c r="AV28" i="14"/>
  <c r="AR28" i="14"/>
  <c r="AP28" i="14"/>
  <c r="AO28" i="14"/>
  <c r="AN28" i="14"/>
  <c r="AM28" i="14"/>
  <c r="AI28" i="14"/>
  <c r="AG28" i="14"/>
  <c r="AF28" i="14"/>
  <c r="AE28" i="14"/>
  <c r="AD28" i="14"/>
  <c r="Z28" i="14"/>
  <c r="V28" i="14"/>
  <c r="B28" i="14"/>
  <c r="BP27" i="14"/>
  <c r="BO27" i="14"/>
  <c r="BN27" i="14"/>
  <c r="BM27" i="14"/>
  <c r="BL27" i="14"/>
  <c r="BK27" i="14"/>
  <c r="BJ27" i="14"/>
  <c r="BI27" i="14"/>
  <c r="BH27" i="14"/>
  <c r="BG27" i="14"/>
  <c r="BF27" i="14"/>
  <c r="BE27" i="14"/>
  <c r="BA27" i="14"/>
  <c r="AY27" i="14"/>
  <c r="AX27" i="14"/>
  <c r="AW27" i="14"/>
  <c r="AV27" i="14"/>
  <c r="AR27" i="14"/>
  <c r="AP27" i="14"/>
  <c r="AO27" i="14"/>
  <c r="AN27" i="14"/>
  <c r="AM27" i="14"/>
  <c r="AI27" i="14"/>
  <c r="AG27" i="14"/>
  <c r="AF27" i="14"/>
  <c r="AE27" i="14"/>
  <c r="AD27" i="14"/>
  <c r="Z27" i="14"/>
  <c r="V27" i="14"/>
  <c r="B27" i="14"/>
  <c r="BP26" i="14"/>
  <c r="BO26" i="14"/>
  <c r="BN26" i="14"/>
  <c r="BM26" i="14"/>
  <c r="BL26" i="14"/>
  <c r="BK26" i="14"/>
  <c r="BJ26" i="14"/>
  <c r="BI26" i="14"/>
  <c r="BH26" i="14"/>
  <c r="BG26" i="14"/>
  <c r="BF26" i="14"/>
  <c r="BE26" i="14"/>
  <c r="BA26" i="14"/>
  <c r="AY26" i="14"/>
  <c r="AX26" i="14"/>
  <c r="AW26" i="14"/>
  <c r="AV26" i="14"/>
  <c r="AR26" i="14"/>
  <c r="AP26" i="14"/>
  <c r="AO26" i="14"/>
  <c r="AN26" i="14"/>
  <c r="AM26" i="14"/>
  <c r="AI26" i="14"/>
  <c r="AG26" i="14"/>
  <c r="AF26" i="14"/>
  <c r="AE26" i="14"/>
  <c r="AD26" i="14"/>
  <c r="Z26" i="14"/>
  <c r="V26" i="14"/>
  <c r="B26" i="14"/>
  <c r="BP25" i="14"/>
  <c r="BO25" i="14"/>
  <c r="BN25" i="14"/>
  <c r="BM25" i="14"/>
  <c r="BL25" i="14"/>
  <c r="BK25" i="14"/>
  <c r="BJ25" i="14"/>
  <c r="BI25" i="14"/>
  <c r="BH25" i="14"/>
  <c r="BG25" i="14"/>
  <c r="BF25" i="14"/>
  <c r="BE25" i="14"/>
  <c r="BA25" i="14"/>
  <c r="AY25" i="14"/>
  <c r="AX25" i="14"/>
  <c r="AW25" i="14"/>
  <c r="AV25" i="14"/>
  <c r="AR25" i="14"/>
  <c r="AP25" i="14"/>
  <c r="AO25" i="14"/>
  <c r="AN25" i="14"/>
  <c r="AM25" i="14"/>
  <c r="AI25" i="14"/>
  <c r="AG25" i="14"/>
  <c r="AF25" i="14"/>
  <c r="AE25" i="14"/>
  <c r="AD25" i="14"/>
  <c r="Z25" i="14"/>
  <c r="V25" i="14"/>
  <c r="B25" i="14"/>
  <c r="BP24" i="14"/>
  <c r="BO24" i="14"/>
  <c r="BN24" i="14"/>
  <c r="BM24" i="14"/>
  <c r="BL24" i="14"/>
  <c r="BK24" i="14"/>
  <c r="BJ24" i="14"/>
  <c r="BI24" i="14"/>
  <c r="BH24" i="14"/>
  <c r="BG24" i="14"/>
  <c r="BF24" i="14"/>
  <c r="BE24" i="14"/>
  <c r="BA24" i="14"/>
  <c r="AY24" i="14"/>
  <c r="AX24" i="14"/>
  <c r="AW24" i="14"/>
  <c r="AV24" i="14"/>
  <c r="AR24" i="14"/>
  <c r="AP24" i="14"/>
  <c r="AO24" i="14"/>
  <c r="AN24" i="14"/>
  <c r="AM24" i="14"/>
  <c r="AI24" i="14"/>
  <c r="AG24" i="14"/>
  <c r="AF24" i="14"/>
  <c r="AE24" i="14"/>
  <c r="AD24" i="14"/>
  <c r="Z24" i="14"/>
  <c r="V24" i="14"/>
  <c r="B24" i="14"/>
  <c r="BP23" i="14"/>
  <c r="BO23" i="14"/>
  <c r="BN23" i="14"/>
  <c r="BM23" i="14"/>
  <c r="BL23" i="14"/>
  <c r="BK23" i="14"/>
  <c r="BJ23" i="14"/>
  <c r="BI23" i="14"/>
  <c r="BH23" i="14"/>
  <c r="BG23" i="14"/>
  <c r="BF23" i="14"/>
  <c r="BE23" i="14"/>
  <c r="BA23" i="14"/>
  <c r="AY23" i="14"/>
  <c r="AX23" i="14"/>
  <c r="AW23" i="14"/>
  <c r="AV23" i="14"/>
  <c r="AR23" i="14"/>
  <c r="AP23" i="14"/>
  <c r="AO23" i="14"/>
  <c r="AN23" i="14"/>
  <c r="AM23" i="14"/>
  <c r="AI23" i="14"/>
  <c r="AG23" i="14"/>
  <c r="AF23" i="14"/>
  <c r="AE23" i="14"/>
  <c r="AD23" i="14"/>
  <c r="Z23" i="14"/>
  <c r="V23" i="14"/>
  <c r="B23" i="14"/>
  <c r="BP22" i="14"/>
  <c r="BO22" i="14"/>
  <c r="BN22" i="14"/>
  <c r="BM22" i="14"/>
  <c r="BL22" i="14"/>
  <c r="BK22" i="14"/>
  <c r="BJ22" i="14"/>
  <c r="BI22" i="14"/>
  <c r="BH22" i="14"/>
  <c r="BG22" i="14"/>
  <c r="BF22" i="14"/>
  <c r="BE22" i="14"/>
  <c r="BA22" i="14"/>
  <c r="AY22" i="14"/>
  <c r="AX22" i="14"/>
  <c r="AW22" i="14"/>
  <c r="AV22" i="14"/>
  <c r="AR22" i="14"/>
  <c r="AP22" i="14"/>
  <c r="AO22" i="14"/>
  <c r="AN22" i="14"/>
  <c r="AM22" i="14"/>
  <c r="AI22" i="14"/>
  <c r="AG22" i="14"/>
  <c r="AF22" i="14"/>
  <c r="AE22" i="14"/>
  <c r="AD22" i="14"/>
  <c r="Z22" i="14"/>
  <c r="V22" i="14"/>
  <c r="B22" i="14"/>
  <c r="BP21" i="14"/>
  <c r="BO21" i="14"/>
  <c r="BN21" i="14"/>
  <c r="BM21" i="14"/>
  <c r="BL21" i="14"/>
  <c r="BK21" i="14"/>
  <c r="BJ21" i="14"/>
  <c r="BI21" i="14"/>
  <c r="BH21" i="14"/>
  <c r="BG21" i="14"/>
  <c r="BF21" i="14"/>
  <c r="BE21" i="14"/>
  <c r="AY21" i="14"/>
  <c r="AX21" i="14"/>
  <c r="AW21" i="14"/>
  <c r="AV21" i="14"/>
  <c r="AP21" i="14"/>
  <c r="AO21" i="14"/>
  <c r="BA21" i="14" s="1"/>
  <c r="AN21" i="14"/>
  <c r="AM21" i="14"/>
  <c r="AI21" i="14"/>
  <c r="AG21" i="14"/>
  <c r="AF21" i="14"/>
  <c r="AR21" i="14" s="1"/>
  <c r="AE21" i="14"/>
  <c r="AD21" i="14"/>
  <c r="Z21" i="14"/>
  <c r="V21" i="14"/>
  <c r="B21" i="14"/>
  <c r="BP20" i="14"/>
  <c r="BO20" i="14"/>
  <c r="BN20" i="14"/>
  <c r="BM20" i="14"/>
  <c r="BL20" i="14"/>
  <c r="BK20" i="14"/>
  <c r="BJ20" i="14"/>
  <c r="BI20" i="14"/>
  <c r="BH20" i="14"/>
  <c r="BG20" i="14"/>
  <c r="BF20" i="14"/>
  <c r="BE20" i="14"/>
  <c r="BA20" i="14"/>
  <c r="AY20" i="14"/>
  <c r="AX20" i="14"/>
  <c r="AW20" i="14"/>
  <c r="AV20" i="14"/>
  <c r="AR20" i="14"/>
  <c r="AP20" i="14"/>
  <c r="AO20" i="14"/>
  <c r="AN20" i="14"/>
  <c r="AM20" i="14"/>
  <c r="AI20" i="14"/>
  <c r="AG20" i="14"/>
  <c r="AF20" i="14"/>
  <c r="AE20" i="14"/>
  <c r="AD20" i="14"/>
  <c r="Z20" i="14"/>
  <c r="V20" i="14"/>
  <c r="B20" i="14"/>
  <c r="BP19" i="14"/>
  <c r="BO19" i="14"/>
  <c r="BN19" i="14"/>
  <c r="BM19" i="14"/>
  <c r="BL19" i="14"/>
  <c r="BK19" i="14"/>
  <c r="BJ19" i="14"/>
  <c r="BI19" i="14"/>
  <c r="BH19" i="14"/>
  <c r="BG19" i="14"/>
  <c r="BF19" i="14"/>
  <c r="BE19" i="14"/>
  <c r="BA19" i="14"/>
  <c r="AY19" i="14"/>
  <c r="AX19" i="14"/>
  <c r="AW19" i="14"/>
  <c r="AV19" i="14"/>
  <c r="AR19" i="14"/>
  <c r="AP19" i="14"/>
  <c r="AO19" i="14"/>
  <c r="AN19" i="14"/>
  <c r="AM19" i="14"/>
  <c r="AI19" i="14"/>
  <c r="AG19" i="14"/>
  <c r="AF19" i="14"/>
  <c r="AE19" i="14"/>
  <c r="AD19" i="14"/>
  <c r="Z19" i="14"/>
  <c r="V19" i="14"/>
  <c r="B19" i="14"/>
  <c r="BP18" i="14"/>
  <c r="BO18" i="14"/>
  <c r="BN18" i="14"/>
  <c r="BM18" i="14"/>
  <c r="BL18" i="14"/>
  <c r="BK18" i="14"/>
  <c r="BJ18" i="14"/>
  <c r="BI18" i="14"/>
  <c r="BH18" i="14"/>
  <c r="BG18" i="14"/>
  <c r="BF18" i="14"/>
  <c r="BE18" i="14"/>
  <c r="BA18" i="14"/>
  <c r="AY18" i="14"/>
  <c r="AX18" i="14"/>
  <c r="AW18" i="14"/>
  <c r="AV18" i="14"/>
  <c r="AR18" i="14"/>
  <c r="AP18" i="14"/>
  <c r="AO18" i="14"/>
  <c r="AN18" i="14"/>
  <c r="AM18" i="14"/>
  <c r="AI18" i="14"/>
  <c r="AG18" i="14"/>
  <c r="AF18" i="14"/>
  <c r="AE18" i="14"/>
  <c r="AD18" i="14"/>
  <c r="Z18" i="14"/>
  <c r="V18" i="14"/>
  <c r="B18" i="14"/>
  <c r="BP17" i="14"/>
  <c r="BO17" i="14"/>
  <c r="BN17" i="14"/>
  <c r="BM17" i="14"/>
  <c r="BL17" i="14"/>
  <c r="BK17" i="14"/>
  <c r="BJ17" i="14"/>
  <c r="BI17" i="14"/>
  <c r="BH17" i="14"/>
  <c r="BG17" i="14"/>
  <c r="BF17" i="14"/>
  <c r="BE17" i="14"/>
  <c r="BA17" i="14"/>
  <c r="AY17" i="14"/>
  <c r="AX17" i="14"/>
  <c r="AW17" i="14"/>
  <c r="AV17" i="14"/>
  <c r="AR17" i="14"/>
  <c r="AP17" i="14"/>
  <c r="AO17" i="14"/>
  <c r="AN17" i="14"/>
  <c r="AM17" i="14"/>
  <c r="AI17" i="14"/>
  <c r="AG17" i="14"/>
  <c r="AF17" i="14"/>
  <c r="AE17" i="14"/>
  <c r="AD17" i="14"/>
  <c r="Z17" i="14"/>
  <c r="V17" i="14"/>
  <c r="B17" i="14"/>
  <c r="BP16" i="14"/>
  <c r="BO16" i="14"/>
  <c r="BN16" i="14"/>
  <c r="BM16" i="14"/>
  <c r="BL16" i="14"/>
  <c r="BK16" i="14"/>
  <c r="BJ16" i="14"/>
  <c r="BI16" i="14"/>
  <c r="BH16" i="14"/>
  <c r="BG16" i="14"/>
  <c r="BF16" i="14"/>
  <c r="BE16" i="14"/>
  <c r="BA16" i="14"/>
  <c r="AY16" i="14"/>
  <c r="AX16" i="14"/>
  <c r="AW16" i="14"/>
  <c r="AV16" i="14"/>
  <c r="AR16" i="14"/>
  <c r="AP16" i="14"/>
  <c r="AO16" i="14"/>
  <c r="AN16" i="14"/>
  <c r="AM16" i="14"/>
  <c r="AI16" i="14"/>
  <c r="AG16" i="14"/>
  <c r="AF16" i="14"/>
  <c r="AE16" i="14"/>
  <c r="AD16" i="14"/>
  <c r="Z16" i="14"/>
  <c r="V16" i="14"/>
  <c r="B16" i="14"/>
  <c r="BP15" i="14"/>
  <c r="BO15" i="14"/>
  <c r="BN15" i="14"/>
  <c r="BM15" i="14"/>
  <c r="BL15" i="14"/>
  <c r="BK15" i="14"/>
  <c r="BJ15" i="14"/>
  <c r="BI15" i="14"/>
  <c r="BH15" i="14"/>
  <c r="BG15" i="14"/>
  <c r="BF15" i="14"/>
  <c r="BE15" i="14"/>
  <c r="BA15" i="14"/>
  <c r="AY15" i="14"/>
  <c r="AX15" i="14"/>
  <c r="AW15" i="14"/>
  <c r="AV15" i="14"/>
  <c r="AR15" i="14"/>
  <c r="AP15" i="14"/>
  <c r="AO15" i="14"/>
  <c r="AN15" i="14"/>
  <c r="AM15" i="14"/>
  <c r="AI15" i="14"/>
  <c r="AG15" i="14"/>
  <c r="AF15" i="14"/>
  <c r="AE15" i="14"/>
  <c r="AD15" i="14"/>
  <c r="Z15" i="14"/>
  <c r="V15" i="14"/>
  <c r="B15" i="14"/>
  <c r="BP14" i="14"/>
  <c r="BO14" i="14"/>
  <c r="BN14" i="14"/>
  <c r="BM14" i="14"/>
  <c r="BL14" i="14"/>
  <c r="BK14" i="14"/>
  <c r="BJ14" i="14"/>
  <c r="BI14" i="14"/>
  <c r="BH14" i="14"/>
  <c r="BG14" i="14"/>
  <c r="BF14" i="14"/>
  <c r="BE14" i="14"/>
  <c r="BA14" i="14"/>
  <c r="AY14" i="14"/>
  <c r="AX14" i="14"/>
  <c r="AW14" i="14"/>
  <c r="AV14" i="14"/>
  <c r="AR14" i="14"/>
  <c r="AP14" i="14"/>
  <c r="AO14" i="14"/>
  <c r="AN14" i="14"/>
  <c r="AM14" i="14"/>
  <c r="AI14" i="14"/>
  <c r="AG14" i="14"/>
  <c r="AF14" i="14"/>
  <c r="AE14" i="14"/>
  <c r="AD14" i="14"/>
  <c r="Z14" i="14"/>
  <c r="V14" i="14"/>
  <c r="B14" i="14"/>
  <c r="BP13" i="14"/>
  <c r="BO13" i="14"/>
  <c r="BN13" i="14"/>
  <c r="BM13" i="14"/>
  <c r="BL13" i="14"/>
  <c r="BK13" i="14"/>
  <c r="BJ13" i="14"/>
  <c r="BI13" i="14"/>
  <c r="BH13" i="14"/>
  <c r="BG13" i="14"/>
  <c r="BF13" i="14"/>
  <c r="BE13" i="14"/>
  <c r="BA13" i="14"/>
  <c r="AY13" i="14"/>
  <c r="AX13" i="14"/>
  <c r="AW13" i="14"/>
  <c r="AV13" i="14"/>
  <c r="AR13" i="14"/>
  <c r="AP13" i="14"/>
  <c r="AO13" i="14"/>
  <c r="AN13" i="14"/>
  <c r="AM13" i="14"/>
  <c r="AI13" i="14"/>
  <c r="AG13" i="14"/>
  <c r="AF13" i="14"/>
  <c r="AE13" i="14"/>
  <c r="AD13" i="14"/>
  <c r="Z13" i="14"/>
  <c r="V13" i="14"/>
  <c r="B13" i="14"/>
  <c r="BP12" i="14"/>
  <c r="BO12" i="14"/>
  <c r="BN12" i="14"/>
  <c r="BM12" i="14"/>
  <c r="BL12" i="14"/>
  <c r="BK12" i="14"/>
  <c r="BJ12" i="14"/>
  <c r="BI12" i="14"/>
  <c r="BH12" i="14"/>
  <c r="BG12" i="14"/>
  <c r="BF12" i="14"/>
  <c r="BE12" i="14"/>
  <c r="BA12" i="14"/>
  <c r="AY12" i="14"/>
  <c r="AX12" i="14"/>
  <c r="AW12" i="14"/>
  <c r="AV12" i="14"/>
  <c r="AR12" i="14"/>
  <c r="AP12" i="14"/>
  <c r="AO12" i="14"/>
  <c r="AN12" i="14"/>
  <c r="AM12" i="14"/>
  <c r="AI12" i="14"/>
  <c r="AG12" i="14"/>
  <c r="AF12" i="14"/>
  <c r="AE12" i="14"/>
  <c r="AD12" i="14"/>
  <c r="Z12" i="14"/>
  <c r="V12" i="14"/>
  <c r="B12" i="14"/>
  <c r="BP11" i="14"/>
  <c r="BO11" i="14"/>
  <c r="BN11" i="14"/>
  <c r="BM11" i="14"/>
  <c r="BL11" i="14"/>
  <c r="BK11" i="14"/>
  <c r="BJ11" i="14"/>
  <c r="BI11" i="14"/>
  <c r="BH11" i="14"/>
  <c r="BG11" i="14"/>
  <c r="BF11" i="14"/>
  <c r="BE11" i="14"/>
  <c r="BA11" i="14"/>
  <c r="AY11" i="14"/>
  <c r="AX11" i="14"/>
  <c r="AW11" i="14"/>
  <c r="AV11" i="14"/>
  <c r="AR11" i="14"/>
  <c r="AP11" i="14"/>
  <c r="AO11" i="14"/>
  <c r="AN11" i="14"/>
  <c r="AM11" i="14"/>
  <c r="AI11" i="14"/>
  <c r="AG11" i="14"/>
  <c r="AF11" i="14"/>
  <c r="AE11" i="14"/>
  <c r="AD11" i="14"/>
  <c r="Z11" i="14"/>
  <c r="V11" i="14"/>
  <c r="B11" i="14"/>
  <c r="BP10" i="14"/>
  <c r="BO10" i="14"/>
  <c r="BN10" i="14"/>
  <c r="BM10" i="14"/>
  <c r="BL10" i="14"/>
  <c r="BK10" i="14"/>
  <c r="BJ10" i="14"/>
  <c r="BG10" i="14"/>
  <c r="BF10" i="14"/>
  <c r="BE10" i="14"/>
  <c r="BA10" i="14"/>
  <c r="AX10" i="14"/>
  <c r="AW10" i="14"/>
  <c r="AV10" i="14"/>
  <c r="AR10" i="14"/>
  <c r="AO10" i="14"/>
  <c r="AN10" i="14"/>
  <c r="AM10" i="14"/>
  <c r="AI10" i="14"/>
  <c r="AF10" i="14"/>
  <c r="AE10" i="14"/>
  <c r="Z10" i="14"/>
  <c r="W10" i="14"/>
  <c r="AP10" i="14" s="1"/>
  <c r="V10" i="14"/>
  <c r="B10" i="14"/>
  <c r="BP9" i="14"/>
  <c r="BO9" i="14"/>
  <c r="BN9" i="14"/>
  <c r="BM9" i="14"/>
  <c r="BL9" i="14"/>
  <c r="BK9" i="14"/>
  <c r="BJ9" i="14"/>
  <c r="BI9" i="14"/>
  <c r="BH9" i="14"/>
  <c r="BG9" i="14"/>
  <c r="BF9" i="14"/>
  <c r="BE9" i="14"/>
  <c r="BA9" i="14"/>
  <c r="AY9" i="14"/>
  <c r="AX9" i="14"/>
  <c r="AW9" i="14"/>
  <c r="AV9" i="14"/>
  <c r="AR9" i="14"/>
  <c r="AP9" i="14"/>
  <c r="AO9" i="14"/>
  <c r="AN9" i="14"/>
  <c r="AM9" i="14"/>
  <c r="AI9" i="14"/>
  <c r="AG9" i="14"/>
  <c r="AF9" i="14"/>
  <c r="AE9" i="14"/>
  <c r="AD9" i="14"/>
  <c r="Z9" i="14"/>
  <c r="V9" i="14"/>
  <c r="B9" i="14"/>
  <c r="BJ103" i="14" l="1"/>
  <c r="BG47" i="14"/>
  <c r="BL103" i="14"/>
  <c r="BG50" i="14"/>
  <c r="AI77" i="14"/>
  <c r="AM81" i="14"/>
  <c r="C9" i="28"/>
  <c r="AG119" i="15"/>
  <c r="BB6" i="27" s="1"/>
  <c r="AY9" i="28"/>
  <c r="I10" i="29"/>
  <c r="K10" i="29" s="1"/>
  <c r="I9" i="28"/>
  <c r="K9" i="28" s="1"/>
  <c r="AS10" i="29"/>
  <c r="I11" i="28"/>
  <c r="L11" i="28" s="1"/>
  <c r="X11" i="28"/>
  <c r="C7" i="17"/>
  <c r="G7" i="17" s="1"/>
  <c r="J11" i="28"/>
  <c r="Q11" i="28"/>
  <c r="AL7" i="28"/>
  <c r="T108" i="15"/>
  <c r="X9" i="28" s="1"/>
  <c r="AT13" i="18"/>
  <c r="AR13" i="18"/>
  <c r="AU13" i="18"/>
  <c r="M238" i="15"/>
  <c r="J7" i="27" s="1"/>
  <c r="AG227" i="15"/>
  <c r="AG238" i="15"/>
  <c r="BB7" i="27" s="1"/>
  <c r="AY13" i="28"/>
  <c r="AE227" i="15"/>
  <c r="AS13" i="28"/>
  <c r="AX13" i="28" s="1"/>
  <c r="AE238" i="15"/>
  <c r="AV7" i="27" s="1"/>
  <c r="W10" i="29"/>
  <c r="AB10" i="29" s="1"/>
  <c r="S109" i="15"/>
  <c r="L13" i="28"/>
  <c r="X8" i="28"/>
  <c r="S385" i="15"/>
  <c r="AP7" i="28"/>
  <c r="AQ7" i="28"/>
  <c r="AO7" i="28"/>
  <c r="L238" i="15"/>
  <c r="I7" i="27" s="1"/>
  <c r="K7" i="27" s="1"/>
  <c r="Y13" i="28"/>
  <c r="N13" i="28"/>
  <c r="AA13" i="28"/>
  <c r="Z8" i="28"/>
  <c r="AC13" i="28"/>
  <c r="O13" i="28"/>
  <c r="AN7" i="28"/>
  <c r="M13" i="28"/>
  <c r="Z13" i="28"/>
  <c r="AB8" i="28"/>
  <c r="Z7" i="28"/>
  <c r="AC8" i="28"/>
  <c r="M108" i="15"/>
  <c r="X8" i="29"/>
  <c r="AA8" i="28"/>
  <c r="AG8" i="16"/>
  <c r="AE8" i="16"/>
  <c r="AH8" i="16"/>
  <c r="AF8" i="16"/>
  <c r="BD7" i="28"/>
  <c r="BC7" i="29"/>
  <c r="S119" i="15"/>
  <c r="X6" i="27" s="1"/>
  <c r="Z6" i="27" s="1"/>
  <c r="BA7" i="29"/>
  <c r="AM7" i="29"/>
  <c r="AL8" i="29"/>
  <c r="BB7" i="29"/>
  <c r="AQ7" i="29"/>
  <c r="BD7" i="29"/>
  <c r="AP7" i="29"/>
  <c r="AL8" i="28"/>
  <c r="AO7" i="29"/>
  <c r="M303" i="15"/>
  <c r="M333" i="15" s="1"/>
  <c r="J8" i="27" s="1"/>
  <c r="AK8" i="18"/>
  <c r="AM8" i="18"/>
  <c r="Z7" i="29"/>
  <c r="AN8" i="18"/>
  <c r="AA7" i="29"/>
  <c r="AL8" i="18"/>
  <c r="Y7" i="29"/>
  <c r="AB7" i="29"/>
  <c r="R333" i="15"/>
  <c r="V8" i="17" s="1"/>
  <c r="W8" i="17" s="1"/>
  <c r="S322" i="15"/>
  <c r="AD8" i="18"/>
  <c r="AH8" i="18"/>
  <c r="AG8" i="18"/>
  <c r="AF8" i="18"/>
  <c r="AE8" i="18"/>
  <c r="L109" i="15"/>
  <c r="L43" i="15"/>
  <c r="AE8" i="29"/>
  <c r="AE8" i="28"/>
  <c r="X118" i="15"/>
  <c r="AA70" i="15"/>
  <c r="Y384" i="15"/>
  <c r="AA383" i="15"/>
  <c r="AN9" i="27" s="1"/>
  <c r="AJ9" i="17"/>
  <c r="AL9" i="17"/>
  <c r="AN9" i="17"/>
  <c r="AM9" i="17"/>
  <c r="AK9" i="17"/>
  <c r="AA7" i="28"/>
  <c r="AB7" i="28"/>
  <c r="Y7" i="28"/>
  <c r="BC7" i="28"/>
  <c r="BA7" i="28"/>
  <c r="BB7" i="28"/>
  <c r="L385" i="15"/>
  <c r="I13" i="27" s="1"/>
  <c r="L13" i="27" s="1"/>
  <c r="J7" i="29"/>
  <c r="M70" i="15"/>
  <c r="AG385" i="15"/>
  <c r="BB13" i="27" s="1"/>
  <c r="AQ8" i="29"/>
  <c r="AO8" i="28"/>
  <c r="Z119" i="15"/>
  <c r="AI8" i="17"/>
  <c r="AN8" i="17" s="1"/>
  <c r="AK9" i="29"/>
  <c r="Z385" i="15"/>
  <c r="AN8" i="29"/>
  <c r="AN8" i="28"/>
  <c r="AP8" i="29"/>
  <c r="AM8" i="29"/>
  <c r="AQ8" i="28"/>
  <c r="AM8" i="28"/>
  <c r="C6" i="29"/>
  <c r="F6" i="29" s="1"/>
  <c r="G11" i="28"/>
  <c r="M118" i="15"/>
  <c r="J8" i="28"/>
  <c r="J10" i="28"/>
  <c r="AA108" i="15"/>
  <c r="AL9" i="28" s="1"/>
  <c r="T320" i="15"/>
  <c r="X10" i="28" s="1"/>
  <c r="W10" i="28"/>
  <c r="C13" i="28"/>
  <c r="G13" i="28" s="1"/>
  <c r="AA320" i="15"/>
  <c r="AL10" i="28" s="1"/>
  <c r="C7" i="29"/>
  <c r="F7" i="28"/>
  <c r="J6" i="29"/>
  <c r="Q6" i="29"/>
  <c r="I6" i="29"/>
  <c r="L6" i="29" s="1"/>
  <c r="X6" i="29"/>
  <c r="L7" i="28"/>
  <c r="J8" i="29"/>
  <c r="O8" i="28"/>
  <c r="K8" i="28"/>
  <c r="M8" i="28"/>
  <c r="L8" i="28"/>
  <c r="AZ8" i="28"/>
  <c r="N7" i="28"/>
  <c r="M8" i="29"/>
  <c r="BC8" i="28"/>
  <c r="M7" i="28"/>
  <c r="N8" i="29"/>
  <c r="BB8" i="28"/>
  <c r="K7" i="28"/>
  <c r="K8" i="29"/>
  <c r="BD8" i="28"/>
  <c r="L8" i="29"/>
  <c r="M7" i="29"/>
  <c r="N7" i="29"/>
  <c r="K7" i="29"/>
  <c r="O7" i="29"/>
  <c r="Q43" i="15"/>
  <c r="M386" i="15"/>
  <c r="BB8" i="29"/>
  <c r="BA8" i="29"/>
  <c r="AZ8" i="29"/>
  <c r="BC8" i="29"/>
  <c r="Z333" i="15"/>
  <c r="AM8" i="27" s="1"/>
  <c r="T303" i="15"/>
  <c r="S333" i="15"/>
  <c r="S386" i="15"/>
  <c r="T43" i="15"/>
  <c r="Q385" i="15"/>
  <c r="R13" i="27" s="1"/>
  <c r="Q119" i="15"/>
  <c r="I109" i="15"/>
  <c r="J109" i="15" s="1"/>
  <c r="Z43" i="15"/>
  <c r="M43" i="15"/>
  <c r="Z386" i="15"/>
  <c r="G9" i="27"/>
  <c r="D9" i="27"/>
  <c r="E9" i="17"/>
  <c r="D9" i="17"/>
  <c r="G9" i="17"/>
  <c r="F9" i="27"/>
  <c r="H9" i="27"/>
  <c r="H9" i="17"/>
  <c r="N11" i="18"/>
  <c r="G8" i="29"/>
  <c r="D8" i="29"/>
  <c r="J11" i="18"/>
  <c r="K11" i="18"/>
  <c r="L11" i="18"/>
  <c r="L333" i="15"/>
  <c r="I8" i="27" s="1"/>
  <c r="I333" i="15"/>
  <c r="J333" i="15" s="1"/>
  <c r="C8" i="27" s="1"/>
  <c r="J322" i="15"/>
  <c r="F8" i="29"/>
  <c r="P13" i="17"/>
  <c r="S13" i="17" s="1"/>
  <c r="E8" i="29"/>
  <c r="J9" i="29"/>
  <c r="C10" i="29"/>
  <c r="AM6" i="28"/>
  <c r="N9" i="18"/>
  <c r="AQ6" i="28"/>
  <c r="AO6" i="28"/>
  <c r="AP6" i="28"/>
  <c r="AN11" i="18"/>
  <c r="AN12" i="28"/>
  <c r="AA22" i="15"/>
  <c r="AL11" i="28" s="1"/>
  <c r="AP12" i="28"/>
  <c r="AO12" i="28"/>
  <c r="AQ12" i="28"/>
  <c r="K10" i="28"/>
  <c r="L9" i="18"/>
  <c r="AX9" i="18"/>
  <c r="AY9" i="18"/>
  <c r="M9" i="18"/>
  <c r="M13" i="17"/>
  <c r="O10" i="28"/>
  <c r="M10" i="28"/>
  <c r="N10" i="28"/>
  <c r="AZ8" i="27"/>
  <c r="Z7" i="27"/>
  <c r="AD7" i="27"/>
  <c r="AN13" i="18"/>
  <c r="AB7" i="27"/>
  <c r="AA7" i="27"/>
  <c r="AZ9" i="18"/>
  <c r="AV8" i="17"/>
  <c r="BA8" i="17" s="1"/>
  <c r="AW9" i="18"/>
  <c r="Y12" i="28"/>
  <c r="Z12" i="28"/>
  <c r="AB12" i="28"/>
  <c r="AA12" i="28"/>
  <c r="J9" i="18"/>
  <c r="AY8" i="27"/>
  <c r="AW8" i="27"/>
  <c r="K13" i="17"/>
  <c r="AX8" i="27"/>
  <c r="L13" i="17"/>
  <c r="Q8" i="17"/>
  <c r="AC9" i="27"/>
  <c r="AB9" i="27"/>
  <c r="AD9" i="27"/>
  <c r="AA9" i="27"/>
  <c r="Z9" i="27"/>
  <c r="L9" i="29"/>
  <c r="L10" i="29"/>
  <c r="M10" i="29"/>
  <c r="N10" i="29"/>
  <c r="O10" i="29"/>
  <c r="W8" i="27"/>
  <c r="S8" i="27"/>
  <c r="V8" i="27"/>
  <c r="T8" i="27"/>
  <c r="U8" i="27"/>
  <c r="AX9" i="28"/>
  <c r="AV9" i="28"/>
  <c r="AW9" i="28"/>
  <c r="AU9" i="28"/>
  <c r="AT9" i="28"/>
  <c r="S9" i="29"/>
  <c r="U9" i="29"/>
  <c r="R9" i="29"/>
  <c r="T9" i="29"/>
  <c r="V9" i="29"/>
  <c r="P119" i="15"/>
  <c r="P384" i="15" s="1"/>
  <c r="AC11" i="28"/>
  <c r="AB11" i="28"/>
  <c r="Y11" i="28"/>
  <c r="AA11" i="28"/>
  <c r="Z11" i="28"/>
  <c r="Z109" i="15"/>
  <c r="AK10" i="29"/>
  <c r="Z6" i="29"/>
  <c r="AA6" i="29"/>
  <c r="AB6" i="29"/>
  <c r="AC6" i="29"/>
  <c r="Y6" i="29"/>
  <c r="W9" i="29"/>
  <c r="U10" i="29"/>
  <c r="V10" i="29"/>
  <c r="R10" i="29"/>
  <c r="S10" i="29"/>
  <c r="T10" i="29"/>
  <c r="BD11" i="28"/>
  <c r="BC11" i="28"/>
  <c r="AZ11" i="28"/>
  <c r="BA11" i="28"/>
  <c r="BB11" i="28"/>
  <c r="T9" i="28"/>
  <c r="U9" i="28"/>
  <c r="R9" i="28"/>
  <c r="S9" i="28"/>
  <c r="V9" i="28"/>
  <c r="BC6" i="29"/>
  <c r="BD6" i="29"/>
  <c r="AZ6" i="29"/>
  <c r="BA6" i="29"/>
  <c r="BB6" i="29"/>
  <c r="C7" i="16"/>
  <c r="F7" i="16" s="1"/>
  <c r="BG8" i="27"/>
  <c r="BC8" i="27"/>
  <c r="BE8" i="27"/>
  <c r="BD8" i="27"/>
  <c r="BF8" i="27"/>
  <c r="AV13" i="28"/>
  <c r="AG13" i="28"/>
  <c r="AF13" i="28"/>
  <c r="AH13" i="28"/>
  <c r="AJ13" i="28"/>
  <c r="AI13" i="28"/>
  <c r="AF9" i="28"/>
  <c r="AH9" i="28"/>
  <c r="AI9" i="28"/>
  <c r="AJ9" i="28"/>
  <c r="AG9" i="28"/>
  <c r="AI8" i="27"/>
  <c r="AL8" i="27"/>
  <c r="AJ8" i="27"/>
  <c r="AH8" i="27"/>
  <c r="AK8" i="27"/>
  <c r="AG109" i="15"/>
  <c r="AY10" i="29"/>
  <c r="BC9" i="29"/>
  <c r="BA9" i="29"/>
  <c r="BB9" i="29"/>
  <c r="BD9" i="29"/>
  <c r="AZ9" i="29"/>
  <c r="R119" i="15"/>
  <c r="BD10" i="28"/>
  <c r="AZ10" i="28"/>
  <c r="BB10" i="28"/>
  <c r="BC10" i="28"/>
  <c r="BA10" i="28"/>
  <c r="AC9" i="28"/>
  <c r="AA9" i="28"/>
  <c r="AB9" i="28"/>
  <c r="Y9" i="28"/>
  <c r="Z9" i="28"/>
  <c r="H7" i="27"/>
  <c r="G7" i="27"/>
  <c r="E7" i="27"/>
  <c r="F7" i="27"/>
  <c r="D7" i="27"/>
  <c r="T10" i="28"/>
  <c r="U10" i="28"/>
  <c r="R10" i="28"/>
  <c r="V10" i="28"/>
  <c r="S10" i="28"/>
  <c r="J13" i="17"/>
  <c r="I8" i="17"/>
  <c r="L8" i="17" s="1"/>
  <c r="S8" i="17"/>
  <c r="U8" i="17"/>
  <c r="R8" i="17"/>
  <c r="S9" i="17"/>
  <c r="AM11" i="18"/>
  <c r="R9" i="17"/>
  <c r="AJ11" i="18"/>
  <c r="T9" i="17"/>
  <c r="AK11" i="18"/>
  <c r="U9" i="17"/>
  <c r="Z322" i="15"/>
  <c r="AM13" i="18"/>
  <c r="AJ13" i="18"/>
  <c r="AK13" i="18"/>
  <c r="V13" i="17"/>
  <c r="X13" i="17" s="1"/>
  <c r="P9" i="16"/>
  <c r="Q9" i="16" s="1"/>
  <c r="AY13" i="17"/>
  <c r="BA13" i="17"/>
  <c r="AZ13" i="17"/>
  <c r="AW13" i="17"/>
  <c r="AX13" i="17"/>
  <c r="AN13" i="17"/>
  <c r="AM13" i="17"/>
  <c r="AJ13" i="17"/>
  <c r="AL13" i="17"/>
  <c r="AK13" i="17"/>
  <c r="P6" i="16"/>
  <c r="AA11" i="18"/>
  <c r="Y11" i="18"/>
  <c r="X11" i="18"/>
  <c r="Z11" i="18"/>
  <c r="BA7" i="16"/>
  <c r="AX7" i="16"/>
  <c r="AZ7" i="16"/>
  <c r="AY7" i="16"/>
  <c r="AW7" i="16"/>
  <c r="AX8" i="16"/>
  <c r="AZ8" i="16"/>
  <c r="AW8" i="16"/>
  <c r="BA8" i="16"/>
  <c r="AY8" i="16"/>
  <c r="AW13" i="18"/>
  <c r="AY13" i="18"/>
  <c r="BA13" i="18"/>
  <c r="AZ13" i="18"/>
  <c r="AX13" i="18"/>
  <c r="AM7" i="16"/>
  <c r="AL7" i="16"/>
  <c r="AK7" i="16"/>
  <c r="AJ7" i="16"/>
  <c r="AN7" i="16"/>
  <c r="Q10" i="18"/>
  <c r="U10" i="18"/>
  <c r="T10" i="18"/>
  <c r="S10" i="18"/>
  <c r="R10" i="18"/>
  <c r="W7" i="16"/>
  <c r="AA7" i="16"/>
  <c r="Z7" i="16"/>
  <c r="Y7" i="16"/>
  <c r="X7" i="16"/>
  <c r="J7" i="16"/>
  <c r="L7" i="16"/>
  <c r="K7" i="16"/>
  <c r="N7" i="16"/>
  <c r="M7" i="16"/>
  <c r="AJ10" i="18"/>
  <c r="AL10" i="18"/>
  <c r="AN10" i="18"/>
  <c r="AM10" i="18"/>
  <c r="AK10" i="18"/>
  <c r="AN8" i="16"/>
  <c r="AM8" i="16"/>
  <c r="AJ8" i="16"/>
  <c r="AL8" i="16"/>
  <c r="AK8" i="16"/>
  <c r="AW10" i="18"/>
  <c r="AX10" i="18"/>
  <c r="AZ10" i="18"/>
  <c r="BA10" i="18"/>
  <c r="AY10" i="18"/>
  <c r="W9" i="18"/>
  <c r="Y9" i="18"/>
  <c r="AA9" i="18"/>
  <c r="Z9" i="18"/>
  <c r="X9" i="18"/>
  <c r="W8" i="16"/>
  <c r="Y8" i="16"/>
  <c r="AA8" i="16"/>
  <c r="X8" i="16"/>
  <c r="Z8" i="16"/>
  <c r="W10" i="18"/>
  <c r="AA10" i="18"/>
  <c r="Z10" i="18"/>
  <c r="Y10" i="18"/>
  <c r="X10" i="18"/>
  <c r="D13" i="18"/>
  <c r="H13" i="18"/>
  <c r="G13" i="18"/>
  <c r="F13" i="18"/>
  <c r="E13" i="18"/>
  <c r="D7" i="18"/>
  <c r="H7" i="18"/>
  <c r="G7" i="18"/>
  <c r="F7" i="18"/>
  <c r="E7" i="18"/>
  <c r="H11" i="18"/>
  <c r="G11" i="18"/>
  <c r="F11" i="18"/>
  <c r="E11" i="18"/>
  <c r="J8" i="16"/>
  <c r="N8" i="16"/>
  <c r="M8" i="16"/>
  <c r="L8" i="16"/>
  <c r="K8" i="16"/>
  <c r="J10" i="18"/>
  <c r="N10" i="18"/>
  <c r="M10" i="18"/>
  <c r="L10" i="18"/>
  <c r="K10" i="18"/>
  <c r="AJ9" i="18"/>
  <c r="AN9" i="18"/>
  <c r="AM9" i="18"/>
  <c r="AL9" i="18"/>
  <c r="AK9" i="18"/>
  <c r="S11" i="18"/>
  <c r="T11" i="18"/>
  <c r="U11" i="18"/>
  <c r="R11" i="18"/>
  <c r="Q11" i="18"/>
  <c r="AX6" i="16"/>
  <c r="AZ6" i="16"/>
  <c r="AW6" i="16"/>
  <c r="BA6" i="16"/>
  <c r="AY6" i="16"/>
  <c r="Z147" i="14"/>
  <c r="BH135" i="14"/>
  <c r="AA72" i="14"/>
  <c r="BJ72" i="14" s="1"/>
  <c r="BH72" i="14"/>
  <c r="BO78" i="14"/>
  <c r="W105" i="14"/>
  <c r="AG105" i="14" s="1"/>
  <c r="AO48" i="14"/>
  <c r="AD78" i="14"/>
  <c r="BN103" i="14"/>
  <c r="AP71" i="14"/>
  <c r="AZ104" i="14"/>
  <c r="AG135" i="14"/>
  <c r="BH71" i="14"/>
  <c r="AG72" i="14"/>
  <c r="K119" i="15"/>
  <c r="L119" i="15" s="1"/>
  <c r="I9" i="16"/>
  <c r="C9" i="18"/>
  <c r="C6" i="16"/>
  <c r="AV9" i="16"/>
  <c r="AI6" i="16"/>
  <c r="C8" i="16"/>
  <c r="I6" i="16"/>
  <c r="AI9" i="16"/>
  <c r="V9" i="16"/>
  <c r="V6" i="16"/>
  <c r="AE84" i="14"/>
  <c r="BH53" i="14"/>
  <c r="AO56" i="14"/>
  <c r="AA67" i="14"/>
  <c r="BE79" i="14"/>
  <c r="AP89" i="14"/>
  <c r="AO41" i="14"/>
  <c r="AF49" i="14"/>
  <c r="AE85" i="14"/>
  <c r="BH89" i="14"/>
  <c r="AR98" i="14"/>
  <c r="BG41" i="14"/>
  <c r="AF56" i="14"/>
  <c r="BL116" i="14"/>
  <c r="AF41" i="14"/>
  <c r="AG67" i="14"/>
  <c r="AR77" i="14"/>
  <c r="Y10" i="14"/>
  <c r="AD10" i="14" s="1"/>
  <c r="AX50" i="14"/>
  <c r="AX56" i="14"/>
  <c r="AG71" i="14"/>
  <c r="AV78" i="14"/>
  <c r="AM79" i="14"/>
  <c r="BG134" i="14"/>
  <c r="BA150" i="14"/>
  <c r="BH10" i="14"/>
  <c r="AP53" i="14"/>
  <c r="AG94" i="14"/>
  <c r="AY94" i="14"/>
  <c r="Z150" i="14"/>
  <c r="AO133" i="14"/>
  <c r="AP47" i="14"/>
  <c r="BJ83" i="14"/>
  <c r="AA97" i="14"/>
  <c r="AE97" i="14" s="1"/>
  <c r="Z102" i="14"/>
  <c r="AF109" i="14"/>
  <c r="AE116" i="14"/>
  <c r="BF116" i="14"/>
  <c r="AY132" i="14"/>
  <c r="AE150" i="14"/>
  <c r="AG10" i="14"/>
  <c r="AF50" i="14"/>
  <c r="AG53" i="14"/>
  <c r="BJ82" i="14"/>
  <c r="AR84" i="14"/>
  <c r="AJ100" i="14"/>
  <c r="BL100" i="14" s="1"/>
  <c r="AX109" i="14"/>
  <c r="AO117" i="14"/>
  <c r="BG117" i="14"/>
  <c r="BF129" i="14"/>
  <c r="AG132" i="14"/>
  <c r="AX134" i="14"/>
  <c r="AP94" i="14"/>
  <c r="AF133" i="14"/>
  <c r="BA146" i="14"/>
  <c r="AI150" i="14"/>
  <c r="AE81" i="14"/>
  <c r="AP96" i="14"/>
  <c r="Z117" i="14"/>
  <c r="AR117" i="14"/>
  <c r="Z119" i="14"/>
  <c r="AG47" i="14"/>
  <c r="AA96" i="14"/>
  <c r="AE96" i="14" s="1"/>
  <c r="BH96" i="14"/>
  <c r="AR119" i="14"/>
  <c r="AE129" i="14"/>
  <c r="AP135" i="14"/>
  <c r="BJ105" i="14"/>
  <c r="AJ105" i="14"/>
  <c r="AE105" i="14"/>
  <c r="BH66" i="14"/>
  <c r="AP66" i="14"/>
  <c r="AA66" i="14"/>
  <c r="AG66" i="14"/>
  <c r="AY66" i="14"/>
  <c r="BO104" i="14"/>
  <c r="BE104" i="14"/>
  <c r="BJ71" i="14"/>
  <c r="AE71" i="14"/>
  <c r="BH103" i="14"/>
  <c r="AG103" i="14"/>
  <c r="AP103" i="14"/>
  <c r="AY103" i="14"/>
  <c r="AV104" i="14"/>
  <c r="BM104" i="14"/>
  <c r="BI81" i="14"/>
  <c r="AD81" i="14"/>
  <c r="AP129" i="14"/>
  <c r="AG129" i="14"/>
  <c r="AY129" i="14"/>
  <c r="BH129" i="14"/>
  <c r="AY68" i="14"/>
  <c r="AP72" i="14"/>
  <c r="BJ81" i="14"/>
  <c r="Z84" i="14"/>
  <c r="BA84" i="14"/>
  <c r="AY89" i="14"/>
  <c r="AG96" i="14"/>
  <c r="AG97" i="14"/>
  <c r="BH97" i="14"/>
  <c r="AS100" i="14"/>
  <c r="BN100" i="14" s="1"/>
  <c r="AO109" i="14"/>
  <c r="AF117" i="14"/>
  <c r="BA119" i="14"/>
  <c r="AP132" i="14"/>
  <c r="BA151" i="14"/>
  <c r="BN116" i="14"/>
  <c r="BI10" i="14"/>
  <c r="AF47" i="14"/>
  <c r="BH47" i="14"/>
  <c r="AX49" i="14"/>
  <c r="AP52" i="14"/>
  <c r="AO57" i="14"/>
  <c r="AP62" i="14"/>
  <c r="AY67" i="14"/>
  <c r="AE72" i="14"/>
  <c r="AE79" i="14"/>
  <c r="AI95" i="14"/>
  <c r="BJ96" i="14"/>
  <c r="BB100" i="14"/>
  <c r="BP100" i="14" s="1"/>
  <c r="AR102" i="14"/>
  <c r="W104" i="14"/>
  <c r="BF104" i="14"/>
  <c r="AG107" i="14"/>
  <c r="AY107" i="14"/>
  <c r="AW129" i="14"/>
  <c r="AX133" i="14"/>
  <c r="Z151" i="14"/>
  <c r="AI152" i="14"/>
  <c r="BM79" i="14"/>
  <c r="AJ97" i="14"/>
  <c r="BJ97" i="14"/>
  <c r="AI98" i="14"/>
  <c r="AI117" i="14"/>
  <c r="AY10" i="14"/>
  <c r="AX47" i="14"/>
  <c r="BH52" i="14"/>
  <c r="BG57" i="14"/>
  <c r="BH62" i="14"/>
  <c r="AP68" i="14"/>
  <c r="BE81" i="14"/>
  <c r="BM81" i="14"/>
  <c r="BA95" i="14"/>
  <c r="AR103" i="14"/>
  <c r="BP104" i="14"/>
  <c r="AN129" i="14"/>
  <c r="AR152" i="14"/>
  <c r="AO49" i="14"/>
  <c r="AG52" i="14"/>
  <c r="AF57" i="14"/>
  <c r="AG62" i="14"/>
  <c r="AP67" i="14"/>
  <c r="AY71" i="14"/>
  <c r="AM78" i="14"/>
  <c r="Z95" i="14"/>
  <c r="BA98" i="14"/>
  <c r="AI102" i="14"/>
  <c r="AI151" i="14"/>
  <c r="BH68" i="14"/>
  <c r="AP107" i="14"/>
  <c r="F7" i="17" l="1"/>
  <c r="D7" i="17"/>
  <c r="E7" i="17"/>
  <c r="H7" i="17"/>
  <c r="T119" i="15"/>
  <c r="Y6" i="27" s="1"/>
  <c r="X10" i="29"/>
  <c r="T109" i="15"/>
  <c r="AL9" i="29"/>
  <c r="AT13" i="28"/>
  <c r="AU13" i="28"/>
  <c r="AW13" i="28"/>
  <c r="Y10" i="29"/>
  <c r="Z10" i="29"/>
  <c r="BA7" i="27"/>
  <c r="AZ7" i="27"/>
  <c r="AX7" i="27"/>
  <c r="AW7" i="27"/>
  <c r="AY7" i="27"/>
  <c r="BF7" i="27"/>
  <c r="BC7" i="27"/>
  <c r="BE7" i="27"/>
  <c r="BG7" i="27"/>
  <c r="BD7" i="27"/>
  <c r="AC10" i="29"/>
  <c r="AA10" i="29"/>
  <c r="M7" i="27"/>
  <c r="N7" i="27"/>
  <c r="O7" i="27"/>
  <c r="L7" i="27"/>
  <c r="J10" i="29"/>
  <c r="M109" i="15"/>
  <c r="R384" i="15"/>
  <c r="AA119" i="15"/>
  <c r="M385" i="15"/>
  <c r="J13" i="27" s="1"/>
  <c r="L9" i="28"/>
  <c r="M9" i="28"/>
  <c r="N9" i="28"/>
  <c r="AI8" i="28"/>
  <c r="AG8" i="28"/>
  <c r="AF8" i="28"/>
  <c r="AH8" i="28"/>
  <c r="AJ8" i="28"/>
  <c r="O9" i="28"/>
  <c r="AJ8" i="29"/>
  <c r="AF8" i="29"/>
  <c r="AG8" i="29"/>
  <c r="AI8" i="29"/>
  <c r="AH8" i="29"/>
  <c r="AJ8" i="17"/>
  <c r="AM8" i="17"/>
  <c r="AL8" i="17"/>
  <c r="AK8" i="17"/>
  <c r="T385" i="15"/>
  <c r="Y13" i="27" s="1"/>
  <c r="AA385" i="15"/>
  <c r="AN13" i="27" s="1"/>
  <c r="E13" i="28"/>
  <c r="AA386" i="15"/>
  <c r="AA322" i="15"/>
  <c r="AA109" i="15"/>
  <c r="AL10" i="29"/>
  <c r="T386" i="15"/>
  <c r="D11" i="28"/>
  <c r="F13" i="28"/>
  <c r="D13" i="28"/>
  <c r="H13" i="28"/>
  <c r="T322" i="15"/>
  <c r="H11" i="28"/>
  <c r="X9" i="29"/>
  <c r="F11" i="28"/>
  <c r="T333" i="15"/>
  <c r="T384" i="15" s="1"/>
  <c r="Y11" i="27" s="1"/>
  <c r="E11" i="28"/>
  <c r="AA333" i="15"/>
  <c r="AN8" i="27" s="1"/>
  <c r="AL6" i="29"/>
  <c r="D7" i="28"/>
  <c r="G7" i="28"/>
  <c r="H7" i="28"/>
  <c r="E7" i="28"/>
  <c r="BE13" i="27"/>
  <c r="BC13" i="27"/>
  <c r="BD13" i="27"/>
  <c r="BF13" i="27"/>
  <c r="BG13" i="27"/>
  <c r="AA43" i="15"/>
  <c r="D6" i="29"/>
  <c r="G6" i="29"/>
  <c r="H6" i="29"/>
  <c r="E6" i="29"/>
  <c r="C8" i="17"/>
  <c r="D8" i="17" s="1"/>
  <c r="M11" i="28"/>
  <c r="K11" i="28"/>
  <c r="N11" i="28"/>
  <c r="O11" i="28"/>
  <c r="M6" i="29"/>
  <c r="T13" i="17"/>
  <c r="N6" i="29"/>
  <c r="R13" i="17"/>
  <c r="Q13" i="17"/>
  <c r="K6" i="29"/>
  <c r="U13" i="17"/>
  <c r="O6" i="29"/>
  <c r="M13" i="27"/>
  <c r="K13" i="27"/>
  <c r="N13" i="27"/>
  <c r="O13" i="27"/>
  <c r="M119" i="15"/>
  <c r="I6" i="27"/>
  <c r="K6" i="27" s="1"/>
  <c r="L384" i="15"/>
  <c r="I11" i="27" s="1"/>
  <c r="AG384" i="15"/>
  <c r="J8" i="17"/>
  <c r="N8" i="17"/>
  <c r="AX8" i="17"/>
  <c r="AZ8" i="17"/>
  <c r="AD6" i="27"/>
  <c r="AM13" i="27"/>
  <c r="AP13" i="27" s="1"/>
  <c r="AA6" i="27"/>
  <c r="AW8" i="17"/>
  <c r="AY8" i="17"/>
  <c r="G7" i="16"/>
  <c r="D7" i="16"/>
  <c r="E7" i="16"/>
  <c r="O9" i="29"/>
  <c r="H7" i="16"/>
  <c r="K8" i="17"/>
  <c r="M8" i="17"/>
  <c r="AC6" i="27"/>
  <c r="AB6" i="27"/>
  <c r="N9" i="29"/>
  <c r="M9" i="29"/>
  <c r="K9" i="29"/>
  <c r="X13" i="27"/>
  <c r="AD13" i="27" s="1"/>
  <c r="S6" i="29"/>
  <c r="V6" i="29"/>
  <c r="T6" i="29"/>
  <c r="U6" i="29"/>
  <c r="R6" i="29"/>
  <c r="AR8" i="27"/>
  <c r="AO8" i="27"/>
  <c r="AP8" i="27"/>
  <c r="AQ8" i="27"/>
  <c r="AS8" i="27"/>
  <c r="T11" i="28"/>
  <c r="U11" i="28"/>
  <c r="R11" i="28"/>
  <c r="V11" i="28"/>
  <c r="S11" i="28"/>
  <c r="BG6" i="27"/>
  <c r="BE6" i="27"/>
  <c r="BC6" i="27"/>
  <c r="BF6" i="27"/>
  <c r="BD6" i="27"/>
  <c r="V13" i="27"/>
  <c r="W13" i="27"/>
  <c r="S13" i="27"/>
  <c r="U13" i="27"/>
  <c r="T13" i="27"/>
  <c r="AN10" i="29"/>
  <c r="AM10" i="29"/>
  <c r="AO10" i="29"/>
  <c r="AP10" i="29"/>
  <c r="AQ10" i="29"/>
  <c r="H8" i="27"/>
  <c r="G8" i="27"/>
  <c r="E8" i="27"/>
  <c r="F8" i="27"/>
  <c r="D8" i="27"/>
  <c r="AP13" i="28"/>
  <c r="AM13" i="28"/>
  <c r="AO13" i="28"/>
  <c r="AN13" i="28"/>
  <c r="AQ13" i="28"/>
  <c r="AO9" i="28"/>
  <c r="AM9" i="28"/>
  <c r="AN9" i="28"/>
  <c r="AP9" i="28"/>
  <c r="AQ9" i="28"/>
  <c r="Q384" i="15"/>
  <c r="R11" i="27" s="1"/>
  <c r="R6" i="27"/>
  <c r="Z384" i="15"/>
  <c r="AM6" i="27"/>
  <c r="AM10" i="28"/>
  <c r="AO10" i="28"/>
  <c r="AP10" i="28"/>
  <c r="AN10" i="28"/>
  <c r="AQ10" i="28"/>
  <c r="BD13" i="28"/>
  <c r="AZ13" i="28"/>
  <c r="BB13" i="28"/>
  <c r="BC13" i="28"/>
  <c r="BA13" i="28"/>
  <c r="BD9" i="28"/>
  <c r="AZ9" i="28"/>
  <c r="BA9" i="28"/>
  <c r="BB9" i="28"/>
  <c r="BC9" i="28"/>
  <c r="I6" i="17"/>
  <c r="N6" i="17" s="1"/>
  <c r="AN9" i="29"/>
  <c r="AM9" i="29"/>
  <c r="AP9" i="29"/>
  <c r="AQ9" i="29"/>
  <c r="AO9" i="29"/>
  <c r="BC10" i="29"/>
  <c r="BD10" i="29"/>
  <c r="AZ10" i="29"/>
  <c r="BA10" i="29"/>
  <c r="BB10" i="29"/>
  <c r="AM11" i="28"/>
  <c r="AO11" i="28"/>
  <c r="AQ11" i="28"/>
  <c r="AN11" i="28"/>
  <c r="AP11" i="28"/>
  <c r="H7" i="29"/>
  <c r="F7" i="29"/>
  <c r="E7" i="29"/>
  <c r="D7" i="29"/>
  <c r="G7" i="29"/>
  <c r="AC9" i="29"/>
  <c r="AA9" i="29"/>
  <c r="Y9" i="29"/>
  <c r="AB9" i="29"/>
  <c r="Z9" i="29"/>
  <c r="H9" i="28"/>
  <c r="D9" i="28"/>
  <c r="E9" i="28"/>
  <c r="G9" i="28"/>
  <c r="F9" i="28"/>
  <c r="AN6" i="29"/>
  <c r="AQ6" i="29"/>
  <c r="AM6" i="29"/>
  <c r="AO6" i="29"/>
  <c r="AP6" i="29"/>
  <c r="AC10" i="28"/>
  <c r="AA10" i="28"/>
  <c r="AB10" i="28"/>
  <c r="Z10" i="28"/>
  <c r="Y10" i="28"/>
  <c r="H10" i="29"/>
  <c r="D10" i="29"/>
  <c r="E10" i="29"/>
  <c r="F10" i="29"/>
  <c r="G10" i="29"/>
  <c r="S384" i="15"/>
  <c r="X8" i="27"/>
  <c r="X8" i="17"/>
  <c r="AA8" i="17"/>
  <c r="K8" i="27"/>
  <c r="N8" i="27"/>
  <c r="L8" i="27"/>
  <c r="O8" i="27"/>
  <c r="M8" i="27"/>
  <c r="Y8" i="17"/>
  <c r="Z8" i="17"/>
  <c r="AV6" i="17"/>
  <c r="BA6" i="17" s="1"/>
  <c r="S9" i="16"/>
  <c r="T9" i="16"/>
  <c r="U9" i="16"/>
  <c r="R9" i="16"/>
  <c r="W13" i="17"/>
  <c r="AA13" i="17"/>
  <c r="Z13" i="17"/>
  <c r="Y13" i="17"/>
  <c r="V6" i="17"/>
  <c r="AI6" i="17"/>
  <c r="AJ6" i="17" s="1"/>
  <c r="P6" i="17"/>
  <c r="U6" i="17" s="1"/>
  <c r="W9" i="16"/>
  <c r="X9" i="16"/>
  <c r="AA9" i="16"/>
  <c r="Z9" i="16"/>
  <c r="Y9" i="16"/>
  <c r="AK9" i="16"/>
  <c r="AM9" i="16"/>
  <c r="AJ9" i="16"/>
  <c r="AN9" i="16"/>
  <c r="AL9" i="16"/>
  <c r="D9" i="18"/>
  <c r="H9" i="18"/>
  <c r="G9" i="18"/>
  <c r="E9" i="18"/>
  <c r="F9" i="18"/>
  <c r="H8" i="16"/>
  <c r="G8" i="16"/>
  <c r="F8" i="16"/>
  <c r="E8" i="16"/>
  <c r="D8" i="16"/>
  <c r="J9" i="16"/>
  <c r="L9" i="16"/>
  <c r="K9" i="16"/>
  <c r="N9" i="16"/>
  <c r="M9" i="16"/>
  <c r="AW9" i="16"/>
  <c r="BA9" i="16"/>
  <c r="AZ9" i="16"/>
  <c r="AY9" i="16"/>
  <c r="AX9" i="16"/>
  <c r="D6" i="16"/>
  <c r="H6" i="16"/>
  <c r="G6" i="16"/>
  <c r="F6" i="16"/>
  <c r="E6" i="16"/>
  <c r="Q6" i="16"/>
  <c r="R6" i="16"/>
  <c r="S6" i="16"/>
  <c r="U6" i="16"/>
  <c r="T6" i="16"/>
  <c r="J6" i="16"/>
  <c r="N6" i="16"/>
  <c r="M6" i="16"/>
  <c r="L6" i="16"/>
  <c r="K6" i="16"/>
  <c r="W6" i="16"/>
  <c r="X6" i="16"/>
  <c r="Z6" i="16"/>
  <c r="AA6" i="16"/>
  <c r="Y6" i="16"/>
  <c r="AL6" i="16"/>
  <c r="AJ6" i="16"/>
  <c r="AK6" i="16"/>
  <c r="AN6" i="16"/>
  <c r="AM6" i="16"/>
  <c r="BJ67" i="14"/>
  <c r="AE67" i="14"/>
  <c r="BL97" i="14"/>
  <c r="AN97" i="14"/>
  <c r="AP104" i="14"/>
  <c r="AY104" i="14"/>
  <c r="AG104" i="14"/>
  <c r="BH104" i="14"/>
  <c r="Y104" i="14"/>
  <c r="AH104" i="14"/>
  <c r="AE66" i="14"/>
  <c r="BJ66" i="14"/>
  <c r="AS105" i="14"/>
  <c r="BL105" i="14"/>
  <c r="BB11" i="27" l="1"/>
  <c r="BD11" i="27" s="1"/>
  <c r="Y8" i="27"/>
  <c r="AA384" i="15"/>
  <c r="AN11" i="27" s="1"/>
  <c r="H8" i="17"/>
  <c r="F8" i="17"/>
  <c r="G8" i="17"/>
  <c r="E8" i="17"/>
  <c r="M384" i="15"/>
  <c r="J11" i="27" s="1"/>
  <c r="J6" i="27"/>
  <c r="BC11" i="27"/>
  <c r="AQ13" i="27"/>
  <c r="AS13" i="27"/>
  <c r="AN6" i="27"/>
  <c r="AR13" i="27"/>
  <c r="AO13" i="27"/>
  <c r="AM11" i="27"/>
  <c r="AR11" i="27" s="1"/>
  <c r="AA6" i="17"/>
  <c r="X6" i="17"/>
  <c r="Z13" i="27"/>
  <c r="J6" i="17"/>
  <c r="AC13" i="27"/>
  <c r="AB13" i="27"/>
  <c r="AA13" i="27"/>
  <c r="AY6" i="17"/>
  <c r="X11" i="27"/>
  <c r="U6" i="27"/>
  <c r="W6" i="27"/>
  <c r="V6" i="27"/>
  <c r="S6" i="27"/>
  <c r="T6" i="27"/>
  <c r="W11" i="27"/>
  <c r="V11" i="27"/>
  <c r="S11" i="27"/>
  <c r="T11" i="27"/>
  <c r="U11" i="27"/>
  <c r="AW6" i="17"/>
  <c r="K6" i="17"/>
  <c r="L6" i="17"/>
  <c r="AO6" i="27"/>
  <c r="AQ6" i="27"/>
  <c r="AR6" i="27"/>
  <c r="AP6" i="27"/>
  <c r="AS6" i="27"/>
  <c r="M6" i="17"/>
  <c r="M6" i="27"/>
  <c r="L6" i="27"/>
  <c r="O6" i="27"/>
  <c r="N6" i="27"/>
  <c r="AD8" i="27"/>
  <c r="AB8" i="27"/>
  <c r="AC8" i="27"/>
  <c r="Z8" i="27"/>
  <c r="AA8" i="27"/>
  <c r="AX6" i="17"/>
  <c r="AZ6" i="17"/>
  <c r="Y6" i="17"/>
  <c r="Z6" i="17"/>
  <c r="W6" i="17"/>
  <c r="AK6" i="17"/>
  <c r="AM6" i="17"/>
  <c r="AL6" i="17"/>
  <c r="AN6" i="17"/>
  <c r="Q6" i="17"/>
  <c r="R6" i="17"/>
  <c r="S6" i="17"/>
  <c r="T6" i="17"/>
  <c r="BK104" i="14"/>
  <c r="AM104" i="14"/>
  <c r="BI104" i="14"/>
  <c r="AD104" i="14"/>
  <c r="BB105" i="14"/>
  <c r="BP105" i="14" s="1"/>
  <c r="BN105" i="14"/>
  <c r="BE11" i="27" l="1"/>
  <c r="BG11" i="27"/>
  <c r="BF11" i="27"/>
  <c r="J9" i="28"/>
  <c r="AS11" i="27"/>
  <c r="AQ11" i="27"/>
  <c r="AP11" i="27"/>
  <c r="AO11" i="27"/>
  <c r="AD11" i="27"/>
  <c r="AA11" i="27"/>
  <c r="AC11" i="27"/>
  <c r="Z11" i="27"/>
  <c r="AB11" i="27"/>
  <c r="K102" i="14"/>
  <c r="W102" i="14" s="1"/>
  <c r="AG102" i="14" s="1"/>
  <c r="K98" i="14"/>
  <c r="W98" i="14" s="1"/>
  <c r="AP98" i="14" s="1"/>
  <c r="K101" i="14"/>
  <c r="W101" i="14" s="1"/>
  <c r="AY102" i="14" l="1"/>
  <c r="AP102" i="14"/>
  <c r="BH102" i="14"/>
  <c r="AG98" i="14"/>
  <c r="BH98" i="14"/>
  <c r="AY98" i="14"/>
  <c r="AS94" i="14"/>
  <c r="BB94" i="14"/>
  <c r="AJ94" i="14"/>
  <c r="AA101" i="14"/>
  <c r="AY101" i="14"/>
  <c r="AG101" i="14"/>
  <c r="BH101" i="14"/>
  <c r="AP101" i="14"/>
  <c r="AA94" i="14"/>
  <c r="BN94" i="14" l="1"/>
  <c r="AW94" i="14"/>
  <c r="AE101" i="14"/>
  <c r="BJ101" i="14"/>
  <c r="BP94" i="14"/>
  <c r="BF94" i="14"/>
  <c r="BL94" i="14"/>
  <c r="AN94" i="14"/>
  <c r="AE94" i="14"/>
  <c r="BJ94" i="14"/>
  <c r="G13" i="13" l="1"/>
  <c r="H11" i="13"/>
  <c r="E3" i="13"/>
  <c r="E6" i="13"/>
  <c r="E10" i="13"/>
  <c r="E8" i="13"/>
  <c r="E9" i="13"/>
  <c r="E4" i="13"/>
  <c r="E7" i="13"/>
  <c r="E5" i="13"/>
  <c r="H7" i="13" l="1"/>
  <c r="H6" i="13"/>
  <c r="H4" i="13"/>
  <c r="H10" i="13"/>
  <c r="H8" i="13"/>
  <c r="H3" i="13"/>
  <c r="E13" i="13"/>
  <c r="H5" i="13"/>
  <c r="H9" i="13"/>
  <c r="H13" i="13" l="1"/>
  <c r="C10" i="16"/>
  <c r="B21" i="13"/>
  <c r="G10" i="16" l="1"/>
  <c r="F10" i="16"/>
  <c r="E10" i="16"/>
  <c r="D10" i="16"/>
  <c r="H10" i="16"/>
  <c r="I10" i="16"/>
  <c r="N10" i="16" l="1"/>
  <c r="M10" i="16"/>
  <c r="L10" i="16"/>
  <c r="K10" i="16"/>
  <c r="J10" i="16"/>
  <c r="K384" i="15"/>
  <c r="I7" i="17"/>
  <c r="V10" i="16"/>
  <c r="V7" i="17"/>
  <c r="I11" i="17" l="1"/>
  <c r="J11" i="17" s="1"/>
  <c r="X10" i="16"/>
  <c r="W10" i="16"/>
  <c r="Z10" i="16"/>
  <c r="AA10" i="16"/>
  <c r="Y10" i="16"/>
  <c r="J7" i="17"/>
  <c r="L7" i="17"/>
  <c r="N7" i="17"/>
  <c r="K7" i="17"/>
  <c r="M7" i="17"/>
  <c r="W7" i="17"/>
  <c r="Y7" i="17"/>
  <c r="X7" i="17"/>
  <c r="AA7" i="17"/>
  <c r="Z7" i="17"/>
  <c r="AI11" i="17"/>
  <c r="AI10" i="16"/>
  <c r="AV10" i="16"/>
  <c r="M11" i="17" l="1"/>
  <c r="K11" i="17"/>
  <c r="L11" i="17"/>
  <c r="N11" i="17"/>
  <c r="K11" i="27"/>
  <c r="M11" i="27"/>
  <c r="N11" i="27"/>
  <c r="O11" i="27"/>
  <c r="L11" i="27"/>
  <c r="V11" i="17"/>
  <c r="W11" i="17" s="1"/>
  <c r="AF384" i="15"/>
  <c r="AN10" i="16"/>
  <c r="AM10" i="16"/>
  <c r="AL10" i="16"/>
  <c r="AK10" i="16"/>
  <c r="AJ10" i="16"/>
  <c r="AW10" i="16"/>
  <c r="AX10" i="16"/>
  <c r="AZ10" i="16"/>
  <c r="BA10" i="16"/>
  <c r="AY10" i="16"/>
  <c r="AJ11" i="17"/>
  <c r="AN11" i="17"/>
  <c r="AM11" i="17"/>
  <c r="AL11" i="17"/>
  <c r="AK11" i="17"/>
  <c r="AV7" i="17"/>
  <c r="AI7" i="17"/>
  <c r="Z11" i="17" l="1"/>
  <c r="AA11" i="17"/>
  <c r="X11" i="17"/>
  <c r="Y11" i="17"/>
  <c r="AV11" i="17"/>
  <c r="BA11" i="17" s="1"/>
  <c r="AJ7" i="17"/>
  <c r="AN7" i="17"/>
  <c r="AM7" i="17"/>
  <c r="AL7" i="17"/>
  <c r="AK7" i="17"/>
  <c r="AW7" i="17"/>
  <c r="BA7" i="17"/>
  <c r="AZ7" i="17"/>
  <c r="AY7" i="17"/>
  <c r="AX7" i="17"/>
  <c r="AE91" i="3"/>
  <c r="AB91" i="3"/>
  <c r="AF91" i="3" s="1"/>
  <c r="Y91" i="3"/>
  <c r="BN91" i="3"/>
  <c r="I71" i="15" s="1"/>
  <c r="P11" i="27" l="1"/>
  <c r="P6" i="27"/>
  <c r="I85" i="15"/>
  <c r="J85" i="15" s="1"/>
  <c r="I385" i="15"/>
  <c r="J71" i="15"/>
  <c r="C10" i="28" s="1"/>
  <c r="AY11" i="17"/>
  <c r="AW11" i="17"/>
  <c r="AZ11" i="17"/>
  <c r="AX11" i="17"/>
  <c r="AZ91" i="3"/>
  <c r="BC91" i="3"/>
  <c r="BE91" i="3" s="1"/>
  <c r="BF91" i="3" s="1"/>
  <c r="AC71" i="15" s="1"/>
  <c r="AP91" i="3"/>
  <c r="H71" i="15"/>
  <c r="C10" i="18"/>
  <c r="BM91" i="3"/>
  <c r="AD91" i="3"/>
  <c r="BJ91" i="3" l="1"/>
  <c r="C13" i="17"/>
  <c r="J385" i="15"/>
  <c r="C13" i="27" s="1"/>
  <c r="H10" i="28"/>
  <c r="C9" i="29"/>
  <c r="F9" i="29" s="1"/>
  <c r="D10" i="18"/>
  <c r="F10" i="18"/>
  <c r="H10" i="18"/>
  <c r="G10" i="18"/>
  <c r="E10" i="18"/>
  <c r="BH91" i="3"/>
  <c r="BS91" i="3"/>
  <c r="I119" i="15"/>
  <c r="I384" i="15" s="1"/>
  <c r="C9" i="16"/>
  <c r="J119" i="15" l="1"/>
  <c r="C6" i="27" s="1"/>
  <c r="D9" i="29"/>
  <c r="E9" i="29"/>
  <c r="E10" i="28"/>
  <c r="H9" i="29"/>
  <c r="G10" i="28"/>
  <c r="F10" i="28"/>
  <c r="E13" i="17"/>
  <c r="F13" i="17"/>
  <c r="H13" i="17"/>
  <c r="D13" i="17"/>
  <c r="G13" i="17"/>
  <c r="G9" i="29"/>
  <c r="D10" i="28"/>
  <c r="H13" i="27"/>
  <c r="E13" i="27"/>
  <c r="F13" i="27"/>
  <c r="G13" i="27"/>
  <c r="D13" i="27"/>
  <c r="D9" i="16"/>
  <c r="F9" i="16"/>
  <c r="H9" i="16"/>
  <c r="G9" i="16"/>
  <c r="E9" i="16"/>
  <c r="BI91" i="3"/>
  <c r="BT91" i="3"/>
  <c r="AD71" i="15" s="1"/>
  <c r="C6" i="17"/>
  <c r="J384" i="15" l="1"/>
  <c r="C11" i="27" s="1"/>
  <c r="H11" i="27" s="1"/>
  <c r="C11" i="17"/>
  <c r="G11" i="17" s="1"/>
  <c r="AE71" i="15"/>
  <c r="H6" i="27"/>
  <c r="G6" i="27"/>
  <c r="F6" i="27"/>
  <c r="E6" i="27"/>
  <c r="D6" i="27"/>
  <c r="D6" i="17"/>
  <c r="F6" i="17"/>
  <c r="E6" i="17"/>
  <c r="H6" i="17"/>
  <c r="G6" i="17"/>
  <c r="F11" i="17" l="1"/>
  <c r="E11" i="27"/>
  <c r="G11" i="27"/>
  <c r="F11" i="27"/>
  <c r="D11" i="27"/>
  <c r="D11" i="17"/>
  <c r="E11" i="17"/>
  <c r="H11" i="17"/>
  <c r="P10" i="16" l="1"/>
  <c r="Q10" i="16" l="1"/>
  <c r="S10" i="16"/>
  <c r="R10" i="16"/>
  <c r="U10" i="16"/>
  <c r="T10" i="16"/>
  <c r="P11" i="17"/>
  <c r="U7" i="17" l="1"/>
  <c r="S7" i="17"/>
  <c r="T7" i="17"/>
  <c r="R7" i="17"/>
  <c r="Q7" i="17"/>
  <c r="U11" i="17"/>
  <c r="T11" i="17"/>
  <c r="S11" i="17"/>
  <c r="R11" i="17"/>
  <c r="Q11" i="17"/>
  <c r="AC7" i="17"/>
  <c r="AG7" i="17" s="1"/>
  <c r="AH7" i="17" l="1"/>
  <c r="AD7" i="17"/>
  <c r="AE7" i="17"/>
  <c r="AF7" i="17"/>
  <c r="AP7" i="17"/>
  <c r="AR7" i="17" s="1"/>
  <c r="AQ7" i="17" l="1"/>
  <c r="AT7" i="17"/>
  <c r="AU7" i="17"/>
  <c r="AS7" i="17"/>
  <c r="AH10" i="29"/>
  <c r="AJ10" i="29"/>
  <c r="AF10" i="29"/>
  <c r="AI10" i="29"/>
  <c r="AG10" i="29"/>
  <c r="AX10" i="29"/>
  <c r="AW10" i="29"/>
  <c r="AT10" i="29"/>
  <c r="AV10" i="29"/>
  <c r="AU10" i="29"/>
  <c r="AC10" i="16"/>
  <c r="AG10" i="16" s="1"/>
  <c r="AD10" i="16" l="1"/>
  <c r="AE10" i="16"/>
  <c r="AH10" i="16"/>
  <c r="AF10" i="16"/>
  <c r="AP10" i="16"/>
  <c r="AU10" i="16" s="1"/>
  <c r="AT10" i="16" l="1"/>
  <c r="AR10" i="16"/>
  <c r="AQ10" i="16"/>
  <c r="AS10" i="16"/>
  <c r="AX141" i="3"/>
  <c r="BQ141" i="3"/>
  <c r="AY141" i="3"/>
  <c r="BR141" i="3" l="1"/>
  <c r="W20" i="15" s="1"/>
  <c r="AC11" i="18" l="1"/>
  <c r="X20" i="15"/>
  <c r="AE11" i="28" s="1"/>
  <c r="W43" i="15"/>
  <c r="AC6" i="16" s="1"/>
  <c r="AG6" i="16" l="1"/>
  <c r="AE6" i="16"/>
  <c r="AD6" i="16"/>
  <c r="AF6" i="16"/>
  <c r="AH6" i="16"/>
  <c r="AE6" i="29"/>
  <c r="X43" i="15"/>
  <c r="AG11" i="18"/>
  <c r="AD11" i="18"/>
  <c r="AH11" i="18"/>
  <c r="AF11" i="18"/>
  <c r="AE11" i="18"/>
  <c r="AH11" i="28" l="1"/>
  <c r="AJ11" i="28"/>
  <c r="AI11" i="28"/>
  <c r="AG11" i="28"/>
  <c r="AF11" i="28"/>
  <c r="AJ6" i="29"/>
  <c r="AI6" i="29"/>
  <c r="AG6" i="29"/>
  <c r="AF6" i="29"/>
  <c r="AH6" i="29"/>
  <c r="BH141" i="3" l="1"/>
  <c r="BS141" i="3"/>
  <c r="BI141" i="3"/>
  <c r="BT141" i="3" l="1"/>
  <c r="AD20" i="15" s="1"/>
  <c r="AP11" i="18" l="1"/>
  <c r="AD43" i="15"/>
  <c r="AP6" i="16" s="1"/>
  <c r="AE20" i="15"/>
  <c r="AS11" i="28" s="1"/>
  <c r="AE43" i="15" l="1"/>
  <c r="AS6" i="29"/>
  <c r="AS6" i="16"/>
  <c r="AQ6" i="16"/>
  <c r="AU6" i="16"/>
  <c r="AT6" i="16"/>
  <c r="AR6" i="16"/>
  <c r="AS11" i="18"/>
  <c r="AQ11" i="18"/>
  <c r="AT11" i="18"/>
  <c r="AU11" i="18"/>
  <c r="AR11" i="18"/>
  <c r="AV6" i="29" l="1"/>
  <c r="AW6" i="29"/>
  <c r="AT6" i="29"/>
  <c r="AU6" i="29"/>
  <c r="AX6" i="29"/>
  <c r="AT11" i="28"/>
  <c r="AV11" i="28"/>
  <c r="AX11" i="28"/>
  <c r="AW11" i="28"/>
  <c r="AU11" i="28"/>
  <c r="AU92" i="3"/>
  <c r="AY92" i="3" l="1"/>
  <c r="AV92" i="3"/>
  <c r="BR92" i="3"/>
  <c r="W72" i="15" s="1"/>
  <c r="AZ92" i="3" l="1"/>
  <c r="V72" i="15"/>
  <c r="BQ92" i="3"/>
  <c r="AX92" i="3"/>
  <c r="X72" i="15"/>
  <c r="BE92" i="3"/>
  <c r="BF92" i="3" s="1"/>
  <c r="AC72" i="15" s="1"/>
  <c r="BS92" i="3" l="1"/>
  <c r="BH92" i="3"/>
  <c r="BJ92" i="3"/>
  <c r="BT92" i="3"/>
  <c r="AD72" i="15" s="1"/>
  <c r="AE72" i="15" s="1"/>
  <c r="BH11" i="27"/>
  <c r="BI92" i="3"/>
  <c r="BH6" i="27"/>
  <c r="AD85" i="15" l="1"/>
  <c r="AP9" i="16" s="1"/>
  <c r="AR9" i="16" s="1"/>
  <c r="AD119" i="15"/>
  <c r="AD384" i="15" s="1"/>
  <c r="AP11" i="17" s="1"/>
  <c r="AT11" i="17" s="1"/>
  <c r="AP10" i="18"/>
  <c r="AQ10" i="18" s="1"/>
  <c r="AD385" i="15"/>
  <c r="AP13" i="17" s="1"/>
  <c r="AR13" i="17" s="1"/>
  <c r="AE119" i="15"/>
  <c r="AS10" i="28"/>
  <c r="AE85" i="15"/>
  <c r="AS9" i="29"/>
  <c r="AE385" i="15"/>
  <c r="AV13" i="27" s="1"/>
  <c r="AR11" i="17" l="1"/>
  <c r="AU11" i="17"/>
  <c r="AS11" i="17"/>
  <c r="AQ9" i="16"/>
  <c r="AU9" i="16"/>
  <c r="AS9" i="16"/>
  <c r="AT9" i="16"/>
  <c r="AQ11" i="17"/>
  <c r="AS10" i="18"/>
  <c r="AR10" i="18"/>
  <c r="AT10" i="18"/>
  <c r="AP6" i="17"/>
  <c r="AU6" i="17" s="1"/>
  <c r="AU10" i="18"/>
  <c r="AT13" i="17"/>
  <c r="AS13" i="17"/>
  <c r="AU13" i="17"/>
  <c r="AQ13" i="17"/>
  <c r="AV6" i="27"/>
  <c r="AE384" i="15"/>
  <c r="AV11" i="27" s="1"/>
  <c r="AT10" i="28"/>
  <c r="AV10" i="28"/>
  <c r="AX10" i="28"/>
  <c r="AU10" i="28"/>
  <c r="AW10" i="28"/>
  <c r="AX13" i="27"/>
  <c r="AW13" i="27"/>
  <c r="AZ13" i="27"/>
  <c r="AY13" i="27"/>
  <c r="BA13" i="27"/>
  <c r="AW9" i="29"/>
  <c r="AX9" i="29"/>
  <c r="AV9" i="29"/>
  <c r="AU9" i="29"/>
  <c r="AT9" i="29"/>
  <c r="AT6" i="17" l="1"/>
  <c r="AR6" i="17"/>
  <c r="AS6" i="17"/>
  <c r="AQ6" i="17"/>
  <c r="AX11" i="27"/>
  <c r="AZ11" i="27"/>
  <c r="BA11" i="27"/>
  <c r="AY11" i="27"/>
  <c r="AW11" i="27"/>
  <c r="BA6" i="27"/>
  <c r="AY6" i="27"/>
  <c r="AW6" i="27"/>
  <c r="AX6" i="27"/>
  <c r="AZ6" i="27"/>
  <c r="BQ97" i="3"/>
  <c r="AX97" i="3"/>
  <c r="AU97" i="3"/>
  <c r="BR97" i="3" l="1"/>
  <c r="W76" i="15" s="1"/>
  <c r="AY97" i="3"/>
  <c r="X76" i="15" l="1"/>
  <c r="AE10" i="28" s="1"/>
  <c r="W119" i="15"/>
  <c r="AC6" i="17" s="1"/>
  <c r="AT11" i="27"/>
  <c r="AC10" i="18"/>
  <c r="AF10" i="18" s="1"/>
  <c r="AT6" i="27"/>
  <c r="W85" i="15"/>
  <c r="AC9" i="16" s="1"/>
  <c r="AE9" i="16" s="1"/>
  <c r="W385" i="15"/>
  <c r="AC13" i="17" s="1"/>
  <c r="AD13" i="17" s="1"/>
  <c r="X385" i="15" l="1"/>
  <c r="AG13" i="27" s="1"/>
  <c r="AK13" i="27" s="1"/>
  <c r="AE9" i="29"/>
  <c r="AI9" i="29" s="1"/>
  <c r="X119" i="15"/>
  <c r="X384" i="15" s="1"/>
  <c r="AG11" i="27" s="1"/>
  <c r="X85" i="15"/>
  <c r="AH9" i="16"/>
  <c r="AG9" i="16"/>
  <c r="AD9" i="16"/>
  <c r="AF9" i="16"/>
  <c r="AE10" i="18"/>
  <c r="AG10" i="18"/>
  <c r="AD10" i="18"/>
  <c r="AH10" i="18"/>
  <c r="AF13" i="17"/>
  <c r="AE13" i="17"/>
  <c r="AG13" i="17"/>
  <c r="AH13" i="17"/>
  <c r="W384" i="15"/>
  <c r="AC11" i="17" s="1"/>
  <c r="AH11" i="17" s="1"/>
  <c r="AF10" i="28"/>
  <c r="AI10" i="28"/>
  <c r="AH10" i="28"/>
  <c r="AG10" i="28"/>
  <c r="AJ10" i="28"/>
  <c r="AH6" i="17"/>
  <c r="AF6" i="17"/>
  <c r="AD6" i="17"/>
  <c r="AE6" i="17"/>
  <c r="AG6" i="17"/>
  <c r="AH13" i="27" l="1"/>
  <c r="AI13" i="27"/>
  <c r="AJ13" i="27"/>
  <c r="AL13" i="27"/>
  <c r="AF9" i="29"/>
  <c r="AG9" i="29"/>
  <c r="AJ9" i="29"/>
  <c r="AH9" i="29"/>
  <c r="AG6" i="27"/>
  <c r="AH6" i="27" s="1"/>
  <c r="AE11" i="17"/>
  <c r="AD11" i="17"/>
  <c r="AG11" i="17"/>
  <c r="AF11" i="17"/>
  <c r="AJ11" i="27"/>
  <c r="AH11" i="27"/>
  <c r="AI11" i="27"/>
  <c r="AK11" i="27"/>
  <c r="AL11" i="27"/>
  <c r="AI6" i="27" l="1"/>
  <c r="AK6" i="27"/>
  <c r="AL6" i="27"/>
  <c r="AJ6"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 CARLOS BORDA RIVAS</author>
  </authors>
  <commentList>
    <comment ref="W103" authorId="0" shapeId="0" xr:uid="{00000000-0006-0000-0000-000001000000}">
      <text>
        <r>
          <rPr>
            <b/>
            <sz val="9"/>
            <color indexed="81"/>
            <rFont val="Tahoma"/>
            <family val="2"/>
          </rPr>
          <t>JUAN CARLOS BORDA RIVAS:</t>
        </r>
        <r>
          <rPr>
            <sz val="9"/>
            <color indexed="81"/>
            <rFont val="Tahoma"/>
            <family val="2"/>
          </rPr>
          <t xml:space="preserve">
INCLUYE VIGENCIAS FUTURAS POR VALOR DE $361,433,212,80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JUAN CARLOS ESCOBAR BAQUERO</author>
    <author>HEIDE LIZETH LAMPREA MENDEZ</author>
  </authors>
  <commentList>
    <comment ref="AH97" authorId="0" shapeId="0" xr:uid="{72D5F3ED-2E06-4FD9-A9B3-85A59C2FBDEC}">
      <text>
        <r>
          <rPr>
            <b/>
            <sz val="9"/>
            <color indexed="81"/>
            <rFont val="Tahoma"/>
            <family val="2"/>
          </rPr>
          <t>JUAN CARLOS ESCOBAR BAQUERO:</t>
        </r>
        <r>
          <rPr>
            <sz val="9"/>
            <color indexed="81"/>
            <rFont val="Tahoma"/>
            <family val="2"/>
          </rPr>
          <t xml:space="preserve">
Revisar </t>
        </r>
      </text>
    </comment>
    <comment ref="AL155" authorId="1" shapeId="0" xr:uid="{25633562-97E5-464A-94A5-273438D67286}">
      <text>
        <r>
          <rPr>
            <b/>
            <sz val="9"/>
            <color indexed="81"/>
            <rFont val="Tahoma"/>
            <family val="2"/>
          </rPr>
          <t>HEIDE LIZETH LAMPREA MENDEZ:</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00000000-0006-0000-0500-000001000000}">
      <text>
        <r>
          <rPr>
            <b/>
            <sz val="10"/>
            <color indexed="81"/>
            <rFont val="Tahoma"/>
            <family val="2"/>
          </rPr>
          <t>Es la correspondencia entre el resultado del indicador en el periodo y la meta establecida.</t>
        </r>
      </text>
    </comment>
    <comment ref="I5" authorId="0" shapeId="0" xr:uid="{00000000-0006-0000-0500-000002000000}">
      <text>
        <r>
          <rPr>
            <b/>
            <sz val="10"/>
            <color indexed="81"/>
            <rFont val="Tahoma"/>
            <family val="2"/>
          </rPr>
          <t>Corresponde al avance acumulado del indicador</t>
        </r>
      </text>
    </comment>
    <comment ref="P5" authorId="0" shapeId="0" xr:uid="{00000000-0006-0000-0500-000003000000}">
      <text>
        <r>
          <rPr>
            <b/>
            <sz val="10"/>
            <color indexed="81"/>
            <rFont val="Tahoma"/>
            <family val="2"/>
          </rPr>
          <t>Es la correspondencia entre el resultado del indicador en el periodo y la meta establecida.</t>
        </r>
      </text>
    </comment>
    <comment ref="V5" authorId="0" shapeId="0" xr:uid="{00000000-0006-0000-0500-000004000000}">
      <text>
        <r>
          <rPr>
            <b/>
            <sz val="10"/>
            <color indexed="81"/>
            <rFont val="Tahoma"/>
            <family val="2"/>
          </rPr>
          <t>Corresponde al avance acumulado del indicador</t>
        </r>
      </text>
    </comment>
    <comment ref="AC5" authorId="0" shapeId="0" xr:uid="{00000000-0006-0000-0500-000005000000}">
      <text>
        <r>
          <rPr>
            <b/>
            <sz val="10"/>
            <color indexed="81"/>
            <rFont val="Tahoma"/>
            <family val="2"/>
          </rPr>
          <t>Es la correspondencia entre el resultado del indicador en el periodo y la meta establecida.</t>
        </r>
      </text>
    </comment>
    <comment ref="AI5" authorId="0" shapeId="0" xr:uid="{00000000-0006-0000-0500-000006000000}">
      <text>
        <r>
          <rPr>
            <b/>
            <sz val="10"/>
            <color indexed="81"/>
            <rFont val="Tahoma"/>
            <family val="2"/>
          </rPr>
          <t>Corresponde al avance acumulado del indicador</t>
        </r>
      </text>
    </comment>
    <comment ref="AP5" authorId="0" shapeId="0" xr:uid="{00000000-0006-0000-0500-000007000000}">
      <text>
        <r>
          <rPr>
            <b/>
            <sz val="10"/>
            <color indexed="81"/>
            <rFont val="Tahoma"/>
            <family val="2"/>
          </rPr>
          <t>Es la correspondencia entre el resultado del indicador en el periodo y la meta establecida.</t>
        </r>
      </text>
    </comment>
    <comment ref="AV5" authorId="0" shapeId="0" xr:uid="{00000000-0006-0000-0500-000008000000}">
      <text>
        <r>
          <rPr>
            <b/>
            <sz val="10"/>
            <color indexed="81"/>
            <rFont val="Tahoma"/>
            <family val="2"/>
          </rPr>
          <t>Corresponde al avance acumulado del indicador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fogafin</author>
    <author>Toshiba</author>
    <author>NORELA BRICEÑO BOHORQUEZ</author>
  </authors>
  <commentList>
    <comment ref="I14" authorId="0" shapeId="0" xr:uid="{00000000-0006-0000-0400-000001000000}">
      <text>
        <r>
          <rPr>
            <b/>
            <sz val="10"/>
            <color indexed="81"/>
            <rFont val="Tahoma"/>
            <family val="2"/>
          </rPr>
          <t>Es la correspondencia entre el resultado del indicador en el periodo y la meta establecida.</t>
        </r>
      </text>
    </comment>
    <comment ref="K14" authorId="0" shapeId="0" xr:uid="{00000000-0006-0000-0400-000002000000}">
      <text>
        <r>
          <rPr>
            <b/>
            <sz val="10"/>
            <color indexed="81"/>
            <rFont val="Tahoma"/>
            <family val="2"/>
          </rPr>
          <t>Muestra el avance acumulado del idicador.</t>
        </r>
      </text>
    </comment>
    <comment ref="P14" authorId="0" shapeId="0" xr:uid="{00000000-0006-0000-0400-000003000000}">
      <text>
        <r>
          <rPr>
            <b/>
            <sz val="10"/>
            <color indexed="81"/>
            <rFont val="Tahoma"/>
            <family val="2"/>
          </rPr>
          <t>Es la correspondencia entre el resultado del indicador en el periodo y la meta establecida.</t>
        </r>
      </text>
    </comment>
    <comment ref="R14" authorId="0" shapeId="0" xr:uid="{00000000-0006-0000-0400-000004000000}">
      <text>
        <r>
          <rPr>
            <b/>
            <sz val="10"/>
            <color indexed="81"/>
            <rFont val="Tahoma"/>
            <family val="2"/>
          </rPr>
          <t>Muestra el avance acumulado del indicador.
La última columna muestra como N.A aquellas actividades que no tenían meta programada ni en este periodo ni en los anteriores.</t>
        </r>
      </text>
    </comment>
    <comment ref="W14" authorId="0" shapeId="0" xr:uid="{00000000-0006-0000-0400-000005000000}">
      <text>
        <r>
          <rPr>
            <b/>
            <sz val="10"/>
            <color indexed="81"/>
            <rFont val="Tahoma"/>
            <family val="2"/>
          </rPr>
          <t>Es la correspondencia entre el resultado del indicador en el periodo y la meta establecida.</t>
        </r>
      </text>
    </comment>
    <comment ref="Y14" authorId="0" shapeId="0" xr:uid="{00000000-0006-0000-0400-000006000000}">
      <text>
        <r>
          <rPr>
            <b/>
            <sz val="10"/>
            <color indexed="81"/>
            <rFont val="Tahoma"/>
            <family val="2"/>
          </rPr>
          <t>Muestra el avance acumulado del indicador.
La última columna muestra como N.A aquellas actividades que no tenían meta programada ni en este periodo ni en los anteriores.</t>
        </r>
      </text>
    </comment>
    <comment ref="AD14" authorId="0" shapeId="0" xr:uid="{00000000-0006-0000-0400-000007000000}">
      <text>
        <r>
          <rPr>
            <b/>
            <sz val="10"/>
            <color indexed="81"/>
            <rFont val="Tahoma"/>
            <family val="2"/>
          </rPr>
          <t>Es la correspondencia entre el resultado del indicador en el periodo y la meta establecida.</t>
        </r>
      </text>
    </comment>
    <comment ref="AF14" authorId="0" shapeId="0" xr:uid="{00000000-0006-0000-0400-000008000000}">
      <text>
        <r>
          <rPr>
            <b/>
            <sz val="10"/>
            <color indexed="81"/>
            <rFont val="Tahoma"/>
            <family val="2"/>
          </rPr>
          <t>Muestra el avance acumulado del idicador</t>
        </r>
      </text>
    </comment>
    <comment ref="AH14" authorId="0" shapeId="0" xr:uid="{00000000-0006-0000-0400-000009000000}">
      <text>
        <r>
          <rPr>
            <b/>
            <sz val="10"/>
            <color indexed="81"/>
            <rFont val="Tahoma"/>
            <family val="2"/>
          </rPr>
          <t>Haga click en el semáforo para consultar información más detallada sobre el indicador, sus resultados, tendencias y análisis en su ficha técnica.</t>
        </r>
      </text>
    </comment>
    <comment ref="AJ14" authorId="1" shapeId="0" xr:uid="{00000000-0006-0000-0400-00000A000000}">
      <text>
        <r>
          <rPr>
            <b/>
            <sz val="11"/>
            <color indexed="81"/>
            <rFont val="Tahoma"/>
            <family val="2"/>
          </rPr>
          <t>Corresponde al resultado consolidado al corte, según su frecuencia de medición y reporte en la Ficha Técnica del indicador.</t>
        </r>
      </text>
    </comment>
    <comment ref="AK14" authorId="0" shapeId="0" xr:uid="{00000000-0006-0000-0400-00000B000000}">
      <text>
        <r>
          <rPr>
            <b/>
            <sz val="10"/>
            <color indexed="81"/>
            <rFont val="Tahoma"/>
            <family val="2"/>
          </rPr>
          <t>Es la correspondencia entre el resultado del indicador en el periodo y la meta establecida.</t>
        </r>
      </text>
    </comment>
    <comment ref="AV14" authorId="0" shapeId="0" xr:uid="{00000000-0006-0000-0400-00000C000000}">
      <text>
        <r>
          <rPr>
            <b/>
            <sz val="10"/>
            <color indexed="81"/>
            <rFont val="Tahoma"/>
            <family val="2"/>
          </rPr>
          <t>Haga click en el semáforo para consultar información más detallada sobre el indicador, sus resultados, tendencias y análisis en su ficha técnica.</t>
        </r>
      </text>
    </comment>
    <comment ref="AX14" authorId="1" shapeId="0" xr:uid="{00000000-0006-0000-0400-00000D000000}">
      <text>
        <r>
          <rPr>
            <b/>
            <sz val="11"/>
            <color indexed="81"/>
            <rFont val="Tahoma"/>
            <family val="2"/>
          </rPr>
          <t>Corresponde al resultado consolidado al corte, según su frecuencia de medición y reporte en la Ficha Técnica del indicador.</t>
        </r>
      </text>
    </comment>
    <comment ref="AY14" authorId="0" shapeId="0" xr:uid="{00000000-0006-0000-0400-00000E000000}">
      <text>
        <r>
          <rPr>
            <b/>
            <sz val="10"/>
            <color indexed="81"/>
            <rFont val="Tahoma"/>
            <family val="2"/>
          </rPr>
          <t>Es la correspondencia entre el resultado del indicador en el periodo y la meta establecida.</t>
        </r>
      </text>
    </comment>
    <comment ref="BJ14" authorId="0" shapeId="0" xr:uid="{00000000-0006-0000-0400-00000F000000}">
      <text>
        <r>
          <rPr>
            <b/>
            <sz val="10"/>
            <color indexed="81"/>
            <rFont val="Tahoma"/>
            <family val="2"/>
          </rPr>
          <t>Haga click en el semáforo para consultar información más detallada sobre el indicador, sus resultados, tendencias y análisis en su ficha técnica.</t>
        </r>
      </text>
    </comment>
    <comment ref="BL14" authorId="1" shapeId="0" xr:uid="{00000000-0006-0000-0400-000010000000}">
      <text>
        <r>
          <rPr>
            <b/>
            <sz val="11"/>
            <color indexed="81"/>
            <rFont val="Tahoma"/>
            <family val="2"/>
          </rPr>
          <t>Corresponde al resultado consolidado al corte, según su frecuencia de medición y reporte en la Ficha Técnica del indicador.</t>
        </r>
      </text>
    </comment>
    <comment ref="BM14" authorId="0" shapeId="0" xr:uid="{00000000-0006-0000-0400-000011000000}">
      <text>
        <r>
          <rPr>
            <b/>
            <sz val="10"/>
            <color indexed="81"/>
            <rFont val="Tahoma"/>
            <family val="2"/>
          </rPr>
          <t>Es la correspondencia entre el resultado del indicador en el periodo y la meta establecida.</t>
        </r>
      </text>
    </comment>
    <comment ref="BX14" authorId="0" shapeId="0" xr:uid="{00000000-0006-0000-0400-000012000000}">
      <text>
        <r>
          <rPr>
            <b/>
            <sz val="10"/>
            <color indexed="81"/>
            <rFont val="Tahoma"/>
            <family val="2"/>
          </rPr>
          <t>Haga click en el semáforo para consultar información más detallada sobre el indicador, sus resultados, tendencias y análisis en su ficha técnica.</t>
        </r>
      </text>
    </comment>
    <comment ref="BZ14" authorId="1" shapeId="0" xr:uid="{00000000-0006-0000-0400-000013000000}">
      <text>
        <r>
          <rPr>
            <b/>
            <sz val="11"/>
            <color indexed="81"/>
            <rFont val="Tahoma"/>
            <family val="2"/>
          </rPr>
          <t>Corresponde al resultado consolidado al corte, según su frecuencia de medición y reporte en la Ficha Técnica del indicador.</t>
        </r>
      </text>
    </comment>
    <comment ref="CA14" authorId="0" shapeId="0" xr:uid="{00000000-0006-0000-0400-000014000000}">
      <text>
        <r>
          <rPr>
            <b/>
            <sz val="10"/>
            <color indexed="81"/>
            <rFont val="Tahoma"/>
            <family val="2"/>
          </rPr>
          <t>Es la correspondencia entre el resultado del indicador en el periodo y la meta establecida.</t>
        </r>
      </text>
    </comment>
    <comment ref="CL14" authorId="0" shapeId="0" xr:uid="{00000000-0006-0000-0400-000015000000}">
      <text>
        <r>
          <rPr>
            <b/>
            <sz val="10"/>
            <color indexed="81"/>
            <rFont val="Tahoma"/>
            <family val="2"/>
          </rPr>
          <t>Haga click en el semáforo para consultar información más detallada sobre el indicador, sus resultados, tendencias y análisis en su ficha técnica.</t>
        </r>
      </text>
    </comment>
    <comment ref="L15" authorId="2" shapeId="0" xr:uid="{E66FAEC3-8CA4-4E83-B205-901191B3B7B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M15" authorId="2" shapeId="0" xr:uid="{40A6A240-AC3D-45AD-9F99-E1C8F31EA3C1}">
      <text>
        <r>
          <rPr>
            <sz val="9"/>
            <color indexed="81"/>
            <rFont val="Tahoma"/>
            <family val="2"/>
          </rPr>
          <t>Réplica del anterior. 
En esta columna se encuentran los resultados incluyendo solamente las actividades programadas por las áreas para el periodo objeto de medición.</t>
        </r>
      </text>
    </comment>
    <comment ref="R15" authorId="2" shapeId="0" xr:uid="{5271C4B1-BFFA-48E0-880B-5024E7FDD5C9}">
      <text>
        <r>
          <rPr>
            <sz val="9"/>
            <color indexed="81"/>
            <rFont val="Tahoma"/>
            <family val="2"/>
          </rPr>
          <t>Datos iniciales</t>
        </r>
      </text>
    </comment>
    <comment ref="S15" authorId="2" shapeId="0" xr:uid="{08377772-FB5F-4B9D-ADDA-A127A58D5DA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T15" authorId="2" shapeId="0" xr:uid="{D2BCF030-B44A-4258-A86B-6B54D027B065}">
      <text>
        <r>
          <rPr>
            <sz val="9"/>
            <color indexed="81"/>
            <rFont val="Tahoma"/>
            <family val="2"/>
          </rPr>
          <t>Réplica del anterior. 
En esta columna se encuentran los resultados incluyendo solamente las actividades programadas por las áreas para el periodo objeto de medición.</t>
        </r>
      </text>
    </comment>
    <comment ref="Y15" authorId="2" shapeId="0" xr:uid="{AF601166-2247-4444-B99E-8D2AEFC07F57}">
      <text>
        <r>
          <rPr>
            <sz val="9"/>
            <color indexed="81"/>
            <rFont val="Tahoma"/>
            <family val="2"/>
          </rPr>
          <t>Datos iniciales</t>
        </r>
      </text>
    </comment>
    <comment ref="Z15" authorId="2" shapeId="0" xr:uid="{684496C8-C974-4E7D-81DB-E1DE15338C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A15" authorId="2" shapeId="0" xr:uid="{C9261149-1324-4DDB-8585-DDDAAA0B7A87}">
      <text>
        <r>
          <rPr>
            <sz val="9"/>
            <color indexed="81"/>
            <rFont val="Tahoma"/>
            <family val="2"/>
          </rPr>
          <t>Réplica del anterior. 
En esta columna se encuentran los resultados incluyendo solamente las actividades programadas por las áreas para el periodo objeto de medición.</t>
        </r>
      </text>
    </comment>
    <comment ref="AF15" authorId="2" shapeId="0" xr:uid="{9DBD2118-584C-4E41-8BF7-CF8C52191CDE}">
      <text>
        <r>
          <rPr>
            <sz val="9"/>
            <color indexed="81"/>
            <rFont val="Tahoma"/>
            <family val="2"/>
          </rPr>
          <t>Datos iniciales</t>
        </r>
      </text>
    </comment>
    <comment ref="AG15" authorId="2" shapeId="0" xr:uid="{73A9C70C-C4CA-46BE-901C-8F4C695B7DE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H304" authorId="2" shapeId="0" xr:uid="{00000000-0006-0000-0400-000016000000}">
      <text>
        <r>
          <rPr>
            <b/>
            <sz val="9"/>
            <color indexed="81"/>
            <rFont val="Tahoma"/>
            <family val="2"/>
          </rPr>
          <t>NORELA BRICEÑO BOHORQUEZ:</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fogafin</author>
    <author>NORELA BRICEÑO BOHORQUEZ</author>
  </authors>
  <commentList>
    <comment ref="C5" authorId="0" shapeId="0" xr:uid="{AD179D85-FF4C-4314-B24E-E5836DB9D077}">
      <text>
        <r>
          <rPr>
            <b/>
            <sz val="10"/>
            <color indexed="81"/>
            <rFont val="Tahoma"/>
            <family val="2"/>
          </rPr>
          <t>Es la correspondencia entre el resultado del indicador en el periodo y la meta establecida.</t>
        </r>
      </text>
    </comment>
    <comment ref="I5" authorId="0" shapeId="0" xr:uid="{C785F6A2-68DC-43E6-ADC0-8C0FAC756210}">
      <text>
        <r>
          <rPr>
            <b/>
            <sz val="10"/>
            <color indexed="81"/>
            <rFont val="Tahoma"/>
            <family val="2"/>
          </rPr>
          <t>Corresponde al avance acumulado del indicador</t>
        </r>
      </text>
    </comment>
    <comment ref="R5" authorId="0" shapeId="0" xr:uid="{56EE5E86-B3F2-455C-A55A-B1380287F299}">
      <text>
        <r>
          <rPr>
            <b/>
            <sz val="10"/>
            <color indexed="81"/>
            <rFont val="Tahoma"/>
            <family val="2"/>
          </rPr>
          <t>Es la correspondencia entre el resultado del indicador en el periodo y la meta establecida.</t>
        </r>
      </text>
    </comment>
    <comment ref="X5" authorId="0" shapeId="0" xr:uid="{AB15ADF4-34EC-4346-9B8F-F2492E02AF48}">
      <text>
        <r>
          <rPr>
            <b/>
            <sz val="10"/>
            <color indexed="81"/>
            <rFont val="Tahoma"/>
            <family val="2"/>
          </rPr>
          <t>Corresponde al avance acumulado del indicador</t>
        </r>
      </text>
    </comment>
    <comment ref="AG5" authorId="0" shapeId="0" xr:uid="{09393CED-5A42-4082-9F72-967B8D160E08}">
      <text>
        <r>
          <rPr>
            <b/>
            <sz val="10"/>
            <color indexed="81"/>
            <rFont val="Tahoma"/>
            <family val="2"/>
          </rPr>
          <t>Es la correspondencia entre el resultado del indicador en el periodo y la meta establecida.</t>
        </r>
      </text>
    </comment>
    <comment ref="AM5" authorId="0" shapeId="0" xr:uid="{92DCA538-24A4-4414-95D5-8CAF8E9830A9}">
      <text>
        <r>
          <rPr>
            <b/>
            <sz val="10"/>
            <color indexed="81"/>
            <rFont val="Tahoma"/>
            <family val="2"/>
          </rPr>
          <t>Corresponde al avance acumulado del indicador</t>
        </r>
      </text>
    </comment>
    <comment ref="AV5" authorId="0" shapeId="0" xr:uid="{4C088DC4-B61E-4CAF-BD81-49A8AC947862}">
      <text>
        <r>
          <rPr>
            <b/>
            <sz val="10"/>
            <color indexed="81"/>
            <rFont val="Tahoma"/>
            <family val="2"/>
          </rPr>
          <t>Es la correspondencia entre el resultado del indicador en el periodo y la meta establecida.</t>
        </r>
      </text>
    </comment>
    <comment ref="BB5" authorId="0" shapeId="0" xr:uid="{E7411C4A-7D0C-402E-A30C-04B609C50349}">
      <text>
        <r>
          <rPr>
            <b/>
            <sz val="10"/>
            <color indexed="81"/>
            <rFont val="Tahoma"/>
            <family val="2"/>
          </rPr>
          <t>Corresponde al avance acumulado del indicador</t>
        </r>
      </text>
    </comment>
    <comment ref="I6" authorId="1" shapeId="0" xr:uid="{369891A6-580A-4D1E-B030-AD634CED27C8}">
      <text>
        <r>
          <rPr>
            <sz val="9"/>
            <color indexed="81"/>
            <rFont val="Tahoma"/>
            <family val="2"/>
          </rPr>
          <t>Datos incluyendo todas las actividades programadas por las áreas para el año.</t>
        </r>
      </text>
    </comment>
    <comment ref="J6" authorId="1" shapeId="0" xr:uid="{1F2D5708-B772-4544-8204-27ED32EBA818}">
      <text>
        <r>
          <rPr>
            <sz val="9"/>
            <color indexed="81"/>
            <rFont val="Tahoma"/>
            <family val="2"/>
          </rPr>
          <t>Datos incluyendo solamente las actividades programadas por las áreas para el periodo objeto de medición.</t>
        </r>
      </text>
    </comment>
    <comment ref="X6" authorId="1" shapeId="0" xr:uid="{778625BF-D359-4CD8-B0B0-97B6891ED44B}">
      <text>
        <r>
          <rPr>
            <sz val="9"/>
            <color indexed="81"/>
            <rFont val="Tahoma"/>
            <family val="2"/>
          </rPr>
          <t>Datos incluyendo todas las actividades programadas por las áreas para el año.</t>
        </r>
      </text>
    </comment>
    <comment ref="Y6" authorId="1" shapeId="0" xr:uid="{240284EA-BF35-435D-B23E-B77581A0948E}">
      <text>
        <r>
          <rPr>
            <sz val="9"/>
            <color indexed="81"/>
            <rFont val="Tahoma"/>
            <family val="2"/>
          </rPr>
          <t>Datos incluyendo solamente las actividades programadas por las áreas para el periodo objeto de medición.</t>
        </r>
      </text>
    </comment>
    <comment ref="AM6" authorId="1" shapeId="0" xr:uid="{F406B84C-4E8B-4293-BABA-75A6E0AF8F79}">
      <text>
        <r>
          <rPr>
            <sz val="9"/>
            <color indexed="81"/>
            <rFont val="Tahoma"/>
            <family val="2"/>
          </rPr>
          <t>Datos incluyendo todas las actividades programadas por las áreas para el año.</t>
        </r>
      </text>
    </comment>
    <comment ref="AN6" authorId="1" shapeId="0" xr:uid="{DE5298CE-8C10-469D-ACE9-1AED4735BC78}">
      <text>
        <r>
          <rPr>
            <sz val="9"/>
            <color indexed="81"/>
            <rFont val="Tahoma"/>
            <family val="2"/>
          </rPr>
          <t>Datos incluyendo solamente las actividades programadas por las áreas para el periodo objeto de medición.</t>
        </r>
      </text>
    </comment>
    <comment ref="BB6" authorId="1" shapeId="0" xr:uid="{181F6126-AFC7-4736-AB77-5149ADD6AEA8}">
      <text>
        <r>
          <rPr>
            <sz val="9"/>
            <color indexed="81"/>
            <rFont val="Tahoma"/>
            <family val="2"/>
          </rPr>
          <t>Datos incluyendo todas las actividades programadas por las áreas para el año.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00000000-0006-0000-0600-000001000000}">
      <text>
        <r>
          <rPr>
            <b/>
            <sz val="10"/>
            <color indexed="81"/>
            <rFont val="Tahoma"/>
            <family val="2"/>
          </rPr>
          <t>Es la correspondencia entre el resultado del indicador en el periodo y la meta establecida.</t>
        </r>
      </text>
    </comment>
    <comment ref="I5" authorId="0" shapeId="0" xr:uid="{00000000-0006-0000-0600-000002000000}">
      <text>
        <r>
          <rPr>
            <b/>
            <sz val="10"/>
            <color indexed="81"/>
            <rFont val="Tahoma"/>
            <family val="2"/>
          </rPr>
          <t>Correponde al cumplimiento acumuldo del indicador</t>
        </r>
      </text>
    </comment>
    <comment ref="P5" authorId="0" shapeId="0" xr:uid="{00000000-0006-0000-0600-000003000000}">
      <text>
        <r>
          <rPr>
            <b/>
            <sz val="10"/>
            <color indexed="81"/>
            <rFont val="Tahoma"/>
            <family val="2"/>
          </rPr>
          <t>Es la correspondencia entre el resultado del indicador en el periodo y la meta establecida.</t>
        </r>
      </text>
    </comment>
    <comment ref="V5" authorId="0" shapeId="0" xr:uid="{00000000-0006-0000-0600-000004000000}">
      <text>
        <r>
          <rPr>
            <b/>
            <sz val="10"/>
            <color indexed="81"/>
            <rFont val="Tahoma"/>
            <family val="2"/>
          </rPr>
          <t>Correponde al cumplimiento acumuldo del indicador</t>
        </r>
      </text>
    </comment>
    <comment ref="AC5" authorId="0" shapeId="0" xr:uid="{00000000-0006-0000-0600-000005000000}">
      <text>
        <r>
          <rPr>
            <b/>
            <sz val="10"/>
            <color indexed="81"/>
            <rFont val="Tahoma"/>
            <family val="2"/>
          </rPr>
          <t>Es la correspondencia entre el resultado del indicador en el periodo y la meta establecida.</t>
        </r>
      </text>
    </comment>
    <comment ref="AI5" authorId="0" shapeId="0" xr:uid="{00000000-0006-0000-0600-000006000000}">
      <text>
        <r>
          <rPr>
            <b/>
            <sz val="10"/>
            <color indexed="81"/>
            <rFont val="Tahoma"/>
            <family val="2"/>
          </rPr>
          <t>Correponde al cumplimiento acumuldo del indicador</t>
        </r>
      </text>
    </comment>
    <comment ref="AP5" authorId="0" shapeId="0" xr:uid="{00000000-0006-0000-0600-000007000000}">
      <text>
        <r>
          <rPr>
            <b/>
            <sz val="10"/>
            <color indexed="81"/>
            <rFont val="Tahoma"/>
            <family val="2"/>
          </rPr>
          <t>Es la correspondencia entre el resultado del indicador en el periodo y la meta establecida.</t>
        </r>
      </text>
    </comment>
    <comment ref="AV5" authorId="0" shapeId="0" xr:uid="{00000000-0006-0000-0600-000008000000}">
      <text>
        <r>
          <rPr>
            <b/>
            <sz val="10"/>
            <color indexed="81"/>
            <rFont val="Tahoma"/>
            <family val="2"/>
          </rPr>
          <t>Correponde al cumplimiento acumuldo del indicador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fogafin</author>
    <author>NORELA BRICEÑO BOHORQUEZ</author>
  </authors>
  <commentList>
    <comment ref="C5" authorId="0" shapeId="0" xr:uid="{01C1E105-5266-4273-98E2-B8D109C35421}">
      <text>
        <r>
          <rPr>
            <b/>
            <sz val="10"/>
            <color indexed="81"/>
            <rFont val="Tahoma"/>
            <family val="2"/>
          </rPr>
          <t>Es la correspondencia entre el resultado del indicador en el periodo y la meta establecida.</t>
        </r>
      </text>
    </comment>
    <comment ref="I5" authorId="0" shapeId="0" xr:uid="{1E35FA45-536B-4B1A-9D3D-B0587862CA36}">
      <text>
        <r>
          <rPr>
            <b/>
            <sz val="10"/>
            <color indexed="81"/>
            <rFont val="Tahoma"/>
            <family val="2"/>
          </rPr>
          <t>Correponde al cumplimiento acumuldo del indicador</t>
        </r>
      </text>
    </comment>
    <comment ref="Q5" authorId="0" shapeId="0" xr:uid="{B7A8381A-F700-4ACD-A8C8-B38EB231CEFA}">
      <text>
        <r>
          <rPr>
            <b/>
            <sz val="10"/>
            <color indexed="81"/>
            <rFont val="Tahoma"/>
            <family val="2"/>
          </rPr>
          <t>Es la correspondencia entre el resultado del indicador en el periodo y la meta establecida.</t>
        </r>
      </text>
    </comment>
    <comment ref="W5" authorId="0" shapeId="0" xr:uid="{AE9D234B-B2AE-408A-9ABD-875413938955}">
      <text>
        <r>
          <rPr>
            <b/>
            <sz val="10"/>
            <color indexed="81"/>
            <rFont val="Tahoma"/>
            <family val="2"/>
          </rPr>
          <t>Correponde al cumplimiento acumuldo del indicador</t>
        </r>
      </text>
    </comment>
    <comment ref="AE5" authorId="0" shapeId="0" xr:uid="{0BE8BA78-110E-405E-86CB-8B1FA7B4AB71}">
      <text>
        <r>
          <rPr>
            <b/>
            <sz val="10"/>
            <color indexed="81"/>
            <rFont val="Tahoma"/>
            <family val="2"/>
          </rPr>
          <t>Es la correspondencia entre el resultado del indicador en el periodo y la meta establecida.</t>
        </r>
      </text>
    </comment>
    <comment ref="AK5" authorId="0" shapeId="0" xr:uid="{801CAA0B-87A1-4681-8A32-E33F15002A15}">
      <text>
        <r>
          <rPr>
            <b/>
            <sz val="10"/>
            <color indexed="81"/>
            <rFont val="Tahoma"/>
            <family val="2"/>
          </rPr>
          <t>Correponde al cumplimiento acumuldo del indicador</t>
        </r>
      </text>
    </comment>
    <comment ref="AS5" authorId="0" shapeId="0" xr:uid="{2BB15378-BB28-481F-BAB0-FB1B5AB4355E}">
      <text>
        <r>
          <rPr>
            <b/>
            <sz val="10"/>
            <color indexed="81"/>
            <rFont val="Tahoma"/>
            <family val="2"/>
          </rPr>
          <t>Es la correspondencia entre el resultado del indicador en el periodo y la meta establecida.</t>
        </r>
      </text>
    </comment>
    <comment ref="AY5" authorId="0" shapeId="0" xr:uid="{24B3E19F-F916-4E13-BA06-1CFBCADC9322}">
      <text>
        <r>
          <rPr>
            <b/>
            <sz val="10"/>
            <color indexed="81"/>
            <rFont val="Tahoma"/>
            <family val="2"/>
          </rPr>
          <t>Correponde al cumplimiento acumuldo del indicador</t>
        </r>
      </text>
    </comment>
    <comment ref="W6" authorId="1" shapeId="0" xr:uid="{47AF6129-9EA5-48EF-A9EE-2E558A6ADFDF}">
      <text>
        <r>
          <rPr>
            <sz val="9"/>
            <color indexed="81"/>
            <rFont val="Tahoma"/>
            <family val="2"/>
          </rPr>
          <t>Datos incluyendo todas las actividades programadas por las áreas para el año.</t>
        </r>
      </text>
    </comment>
    <comment ref="X6" authorId="1" shapeId="0" xr:uid="{4FDE50C0-A2CB-441B-BF70-BFD0BE97166D}">
      <text>
        <r>
          <rPr>
            <sz val="9"/>
            <color indexed="81"/>
            <rFont val="Tahoma"/>
            <family val="2"/>
          </rPr>
          <t>Datos incluyendo solamente las actividades programadas por las áreas para el periodo objeto de medición.</t>
        </r>
      </text>
    </comment>
    <comment ref="AK6" authorId="1" shapeId="0" xr:uid="{E8C186E7-30CA-4074-9059-43D243AE9EE8}">
      <text>
        <r>
          <rPr>
            <sz val="9"/>
            <color indexed="81"/>
            <rFont val="Tahoma"/>
            <family val="2"/>
          </rPr>
          <t>Datos incluyendo todas las actividades programadas por las áreas para el año.</t>
        </r>
      </text>
    </comment>
    <comment ref="AL6" authorId="1" shapeId="0" xr:uid="{0BB11D4B-C08C-4411-B7A7-A8CA74170218}">
      <text>
        <r>
          <rPr>
            <sz val="9"/>
            <color indexed="81"/>
            <rFont val="Tahoma"/>
            <family val="2"/>
          </rPr>
          <t>Datos incluyendo solamente las actividades programadas por las áreas para el periodo objeto de medición.</t>
        </r>
      </text>
    </comment>
    <comment ref="AY6" authorId="1" shapeId="0" xr:uid="{00FD1E60-5B7F-4358-9B6F-63DB12C5C6A6}">
      <text>
        <r>
          <rPr>
            <sz val="9"/>
            <color indexed="81"/>
            <rFont val="Tahoma"/>
            <family val="2"/>
          </rPr>
          <t xml:space="preserve">Datos incluyendo todas las actividades programadas por las áreas para el año.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00000000-0006-0000-0800-000001000000}">
      <text>
        <r>
          <rPr>
            <b/>
            <sz val="10"/>
            <color indexed="81"/>
            <rFont val="Tahoma"/>
            <family val="2"/>
          </rPr>
          <t>Es la correspondencia entre el resultado del indicador en el periodo y la meta establecida.</t>
        </r>
      </text>
    </comment>
    <comment ref="I5" authorId="0" shapeId="0" xr:uid="{00000000-0006-0000-0800-000002000000}">
      <text>
        <r>
          <rPr>
            <b/>
            <sz val="10"/>
            <color indexed="81"/>
            <rFont val="Tahoma"/>
            <family val="2"/>
          </rPr>
          <t>Corresponde al avance acumulado en el periodo</t>
        </r>
      </text>
    </comment>
    <comment ref="P5" authorId="0" shapeId="0" xr:uid="{00000000-0006-0000-0800-000003000000}">
      <text>
        <r>
          <rPr>
            <b/>
            <sz val="10"/>
            <color indexed="81"/>
            <rFont val="Tahoma"/>
            <family val="2"/>
          </rPr>
          <t>Es la correspondencia entre el resultado del indicador en el periodo y la meta establecida.</t>
        </r>
      </text>
    </comment>
    <comment ref="V5" authorId="0" shapeId="0" xr:uid="{00000000-0006-0000-0800-000004000000}">
      <text>
        <r>
          <rPr>
            <b/>
            <sz val="10"/>
            <color indexed="81"/>
            <rFont val="Tahoma"/>
            <family val="2"/>
          </rPr>
          <t>Corresponde al avance acumulado en el periodo</t>
        </r>
      </text>
    </comment>
    <comment ref="AC5" authorId="0" shapeId="0" xr:uid="{00000000-0006-0000-0800-000005000000}">
      <text>
        <r>
          <rPr>
            <b/>
            <sz val="10"/>
            <color indexed="81"/>
            <rFont val="Tahoma"/>
            <family val="2"/>
          </rPr>
          <t>Es la correspondencia entre el resultado del indicador en el periodo y la meta establecida.</t>
        </r>
      </text>
    </comment>
    <comment ref="AI5" authorId="0" shapeId="0" xr:uid="{00000000-0006-0000-0800-000006000000}">
      <text>
        <r>
          <rPr>
            <b/>
            <sz val="10"/>
            <color indexed="81"/>
            <rFont val="Tahoma"/>
            <family val="2"/>
          </rPr>
          <t>Corresponde al avance acumulado en el periodo</t>
        </r>
      </text>
    </comment>
    <comment ref="AP5" authorId="0" shapeId="0" xr:uid="{00000000-0006-0000-0800-000007000000}">
      <text>
        <r>
          <rPr>
            <b/>
            <sz val="10"/>
            <color indexed="81"/>
            <rFont val="Tahoma"/>
            <family val="2"/>
          </rPr>
          <t>Es la correspondencia entre el resultado del indicador en el periodo y la meta establecida.</t>
        </r>
      </text>
    </comment>
    <comment ref="AV5" authorId="0" shapeId="0" xr:uid="{00000000-0006-0000-0800-000008000000}">
      <text>
        <r>
          <rPr>
            <b/>
            <sz val="10"/>
            <color indexed="81"/>
            <rFont val="Tahoma"/>
            <family val="2"/>
          </rPr>
          <t>Corresponde al avance acumulado en el periodo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24505F55-C00B-4CB7-8351-C85F6B0EA67A}">
      <text>
        <r>
          <rPr>
            <b/>
            <sz val="10"/>
            <color indexed="81"/>
            <rFont val="Tahoma"/>
            <family val="2"/>
          </rPr>
          <t>Es la correspondencia entre el resultado del indicador en el periodo y la meta establecida.</t>
        </r>
      </text>
    </comment>
    <comment ref="I5" authorId="0" shapeId="0" xr:uid="{821B4557-46E2-4C82-B284-D4745CC6DF34}">
      <text>
        <r>
          <rPr>
            <b/>
            <sz val="10"/>
            <color indexed="81"/>
            <rFont val="Tahoma"/>
            <family val="2"/>
          </rPr>
          <t>Corresponde al avance acumulado en el periodo</t>
        </r>
      </text>
    </comment>
    <comment ref="Q5" authorId="0" shapeId="0" xr:uid="{F743B453-7E30-4F43-87E2-530132F3EDF5}">
      <text>
        <r>
          <rPr>
            <b/>
            <sz val="10"/>
            <color indexed="81"/>
            <rFont val="Tahoma"/>
            <family val="2"/>
          </rPr>
          <t>Es la correspondencia entre el resultado del indicador en el periodo y la meta establecida.</t>
        </r>
      </text>
    </comment>
    <comment ref="W5" authorId="0" shapeId="0" xr:uid="{E716DBE4-9D00-4D6B-B50A-47DF464BF8D8}">
      <text>
        <r>
          <rPr>
            <b/>
            <sz val="10"/>
            <color indexed="81"/>
            <rFont val="Tahoma"/>
            <family val="2"/>
          </rPr>
          <t>Corresponde al avance acumulado en el periodo</t>
        </r>
      </text>
    </comment>
    <comment ref="AE5" authorId="0" shapeId="0" xr:uid="{7C6D932B-5F47-42AA-A865-EB7095BE715E}">
      <text>
        <r>
          <rPr>
            <b/>
            <sz val="10"/>
            <color indexed="81"/>
            <rFont val="Tahoma"/>
            <family val="2"/>
          </rPr>
          <t>Es la correspondencia entre el resultado del indicador en el periodo y la meta establecida.</t>
        </r>
      </text>
    </comment>
    <comment ref="AK5" authorId="0" shapeId="0" xr:uid="{3E7BE2FF-C46B-4503-B0C6-1B2501ABBBC5}">
      <text>
        <r>
          <rPr>
            <b/>
            <sz val="10"/>
            <color indexed="81"/>
            <rFont val="Tahoma"/>
            <family val="2"/>
          </rPr>
          <t>Corresponde al avance acumulado en el periodo</t>
        </r>
      </text>
    </comment>
    <comment ref="AS5" authorId="0" shapeId="0" xr:uid="{DE466CC4-E73D-431C-AAD3-C138E2AAB18C}">
      <text>
        <r>
          <rPr>
            <b/>
            <sz val="10"/>
            <color indexed="81"/>
            <rFont val="Tahoma"/>
            <family val="2"/>
          </rPr>
          <t>Es la correspondencia entre el resultado del indicador en el periodo y la meta establecida.</t>
        </r>
      </text>
    </comment>
    <comment ref="AY5" authorId="0" shapeId="0" xr:uid="{A239240D-F798-4001-B0FA-F5807A99BB41}">
      <text>
        <r>
          <rPr>
            <b/>
            <sz val="10"/>
            <color indexed="81"/>
            <rFont val="Tahoma"/>
            <family val="2"/>
          </rPr>
          <t>Corresponde al avance acumulado en el periodo</t>
        </r>
      </text>
    </comment>
  </commentList>
</comments>
</file>

<file path=xl/sharedStrings.xml><?xml version="1.0" encoding="utf-8"?>
<sst xmlns="http://schemas.openxmlformats.org/spreadsheetml/2006/main" count="12854" uniqueCount="2363">
  <si>
    <t>INDICADOR</t>
  </si>
  <si>
    <t>Indicador SINERGIA</t>
  </si>
  <si>
    <t xml:space="preserve">Subdirección de Garantías </t>
  </si>
  <si>
    <t>Dirección General</t>
  </si>
  <si>
    <t>Dirección de Gestión de Recursos Financieros de Salud</t>
  </si>
  <si>
    <t>Oficina de Control Interno</t>
  </si>
  <si>
    <t>Dirección de Gestión de Tecnología de la Información y la Comunicación</t>
  </si>
  <si>
    <t>AVANCE TOTAL</t>
  </si>
  <si>
    <t>TRIMESTRE I</t>
  </si>
  <si>
    <t>TRIMESTRE II</t>
  </si>
  <si>
    <t>TRIMESTRE III</t>
  </si>
  <si>
    <t>TRIMESTRE IV</t>
  </si>
  <si>
    <t>%</t>
  </si>
  <si>
    <t>PROCESO ASOCIADO</t>
  </si>
  <si>
    <t>PROCEDIMIENTO ASOCIADO</t>
  </si>
  <si>
    <t>FISICO</t>
  </si>
  <si>
    <t>CANTIDAD</t>
  </si>
  <si>
    <t>FUENTE RECURSOS</t>
  </si>
  <si>
    <t>VALOR EJECUTADO</t>
  </si>
  <si>
    <t>AVANCE TRIMESTRE</t>
  </si>
  <si>
    <t>FINANCIERO</t>
  </si>
  <si>
    <t>2. Recuperación de la confianza y la legitimidad</t>
  </si>
  <si>
    <t xml:space="preserve">2.2. Simplificar procesos </t>
  </si>
  <si>
    <t>2.3. Promover la transparencia, participación ciudadana y rendición de cuentas</t>
  </si>
  <si>
    <t>Reportar el cumplimiento del Plan de Acción de la Dependencia</t>
  </si>
  <si>
    <t>Central de Costos</t>
  </si>
  <si>
    <t>Dirección de Liquidaciones y Garantías</t>
  </si>
  <si>
    <t xml:space="preserve">Subdirección  Liquidaciones </t>
  </si>
  <si>
    <t xml:space="preserve">Dirección de Otras Prestaciones  </t>
  </si>
  <si>
    <t>Dirección Administrativa y Financiera</t>
  </si>
  <si>
    <t>Oficina Asesora de Planeación y Control de Riegos</t>
  </si>
  <si>
    <t>Áreas Técnicas</t>
  </si>
  <si>
    <t>Objetivo Especifico PND</t>
  </si>
  <si>
    <t xml:space="preserve">Estrategia Sectorial </t>
  </si>
  <si>
    <t>1. Asegurar  la sostenibilidad financiera del sistema en condiciones de eficiencia</t>
  </si>
  <si>
    <t>1.1. Establecer medidas financieras para el saneamiento de pasivos</t>
  </si>
  <si>
    <t>2.1 Fortalecer la institucionalidad para la administración de los recursos del Sistema General de Seguridad Social en Salud</t>
  </si>
  <si>
    <t>3. Buen Gobierno</t>
  </si>
  <si>
    <t xml:space="preserve">3.2. Promover la Eficiencia y la Eficiencia Administrativa </t>
  </si>
  <si>
    <t xml:space="preserve">3.1. Afianzar la lucha contra la corrupción </t>
  </si>
  <si>
    <t>3.3. Optimizar la gestión de información</t>
  </si>
  <si>
    <t>3.4. Optimizar la gestión de la inversión de los recursos públicos</t>
  </si>
  <si>
    <t>A</t>
  </si>
  <si>
    <t>B</t>
  </si>
  <si>
    <t>C</t>
  </si>
  <si>
    <t>1. Talento Humano</t>
  </si>
  <si>
    <t>3. Gestión Resultado con valores</t>
  </si>
  <si>
    <t>4. Evaluación de Resultados</t>
  </si>
  <si>
    <t>5. Información y Comunicación</t>
  </si>
  <si>
    <t>6. Gestión del Conocimiento y la Innovación</t>
  </si>
  <si>
    <t>7. Control Interno</t>
  </si>
  <si>
    <t>2. Direccionamiento Estratégico</t>
  </si>
  <si>
    <t>Política MIPG</t>
  </si>
  <si>
    <t>Dimensión MIPG</t>
  </si>
  <si>
    <t>1.1. Talento Humano</t>
  </si>
  <si>
    <t>1.2. Integralidad</t>
  </si>
  <si>
    <t>2.1. Planeación Institucional</t>
  </si>
  <si>
    <t>2.2. Gestión Presupuestal y eficiencia del gasto público</t>
  </si>
  <si>
    <t>3.4 Seguridad Digital</t>
  </si>
  <si>
    <t>3.6. Servicio al Ciudadano</t>
  </si>
  <si>
    <t>4.1. Seguimiento y Evaluación del Desempeño Institucional</t>
  </si>
  <si>
    <t>5.1. Gestión Documental</t>
  </si>
  <si>
    <t>5.2. Transparencia, acceso a la información pública y lucha contra la corrupción</t>
  </si>
  <si>
    <t>6.1. Gestión del Conocimiento y la Innovación</t>
  </si>
  <si>
    <t>7.1. Control Interno</t>
  </si>
  <si>
    <t>D</t>
  </si>
  <si>
    <t>E</t>
  </si>
  <si>
    <t>Proceso</t>
  </si>
  <si>
    <t>3.1. Gestión presupuestal y eficiencia del gasto público</t>
  </si>
  <si>
    <t xml:space="preserve">3.2. Fortalecimiento organizacional y simplificación de procesos
</t>
  </si>
  <si>
    <t xml:space="preserve">3.7. Racionalización de Tramites </t>
  </si>
  <si>
    <t>3.8. Participación Ciudadana en la gestión publica</t>
  </si>
  <si>
    <t>3.9. Gobierno Digital: Para servicio y Gobierno Abierto</t>
  </si>
  <si>
    <t>3.3. Gobierno Digital: Para Gestión y Seguridad de la Información</t>
  </si>
  <si>
    <t>3.5. Defensa Jurídica</t>
  </si>
  <si>
    <t>1. Direccionamiento Estratégico</t>
  </si>
  <si>
    <t>F</t>
  </si>
  <si>
    <t>Procedimiento</t>
  </si>
  <si>
    <t>G</t>
  </si>
  <si>
    <t>Indicador</t>
  </si>
  <si>
    <t>CÓDIGO AREA</t>
  </si>
  <si>
    <t>NOMBRE AREA</t>
  </si>
  <si>
    <t>CÓDIGO
PRODUCTO</t>
  </si>
  <si>
    <t>Código ACTIVIDAD</t>
  </si>
  <si>
    <t>H</t>
  </si>
  <si>
    <t>INDICADOR SINERGIA</t>
  </si>
  <si>
    <t>UNIDAD DE MEDICIÓN</t>
  </si>
  <si>
    <t>POLÍTICA DEL MIPG</t>
  </si>
  <si>
    <t>DIMENSIÓN MIPG</t>
  </si>
  <si>
    <t>I</t>
  </si>
  <si>
    <t>OBJETIVO PND</t>
  </si>
  <si>
    <t>ESTRATEGIA ASOCIADO</t>
  </si>
  <si>
    <t>Porcentaje de ESE sin riesgo financiero o riesgo bajo</t>
  </si>
  <si>
    <t>Deudas a más de 180 días como porcentaje de facturación anual de los hospitales públicos</t>
  </si>
  <si>
    <t>Gasto por eventos no incluidos en el plan de beneficios ($ billones)</t>
  </si>
  <si>
    <t>Portales web de consulta en salud y protección social operando</t>
  </si>
  <si>
    <t>Reportar el plan Anticorrupción</t>
  </si>
  <si>
    <t>Cumplir con las directrices de la Ley 1712 de 2014</t>
  </si>
  <si>
    <t>Cumplir con el componente Rendición de Cuentas (Democratización de la Administración Pública)</t>
  </si>
  <si>
    <t xml:space="preserve">Estructurar y poner en funcionamiento la Entidad Administradora de los Recursos </t>
  </si>
  <si>
    <t>Mantener actualizado el reporte al SUIT</t>
  </si>
  <si>
    <t>Cumplir la Política de Servicio al Ciudadano</t>
  </si>
  <si>
    <t>Porcentaje de implementación de las recomendaciones de la OCDE en materia de control interno</t>
  </si>
  <si>
    <t>Porcentaje de implementación de las estrategias GEL</t>
  </si>
  <si>
    <t xml:space="preserve">Implementar gestión estratégica del talento humano </t>
  </si>
  <si>
    <t>Modelos de evaluación orientados al cumplimiento de objetivos y metas institucionales implementados</t>
  </si>
  <si>
    <t>Porcentaje de implementación del Plan Estratégico de Empleo Público, que incluya las recomendaciones de la OCDE</t>
  </si>
  <si>
    <t>Tablas de retención documental implementadas</t>
  </si>
  <si>
    <t>Reportar información al SISPRO</t>
  </si>
  <si>
    <t>Reportes a SPI, con indicadores actualizados</t>
  </si>
  <si>
    <t>Índice de actualización de los indicadores del PND Sinergia</t>
  </si>
  <si>
    <t>Utilización del SECOP II</t>
  </si>
  <si>
    <t>Sistema de Información del Sistema de Compra público Implementado</t>
  </si>
  <si>
    <t>Fuente de Recursos</t>
  </si>
  <si>
    <t>Recursos Propios</t>
  </si>
  <si>
    <t xml:space="preserve">Inversión </t>
  </si>
  <si>
    <t>Administrados</t>
  </si>
  <si>
    <t>NA</t>
  </si>
  <si>
    <t xml:space="preserve">EFICACIA EN LA EJECUCIÓN DE ACTIVIDADES </t>
  </si>
  <si>
    <t>DESCRIPCIÓN PRODUCTO</t>
  </si>
  <si>
    <t>DESCRIPCIÓN ACTIVIDAD</t>
  </si>
  <si>
    <t>Observaciones</t>
  </si>
  <si>
    <t>PGN</t>
  </si>
  <si>
    <t>Porcentaje</t>
  </si>
  <si>
    <t>Numérico</t>
  </si>
  <si>
    <t>ADMINISTRADORA DE RECURSOS DEL SISTEMA GENERAL DE SEGURIDAD SOCIAL EN SALUD -ADRES-</t>
  </si>
  <si>
    <t xml:space="preserve">PLAN DE ACCIÓN </t>
  </si>
  <si>
    <t>Evaluar la gestión y resultados de los procesos de calidad de la Dependencia</t>
  </si>
  <si>
    <t>Remitir informes trimestrales de los indicadores formulados y las acciones de mejoras</t>
  </si>
  <si>
    <t>VALOR PROGRAMADO VIGENCIA</t>
  </si>
  <si>
    <t>VALOR PROGRAMADO</t>
  </si>
  <si>
    <t>12000-1</t>
  </si>
  <si>
    <t>12000-1-1</t>
  </si>
  <si>
    <t>Reporte Trimestral del Avance del PA</t>
  </si>
  <si>
    <t>Informes de seguimiento a la Ejecución del Plan de Acción</t>
  </si>
  <si>
    <t>Asesorar y apoyar en la implementación de MIPG</t>
  </si>
  <si>
    <t>Modelo Integrado de Planeación</t>
  </si>
  <si>
    <t># Informes Publicados / # Informes Proyectados a Publicar</t>
  </si>
  <si>
    <t>Elaboración del Informe de Rendición de Cuentas al Congreso de la República 2017-2018</t>
  </si>
  <si>
    <t>Informe al Congreso de la Republica</t>
  </si>
  <si>
    <t>Vigencia 2018</t>
  </si>
  <si>
    <t>OBJETIVO ESTRATEGICO</t>
  </si>
  <si>
    <t>CÓDIGO
OBJETIVO ESTRATEGICO</t>
  </si>
  <si>
    <t>12000-1-1-1</t>
  </si>
  <si>
    <t>Lograr calidad y oportunidad en los procesos de reconocimiento del aseguramiento, prestaciones excepcionales y de financiamiento a instituciones del sector salud.</t>
  </si>
  <si>
    <t>Optimizar los procesos de recaudo, administración y pago de los recursos que se canalizan a través de la Entidad.</t>
  </si>
  <si>
    <t>Proteger, gestionar y defender los recursos del SGSSS.</t>
  </si>
  <si>
    <t>Desarrollar e implementar herramientas de tecnología y financieras para el manejo y control de los recursos.</t>
  </si>
  <si>
    <t>Diseño y ejecución de estrategias de campaña Marketing para la ADRES.</t>
  </si>
  <si>
    <t>Estrategia de Comunicación y  Marketing de la Adres</t>
  </si>
  <si>
    <t>11300-1</t>
  </si>
  <si>
    <t>11300-1-1</t>
  </si>
  <si>
    <t>11200-2</t>
  </si>
  <si>
    <t>Realizar seguimiento y reporte del cumplimiento del Plan de Acción</t>
  </si>
  <si>
    <t>11200-2-1</t>
  </si>
  <si>
    <t>11200-2-1-1</t>
  </si>
  <si>
    <t>Formular los proceso y procedimientos en el marco del MIPG</t>
  </si>
  <si>
    <t>11300-2</t>
  </si>
  <si>
    <t>11300-2-2</t>
  </si>
  <si>
    <t>Procesos y Procedimientos</t>
  </si>
  <si>
    <t>11300-3</t>
  </si>
  <si>
    <t>11300-3-1</t>
  </si>
  <si>
    <t>Seguimiento Ejecución Presupuestal de recursos administrados URA</t>
  </si>
  <si>
    <t>Financiación UPC Régimen Contributivo SSF</t>
  </si>
  <si>
    <t>Financiación UPC Régimen Contributivo CSF</t>
  </si>
  <si>
    <t>Transferencias Entidades de Administración Publica Central</t>
  </si>
  <si>
    <t>Empresas Publicas nacionales No Financieras - ADRES</t>
  </si>
  <si>
    <t>Sentencias y Conciliaciones URA</t>
  </si>
  <si>
    <t>Incapacidades</t>
  </si>
  <si>
    <t>Licencias de Maternidad y Paternidad</t>
  </si>
  <si>
    <t>Financiación UPC Régimen Subsidiado CSF</t>
  </si>
  <si>
    <t>Financiación UPC Régimen Subsidiado - CCF - SSF</t>
  </si>
  <si>
    <t>Atención en salud, transporte primario, indemnizaciones y auxilios funerarios víctimas</t>
  </si>
  <si>
    <t>Devolución de Aportes y Cotizaciones no conciliadas de vigencias anteriores</t>
  </si>
  <si>
    <t>Rendimientos Financieros saldo de Aportes Patronales no compensados - Art, 12 Decreto 1363 de 2016</t>
  </si>
  <si>
    <t>Prestaciones Excepcionales - Recobros</t>
  </si>
  <si>
    <t>Fortalecimiento red de urgencias nacional, emergencias sanitarias y eventos catastróficos</t>
  </si>
  <si>
    <t>Otros programas de salud promoción y prevención</t>
  </si>
  <si>
    <t>Recursos con destinación especifica</t>
  </si>
  <si>
    <t>FONSAET</t>
  </si>
  <si>
    <t>Rendimientos Financieros cuentas de recaudo EPS - SSF</t>
  </si>
  <si>
    <t>Fortalecimientos Patrimonial a las Entidades del Sector salud</t>
  </si>
  <si>
    <t>Ejecución del Trimestre / Presupuesto Proyectado del Trimestre</t>
  </si>
  <si>
    <t>11400-1</t>
  </si>
  <si>
    <t>11400-2</t>
  </si>
  <si>
    <t>11400-1-1</t>
  </si>
  <si>
    <t>11400-2-1</t>
  </si>
  <si>
    <t>11400-2-2</t>
  </si>
  <si>
    <t>11400-3</t>
  </si>
  <si>
    <t>Proceso de Compensación</t>
  </si>
  <si>
    <t>No. de Procesos de Compensación Ejecutados</t>
  </si>
  <si>
    <t>Liquidación de la UPC de los Afiliados del Régimen Subsidiado</t>
  </si>
  <si>
    <t>11400-3-1</t>
  </si>
  <si>
    <t>Publicación Giro Directo Régimen Contributivo</t>
  </si>
  <si>
    <t>Publicación Giro Directo Régimen Subsidiado</t>
  </si>
  <si>
    <t>Prestaciones económicas REX</t>
  </si>
  <si>
    <t>Trámite de prestaciones económicas REX</t>
  </si>
  <si>
    <t>Trámite de devolución de aportes REX</t>
  </si>
  <si>
    <t>Informes de auditoría de reintegro de recursos</t>
  </si>
  <si>
    <t>Elaboración de Informes de auditoría de reintegro de recursos</t>
  </si>
  <si>
    <t>Saldos a favor de ADRES en el proceso LMA</t>
  </si>
  <si>
    <t>Solicitud de aclaraciones a las EPS con saldos a favor de ADRES en el proceso LMA</t>
  </si>
  <si>
    <t>Compra Directa de Cartera</t>
  </si>
  <si>
    <t>No. De Compras de Carteras realizadas</t>
  </si>
  <si>
    <t>Certificación descuento proceso LMA - Findeter línea compensada</t>
  </si>
  <si>
    <t>Certificaciones remitidas</t>
  </si>
  <si>
    <t>Certificación descuento proceso de compensación - Findeter línea compensada</t>
  </si>
  <si>
    <t>Certificación descuento proceso LMA - Compra de Cartera</t>
  </si>
  <si>
    <t>Certificación descuento proceso de compensación - Compra de Cartera</t>
  </si>
  <si>
    <t># Procesos de Compensación Ejecutados/ # Procesos de Compensación Programados en el Periodo</t>
  </si>
  <si>
    <t>2. Administración de Riesgos y MIPG</t>
  </si>
  <si>
    <t>3. Gestión de Recobros y Reclamaciones</t>
  </si>
  <si>
    <t>4. Gestión Presupuestal</t>
  </si>
  <si>
    <t>5. Gestión de Recaudo y Fuentes de Financiación</t>
  </si>
  <si>
    <t>6. Gestión Contable y Control Recursos E.T.</t>
  </si>
  <si>
    <t xml:space="preserve">7. Gestión de Pagos y Portafolio
</t>
  </si>
  <si>
    <t>8. Gestión Integral Régimen Contributivo</t>
  </si>
  <si>
    <t>9. Gestión de Contratación</t>
  </si>
  <si>
    <t>10. Gestión del Talento Humano</t>
  </si>
  <si>
    <t>11. Gestión Financiera General</t>
  </si>
  <si>
    <t>12. Gestión Servicio al Ciudadano</t>
  </si>
  <si>
    <t xml:space="preserve">13. Gestión Documental
</t>
  </si>
  <si>
    <t>14. Administración Logística</t>
  </si>
  <si>
    <t>15. Gestión Integral Régimen Subsidiado</t>
  </si>
  <si>
    <t>16. Reintegro de Recursos</t>
  </si>
  <si>
    <t>17. Fortalecimiento Financiero  a EPSs e IPSs</t>
  </si>
  <si>
    <t>18. Gestión de Operaciones de Sistemas de Información</t>
  </si>
  <si>
    <t xml:space="preserve">19. Gestión de Proyectos de Información </t>
  </si>
  <si>
    <t>20. Gestión Soporte a las Tecnologías</t>
  </si>
  <si>
    <t xml:space="preserve">21. Gestión Jurídica </t>
  </si>
  <si>
    <t>22. Control y Evaluación de las Gestión</t>
  </si>
  <si>
    <t># Procesos de LMA Ejecutados / # Procesos de LMA Programados en el Periodo</t>
  </si>
  <si>
    <t># Giros Directos Ejecutados y Publicados / # Giros Directos Programados en el Periodo y Publicados</t>
  </si>
  <si>
    <t>Giro Directo RC</t>
  </si>
  <si>
    <t>Giro Directo RS</t>
  </si>
  <si>
    <t># Solicitudes de Prestaciones Económicas Tramitadas / # Solicitudes de Prestaciones Económicas Presentadas</t>
  </si>
  <si>
    <t># Solicitudes Devolución Aportes REX Tramitadas / # Solicitudes Devolución Aportes Presentadas</t>
  </si>
  <si>
    <t>11400-3-1-1</t>
  </si>
  <si>
    <t># Solicitudes de Aclaración Enviadas a las EPS / EPS con Saldos a Favor de ADRES en el Proceso de LMA</t>
  </si>
  <si>
    <t>11400-11</t>
  </si>
  <si>
    <t>11400-12</t>
  </si>
  <si>
    <t>11400-13</t>
  </si>
  <si>
    <t>11400-14</t>
  </si>
  <si>
    <t xml:space="preserve">Estudios del Sector </t>
  </si>
  <si>
    <t>Elaboración de Estudios del Sector</t>
  </si>
  <si>
    <t>Realizar Informes de Ejecución Presupuestal</t>
  </si>
  <si>
    <t>Gestión de Recaudo</t>
  </si>
  <si>
    <t>Seguimiento e identificación del Recaudo</t>
  </si>
  <si>
    <t>Seguimiento a Partidas Sin Identificar</t>
  </si>
  <si>
    <t># Partidas Identificadas que no fueron identificadas en el mes anterior / # Partidas No identificadas en el mes anterior</t>
  </si>
  <si>
    <t>Ordenes de Giros tramitadas</t>
  </si>
  <si>
    <t>Ordenes de Giros</t>
  </si>
  <si>
    <t>Portafolio</t>
  </si>
  <si>
    <t>Boletines</t>
  </si>
  <si>
    <t>Estados Financieros</t>
  </si>
  <si>
    <t># Estados Financieros Presentados / # Estados Financieros Programados</t>
  </si>
  <si>
    <t>Garantizar la adecuación institucional mediante actividades transversales que complementen y sustenten el desempeño de los procesos misionales y estratégicos, así como el seguimiento continuo al cumplimiento de los objetivos de la Entidad.</t>
  </si>
  <si>
    <t>Informe Operaciones Reciprocas CGN</t>
  </si>
  <si>
    <t>Informe</t>
  </si>
  <si>
    <t>11500-1</t>
  </si>
  <si>
    <t>11500-2</t>
  </si>
  <si>
    <t>11500-2-1</t>
  </si>
  <si>
    <t>11500-2-2</t>
  </si>
  <si>
    <t>11500-3</t>
  </si>
  <si>
    <t>11500-3-1</t>
  </si>
  <si>
    <t>11500-3-1-1</t>
  </si>
  <si>
    <t>11600-1</t>
  </si>
  <si>
    <t>11600-2</t>
  </si>
  <si>
    <t>11600-1-1</t>
  </si>
  <si>
    <t>11600-2-1</t>
  </si>
  <si>
    <t>11600-2-2</t>
  </si>
  <si>
    <t>11600-1-1-1</t>
  </si>
  <si>
    <t>11600-2-1-1</t>
  </si>
  <si>
    <t>11600-2-2-1</t>
  </si>
  <si>
    <t>11500-2-1-1</t>
  </si>
  <si>
    <t>11500-2-2-1</t>
  </si>
  <si>
    <t>11500-1-1-1</t>
  </si>
  <si>
    <t>Impartir los lineamientos en materia tecnológica para definir políticas, estrategias y prácticas que soporten la gestión del Sector</t>
  </si>
  <si>
    <t>11600-3</t>
  </si>
  <si>
    <t>11600-3-1</t>
  </si>
  <si>
    <t>Desarrollo e implementación del PETI</t>
  </si>
  <si>
    <t>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</si>
  <si>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11600-3-1-1</t>
  </si>
  <si>
    <t>Adquisición de infraestructura tecnológica</t>
  </si>
  <si>
    <t>Gestionar y administrar los procesos de adquisición y actualización del licenciamiento, requerido para el desarrollo de las actividades de la Entidad.</t>
  </si>
  <si>
    <t>Renovación de licencias</t>
  </si>
  <si>
    <t>Brindar Soporte a usuario interno</t>
  </si>
  <si>
    <t>Adquisición de bienes y/o servicios para la seguridad de la información</t>
  </si>
  <si>
    <t>Brindar Soporte al procesos BDUA</t>
  </si>
  <si>
    <t>Brindar Soporte a los sistemas de información que respaldan los procesos misionales de ADRES</t>
  </si>
  <si>
    <t>11500-1-1</t>
  </si>
  <si>
    <t>11200-1</t>
  </si>
  <si>
    <t>11200-1-1-1</t>
  </si>
  <si>
    <t>11300-1-1-1</t>
  </si>
  <si>
    <t>11300-2-2-1</t>
  </si>
  <si>
    <t>11300-3-1-1</t>
  </si>
  <si>
    <t>11300-3-1-2</t>
  </si>
  <si>
    <t>11300-3-1-3</t>
  </si>
  <si>
    <t>11300-3-1-4</t>
  </si>
  <si>
    <t>11300-3-1-5</t>
  </si>
  <si>
    <t>11300-3-1-6</t>
  </si>
  <si>
    <t>11300-3-1-7</t>
  </si>
  <si>
    <t>11300-3-1-8</t>
  </si>
  <si>
    <t>11300-3-1-9</t>
  </si>
  <si>
    <t>11300-3-1-10</t>
  </si>
  <si>
    <t>11300-3-1-11</t>
  </si>
  <si>
    <t>11300-3-1-12</t>
  </si>
  <si>
    <t>11300-3-1-13</t>
  </si>
  <si>
    <t>11300-3-1-14</t>
  </si>
  <si>
    <t>11300-3-1-15</t>
  </si>
  <si>
    <t>11300-3-1-16</t>
  </si>
  <si>
    <t>11300-3-1-17</t>
  </si>
  <si>
    <t>11300-3-1-18</t>
  </si>
  <si>
    <t>11300-3-1-19</t>
  </si>
  <si>
    <t>11300-3-1-20</t>
  </si>
  <si>
    <t>11300-3-1-21</t>
  </si>
  <si>
    <t>11400-1-1-1</t>
  </si>
  <si>
    <t>11400-2-1-1</t>
  </si>
  <si>
    <t>11400-2-2-1</t>
  </si>
  <si>
    <t>11800-1</t>
  </si>
  <si>
    <t>11800-1-1</t>
  </si>
  <si>
    <t>11800-1-1-1</t>
  </si>
  <si>
    <t>11800-2</t>
  </si>
  <si>
    <t>11800-2-1</t>
  </si>
  <si>
    <t>11800-3-1</t>
  </si>
  <si>
    <t>11800-2-2</t>
  </si>
  <si>
    <t>11800-2-1-1</t>
  </si>
  <si>
    <t>11800-2-2-1</t>
  </si>
  <si>
    <t>11700-2</t>
  </si>
  <si>
    <t>11700-2-1</t>
  </si>
  <si>
    <t>11700-2-2</t>
  </si>
  <si>
    <t>11700-2-1-1</t>
  </si>
  <si>
    <t>11700-2-2-1</t>
  </si>
  <si>
    <t>11800-3</t>
  </si>
  <si>
    <t>Realizar las auditorías internas, de acuerdo a lo programado para la vigencia.</t>
  </si>
  <si>
    <t>Dar respuesta a requerimientos de carácter interno en el marco de la normatividad vigente</t>
  </si>
  <si>
    <t>Dar respuesta a requerimientos de organismos externos en el marco de la normatividad vigente</t>
  </si>
  <si>
    <t>Medir el grado de cumplimiento de las acciones que hacen parte del Plan de mejoramiento institucional derivadas de la Auditoría de la CGR.</t>
  </si>
  <si>
    <t>Comunicar mensajes con contenidos de autocontrol y de esta manera fomentar la cultura del autocontrol en la ADRES.</t>
  </si>
  <si>
    <t>11800-3-1-1</t>
  </si>
  <si>
    <t xml:space="preserve">(Número de actividades cumplidas / Número de actividades suscritas con la CGR)*100 </t>
  </si>
  <si>
    <t>(Cantidad de Mensajes de autocontrol del mes/12) *100</t>
  </si>
  <si>
    <t>(Número de auditorías internas realizadas / Número de auditorías internas programadas)*100</t>
  </si>
  <si>
    <t>(Número de informes presentados  / Número de informes programados en el marco de la normatividad vigente)*100</t>
  </si>
  <si>
    <t>(Número de informes presentados oportunamente a entes externos / Número de informes requeridos por entes externos en el marco de la normatividad vigente)*100</t>
  </si>
  <si>
    <t>11800-4</t>
  </si>
  <si>
    <t>11800-5</t>
  </si>
  <si>
    <t>11800-6</t>
  </si>
  <si>
    <t>11800-7</t>
  </si>
  <si>
    <t>Oficina Asesora Jurídica</t>
  </si>
  <si>
    <t>11900-1</t>
  </si>
  <si>
    <t>11900-2</t>
  </si>
  <si>
    <t>11900-1-1</t>
  </si>
  <si>
    <t>11900-2-1</t>
  </si>
  <si>
    <t>11900-2-2</t>
  </si>
  <si>
    <t>12000-2</t>
  </si>
  <si>
    <t>12000-2-1</t>
  </si>
  <si>
    <t>11900-3</t>
  </si>
  <si>
    <t>11900-3-1</t>
  </si>
  <si>
    <t>11900-3-1-1</t>
  </si>
  <si>
    <t># Tutela Tramitadas Oportunamente / # Tutelas Radicadas que Requieren Trámite</t>
  </si>
  <si>
    <t>11900-3-2</t>
  </si>
  <si>
    <t>Ejercer la defensa extrajudicial y judicial en los asuntos y/o procesos judiciales en que la ADRES es parte o vinculado.</t>
  </si>
  <si>
    <t>Atender las solicitudes de pruebas de los despachos judiciales o terceros intervinientes en el proceso judicial</t>
  </si>
  <si>
    <t xml:space="preserve">Atender las reclamaciones administrativas </t>
  </si>
  <si>
    <t>Recurrir los Actos Administrativos interpuestos por COLPENSIONES</t>
  </si>
  <si>
    <t>Representación  judicial - Procesos Administrativos</t>
  </si>
  <si>
    <t>Respuesta y trámite de pruebas atendidas</t>
  </si>
  <si>
    <t>Dar respuesta a las reclamaciones administrativas radicadas por las EPS o IPS dentro del término legal</t>
  </si>
  <si>
    <t>Interponer oportunamente los recursos de Ley contra los actos administrativos de Colpensiones que ordenan la devolución de aportes al extinto FOYSGA, hoy Administradora de los Recursos del Sistema General de Seguridad Social en Salud - ADRES</t>
  </si>
  <si>
    <t># Procesos contenciosos administrativos contestados oportunamente / # Procesos contenciosos administrativos notificados a la Entidad</t>
  </si>
  <si>
    <t>11900-3-3</t>
  </si>
  <si>
    <t>11900-3-4</t>
  </si>
  <si>
    <t>11900-3-5</t>
  </si>
  <si>
    <t>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t>
  </si>
  <si>
    <t>Ejercer la representación judicial en los procesos penales en que sea parte la Administradora de los Recursos del Sistema General de Seguridad Social en Salud – Administradora de los Recursos del Sistema General de Seguridad Social en Salud - ADRES.</t>
  </si>
  <si>
    <t>11700-2-3</t>
  </si>
  <si>
    <t>11700-2-3-1</t>
  </si>
  <si>
    <t>Efectuar los tramites asociados al pago de nomina de los funcionarios de la ADRES</t>
  </si>
  <si>
    <t>Valor pagado / Valor programado</t>
  </si>
  <si>
    <t>Seguimiento Ejecución Presupuestal de recursos administrados UGG</t>
  </si>
  <si>
    <t>Seguimiento a la ejecución presupuestal, PAC y Reservas</t>
  </si>
  <si>
    <t>Informes de seguimiento a la ejecución presupuestal, PAC y Reservas</t>
  </si>
  <si>
    <t>11700-2-4</t>
  </si>
  <si>
    <t>Número</t>
  </si>
  <si>
    <t>11700-2-5</t>
  </si>
  <si>
    <t>Informes Estados Financieros (Balance General y Estado de Resultados) de la UGG</t>
  </si>
  <si>
    <t>Estados Financieros (Balance General y Estado de Resultados) de la UGG</t>
  </si>
  <si>
    <t>11700-2-4-1</t>
  </si>
  <si>
    <t>11700-2-5-1</t>
  </si>
  <si>
    <t>Informes Operaciones Reciprocas</t>
  </si>
  <si>
    <t>11700-2-6</t>
  </si>
  <si>
    <t>11700-2-6-1</t>
  </si>
  <si>
    <t>Operaciones Reciprocas</t>
  </si>
  <si>
    <t>11700-2-7</t>
  </si>
  <si>
    <t>Cuentas de cobro generadas con los debidos soportes documentales</t>
  </si>
  <si>
    <t>11700-2-7-1</t>
  </si>
  <si>
    <t xml:space="preserve">Tramite de pago de las Cuentas de Cobro con Soportes Documentales radicadas en el mes </t>
  </si>
  <si>
    <t># Cuentas de Cobro con Soportes Documentales radicadas en el mes / # Pagos de las Cuentas de Cobro radicadas en el mes</t>
  </si>
  <si>
    <t>11700-2-8</t>
  </si>
  <si>
    <t>Trámite los Procesos  Precontractuales y Contractuales para la adquisición de Bienes y Servicios de conformidad con lo establecido en el Plan de Adquisiciones de la Dirección Administrativa y Financiera</t>
  </si>
  <si>
    <t>11700-2-9</t>
  </si>
  <si>
    <t># Procesos Contractuales Tramitados / # Procesos Incluidos en el Plan de Adquisiciones</t>
  </si>
  <si>
    <t>11700-2-8-1</t>
  </si>
  <si>
    <t>11700-2-9-1</t>
  </si>
  <si>
    <t>Trámites  Precontractuales y Contractuales Adelantados de conformidad con Plan de Adquisiciones de la Dirección.</t>
  </si>
  <si>
    <t># Procedimientos Aprobados / # Procedimientos Proyectados</t>
  </si>
  <si>
    <t>11700-2-10</t>
  </si>
  <si>
    <t>Sistema de nómina ( Solredes)</t>
  </si>
  <si>
    <t>11700-2-10-1</t>
  </si>
  <si>
    <t># Funcionarios Asistentes / # Funcionarios Convocados</t>
  </si>
  <si>
    <t># Encuestas Efectivas al Cumplimiento del Objetivo / # Encuestas de Satisfacciones Realizadas</t>
  </si>
  <si>
    <t>11700-2-11</t>
  </si>
  <si>
    <t>Salud Ocupacional</t>
  </si>
  <si>
    <t>11700-2-12</t>
  </si>
  <si>
    <t>11700-2-12-1</t>
  </si>
  <si>
    <t>11700-2-11-1</t>
  </si>
  <si>
    <t>Generar y Liquidar Nomina ADRES</t>
  </si>
  <si>
    <t>11700-2-13</t>
  </si>
  <si>
    <t>Archivo de Gestión Consolidado</t>
  </si>
  <si>
    <t>11700-2-13-1</t>
  </si>
  <si>
    <t>Expedición de Certificaciones de Personal</t>
  </si>
  <si>
    <t>11700-2-14</t>
  </si>
  <si>
    <t>11700-2-14-1</t>
  </si>
  <si>
    <t>Publicación Actos Administrativos Diario Oficial</t>
  </si>
  <si>
    <t>11700-2-15</t>
  </si>
  <si>
    <t>Funcionamiento Operativo de la ADRES</t>
  </si>
  <si>
    <t>11700-2-15-1</t>
  </si>
  <si>
    <t>Funcionamiento continuo de las instalaciones de la ADRES</t>
  </si>
  <si>
    <t>11700-2-16</t>
  </si>
  <si>
    <t xml:space="preserve">Suministro de Tiquetes Aéreos y Viatico </t>
  </si>
  <si>
    <t>11700-2-17</t>
  </si>
  <si>
    <t>11700-2-17-1</t>
  </si>
  <si>
    <t>Gestión de Correspondencia</t>
  </si>
  <si>
    <t xml:space="preserve">Garantizar la gestión de correspondencia de la entidad </t>
  </si>
  <si>
    <t>11900-3-6</t>
  </si>
  <si>
    <t>Representación  judicial - Demandas Laborales</t>
  </si>
  <si>
    <t># Demandas Laborales Contestadas Oportunamente / # Demandas Laborales Notificadas a la Entidad</t>
  </si>
  <si>
    <t># Solicitudes de pruebas atendidas / # Solicitudes de pruebas radicadas en la Entidad</t>
  </si>
  <si>
    <t>11900-3-7</t>
  </si>
  <si>
    <t># Reclamaciones administrativas atendidas oportunamente / # Reclamaciones administrativas radicadas en la Entidad</t>
  </si>
  <si>
    <t xml:space="preserve"># Recursos interpuestos oportunamente contra actos administrativos expedidos por Colpensiones / # Actos administrativos expedidos por Colpensiones notificados por aviso a </t>
  </si>
  <si>
    <t># Fichas técnicas de conciliación prejudicial presentadas a consideración del Comité de Conciliación / # Solicitudes de conciliación prejudicial radicadas en la Entidad</t>
  </si>
  <si>
    <t>11900-3-8</t>
  </si>
  <si>
    <t>Presentación de fichas técnicas de demandas ordinarias laborales  presentadas al Comité de Conciliación</t>
  </si>
  <si>
    <t># Fichas técnicas de demandas ordinarias laborales presentadas a consideración del Comité de Conciliación / # Demandas ordinarias laborales notificadas a la Entidad</t>
  </si>
  <si>
    <t># Solicitudes de embargo tramitadas oportunamente / # Solicitudes de embargo radicadas en la Entidad</t>
  </si>
  <si>
    <t>11900-3-9</t>
  </si>
  <si>
    <t xml:space="preserve">Emisión de Conceptos Jurídicos </t>
  </si>
  <si>
    <t>Depuración de Cartera FOSYGA y/o ADRES</t>
  </si>
  <si>
    <t>11900-3-10</t>
  </si>
  <si>
    <t>Venta de Cartera mayor a &gt;180 días con actos administrativos debidamente ejecutoriados a Central de Inversiones SA -CISA-</t>
  </si>
  <si>
    <t>Resoluciones de depuración de actos administrativos mediante los cuales se ordena el cobro a personas fallecidas</t>
  </si>
  <si>
    <t xml:space="preserve"># Reclamaciones Vendidas con mora mayor a 180 días / Reclamaciones contenidas actos administrativos ejecutoriados con mora mayor a 180 días </t>
  </si>
  <si>
    <t>Oficina Asesora de Planeación y Control de Riesgo</t>
  </si>
  <si>
    <t>Dirección de Liquidaciones y Garantías - Subdirección de Liquidaciones del Aseguramiento</t>
  </si>
  <si>
    <t>Dirección de Liquidaciones y Garantías - Subdirección de Garantías</t>
  </si>
  <si>
    <t>11700-2-16-1</t>
  </si>
  <si>
    <t>11900-3-2-1</t>
  </si>
  <si>
    <t>11900-3-4-1</t>
  </si>
  <si>
    <t>11900-3-5-1</t>
  </si>
  <si>
    <t>11900-3-6-1</t>
  </si>
  <si>
    <t>11900-3-7-1</t>
  </si>
  <si>
    <t>11900-3-9-1</t>
  </si>
  <si>
    <t>11900-3-10-3</t>
  </si>
  <si>
    <t>Dirección Otras Prestaciones</t>
  </si>
  <si>
    <t>Oficina Asesora Jurídica - Grupo de Acciones Constitucionales y Tutelas</t>
  </si>
  <si>
    <t>Oficina Asesora Jurídica - Grupo de Representación Judicial</t>
  </si>
  <si>
    <t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t>
  </si>
  <si>
    <t>Oficina Asesora Jurídica - Grupo de Cobro Coactivo</t>
  </si>
  <si>
    <t>Dirección Administrativa y Financiera - Grupo de Contratación</t>
  </si>
  <si>
    <t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t>
  </si>
  <si>
    <t xml:space="preserve">Realizar el estudio de seguridad, visita domiciliaria y verificación de la información de la Hoja de Vida y antecedentes financieros de los funcionarios de la entidad. </t>
  </si>
  <si>
    <t>Elaboración de solicitudes de aclaración sobre apropiaciones sin justa causa</t>
  </si>
  <si>
    <t># solicitudes de aclaración elaboradas/# EPS con hallazgos de apropiación sin justa causa</t>
  </si>
  <si>
    <t># Informes de Auditoría de Reintegro Elaborados / # EPS con Procedimiento de Reintegro de Recursos Iniciado</t>
  </si>
  <si>
    <t>Solicitudes de aclaración sobre apropiaciones sin justa causa</t>
  </si>
  <si>
    <t>Elaboración de comunicaciones con las conclusiones del procedimiento de la auditoría de reintegro de recursos</t>
  </si>
  <si>
    <t>Informes de comunicaciones con las conclusiones de la auditoría de reintegro de recursos enviados a la SNS</t>
  </si>
  <si>
    <t>11400-3-2</t>
  </si>
  <si>
    <t>11400-3-2-1</t>
  </si>
  <si>
    <t>11400-3-3</t>
  </si>
  <si>
    <t>11400-3-3-1</t>
  </si>
  <si>
    <t>11400-3-3-2</t>
  </si>
  <si>
    <t>11400-3-4</t>
  </si>
  <si>
    <t>11400-3-4-1</t>
  </si>
  <si>
    <t>11400-3-4-2</t>
  </si>
  <si>
    <t>11400-3-5</t>
  </si>
  <si>
    <t>11400-3-5-1</t>
  </si>
  <si>
    <t>11400-3-6</t>
  </si>
  <si>
    <t>11400-3-6-1</t>
  </si>
  <si>
    <t>11400-3-7</t>
  </si>
  <si>
    <t>11400-3-7-1</t>
  </si>
  <si>
    <t>11400-3-8</t>
  </si>
  <si>
    <t>11400-3-8-1</t>
  </si>
  <si>
    <t>11400-3-9</t>
  </si>
  <si>
    <t>11400-3-9-1</t>
  </si>
  <si>
    <t>11400-3-10</t>
  </si>
  <si>
    <t>11400-3-10-1</t>
  </si>
  <si>
    <t>11400-3-11</t>
  </si>
  <si>
    <t>11400-3-11-1</t>
  </si>
  <si>
    <t>11400-3-12</t>
  </si>
  <si>
    <t>11400-3-12-1</t>
  </si>
  <si>
    <t>11400-3-13</t>
  </si>
  <si>
    <t>11400-3-13-1</t>
  </si>
  <si>
    <t>11400-3-14</t>
  </si>
  <si>
    <t>11400-3-14-1</t>
  </si>
  <si>
    <t xml:space="preserve"># Comunicaciones con las conclusiones del procedimiento de la auditoría de reintegro de recursos elaborados/ # EPS con hallazgos de apropiación sin justa causa </t>
  </si>
  <si>
    <t># Compras de cartera realizadas/# Compras de carteras proyectadas</t>
  </si>
  <si>
    <t># Certificaciones remitidas/# Certificaciones proyectadas de acuerdo con el # de procesos en los que sea necesario aplicar</t>
  </si>
  <si>
    <t># Estudios realizados/# Estudios proyectados</t>
  </si>
  <si>
    <t>Dirección de Liquidación y Garantías</t>
  </si>
  <si>
    <t># Examenes Realizados / # Examenes Programados</t>
  </si>
  <si>
    <t>11600-3-2</t>
  </si>
  <si>
    <t>11600-3-2-1</t>
  </si>
  <si>
    <t>11600-3-6</t>
  </si>
  <si>
    <t>11600-3-3</t>
  </si>
  <si>
    <t>11600-3-3-1</t>
  </si>
  <si>
    <t>11600-3-4</t>
  </si>
  <si>
    <t>11600-3-4-1</t>
  </si>
  <si>
    <t>11600-3-5</t>
  </si>
  <si>
    <t>11600-3-5-1</t>
  </si>
  <si>
    <t>11600-3-6-1</t>
  </si>
  <si>
    <t>11600-3-7</t>
  </si>
  <si>
    <t>11600-3-7-1</t>
  </si>
  <si>
    <t>11600-3-8</t>
  </si>
  <si>
    <t>11600-3-8-1</t>
  </si>
  <si>
    <t>11600-3-9</t>
  </si>
  <si>
    <t>11600-3-9-1</t>
  </si>
  <si>
    <t>11500-3-2</t>
  </si>
  <si>
    <t>11500-3-2-1</t>
  </si>
  <si>
    <t>11500-3-3</t>
  </si>
  <si>
    <t>11500-3-3-1</t>
  </si>
  <si>
    <t>11500-3-4</t>
  </si>
  <si>
    <t>11500-3-4-1</t>
  </si>
  <si>
    <t>11500-3-5</t>
  </si>
  <si>
    <t>11500-3-5-1</t>
  </si>
  <si>
    <t>11500-3-6</t>
  </si>
  <si>
    <t>11500-3-6-1</t>
  </si>
  <si>
    <t>12000-2-1-1</t>
  </si>
  <si>
    <t>12000-2-2</t>
  </si>
  <si>
    <t>12000-2-2-1</t>
  </si>
  <si>
    <t>12000-2-3</t>
  </si>
  <si>
    <t>12000-2-3-1</t>
  </si>
  <si>
    <t>11900-1-1-1</t>
  </si>
  <si>
    <t>11900-2-1-1</t>
  </si>
  <si>
    <t>Dirección Administrativa y Financiera - Grupo de Talento Humano</t>
  </si>
  <si>
    <t>11900-3-3-1</t>
  </si>
  <si>
    <t>11900-3-8-1</t>
  </si>
  <si>
    <t>11900-3-10-1</t>
  </si>
  <si>
    <t>11900-3-10-2</t>
  </si>
  <si>
    <t>Conceptos</t>
  </si>
  <si>
    <t>11800-3-2</t>
  </si>
  <si>
    <t>11800-3-2-1</t>
  </si>
  <si>
    <t>11800-3-3</t>
  </si>
  <si>
    <t>11800-3-3-1</t>
  </si>
  <si>
    <t>11800-3-4</t>
  </si>
  <si>
    <t>11800-3-5</t>
  </si>
  <si>
    <t>11800-3-4-1</t>
  </si>
  <si>
    <t>11800-3-5-1</t>
  </si>
  <si>
    <t>11900-2-2-1</t>
  </si>
  <si>
    <t>Prestaciones Económicas Regímenes Especiales de Excepción</t>
  </si>
  <si>
    <t>Implementar estrategias, instrumentos y herramientas con aplicación de tecnologías de la información y las comunicaciones para brindar de manera constante y permanente un buen servicio al ciudadano y a las entidades del Sector.</t>
  </si>
  <si>
    <t>Elaborar las constancias de Archivos  y/o actas de liquidaciones de los procesos contractuales</t>
  </si>
  <si>
    <t xml:space="preserve">No de Actos de cierre y/ o liquidaciones elaboradas / No. De Contratos terminados. </t>
  </si>
  <si>
    <t>Realización de Exámenes de Salud Ocupacional (pre-ocupacionales, exámenes médicos post-ocupacionales y exámenes médicos post-incapacidad)</t>
  </si>
  <si>
    <t>Consolidar y organizar el archivo e gestión asociado a la nomina de la ADRES.</t>
  </si>
  <si>
    <t>Publicación Diario Oficial</t>
  </si>
  <si>
    <t>Trámites de Embargos</t>
  </si>
  <si>
    <t>VALOR ASIGNADO PARA EL DESARROLLO DE LA ACTIVIDAD</t>
  </si>
  <si>
    <t># Indicadores Medidos / # Indicadores Sujetos de Medición</t>
  </si>
  <si>
    <t>Administración y Custodia del Portafolio de Inversión</t>
  </si>
  <si>
    <t xml:space="preserve">Suministro de Tiquetes Aéreos y Viaticos </t>
  </si>
  <si>
    <t>Per capita Programas de Promoción y Prevención</t>
  </si>
  <si>
    <t>Publicación  Ejecución Presupuestal</t>
  </si>
  <si>
    <t>Informe Mensual de Recaudo Efectivo</t>
  </si>
  <si>
    <t>11300-2-1</t>
  </si>
  <si>
    <t>11300-2-1-1</t>
  </si>
  <si>
    <t>11300-3-2</t>
  </si>
  <si>
    <t>11300-3-2-1</t>
  </si>
  <si>
    <t>11300-3-3</t>
  </si>
  <si>
    <t>11300-3-3-1</t>
  </si>
  <si>
    <t>11300-3-3-2</t>
  </si>
  <si>
    <t>11300-3-3-3</t>
  </si>
  <si>
    <t>11300-3-4</t>
  </si>
  <si>
    <t>11300-3-4-1</t>
  </si>
  <si>
    <t>11300-3-5</t>
  </si>
  <si>
    <t>11300-3-5-1</t>
  </si>
  <si>
    <t>11300-3-6</t>
  </si>
  <si>
    <t>11300-3-6-1</t>
  </si>
  <si>
    <t>11300-3-7</t>
  </si>
  <si>
    <t>11300-3-7-1</t>
  </si>
  <si>
    <t>11300-3-8</t>
  </si>
  <si>
    <t>11300-3-8-1</t>
  </si>
  <si>
    <t># Recaudos Identificados / # Total de Recaudo Recibido en el Trimestre</t>
  </si>
  <si>
    <t># Ordenes Giradas / # Giradas Tramitadas</t>
  </si>
  <si>
    <t># Boletines Realizados / # Boletines Proyectados del Periodo</t>
  </si>
  <si>
    <t>No. de Procesos de LMA Ejecutados</t>
  </si>
  <si>
    <t>Formular los procesos y procedimientos en el marco del MIPG</t>
  </si>
  <si>
    <t>Remitir informe trimestral de los indicadores formulados y las acciones de mejoras</t>
  </si>
  <si>
    <t>Proceso de Giro Previo realizado a favor de las entidades recobrantes y proveedores servicios y tecnologías no incluidas en el PB con cargo a la UPC</t>
  </si>
  <si>
    <t>Realizar el giro previo efectuados a favor de las entidades recobrantes y proveedores de servicios y tecnologías no incluidas en el PB con cargo a la UPC</t>
  </si>
  <si>
    <t>Paquetes de recobros cuyo trámite de auditoría haya culminado, reconocidos y pagados por parte de ADRES.</t>
  </si>
  <si>
    <t>Paquetes de recobros cuyo trámite de auditoría haya culminado, para el trámite de reconocimiento y pago por parte de ADRES.</t>
  </si>
  <si>
    <t>Giro Directo del giro previo publicados</t>
  </si>
  <si>
    <t>Numerico</t>
  </si>
  <si>
    <t>Publicación del Giro Directo del giro previo</t>
  </si>
  <si>
    <t>Informe de supervisión realizados en el período</t>
  </si>
  <si>
    <t>Realizar infomes de supervisión en el período</t>
  </si>
  <si>
    <t xml:space="preserve">Boletines con resultados del proceso de reconocimiento y pago de recobros por concepto de servicios y tecnologías no cubiertos por el plan de beneficios con cargo a la UPC </t>
  </si>
  <si>
    <t xml:space="preserve">Realizar boletines con resultados del proceso de reconocimiento y pago de recobros por concepto de servicios y tecnologías no cubiertos por el plan de beneficios con cargo a la UPC </t>
  </si>
  <si>
    <t>11500-4</t>
  </si>
  <si>
    <t>Apoyos técnicos entregados a la OAJ en recobros y reclamaciones una vez son resueltos por la Dirección de Tecnología de la Información</t>
  </si>
  <si>
    <t>Entregar apoyos técnicos a la OAJ en recobros y reclamaciones una vez son resueltos por la Dirección de Tecnología de la Información</t>
  </si>
  <si>
    <t>Paquetes de reclamaciones pagados de acuerdo con lo definido en la normativa vigente</t>
  </si>
  <si>
    <t>Pagar paquetes de reclamaciones de acuerdo con lo definido en la normativa vigente</t>
  </si>
  <si>
    <t>Boletines con resultados del proceso reclamaciones</t>
  </si>
  <si>
    <t>Generar boletines con resultados del proceso reclamaciones</t>
  </si>
  <si>
    <t>11500-3-7</t>
  </si>
  <si>
    <t>11500-3-8</t>
  </si>
  <si>
    <t>11500-3-7-1</t>
  </si>
  <si>
    <t>11500-3-8-1</t>
  </si>
  <si>
    <t># Informes de supervisión realizados en el período / # Informes de supervisión proyectados</t>
  </si>
  <si>
    <t># Boletines realizados</t>
  </si>
  <si>
    <t># Apoyos Técnicos Entregados a la OAJ / # Apoyos Técnicos resueltos por la Direccion de Tecnología</t>
  </si>
  <si>
    <t>Dirección de Otras Prestaciones</t>
  </si>
  <si>
    <t># Ejecuciones Presupuestales Publicadas</t>
  </si>
  <si>
    <t># Estados Financieros Presentados</t>
  </si>
  <si>
    <t xml:space="preserve"># Informes Publicados </t>
  </si>
  <si>
    <t>11700-2-10-2</t>
  </si>
  <si>
    <t>11700-2-13-2</t>
  </si>
  <si>
    <t># Informes reportados</t>
  </si>
  <si>
    <t># Procedimientos Aprobados / # Procedimientos identificados</t>
  </si>
  <si>
    <t>Documento del PETI aprobado y entregado</t>
  </si>
  <si>
    <t>(Valor pagado / (Valor programado-penalizaciones))</t>
  </si>
  <si>
    <t>Implementación de estrategias, instrumentos y herramientas</t>
  </si>
  <si>
    <t># herramientas, instrumentos y/o herramientas implementados / # herramientas, instrumentos y/o herramientas requeridos</t>
  </si>
  <si>
    <t>Desarrollo de nuevos Sistemas de información</t>
  </si>
  <si>
    <t># sistemas de información desarrollados / # sistemas de información requieridos</t>
  </si>
  <si>
    <t>11600-3-10</t>
  </si>
  <si>
    <t xml:space="preserve">Arrendamiento de Equipos de Computo </t>
  </si>
  <si>
    <t>11600-3-10-1</t>
  </si>
  <si>
    <t>Suministro de Equipos de Computo a la ADRES</t>
  </si>
  <si>
    <t>No. De documentos radicados y gestionados/No. De documentos recibidos</t>
  </si>
  <si>
    <t>11700-2-18</t>
  </si>
  <si>
    <t>11700-2-18-1</t>
  </si>
  <si>
    <t>Custodia documental y atención de consultas</t>
  </si>
  <si>
    <t xml:space="preserve">Prestar los servicios especializados en gestión documental de administración, custodia, conservación, consulta, préstamo en sooporte físico y magnético </t>
  </si>
  <si>
    <t>No. De consultas gestionadas/No. De consultas realizadas</t>
  </si>
  <si>
    <t xml:space="preserve">Garantizar la Integridad, custodia, consulta y gestión de la documentación  de la entidad </t>
  </si>
  <si>
    <t>11700-2-19</t>
  </si>
  <si>
    <t>11700-2-19-1</t>
  </si>
  <si>
    <t>Fortalecimiento de canales de atención al ciudadano con el fin de brindar la atención, respuesta inmediata, seguimiento a solicitudes de los ciudadanos, empresas y servidores públicos. Call Center .</t>
  </si>
  <si>
    <t>Garantizar la gestión de Servicio al ciudadano de la entidad  por los diferentes canales  de atención.</t>
  </si>
  <si>
    <t xml:space="preserve"># de consultas y orientaciones resueltas/# consultas y orientaciones atendidas </t>
  </si>
  <si>
    <t xml:space="preserve">Garantizar la gestión de Servicio al ciudadano de la entidad  por los diferentes canales  de atención.. </t>
  </si>
  <si>
    <t>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t>
  </si>
  <si>
    <t>Valor pagado/Valor proyectado</t>
  </si>
  <si>
    <t># de nóminas generadas</t>
  </si>
  <si>
    <t>Porcentual</t>
  </si>
  <si>
    <t>Realizar capacitación y fortalecimiento de las competencias laborales de los funcionarios</t>
  </si>
  <si>
    <t>Plan de capacitación</t>
  </si>
  <si>
    <t>Plan de Bienestar</t>
  </si>
  <si>
    <t>Realizar actividades para fortalecer la calidad de vida de los servidores públicos de la entidad, así como el clima organizacional</t>
  </si>
  <si>
    <t># Capacitaciones Ejecutadas</t>
  </si>
  <si>
    <t>11700-2-20</t>
  </si>
  <si>
    <t>11700-2-20-1</t>
  </si>
  <si>
    <t>Liquidación y seguimiento novedades de nómina</t>
  </si>
  <si>
    <t>11700-2-21-1</t>
  </si>
  <si>
    <t>11700-2-21</t>
  </si>
  <si>
    <t># Actos Administrativos Publicados / # Actos Administrativos Recibidos para  Publicar</t>
  </si>
  <si>
    <t>Estudio de seguridad hojas de vida</t>
  </si>
  <si>
    <t># procedimientos Aprobados / # Procedimientos identificados</t>
  </si>
  <si>
    <t xml:space="preserve"># Procesos de Ordenación de gasto del Giro previo </t>
  </si>
  <si>
    <t># De ordenaciones realizadas de paquetes de recobros MYT0102 con resultado de auditoría culminado/ # Paquetes MYT0102 cuyo tramite de auditoria haya culminado</t>
  </si>
  <si>
    <t># publicaciones de Giros Directos efectuados</t>
  </si>
  <si>
    <t># De ordenaciones de paquetes de reclamaciones con resultado de auditoría culminado / # Paquetes cuyo tramite de auditoría haya culminado</t>
  </si>
  <si>
    <t xml:space="preserve">Formular los proceso y procedimientos en el marco del MIPG
</t>
  </si>
  <si>
    <t>Programa de auditorías internas de la OCI</t>
  </si>
  <si>
    <t>Entrega de informes de seguimiento de carácter interno en el marco de la normatividad vigente</t>
  </si>
  <si>
    <t>Entrega de informes a organismos externos en el marco de la normatividad vigente</t>
  </si>
  <si>
    <t>Seguimiento al Plan de Mejoramiento suscrito con la CGR-</t>
  </si>
  <si>
    <t>Actividades de promoción del  autocontrol para los funcionarios de ADRES.</t>
  </si>
  <si>
    <t xml:space="preserve">Reportar el cumplimiento de la ejecución del Plan de Acción </t>
  </si>
  <si>
    <t>Cumplimiento del Plan de Acción de la Depenencia</t>
  </si>
  <si>
    <t xml:space="preserve">
Reportar  trimestralmente el cumplimiento del Plan de Acción de la Dependencia</t>
  </si>
  <si>
    <t>Procesos y Procedimientos formulados</t>
  </si>
  <si>
    <t>Indicadores  y  acciones de mejora formulados</t>
  </si>
  <si>
    <t>Evaluar la gestión y resultados de los procesos de calidad de la Dependencia y remitir informes trimestrales de los indicadores formulados y las acciones de mejoras</t>
  </si>
  <si>
    <t xml:space="preserve"> Informes de respuestas a las acciones constitucionales  y de  tutelas </t>
  </si>
  <si>
    <t>Atender las solicitudes de informes derivadas de acciones constitucionales y tutelas</t>
  </si>
  <si>
    <t>Fichas técnicas de conciliaciones prejudiciales presentadas a consideración del Comité de Conciliación</t>
  </si>
  <si>
    <t>11900-3-11</t>
  </si>
  <si>
    <t>11900-3-11-1</t>
  </si>
  <si>
    <t># Fichas técnicas demandas ordinarias laborales presentadas a consideración del Comité de Conciliación / # Demandas ordinarias laborales notificadas a la Entidad dentro del periodo</t>
  </si>
  <si>
    <t># Reclamaciones administrativas atendidas en el periodo de acuerdo con los plazos establecidos (1 mes) / # Reclamaciones administrativas radicadas en la Entidad con una antelación de un mes a la finalización del periodo</t>
  </si>
  <si>
    <t># Recursos interpuestos oportunamente contra actos administrativos expedidos por Colpensiones / # Actos administrativos expedidos por Colpensiones notificados por aviso a la Entidad</t>
  </si>
  <si>
    <t xml:space="preserve">Solicitudes de embargos </t>
  </si>
  <si>
    <t># Solicitudes de embargo tramitadas oportunamente / # Solicitudes de embargo radicadas en la Entidad dentro del periodo</t>
  </si>
  <si>
    <t>Informe de identificación de  reclamaciones contenidas en actos administrativos debidamente ejecutoriados y con mora mayor a 180 días</t>
  </si>
  <si>
    <t>Cobro persuasivo de cartera por concepto de accidentes de transito, donde el vehículo involucrando carecida de SOAT</t>
  </si>
  <si>
    <t>11900-3-13</t>
  </si>
  <si>
    <t xml:space="preserve">
Expedición actos administrativos nuevos ordenando el cobro.</t>
  </si>
  <si>
    <t># Actos Administrativos Expedidos / # Reclamaciones Pagadas por concepto de accidentes de transito sin SOAT</t>
  </si>
  <si>
    <t>Cobro coactivo de cartera por concepto de accidentes de transito, donde el vehículo involucrando carecida de SOAT</t>
  </si>
  <si>
    <t>Adelantar proceso coactivo a partir de la  ejecutoria del acto administrarivo que ordenó el cobro.</t>
  </si>
  <si>
    <t># Mandamientos de Pago / # de Actos Administrativos Ejecutoriados</t>
  </si>
  <si>
    <t>11900-3-13-1</t>
  </si>
  <si>
    <t>11900-3-14-1</t>
  </si>
  <si>
    <t>Vigilancia judicial</t>
  </si>
  <si>
    <t>11900-3-15</t>
  </si>
  <si>
    <t>11900-3-15-1</t>
  </si>
  <si>
    <t>Recursos de casación, asesorías y representación judicial</t>
  </si>
  <si>
    <t>Procesos penales</t>
  </si>
  <si>
    <t># procesos penales en los que el apoderado adelantó actuación judicial / # procesos penales en los que es parte, tercero interviniente o víctima la ADRES</t>
  </si>
  <si>
    <t>Conciliaciones Prejudiciales y judiciales</t>
  </si>
  <si>
    <t>11700-2-22-1</t>
  </si>
  <si>
    <t>Valor estimado dado que se gestiona a demanda</t>
  </si>
  <si>
    <t>11900-3-7-2</t>
  </si>
  <si>
    <t>11900-3-12</t>
  </si>
  <si>
    <t>11900-3-12-1</t>
  </si>
  <si>
    <t>11900-3-14</t>
  </si>
  <si>
    <t>Etiquetas de fila</t>
  </si>
  <si>
    <t>Total general</t>
  </si>
  <si>
    <t>Total Dirección Administrativa y Financiera</t>
  </si>
  <si>
    <t>Total Dirección de Gestión de Recursos Financieros de Salud</t>
  </si>
  <si>
    <t>Total Dirección de Gestión de Tecnología de la Información y la Comunicación</t>
  </si>
  <si>
    <t>Total Dirección de Liquidaciones y Garantías</t>
  </si>
  <si>
    <t xml:space="preserve">Total Dirección de Otras Prestaciones  </t>
  </si>
  <si>
    <t>Total Dirección General</t>
  </si>
  <si>
    <t>Total Oficina Asesora de Planeación y Control de Riegos</t>
  </si>
  <si>
    <t>Total Oficina Asesora Jurídica</t>
  </si>
  <si>
    <t>Total Oficina de Control Interno</t>
  </si>
  <si>
    <t>Suma de VALOR ASIGNADO PARA EL DESARROLLO DE LA ACTIVIDAD</t>
  </si>
  <si>
    <t>Plan de Adquisiciones publicado WEB</t>
  </si>
  <si>
    <t xml:space="preserve">Suma de Valor total estimado </t>
  </si>
  <si>
    <t xml:space="preserve">Oficina Control Interno </t>
  </si>
  <si>
    <t>(en blanco)</t>
  </si>
  <si>
    <t>,</t>
  </si>
  <si>
    <t>SEMÁFORO EFICACIA EN LA EJECUCIÓN DE ACTIVIDADES</t>
  </si>
  <si>
    <t>No Prog ni Ejec</t>
  </si>
  <si>
    <t>No programado ni Ejecutado</t>
  </si>
  <si>
    <t>No Prog, Ejec=</t>
  </si>
  <si>
    <t>No programado pero con Ejecución</t>
  </si>
  <si>
    <t xml:space="preserve">0% &lt;= 79% </t>
  </si>
  <si>
    <t xml:space="preserve">Cumplió Parcialmente    </t>
  </si>
  <si>
    <t xml:space="preserve">80% &lt;=99% </t>
  </si>
  <si>
    <t xml:space="preserve">Avanzo Sustancialmente </t>
  </si>
  <si>
    <t xml:space="preserve">Cumplió  </t>
  </si>
  <si>
    <t>&gt;100%</t>
  </si>
  <si>
    <t xml:space="preserve">Sobre ejecutado </t>
  </si>
  <si>
    <t>11700-2-2-5</t>
  </si>
  <si>
    <t>Efectuar los tramites asociados al pago de las Transferencias de la ADRES</t>
  </si>
  <si>
    <t>11700-2-2-6</t>
  </si>
  <si>
    <t>Efectuar los tramites asociados a la ejecución de otros recursos asignados a la ADRES</t>
  </si>
  <si>
    <t xml:space="preserve">Publicación Diario Oficial y diario de Amplia Circulación </t>
  </si>
  <si>
    <t>Publicación Actos Administrativos Diario Oficial y diario de amplia circulación</t>
  </si>
  <si>
    <t>Per cápita Programas de Promoción y Prevención</t>
  </si>
  <si>
    <t>Realizar informes de supervisión en el período</t>
  </si>
  <si>
    <t># Apoyos Técnicos Entregados a la OAJ / # Apoyos Técnicos resueltos por la Dirección de Tecnología</t>
  </si>
  <si>
    <t># sistemas de información desarrollados / # sistemas de información requeridos</t>
  </si>
  <si>
    <t xml:space="preserve">Suministro de Tiquetes Aéreos y Viáticos </t>
  </si>
  <si>
    <t xml:space="preserve">Prestar los servicios especializados en gestión documental de administración, custodia, conservación, consulta, préstamo en soporte físico y magnético </t>
  </si>
  <si>
    <t>Cumplimiento del Plan de Acción de la Dependencia</t>
  </si>
  <si>
    <t>Adelantar proceso coactivo a partir de la  ejecutoria del acto administrativo que ordenó el cobro.</t>
  </si>
  <si>
    <t># conceptos emitidos / # conceptos requeridos</t>
  </si>
  <si>
    <t>VIGENCIA 2018</t>
  </si>
  <si>
    <t xml:space="preserve">Informes de respuestas a las acciones constitucionales  y de  tutelas </t>
  </si>
  <si>
    <t xml:space="preserve">DESCRIPCIÓN ACTIVIDAD </t>
  </si>
  <si>
    <t>Incluye $20,000,000 de capacitación, que en el presupuesto se identifican en el rubro de capacitación y bienestar social</t>
  </si>
  <si>
    <t>OBSERVACIONES</t>
  </si>
  <si>
    <t>AVANCES PRIMER TRIMESTRE</t>
  </si>
  <si>
    <t>AVANCES TERCER TRIMESTRE</t>
  </si>
  <si>
    <t>AVANCES SEGUNDO TRIMESTRE</t>
  </si>
  <si>
    <t>AVANCES CUARTO TRIMESTRE</t>
  </si>
  <si>
    <t>AVANCE ACUMILADO</t>
  </si>
  <si>
    <t xml:space="preserve">76% &lt;=95% </t>
  </si>
  <si>
    <t>95 &lt;=100%</t>
  </si>
  <si>
    <t xml:space="preserve">0% &lt;= 50% </t>
  </si>
  <si>
    <t>51% &lt;=75%</t>
  </si>
  <si>
    <t xml:space="preserve">Avance deficiente    </t>
  </si>
  <si>
    <t>RESULTADOS TRIMESTRALES CONSOLIDADOS (2018)</t>
  </si>
  <si>
    <t>RESULTADOS TRIMESTRALES CONSOLIDADOS (2019)</t>
  </si>
  <si>
    <t>RESULTADOS TRIMESTRALES CONSOLIDADOS (2020)</t>
  </si>
  <si>
    <t>RESULTADOS TRIMESTRALES CONSOLIDADOS (2021)</t>
  </si>
  <si>
    <t>PERSPECTIVA</t>
  </si>
  <si>
    <t>marzo</t>
  </si>
  <si>
    <t>Junio</t>
  </si>
  <si>
    <t>Diciembre</t>
  </si>
  <si>
    <t>DETALLES FICHA TÉCNICA</t>
  </si>
  <si>
    <t>Septiebre</t>
  </si>
  <si>
    <t>FINANCIERA</t>
  </si>
  <si>
    <t>N.A</t>
  </si>
  <si>
    <t>PROCESOS INTERNOS</t>
  </si>
  <si>
    <t>APRENDIZAJE Y DESARROLLO</t>
  </si>
  <si>
    <t>OBJETIVO/LINEAMIENTO ESTRATÉGICO</t>
  </si>
  <si>
    <t>RESPONSABLE</t>
  </si>
  <si>
    <t>PRODUCTO</t>
  </si>
  <si>
    <t>CUMPLIMIENTO OBJETIVO EN LA PERSPECTIVA FINANCIERA (Promedio porcentual)</t>
  </si>
  <si>
    <t>CUMPLIMIENTO PERSPECTIVA FINANCIERA (Promedio porcentual)</t>
  </si>
  <si>
    <t>CUADRO DE MANDO INTEGRAL</t>
  </si>
  <si>
    <t>% 
Cumplimiento Acumulado</t>
  </si>
  <si>
    <t>Resultado Marzo</t>
  </si>
  <si>
    <t>Resultado Junio</t>
  </si>
  <si>
    <t>Resultado Septiembre</t>
  </si>
  <si>
    <t>Resultado Diciembre</t>
  </si>
  <si>
    <t xml:space="preserve">DETALLES </t>
  </si>
  <si>
    <t>ENFOQUE DEL CLIENTE Y OTRAS PARTES INTERESADAS</t>
  </si>
  <si>
    <t># Autos de Cierre y/ o Liquidaciones Elaboradas / # Contratos Terminados</t>
  </si>
  <si>
    <t>CUMPLIMIENTO OBJETIVO EN LA PERSPECTIVA DE ENFOQUE AL CLIENTE Y OTRAS PARTES INTERESADAS (Promedio porcentual)</t>
  </si>
  <si>
    <t>CUMPLIMIENTO PERSPECTIVA DE ENFOQUE AL CLIENTE Y OTRAS PARTES INTERESADAS (Promedio porcentual)</t>
  </si>
  <si>
    <t>CUMPLIMIENTO OBJETIVO EN LA PERSPECTIVA DE PROCESOS INTERNOS (Promedio porcentual)</t>
  </si>
  <si>
    <t>CUMPLIMIENTO PERSPECTIVA DE PROCESOS INTERNOS (Promedio porcentual)</t>
  </si>
  <si>
    <t>CUMPLIMIENTO OBJETIVO EN LA PERSPECTIVA DE APRENDIZAJE Y DESARROLLO (Promedio porcentual)</t>
  </si>
  <si>
    <t>CUMPLIMIENTO PERSPECTIVA DE APRENDIZAJE Y DESARROLLO (Promedio porcentual)</t>
  </si>
  <si>
    <t>Ejecución presupuestal</t>
  </si>
  <si>
    <t>CUMPLIMIENTO OBJETIVO EN LA PERSPECTIVA DE ENFOQUE AL CLIENTE Y OTRAS PARTES INTERESADAS 
(Promedio porcentual)</t>
  </si>
  <si>
    <t>11700-2-22</t>
  </si>
  <si>
    <t>11200-1-1</t>
  </si>
  <si>
    <t>Expedientes de hojas de vida consolidados, organizados y actualizados</t>
  </si>
  <si>
    <t>Consolidar, organizar y actualizar los expedientes de hojas de vida de los funcionarios de planta de la ADRES</t>
  </si>
  <si>
    <t># Obligaciones cumplidas en el período /# Obligaciones establecidas en el CPS 0014 de 2018</t>
  </si>
  <si>
    <t># Expedientes de hojas de vida consolidados, organizados y actualizados / # Funcionarios activos en el periodo</t>
  </si>
  <si>
    <t>CUMPLIMIENTO POR DEPENDENCIAS</t>
  </si>
  <si>
    <t>CUMPLIMIENTO CONSOLIDADO POR PERSPECTIVA</t>
  </si>
  <si>
    <t>Financiera</t>
  </si>
  <si>
    <t>Enforque al Cliente y/o Partes Interesadas</t>
  </si>
  <si>
    <t>Procesos Internos</t>
  </si>
  <si>
    <t xml:space="preserve">Aprendizaje y Desarrollo </t>
  </si>
  <si>
    <t>Dirección de Gestión de Recursos Financieros de la Salud</t>
  </si>
  <si>
    <t>Dirección de Tecnologías de la Información y las Comunicaciones</t>
  </si>
  <si>
    <t>Oficina Asesora de Planeación y Control de Riesgos</t>
  </si>
  <si>
    <t>DEPENDENCIAS</t>
  </si>
  <si>
    <t>Monto de venta de cartera a CISA / Monto de cartera por reclamaciones mayor a 180 días vendida</t>
  </si>
  <si>
    <t># de actos administrativos proferidos / # fallecidos, incobrables, cancelados y revocados resultado del proceso de depuración</t>
  </si>
  <si>
    <t>Actos administrativos mediante los cuales se establecen los fallecidos, incobrables, cancelados y revocados, recultado del proceso de depuración</t>
  </si>
  <si>
    <t xml:space="preserve">
Expedición actos administrativos iniciales ordenando el cobro.</t>
  </si>
  <si>
    <t>La meta de este indicador se estableció teniendo en cuenta que en la pasada venta de cartera a CISA, esta entidad compró en $67.000.000 la cartera que ascendía a $4.000.000.000</t>
  </si>
  <si>
    <t>Proceso inicial de cobro por concepto de accidentes de transito, donde el vehículo involucrando carecía de SOAT</t>
  </si>
  <si>
    <t>Monto de reclamaciones pagadas por terceros en la fase de cobro coactivo, por concepto de accidentes de tránsito sin SOAT  / Monto de reclamaciones pagadas por la ADRES antes FOSYGA, por concepto de accidentes de tránsito sin SOAT, objeto de cobro coactivo</t>
  </si>
  <si>
    <t>Monto de reclamaciones pagadas por terceros al inicio del proceso de cobro, por concepto de accidentes de tránsito sin SOAT  / Monto de reclamaciones pagadas por la ADRES antes FOSYGA, por concepto de accidentes de tránsito sin SOAT</t>
  </si>
  <si>
    <t># de noticias positivas, que visibilizan a la ADRES en medios de comunicación</t>
  </si>
  <si>
    <t>((# de seguidores en Twitter periodo actual - # de seguidores en Twitter periodo anterior)/ # de seguidores en Twitter periodo anterior)</t>
  </si>
  <si>
    <t>((Tráfico página Web periodo actual - Tráfico página Web periodo anterior)/Tráfico página Web periodo anterior)</t>
  </si>
  <si>
    <t>11700-1</t>
  </si>
  <si>
    <t>11700-1-1</t>
  </si>
  <si>
    <t>11700-1-1-1</t>
  </si>
  <si>
    <t>96 &lt;=100%</t>
  </si>
  <si>
    <t>AVANCES AL 30 DE JULIO</t>
  </si>
  <si>
    <t>CÓDIGO ACTIVIDAD RELEVANTE</t>
  </si>
  <si>
    <t>CONVENCIONES</t>
  </si>
  <si>
    <t>ACTIVIDADES RELEVANTES</t>
  </si>
  <si>
    <t>CÓDIGO</t>
  </si>
  <si>
    <t>Pagos eficientes (salud, LMA, SOAT, No POS</t>
  </si>
  <si>
    <t>Custoria y administración de inversiones</t>
  </si>
  <si>
    <t>Venta de cartera</t>
  </si>
  <si>
    <t>Defensa jurídica (Tutelas, reclamaciones administrativas, embargos, etc.)</t>
  </si>
  <si>
    <t>Integración Tecnológica</t>
  </si>
  <si>
    <t>Administración de riesgos, procesos y plan de acción</t>
  </si>
  <si>
    <t>Comunicaciones</t>
  </si>
  <si>
    <t xml:space="preserve">Funcionamiento </t>
  </si>
  <si>
    <t>Compra de cartera</t>
  </si>
  <si>
    <t>Estudios de sector</t>
  </si>
  <si>
    <t>Recobros</t>
  </si>
  <si>
    <t>Servicio al ciudadano</t>
  </si>
  <si>
    <t>Gestión Documental</t>
  </si>
  <si>
    <t>RESULTADO</t>
  </si>
  <si>
    <t>SEGUIMIENTO AL CUMPLIMIENTO POR PERSPECTIVA DEL CMI</t>
  </si>
  <si>
    <t>SEGUIMIENTO AL CUMPLIMIENTO POR OBJETIVOS/LINEAMIENTOS ESTRATÉGICOS</t>
  </si>
  <si>
    <t>SEGUIMIENTO AL CUMPLIMIENTO POR DEPENDENCIAS</t>
  </si>
  <si>
    <t>Detalles</t>
  </si>
  <si>
    <t>Programa de auditorías internas, al Control Interno y otros informes  de la OCI</t>
  </si>
  <si>
    <t>Realizar las auditorías internas , al Control Interno y otros informes , de acuerdo a lo programado para la vigencia. Plan Anual Auditorias</t>
  </si>
  <si>
    <t>(Número de auditorías internas al Control Interno y otros informes realizadas / Número de auditorías internas, al Control Interno y otros informes programadas)*100</t>
  </si>
  <si>
    <t xml:space="preserve">Formular los procesos y procedimientos en el marco del MIPG
</t>
  </si>
  <si>
    <t>Pendiente definir de acuerdo al comportamiento del primer trimestre del 2018</t>
  </si>
  <si>
    <t>#Noticias Positivas en el periodo/#Noticias Negativas en el mismo periodo.</t>
  </si>
  <si>
    <t xml:space="preserve">Porcentaje </t>
  </si>
  <si>
    <t>((#Visitas Página WEB periodo actual - # Visitas Página WEB periodo anterior) / # Visitas Página WEB periodo anterior)</t>
  </si>
  <si>
    <t># llamadas atendidas / # llamadas entrantes</t>
  </si>
  <si>
    <t>AVANCE ACUMULADO</t>
  </si>
  <si>
    <t>Se da cumplimiento al reporte correspondiente al primer trimestre de 2018, el jueves 5 de abril de 2018.</t>
  </si>
  <si>
    <t>Se reportaron oportunamente en este documento los avances de la ejecución del Plan de Acción de esta dependencia.</t>
  </si>
  <si>
    <t># Certificaciones realizadas  / # certificaciones solicitadas</t>
  </si>
  <si>
    <t>No se puede medir este indicador, ya que la entidad careció para el primer trimestre de 2018 de la herramienta tecnológica para realizar la medición. La medición comienza a partir del segundo trimestre de 2018.
No pudimos ejecutar el presupuesto asignado, por la entrada en vigencia de la Ley de Garantías y además, porque la asesora de comunicaciones se vinculó recientemente.</t>
  </si>
  <si>
    <t xml:space="preserve">Adecuación institucional </t>
  </si>
  <si>
    <t xml:space="preserve">Optimización de procesos de recaudo, administración y pago de recursos </t>
  </si>
  <si>
    <t>Calidad y oportunidad procesos de reconocimiento, prestaciones excepcionales y financiamiento</t>
  </si>
  <si>
    <t>Implementación de herramientas tecnológicas y financieras</t>
  </si>
  <si>
    <t>Seguimiento y reporte al cumplimiento del Plan de Acción</t>
  </si>
  <si>
    <t>Se público y pago un edicto de  febrero de 2018,  queda en tramite el pago de la publicación de un edicto recibido en marzo. Este servicio es a demanda y depende de los actos administrativos recibidos. </t>
  </si>
  <si>
    <t>Valor pagado por viáticos del periodo mas el valor pagado de tiquetes/ Valor  determinado por cada resolución de desplazamineto y pago de tiquete del periodo. </t>
  </si>
  <si>
    <t>En el mes de enero del año en curso, se adelantó el proceso de identificación y alistamiento de las resoluciones ejecutoriadas, con más de 180 días de vencidas, qué conforme a las normas que regulan el tema son susceptibles de venta a la CENTRAL DE INVERSIONES S.A. – CISA S.A.
Mediante comunicación con Radicado No. S000000740000 del 16 de marzo del año en curso, se solicitó al doctor HERNÁN PARDO BOTERO, en su calidad de Representante Legal de CENTRAL DE INVERSIONES S.A. - CISA S.A., de conformidad con lo dispuesto en el numeral 1. de la Cláusula Cuarta del Contrato No.081 de 2017 CM-017-2017, adelante el proceso de valoración de por la venta de 1.286 reclamaciones, que corresponden a 541 terceros, por un valor $2.993.131.816.00.
Es de anotar que a la fecha no se ha recibido respuesta sobre el particular por parte de CISA S.A., una vez llegue, se adelantará el proceso de alistamiento y entrega de los expedientes contentivos de las resoluciones debidamente ejecutoriadas y con los soportes que corresponden.</t>
  </si>
  <si>
    <t xml:space="preserve">Sobre el tema, es del caso informar que adelantado el proceso de depuración se encontraron 9.885 fallecidos, de ahí que, con el propósito de adelantar las actuaciones que corresponden, mediante comunicación Radicación No.000000448200 del 23 de enero de 2018, se solicitó al Coordinador GIT Comercialización del Instituto Agustín Codazzi, informe si las personas fallecidas cuya relación se remitió en medio magnético CD, poseen bienes._x000D_
_x000D_
El doctor Orlando Bustamante Méndez, Coordinador GIT comercialización del Instituto Agustín Codazzi, a través de la comunicación Radicación E0000004472500 del 15 de febrero del año en curso, remitió de manera impresa la información, sobre la cual se le solicito lo hiciera en medio magnético, lo cual permite adelantar de manera ágil y eficiente, el cruce de información.  _x000D_
_x000D_
Teniendo en cuenta el número de fallecidos y dado que la información remitida de manera impresa es ilegible, en reiteradas oportunidades se ha solicitado al citado funcionario la remisión de la información en medio magnético, que permita los cruces de información. Mediante correo electrónico se solicitó a la doctora Ingrid Soraya Tenjo, Subdirectora de Catastro del Instituto Agustín Codazzi, su intervención para que la información requerida sea remitida en medio magnético._x000D_
</t>
  </si>
  <si>
    <t>Se incluye informe de ejecución del contrato de prestación de servicios 2017, dado que se canceló en el mes de enero. En este avance de ejecución no se incluye el valor a pagar del mes de marzo.</t>
  </si>
  <si>
    <t>Esta en proceso de contratación para solicitar las cotizaciones a los diferentes proveedores. </t>
  </si>
  <si>
    <t>Aunque se esta realizando el  objetivo no se está contratando por que  hay una persona  de planta que  esta  realizado la  acción  planteada.</t>
  </si>
  <si>
    <t>Aunque se esta realizando   el  objetivo no se está contratando por que  hay una persona  de planta que  esta  realizado la  acción  planteada.</t>
  </si>
  <si>
    <t>Dentro del primer trimestre se está llevando a cabo la definición de procesos y procedimientos de la dirección, por tal motivo no se cuenta aún con indicadores. Por su parte durante este trimestre no se presentaron acciones de mejora reportadas por parte de Control Interno.</t>
  </si>
  <si>
    <t>Durante el I Trimestre se envío la totalidad de certificaciones de descuento para que fueran aplicadas en el proceso LMA - La relación de las certificaciones puede verse en el archivo Reportes Plan de acción primer trimestre 2018 (pestaña FINDETER), en la carpeta evidencias I Trimestre</t>
  </si>
  <si>
    <t>Durante el I Trimestre se envío la totalidad de certificaciones de descuento para que fueran aplicadas en el proceso de compensación - La relación de las certificaciones puede verse en el archivo Reportes Plan de acción primer trimestre 2018 (pestaña FINDETER), en la carpeta evidencias I Trimestre</t>
  </si>
  <si>
    <t>Durante el I Trimestre se envío la totalidad de certificaciones de descuento para que fueran aplicadas en el proceso LMA - La relación de las certificaciones puede verse en el archivo Reportes Plan de acción primer trimestre 2018 (pestaña COMPRA DE CARTERA), en la carpeta evidencias I Trimestre</t>
  </si>
  <si>
    <t>Durante el I Trimestre se envío la totalidad de certificaciones de descuento para que fueran aplicadas en el proceso de compensación - La relación de las certificaciones puede verse en el archivo Reportes Plan de acción primer trimestre 2018 (pestaña COMPRA DE CARTERA), en la carpeta evidencias I Trimestre</t>
  </si>
  <si>
    <t>Durante el I Trimestre se elaboró el informe de caracterización de MIPRES, correspondiente a la vigencia 2017, y el documento de análisis de elosulfasa alfa para el periodo 2016-17. El presupuesto indicado no es para la realización de un estudio, sino para la compra de un programa estadístico. Las capacitaciones de utilización del programa no habían finalizado con corte a primer trimestre. En consecuencia, los recursos todavía no han sido girados.</t>
  </si>
  <si>
    <t>Se anexan a la carpeta compartida por la Oficina Asesora de Planeación y Control de Riesgos, los Informe de Control de Recaudo y Fuentes de Financiamiento, correspondientes a los periodos comprendidos de: 1) Agosto – Diciembre 2017; 2) Enero 2018; y 3) Febrero 2019.</t>
  </si>
  <si>
    <t>Se anexan a la carpeta compartida por la Oficina Asesora de Planeación y Control de Riesgos, la relación de PPI identificadas en el I Trimestre, al 30 de marzo de 2018.</t>
  </si>
  <si>
    <t>Se efectúo el proceso de la Liquidación Mensual de Afiliados mensualmente dentro de los tiempos establecidos en la normatividad vigente y los recursos disponibles para la aplicación del giro, la información resultado del proceso se encuentra publicada en el link:
http://www.adres.gov.co/Régimen-Subsidiado/Liquidación-mensual-afiliados-LMA/Resumen-LMA</t>
  </si>
  <si>
    <t>Se efectúo el giro directo a IPS y/o proveedores mensualmente dentro de los tiempos establecidos en la normatividad vigente y los recursos disponibles para la aplicación del giro, la información resultado del proceso se encuentra publicada en el link:
http://www.adres.gov.co/Giros/Régimen-subsidiado/Liquidación-Mensual-de-Afiliados-LMA/Giros-LMA</t>
  </si>
  <si>
    <t>En el primer trimestre no se registran informes de auditoría, teniendo en cuenta que los procedimientos de reintegro se iniciaron por la ADRES en febrero y marzo del presente año, por lo tanto, los informes se  verán reflejados en el segundo y tercer trimestre.</t>
  </si>
  <si>
    <t># Procesos de Compensación Ejecutados</t>
  </si>
  <si>
    <t xml:space="preserve"># Procesos de LMA Ejecutados </t>
  </si>
  <si>
    <t># Giros Directos Ejecutados y Publicados</t>
  </si>
  <si>
    <t>LA JEFE DE LA OFICINA ASESORA JURÍDICA INSTÓ A LOS FUNCIONARIOS EN CUMPLIR EL TÉRMINO DE ELABORACIÓN DE FICHAS TÉCNICAS A SER SOMETIDAS A CONSIDERACIÓN DEL COMITÉ DE CONCILIACIÓN CONFORME LA RESOLUCION 280 DE 2017 Y ACUERDO 497 DE 2017</t>
  </si>
  <si>
    <t>EN ESTE TRIMESTRE NO HUBO EROGACIÓN PRESUPUESTAL EN RAZÓN A QUE FUE DESARROLLADA LA ACTIVIDAD POR PERSONAL DE PLANTA</t>
  </si>
  <si>
    <t>JUAN PABLO GALVIS APOYA LA CONSECUCIÓN DEL INDICADOR DE GESTIÓN (PERSONAL DE PLANTA)</t>
  </si>
  <si>
    <t>A LA FECHA EL CONTRATISTA NO HA SUSTENTA RECURSO EXTRAORDINARIO DE CASACIÓN COMO TAMPOCO SE LE HAN ASIGNADO PROCESOS JUDICIALES PARA ALGUNA GESTIÓN</t>
  </si>
  <si>
    <t>11700-2-23</t>
  </si>
  <si>
    <t>Asesoría Jurídica</t>
  </si>
  <si>
    <t>11700-2-23-1</t>
  </si>
  <si>
    <t>Asesoría Jurídica y acompañamiento para la entidad en relación a las actuaciones administrativas</t>
  </si>
  <si>
    <t>0% &lt;= 50% de la meta del periodo</t>
  </si>
  <si>
    <t>51% &lt;=75% de la meta del periodo</t>
  </si>
  <si>
    <t>76% &lt;=95% de la meta del periodo</t>
  </si>
  <si>
    <t>95 &lt;=100% de la meta del periodo</t>
  </si>
  <si>
    <r>
      <t xml:space="preserve">% 
</t>
    </r>
    <r>
      <rPr>
        <b/>
        <sz val="10"/>
        <color indexed="9"/>
        <rFont val="Verdana"/>
        <family val="2"/>
      </rPr>
      <t>Cumplimiento periodo</t>
    </r>
  </si>
  <si>
    <r>
      <t xml:space="preserve">% 
</t>
    </r>
    <r>
      <rPr>
        <b/>
        <sz val="10"/>
        <color indexed="9"/>
        <rFont val="Verdana"/>
        <family val="2"/>
      </rPr>
      <t>Cumplimiento</t>
    </r>
  </si>
  <si>
    <t>SEMÁFORO EFICACIA EN LA EJECUCIÓN DEL PERIODO</t>
  </si>
  <si>
    <t>SEMÁFORO EFICACIA EN LA EJECUCIÓN ACUMULADA</t>
  </si>
  <si>
    <t>11500-3-2-2</t>
  </si>
  <si>
    <t>11900-3-7-3</t>
  </si>
  <si>
    <t>11900-3-13-2</t>
  </si>
  <si>
    <t>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t>
  </si>
  <si>
    <t>Efectuar los pagos de nomina de los funcionarios de la ADRES</t>
  </si>
  <si>
    <t>Efectuar los pagos de servicios personales indirectos (honorarios y remuneración de servicios técnicos) de acuerdo con las solicitudes de las dependencias de la ADRES</t>
  </si>
  <si>
    <t xml:space="preserve">Pago de las Cuentas de Cobro radicadas en el mes que cumplan con los requisitos exigidos debidamente aprobadas y soportadas por los supervisores de los contratos </t>
  </si>
  <si>
    <t>Trámites  Precontractuales y Contractuales Adelantados de conformidad con Plan de Adquisiciones</t>
  </si>
  <si>
    <t># Procesos contractuales tramitados / # Procesos contractuales incluidos en el Plan Anual de Adquisiciones y requeridos por las dependencias de la ADRES</t>
  </si>
  <si>
    <t># Autos de cierre o actas de liquidación elaboradas / # contratos con ejecución finalizada</t>
  </si>
  <si>
    <t>Realizar capacitación para fortalecer las competencias laborales de los funcionarios</t>
  </si>
  <si>
    <t>11400-3-15</t>
  </si>
  <si>
    <t>Convenio Cafesalud</t>
  </si>
  <si>
    <t>11400-3-15-1</t>
  </si>
  <si>
    <t>Cierre convenio con Cafesalud</t>
  </si>
  <si>
    <t>Valor pagado/valor proyectado</t>
  </si>
  <si>
    <t>Informes</t>
  </si>
  <si>
    <t xml:space="preserve">Se suscribieron tres (3) de cuatro (4) contratos proyectados para todo el año. Por otra parte se reportan los 69 procesos de contratación adelantados en el primer trimestre los cuales fueron solicitados por las diferentes dependencias de la Entidad (incluidos los 3 propios del Grupo). 
Financieramente solo se reportan los contratos propios del grupo.
</t>
  </si>
  <si>
    <t># comités de conciliación llevados a cabo / # comités de conciliación requeridos en el trimestre</t>
  </si>
  <si>
    <t>Ejecución / presupuesto proyectado según rubro</t>
  </si>
  <si>
    <t>Realizar el Comité de Conciliación</t>
  </si>
  <si>
    <t>Comité de conciliación realizado</t>
  </si>
  <si>
    <t>&gt; 100% de la meta del periodo</t>
  </si>
  <si>
    <t>11900-3-13-3</t>
  </si>
  <si>
    <t>PROCESO</t>
  </si>
  <si>
    <t>DIRECCIONAMIENTO ESTRATÉGICO</t>
  </si>
  <si>
    <t>FORMATO</t>
  </si>
  <si>
    <t>DIES-F07</t>
  </si>
  <si>
    <t>PLAN DE ACCIÓN ANUAL ADRES</t>
  </si>
  <si>
    <t>VERSIÓN</t>
  </si>
  <si>
    <t>DIES-F08</t>
  </si>
  <si>
    <t>EJECUCIÓN DEL PLAN DE ACCION</t>
  </si>
  <si>
    <t>CUMPLIMIENTO DE OBJETIVOS ESTRATÉGICOS</t>
  </si>
  <si>
    <t>CUADRO DE MANDO INTEGRAL
CUMPLIMIENTO POR ACTIVIDADES RELEVANTES</t>
  </si>
  <si>
    <t>CONTROL DE CAMBIOS</t>
  </si>
  <si>
    <t>Versión</t>
  </si>
  <si>
    <t>Fecha</t>
  </si>
  <si>
    <t>Descripción del cambio</t>
  </si>
  <si>
    <t>Elaborado por</t>
  </si>
  <si>
    <t xml:space="preserve">Revisado Por </t>
  </si>
  <si>
    <t>Aprobado por</t>
  </si>
  <si>
    <t>Solicitado por</t>
  </si>
  <si>
    <t>Emisión y publicación inicial</t>
  </si>
  <si>
    <t>Norela Briceño
Fernan Ulate</t>
  </si>
  <si>
    <t>Junta Directiva</t>
  </si>
  <si>
    <t>Mandamiento de ley</t>
  </si>
  <si>
    <t>Norela Briceño</t>
  </si>
  <si>
    <t>Efectuar el pago de las sentencias y conciliaciones de la ADRES de acuerdo con las solicitudes de la Oficina Asesora Jurídica</t>
  </si>
  <si>
    <t>Jefe Oficina Asesora de Planeación y Control de Riesgos
Director General</t>
  </si>
  <si>
    <t>Responsables de líneas de acción de las diferentes dependencias</t>
  </si>
  <si>
    <r>
      <t xml:space="preserve">Se da cumplimiento al avance del 25% correspondiente a la emisión de 3 Boletines de autocontrol. En la ruta One Drive </t>
    </r>
    <r>
      <rPr>
        <b/>
        <sz val="10"/>
        <rFont val="Verdana"/>
        <family val="2"/>
      </rPr>
      <t>EVIDENCIAS/Trimestre I/11800-3-5-1</t>
    </r>
    <r>
      <rPr>
        <sz val="10"/>
        <rFont val="Verdana"/>
        <family val="2"/>
      </rPr>
      <t xml:space="preserve"> se encuentran los 3 boletines emitidos por la OCI correspondientes a los meses de enero, febrero y marzo de 2018. </t>
    </r>
  </si>
  <si>
    <t>La apropiaciones se ajustan ya que el plan de acción fue realizado con la Resolución 640 de 2017, la cual estaba para aprobación de la Junta Directiva y una vez aprobada por la Junta Directiva y se expidió la Resolución 083 de 2018.</t>
  </si>
  <si>
    <t>Los estados financieros y el informe de operación reciproca están a corte de 31 de diciembre del 2017</t>
  </si>
  <si>
    <t>El reporte corresponde al presente archivo (Plan Acción ADRES Vigencia 2018 One drive)</t>
  </si>
  <si>
    <t>La planilla de la Nómina correspondiente al mes de Marzo de 2018 se pagó en el mes de Abril por $434.278.800 y  la diferencia corresponde a  que la planta de personal no se ha provisto en su totalidad.
Se recomienda actualizar los valores asociados a este indicador, ya que según resolución 860 de 2018, se adicionó un monto de $23.345.341.854 y lo pertinente a  servicios personales asociado a la nómina por $2.002.739</t>
  </si>
  <si>
    <t>No hay lugar a ejecución ya que  los $11.300.573.000 a 31 de Enero de 2018 según Resolución 637 de 2018, correspondía a Disponibilidad Final de la Vigencia 2017;  De acuerdo a aprobación del CONFIS mediante Resolución 0012 del 27 de Marzo de 2018, la disponibilidad Final a 2017 se desagregó  en varios Rubros del Gasto, en la vigencia 2018, la cual quedó desagregada según Resolución 860 de 27 de Marzo de 2018; por lo tanto el Rubro de Disponibilidad Final debe ser $0. por ende se adjunta Resolución 860 de 2018 para evidenciar la modificación de la misma.
En referencia a los $1.817.497.672 restantes, corresponde a un valor no asignado en el plan de adquisiciones.</t>
  </si>
  <si>
    <t>El 28 de Febrero de 2018, se presentó ante la CGN el informe Correspondiente al 4ª trimestre de 2017.</t>
  </si>
  <si>
    <t>De las 293  cuentas de cobro y pago de proveedores y funcionarios se cancelaron 291, las 2 cuentas de cobro no canceladas, fue por rechazó en el portal bancario de Davivienda por error en No de Cuenta Bancaria asignada a los terceros.</t>
  </si>
  <si>
    <t>En el número de contratos terminados se incluye uno suscrito en la vigencia 2018 que terminó anticipadamente, la certificación aportada como evidencia se refiere solo a lo suscrito y terminado de la Vigencia 2017. En cuanto al número de Constancias de archivo y/o liquidaciones no se cuentan 2 de ellas por ser suscritas en el mes de abril estas serán reportadas para el Segundo Trimestre.</t>
  </si>
  <si>
    <t xml:space="preserve">Se realizaron  cuatro capacitaciones durante el primer trimestre  del 2018,  los cuales,  fueron desarrolladas para los  funcionarios de la Entidad sin ningún gasto. 
Capacitación  de evolución del desempeño dictada por  CNSC.
Capacitación gestión  preventiva disciplinaria dictada por control interno disciplinario.
Capacitación del servicio al cliente dictada por el SENA.
Capacitación   de redacción y ortografía dictada por el SENA.
</t>
  </si>
  <si>
    <t>Se realizaron  nueve actividades  de bienestar  durante el primer trimestre  del 2018,  los cuales,  fueron desarrolladas para los  funcionarios de la Entidad sin ningún gasto. Rumba terapia, Feria de servicios Compensar, Manejo de enfermedades, Árbol de los sueños, Feria de productos Alpina, Risoterapia, Vive el estrés desde un enfoque positivo, Charla experimenta la felicidad, Todo es cuestión de vida saludable, Dia del Hombre, Dia de la Mujer.</t>
  </si>
  <si>
    <t>Esta en proceso de contratación para solicitar las cotizaciones a los diferentes proveedores. El valor reportado corresponde a la cuenta pagada en enero de 2018 con cargo al presupuesto de esa vigencia, del Contrato 005 de 2017 prestación de servicios para la realización de las evaluaciones medicas ocupacionales de preingreso egreso pos incapacidad o reintegro.</t>
  </si>
  <si>
    <t>Aunque se esta realizando   el  objetivo no se está contratando por que  hay una persona  de planta que  esta  realizado la  acción  planteada.  En el periodo  se realizaron  actividades  como: levantamiento de la base  de datos  con los requisitos  existentes para la  vigilancia y administración  de  la custodia de las hojas de vida  de los  funcionarios públicos,  la cual  se  ha  evidenciado  con el  avance de del  archivo físico existente a la fecha.</t>
  </si>
  <si>
    <t>Corresponde a la suma de las resoluciones de viáticos ( Grupo de Gestión del Talento Humano ) mas el contrato de satena de compra de tiquetes; esta ejecución es a demanda para medir la gestión se sugiere este nuevo indicador  Valor pagado por viáticos del período mas el, valor pagado de tiquetes/ Valor  determinado por cada resolución de desplazamiento y pago de tiquete del periodo. </t>
  </si>
  <si>
    <t>De las 107 consultas solicitadas se solicitaron al custodio de archivo las 107, de las cuales se encontraban a 30 de marzo de 2018, once (11) consultas pendientes por entregar. </t>
  </si>
  <si>
    <t>Actos administrativos mediante los cuales se establecen los fallecidos, incobrables, cancelados y revocados, resultado del proceso de depuración</t>
  </si>
  <si>
    <t xml:space="preserve">De conformidad con lo establecido en el Plan de Acción 2018, el Grupo de Cobro Coactivo, expidió 490 resoluciones ordenando el cobro de reclamaciones reconocidas y pagadas por el entonces FOSYGA hoy la ADRES, en relación con accidentes de tránsito cuyo vehículo involucrado, carecía del seguro obligatorio SOAT. _x000D_
_x000D_
Es de anotar que teniendo en cuenta la gestión que debe adelantar el Grupo de Cobro Coactivo en el marco de sus funciones y el número de abogados asignados al mismo, en el Plan de Acción 2018, se estableció la expedición de 4.000 resoluciones para la vigencia 2018, así: i) Para el Primer Trimestre 2018, 400 resoluciones, que corresponde al 10%; ii) Para el segundo trimestre 1.200 resoluciones, que corresponde al 30%; iii) Para el tercer 1.200 resoluciones, que corresponde al 30% y, iv) para el cuarto trimestre 1.200 resoluciones, que corresponde al 30%,  para lograr al finalizar 2018 el 100%, esto es, la meta establecida de 4.000 resoluciones._x000D_
_x000D_
</t>
  </si>
  <si>
    <t>En acatamiento de lo previsto en el artículo 238 de la Ley 1753 de 2015, la Dirección de fondos de la Protección Social del Ministerio de Salud y Protección Social y la empresa CISA S.A., suscribieron el Contrato Interadministrativo No. 081 de 2017 CM-017-2017, cuyo objeto es la venta de cartera que corresponde a obligaciones con mas de 180 días de vencidas en desarrollo del cual se viene adelantando la venta de cartera, para que CISA S.A. adelante el proceso de cobro por jurisdicción coactiva, sin perjuicio de que ADRES lo adelante de acuerdo con las estrategias establecidas, esto es, teniendo en cuenta las resoluciones de mayor cuantía.</t>
  </si>
  <si>
    <t>Otros gastos asociados a la representación judicial</t>
  </si>
  <si>
    <t>Códigos, unidades de medición y alineación de metas con unidades de medición, sugeridos por Control Interno.
Redacción de algunas actividades y productos de Talento Humano, Financiera Interna,  control Interno y depuración de cartera.
Inclusión de indicadores de cobro y venta de cartera.
Inclusión de indicadores y metas relacionadas con la estrategia de comunicación y marketing de la ADRES.
Ajuste del indicador relacionado con las auditorias internas.
Ajuste de metas trimestrales de Control Interno.
Ajuste de la meta anual de la actividad 11400-3-1-1.
Ajuste en la redacción y en el presupuesto anual y trimestral de la actividad 11500-3-2-1.
Inclusión de las actividades 11500-3-2-2, 11900-3-7-3, 11900-3-13-3, 11700-2-23-1 y 11400-3-15-1.
Ajuste en la redacción del producto de la actividad 11500-3-3-1
Ajuste en los valores asignados a las actividades 11500-3-1-1, 11500-3-6-1 y 11500-3-7-1.
Retiro del presupuesto inicialmente asignado a las actividades 11800-3-5-1, 11700-2-13-1 y 11700-2-13-2.
Eliminación de la actividad 11700-2-20-1.
Inclusión de los valores de adición y traslados según Resolución 860 de 2018 en las líneas de acción respectivas.</t>
  </si>
  <si>
    <r>
      <t xml:space="preserve">Los 33 procedimientos se encuentran descritos en los siguientes Manuales Operativos:
* Gestión Integral Régimen Contributivo
* Gestión Integral Régimen Subsidiado
* Gestión Integral Régimen Especial o de Excepción.
Estos Manuales se encuentran publicados en la siguiente ruta de a página Web de la ADRES: </t>
    </r>
    <r>
      <rPr>
        <u/>
        <sz val="10"/>
        <rFont val="Verdana"/>
        <family val="2"/>
      </rPr>
      <t xml:space="preserve">https://www.adres.gov.co/Transparencia/Manuales-t%C3%A9cnicos  </t>
    </r>
    <r>
      <rPr>
        <sz val="10"/>
        <rFont val="Verdana"/>
        <family val="2"/>
      </rPr>
      <t>tal como se observa en la evidencia localizada en la carpeta de evidencias correspondiente a esta actividad.</t>
    </r>
  </si>
  <si>
    <t>Ordenar el pago de los paquetes de recobros cuyo trámite de auditoría haya culminado, para el trámite de reconocimiento y pago por parte de ADRES (contrato en ejecución)</t>
  </si>
  <si>
    <t>Ordenar el pago de los paquetes de recobros cuyo trámite de auditoría haya culminado, para el trámite de reconocimiento y pago por parte de ADRES (contrato de auditoria a adjudicar)</t>
  </si>
  <si>
    <r>
      <t>Dentro de la carpeta:</t>
    </r>
    <r>
      <rPr>
        <b/>
        <sz val="10"/>
        <rFont val="Verdana"/>
        <family val="2"/>
      </rPr>
      <t xml:space="preserve"> Evidencias\I trimestre\11600-2-1-1</t>
    </r>
    <r>
      <rPr>
        <sz val="10"/>
        <rFont val="Verdana"/>
        <family val="2"/>
      </rPr>
      <t xml:space="preserve"> se encuentra el listado de procedimientos que se tienen a manera de inventario que se deben desarrollar para la DGTIC, para los tres procesos que componen la dirección: (i) Administración base de datos única de afiliados, (ii) Gestión de proyectos de información, (iii) Gestión de soporte a las tecnologías. 
De los cuales se definió un total de 26 procedimientos para los tres procesos. 
Actualmente, con el apoyo de la oficina de planeación y control de riesgo en cabeza de Johana Bejarano se ha terminado con la generación de la documentación de los 12 procedimientos del grupo interno Administración base de datos única de afiliados.
Se relaciona evidencia de los procedimientos en la carpeta: </t>
    </r>
    <r>
      <rPr>
        <b/>
        <sz val="10"/>
        <rFont val="Verdana"/>
        <family val="2"/>
      </rPr>
      <t>Evidencias\I trimestre\11600-2-1-1</t>
    </r>
  </si>
  <si>
    <r>
      <t xml:space="preserve">Dentro de la carpeta </t>
    </r>
    <r>
      <rPr>
        <b/>
        <sz val="10"/>
        <rFont val="Verdana"/>
        <family val="2"/>
      </rPr>
      <t>Evidencias\I trimestre\11600-3-1-1</t>
    </r>
    <r>
      <rPr>
        <sz val="10"/>
        <rFont val="Verdana"/>
        <family val="2"/>
      </rPr>
      <t xml:space="preserve"> se almacena un archivo indicando que para la revisión del primer trimestre no habían tareas planeadas para está actividad.</t>
    </r>
  </si>
  <si>
    <r>
      <t>Avance Ejecución 0% de acuerdo con lo establecido en el Plan de Acción 2018. Los procedimientos se encuentran en revisión por parte de la Oficina Asesora de Planeación. Se tiene planeado para el</t>
    </r>
    <r>
      <rPr>
        <b/>
        <sz val="10"/>
        <rFont val="Verdana"/>
        <family val="2"/>
      </rPr>
      <t xml:space="preserve"> Segundo Trimestre</t>
    </r>
    <r>
      <rPr>
        <sz val="10"/>
        <rFont val="Verdana"/>
        <family val="2"/>
      </rPr>
      <t xml:space="preserve"> reportar el 100%.</t>
    </r>
  </si>
  <si>
    <r>
      <t xml:space="preserve">
Avance Ejecución 0% de acuerdo con lo establecido en el Plan de Acción 2018. Actividades programadas para iniciar en el </t>
    </r>
    <r>
      <rPr>
        <b/>
        <sz val="10"/>
        <rFont val="Verdana"/>
        <family val="2"/>
      </rPr>
      <t>Tercer Trimestre.</t>
    </r>
  </si>
  <si>
    <r>
      <t xml:space="preserve">Avance ejecución 0% de acuerdo con lo establecido en el Plan de Acción 2018. Actividades programadas para iniciar en el </t>
    </r>
    <r>
      <rPr>
        <b/>
        <sz val="10"/>
        <rFont val="Verdana"/>
        <family val="2"/>
      </rPr>
      <t>Segundo Trimestre.</t>
    </r>
  </si>
  <si>
    <r>
      <t xml:space="preserve">Se dio cumplimiento al avance del 28% correspondiente a la realización de 5 informes para dar respuesta a los Requerimientos Legales Internos. En la ruta One Drive </t>
    </r>
    <r>
      <rPr>
        <b/>
        <sz val="10"/>
        <rFont val="Verdana"/>
        <family val="2"/>
      </rPr>
      <t>EVIDENCIAS/Trimestre I/11800-3-2-1</t>
    </r>
    <r>
      <rPr>
        <sz val="10"/>
        <rFont val="Verdana"/>
        <family val="2"/>
      </rPr>
      <t xml:space="preserve"> se encuentran 5 carpetas con los respectivos informes y soportes de cumplimiento.
1. Evaluación Dependencias Plan de Acción y Plan Estratégico. (Informes General e informes por dependencias).
2. Verificar cumplimiento de la publicación del Plan de Acción 2018 en página Web (Informe).
3. Seguimiento a las medidas de austeridad en el gasto público en ADRES (Informe Cuarto trimestre 2017).
4. Seguimiento Acuerdos de Gestión Talento Humano (Oficio Radicado a Director General)
5. Realizar un informe pormenorizado del estado del control interno (informe con corte a marzo 2018).</t>
    </r>
  </si>
  <si>
    <r>
      <t xml:space="preserve">Se dio cumplimiento al avance del 47% del 53% proyectado en el Plan de Acción, realizando 8 informes de los 9 propuestos (1 actividad no requería Informe, sin embargo, fue cumplida) para dar respuesta a los Requerimientos Legales Externos . El informe de nombre "Acompañamiento y Consolidación del Informe de Rendición de la Cuenta Fiscal Anual y envío a la Contraloría General de la República Rendición de Cuentas", proyectado para cumplimiento el 23/03/2018, no pudo ser cumplido en la fecha establecida, ya que se presentaron errores de validación en la información remitida por las dependencias, por lo cual la OCI tuvo de validar varias veces la información antes de rendir el informe a través del aplicativo SIRECI, dicha actividad será cumplida la primera semana de Abril . En la ruta One Drive </t>
    </r>
    <r>
      <rPr>
        <b/>
        <sz val="10"/>
        <rFont val="Verdana"/>
        <family val="2"/>
      </rPr>
      <t>EVIDENCIAS/I Trimestre/11800-3-3-1</t>
    </r>
    <r>
      <rPr>
        <sz val="10"/>
        <rFont val="Verdana"/>
        <family val="2"/>
      </rPr>
      <t xml:space="preserve"> se encuentran 7 carpetas con los respectivos informes y soportes de cumplimiento.
1. Seguimiento al Plan de Mejoramiento CGR SIRECI. (Informe).
2. Revisión y envío de la Gestión Contractual del Trimestre a la CGR SIRECI. (Certificado SIRECI y Plan de Mejoramiento CGN).
3. Expedir certificación E_Kogui. (Oficio y Certificación, correos de soporte).
4. Formulación y valoración cuantitativa - cualitativa CHIP. (informe Adres, informe URA, informe UGG y oficio remisorio).
5. Encuesta de autoevaluación del Sistema de Control Interno (certificado cumplimiento FURAG - Comunicado).
6. Verificación cumplimiento licenciamiento de software y hardware. (Oficios Remisorios - Reporte enviado, Informe Seguimiento).
7. Informe del Estado de Ejecución del Presupuesto de la Entidad (Informe presupuesto URA - Informe presupuesto UGG).
8. Formulario de personal y costos en el CHIP. (Sin Informe/No Aplica).</t>
    </r>
  </si>
  <si>
    <r>
      <t xml:space="preserve">Se dio cumplimiento al avance del 50% a través de la presentación del INFORME DE SEGUIMIENTO PLAN DE MEJORAMIENTO CGR evaluado desde 1 de agosto – 31 de diciembre de 2017. En la ruta One Drive EVIDENCIAS/Trimestre I/11800-3-4-1 se encuentra la carpeta con el respectivo informe y soporte de cumplimiento. El siguiente informe correspondiente al 50%, se emitirá en el </t>
    </r>
    <r>
      <rPr>
        <b/>
        <sz val="10"/>
        <rFont val="Verdana"/>
        <family val="2"/>
      </rPr>
      <t>Tercer Trimestre.</t>
    </r>
  </si>
  <si>
    <r>
      <t xml:space="preserve">En el  mes de enero de 2018 se reportó y publicó en la página Web de la ADRES el informe de seguimiento a la ejecución del Plan de Acción correspondiente al 4° trimestre de 2017. Las evidencias se encuentran en la ruta: </t>
    </r>
    <r>
      <rPr>
        <u/>
        <sz val="10"/>
        <rFont val="Verdana"/>
        <family val="2"/>
      </rPr>
      <t>ONE DRIVE\ADRES\PLAN DE ACCION\DIRECCIÓN GENERAL\OFICINA ASESORA DE PLANEACIÓN Y CONTROL DE RIESGOS\Evidencias\I Trimestre\12000-2-1-1,</t>
    </r>
    <r>
      <rPr>
        <sz val="10"/>
        <rFont val="Verdana"/>
        <family val="2"/>
      </rPr>
      <t xml:space="preserve"> y se denominan como aparecen a continuación:
1. Correo electrónico solicitud  publicación informe.
2. Pantallazo informe publicado.
3. Plan Acción ADRES - 4° Trimestre 11-01-18.</t>
    </r>
  </si>
  <si>
    <r>
      <t xml:space="preserve">En la ruta: </t>
    </r>
    <r>
      <rPr>
        <u/>
        <sz val="10"/>
        <rFont val="Verdana"/>
        <family val="2"/>
      </rPr>
      <t>ONE DRIVE\ADRES\PLAN DE ACCION\DIRECCIÓN GENERAL\OFICINA ASESORA DE PLANEACIÓN Y CONTROL DE RIESGOS\Evidencias\I Trimestre\12000-2-2-1</t>
    </r>
    <r>
      <rPr>
        <sz val="10"/>
        <rFont val="Verdana"/>
        <family val="2"/>
      </rPr>
      <t xml:space="preserve"> se encuentran como evidencias de esta actividad los informes de cumplimiento de avance de obligaciones contractuales y pago correspondientes a los meses de enero, febrero y marzo del contrato 021 de 2018, avalados por el supervisor. Se aclara que el valor del mes de marzo ($5.136.839) fue aprobado por el Supervisor pero no se ha pagado a la fecha del reporte, razón por la cual éste no se incluye dentro de la ejecución presupuestal del primer trimestre. </t>
    </r>
  </si>
  <si>
    <r>
      <t xml:space="preserve">La entidad inició en el primer trimestre la elaboración del Informe al Congreso  de Rendición de Cuentas al Congreso de la República 2017-2018, en coordinación de la Oficina Asesora de Planeación y Control de Riesgos. 
Se estableció un documento de lineamientos que incluye el cronograma respectivo, y se hizo el envío de la primera versión consolidada del informe al Ministerio de Salud y Protección Social, evidenciando el cumplimiento del cronograma de acuerdo con lo establecido. 
En la ruta: </t>
    </r>
    <r>
      <rPr>
        <u/>
        <sz val="10"/>
        <rFont val="Verdana"/>
        <family val="2"/>
      </rPr>
      <t xml:space="preserve">ONE DRIVE\ADRES\PLAN DE ACCION\DIRECCIÓN GENERAL\OFICINA ASESORA DE PLANEACIÓN Y CONTROL DE RIESGOS\Evidencias\I Trimestre\12000-2-3-1  </t>
    </r>
    <r>
      <rPr>
        <sz val="10"/>
        <rFont val="Verdana"/>
        <family val="2"/>
      </rPr>
      <t>se encuentran como evidencias de avance el mencionado documento de lineamientos y el correo electrónico de envío del informe preliminar.</t>
    </r>
  </si>
  <si>
    <t>EJECUCIÓN PRESUPUESTAL ACUMULADA UGG</t>
  </si>
  <si>
    <t>Valor ejecutado</t>
  </si>
  <si>
    <t>Valor programado</t>
  </si>
  <si>
    <t>EJECUCION PRESUPUESTAL ACUMULADA URA</t>
  </si>
  <si>
    <t>EJECUCION PRESUPUESTAL ACUMULADA TOTAL</t>
  </si>
  <si>
    <t xml:space="preserve">Se hace reporte de avance de segundo trimestre, enviando información por este medio por parte de todos los responsables de reporte de información de la Dirección Administrativa y Financiera. </t>
  </si>
  <si>
    <t xml:space="preserve">Se tienen identificados y estructurados todos los procedimientos de la Dirección Administrativa y Financiera, salvo los correspondientes al Grupo Interno de Gestión Administrativa y Documental. Se está avanzando en la elaboración del Manual Operativo de Gestión Administrativa y Documental. Se han identificado ocho (8) procedimientos de gestión documental con sus respectivos flujogramas, que estarán contenidos en el mencionado Manual. 
El levantamiento de los procedimientos de gestión administrativa inició el pasado 28 de junio. Una vez se consolide la información de los procedimientos se procederá a la elaboración de los flujogramas respectivos. Dada la prioridad que comporta el trámite de adición y prorroga de los contratos de funcionamiento, se debe ampliar la fecha de entrega fijada inicialmente para el 16 de julio. El Grupo de Gestión del Talento Humano, con el acompañamiento de la Oficina de Planeación y Control de Riesgos, está avanzando en la elaboración del procedimiento de legalización de comisiones de servicio para funcionarios públicos y desplazamientos de contratistas de la Entidad,  dentro del Plan de Mejoramiento de la ADRES suscrito con la Contraloría General de la República y reportado en el Sistema de Rendición Electrónica de la Cuenta e Informes -SIRECI.  Se adjunta archivo en formato Excel con información actualizada del listado de procedimientos identificados y aprobados de la Dirección Administrativa y Financiera. 
Se tiene un porcentaje de avance del 69%, que se desprende de los 41 procedimientos que se aprobaron en el II Trimestre Vs. 58 procedimientos que se han identificado en la DAF, de acuerdo a la evidencia adjuntada. </t>
  </si>
  <si>
    <t xml:space="preserve">No aplica. </t>
  </si>
  <si>
    <t xml:space="preserve">Dentro de la carpeta: Evidencias\I trimestre\11600-2-1-1 se encuentra copia de los correos enviados por parte de Hisnardo Ubaque Director de la DGTIC, en donde se aprueba los procesos: (i) Gestión de Proyectos de Información. (ii) Gestión de Soporte a las Tecnologías.  Retomando lo expresado en el seguimiento anterior la DGTIC dentro de la primera versión de la documentación de los procesos ha definido un total de 26 procedimientos para los tres procesos. 
Actualmente, con el apoyo de la oficina de planeación y control de riesgo en cabeza de Johana Bejarano se ha terminado con la generación de la documentación de los 26 procedimientos, en donde 14 de ellos corresponden a actividades realizadas dentro de este segundo trimestre. Se relaciona evidencia de los procedimientos en la carpeta: Evidencias\I trimestre\11600-2-1-1. De igual manera estos se encuentran ya publicados dentro del portal Web de la entidad en el enlace https://www.adres.gov.co/Transparencia/Procesos-y-procedimientos 
</t>
  </si>
  <si>
    <t xml:space="preserve">Dentro del segundo trimestre se terminó la definición de procesos y procedimientos de la DGTIC. Por tal motivo, no se cuenta aún con indicadores. Por su parte durante este trimestre no se presentaron acciones de mejora reportadas por parte de Control Interno.
En la carpeta: Evidencias\I trimestre\11600-2-2-1 se encuentra copia de los correos enviados por parte de Hisnardo Ubaque Director de la DGTIC, en donde se aprueba los procesos: (i) Gestión de Proyectos de Información. (ii) Gestión de Soporte a las Tecnologías.  
De igual manera estos se encuentran ya publicados dentro del portal Web de la entidad en el enlace https://www.adres.gov.co/Transparencia/Procesos-y-procedimientos 
</t>
  </si>
  <si>
    <t xml:space="preserve">Dentro de la carpeta Evidencias\II trimestre\11600-3-3-1 se encuentra la evidencia de los pagos realizados frente a esta actividad. Tener en cuenta las siguientes consideraciones:
Tomando como insumo el plan de adquisiciones de la vigencia presente para esta actividad se tiene la relación de los siguientes Rubros: (a) Adquirir licencias Microsoft, el soporte de las mismas y demás servicios conexos. (b) Adquirir el licenciamiento en la nube de la solución Dynamics 365 Enterprise para atención a incidentes en mesa de ayuda. (c) Renovación del licenciamiento del software Crypto-Vault para las actividades de aseguramiento criptográfico digital de los archivos recibidos y remitidos por la ADRES.
Ahora bien, para las actividades relacionadas se reporta el siguiente avance
1. Adquirir licencias Microsoft, el soporte de las mismas y demás servicios conexos. 
De acuerdo a la orden de compra 27518, la cual puede ser consultada en el enlace https://www.colombiacompra.gov.co/tienda-virtual-del-estado-colombiano/ordenes-compra/27518,  esta quedo a nombre del proveedor UT Soluciones Microsoft 2017, por un valor total de $331.449.357,90 De donde:
• Primera factura por valor de $285.637.436,68 ya cancelada. (Ver Evidencias\II trimestre\11600-3-3-1\ Licencias Microsoft\ Pago 1 Colsoft.pdf)
• Segunda factura por valor de $2.768.925.27 radicada el 10/07/2018. (Ver Evidencias\II trimestre\11600-3-3-1\ Licencias Microsoft\ Pago 2 Colsoft.pdf)
2. Adquirir el licenciamiento en la nube de la solución Dynamics 365 Enterprise para atención a incidentes en mesa de ayuda. 
Esta actividad se encuentra a cargo del proveedor Controles Empresariales bajo contrato 077 de 2018. En el cierre del presente informe no se ha realizado ningún pago.  Finalmente, la DGTIC junto con el proveedor se encuentran en la definición del cronograma del proyecto para la implementación de la solución.
3. Renovación del licenciamiento del software Crypto-Vault para las actividades de aseguramiento criptográfico digital de los archivos recibidos y remitidos por la ADRES. 
El proceso actualmente se encuentra en renovación de contratación, de acuerdo con:
• Correo electrónico dirigido al grupo Interno de Contratación (RE documentos soportes contratos titan y crypto-vault.msg)
• Oficio Enviado al grupo Interno de contratación. (DOC200618.pdf).
Dichas evidencias se encuentran en la carpeta Evidencias\II trimestre\11600-3-3-1\ CriptoVault.
ACLARACIÓN SOBRE LA EJECUCIÓN DE LA ACTIVIDAD: Esta actividad para este trimestre tenía presupuestado ejecutar $ 329.615.850 pesos y en el momento de hacer el presente seguimiento se ha ejecutado $285.637.436,68, el cual corresponde a 28.22% del valor proyectado.
</t>
  </si>
  <si>
    <r>
      <t xml:space="preserve">Dentro de la carpeta </t>
    </r>
    <r>
      <rPr>
        <b/>
        <sz val="10"/>
        <color theme="1"/>
        <rFont val="Verdana"/>
        <family val="2"/>
      </rPr>
      <t>Evidencias\I trimestre\11600-3-3-1</t>
    </r>
    <r>
      <rPr>
        <sz val="10"/>
        <color theme="1"/>
        <rFont val="Verdana"/>
        <family val="2"/>
      </rPr>
      <t>se almacena un archivo indicando que para la revisión del primer trimestre no habían tareas planeadas para esta actividad.</t>
    </r>
  </si>
  <si>
    <r>
      <t xml:space="preserve">Dentro de la carpeta </t>
    </r>
    <r>
      <rPr>
        <b/>
        <sz val="10"/>
        <rFont val="Verdana"/>
        <family val="2"/>
      </rPr>
      <t>Evidencias\I trimestre\11600-3-5-1</t>
    </r>
    <r>
      <rPr>
        <sz val="10"/>
        <rFont val="Verdana"/>
        <family val="2"/>
      </rPr>
      <t xml:space="preserve"> se encuentra la evidencia de los pagos realizados frente a esta actividad. Tener en cuenta las siguientes consideraciones:
Tomando como insumo el plan de adquisiciones de la vigencia presente para esta actividad se tiene la relación de los siguientes Rubros: (a) Prestar el servicio de soporte y administración de la plataforma de gestión documental DOCUMENTUM y la solución de correspondencia de la ADRES (b) Servicio de videoconferencia gubernamental y adquisición de equipos.
(a) </t>
    </r>
    <r>
      <rPr>
        <b/>
        <sz val="10"/>
        <rFont val="Verdana"/>
        <family val="2"/>
      </rPr>
      <t>Prestar el servicio de soporte y administración de la plataforma de gestión documental DOCUMENTUM y la solución de correspondencia de la ADRES</t>
    </r>
    <r>
      <rPr>
        <sz val="10"/>
        <rFont val="Verdana"/>
        <family val="2"/>
      </rPr>
      <t xml:space="preserve">. 
Se realizo contrato No. 0064 de 2018, con fecha de inicio el 26 de Enero del 2018 hasta el 31 de Diciembre del 2018
Las evidencias se encuentran en Evidencias\I trimestre\11600-3-5-1\Mega Group, de donde: 
El mes de diciembre 2018 (Carpeta Pago Dic 2017 con documentación adjunta), el cual ya se encuentra </t>
    </r>
    <r>
      <rPr>
        <b/>
        <sz val="10"/>
        <rFont val="Verdana"/>
        <family val="2"/>
      </rPr>
      <t>paga</t>
    </r>
    <r>
      <rPr>
        <sz val="10"/>
        <rFont val="Verdana"/>
        <family val="2"/>
      </rPr>
      <t xml:space="preserve">. 
El mes de enero (Soporte Pago Mes Enero.pdf), el cual ya se encuentra </t>
    </r>
    <r>
      <rPr>
        <b/>
        <sz val="10"/>
        <rFont val="Verdana"/>
        <family val="2"/>
      </rPr>
      <t>paga</t>
    </r>
    <r>
      <rPr>
        <sz val="10"/>
        <rFont val="Verdana"/>
        <family val="2"/>
      </rPr>
      <t xml:space="preserve">. 
El mes de Febrero (Soporte Pago Mes Febrero.pdf) ya se encuentra pago. 
Finalmente, para el mes de marzo (Soporte Pago Mes Marzo.pdf)  se encuentra Radicada la factura.
(b) </t>
    </r>
    <r>
      <rPr>
        <b/>
        <sz val="10"/>
        <rFont val="Verdana"/>
        <family val="2"/>
      </rPr>
      <t>Servicio de videoconferencia gubernamental y adquisición de equipos</t>
    </r>
    <r>
      <rPr>
        <sz val="10"/>
        <rFont val="Verdana"/>
        <family val="2"/>
      </rPr>
      <t xml:space="preserve">.
Se realizó contacto con 2 proveedores para validar las posibles soluciones a implementar según las necesidades de la entidad, realizaron levantamiento de información y toma de medidas para entregar una cotización formal.
Las evidencias se encuentran en Evidencias\I trimestre\11600-3-5-1\Video conferencia, de donde: 
Acta de visita de proveedor para videoconferencia.
</t>
    </r>
    <r>
      <rPr>
        <b/>
        <sz val="10"/>
        <rFont val="Verdana"/>
        <family val="2"/>
      </rPr>
      <t>ACLARACIÓN SOBRE LA EJECUCIÓN DE LA ACTIVIDAD</t>
    </r>
    <r>
      <rPr>
        <sz val="10"/>
        <rFont val="Verdana"/>
        <family val="2"/>
      </rPr>
      <t xml:space="preserve">: Esta actividad para este trimestre tenía presupuestado ejecutar $ 57,091,580 pesos y hasta el momento se ha ejecutado (pagado) $47.197.600 + radicado mes de marzo (en proceso de pago) $19.992.000.
Se tiene un valor ejecutado de $47.197.600 dando una diferencia de $9,893,980. Por tal razón hasta el momento se tiene un 82,67,85% de la ejecución del presupuesto asignado para está actividad en este trimestre.
</t>
    </r>
  </si>
  <si>
    <t xml:space="preserve">Dentro de la carpeta Evidencias\II trimestre\11600-3-5-1 se encuentra la evidencia de los pagos realizados frente a esta actividad. Tener en cuenta las siguientes consideraciones:
Tomando como insumo el plan de adquisiciones de la vigencia presente para esta actividad se tiene la relación de los siguientes Rubros: (a) Prestar el servicio de soporte y administración de la plataforma de gestión documental DOCUMENTUM y la solución de correspondencia de la ADRES (b) Servicio de videoconferencia gubernamental y adquisición de equipos. (c) Adquirir la Prestación de Servicios BPO-Mesa de ayuda, mediante Acuerdo Marco de Precios. 
1. Prestar el servicio de soporte y administración de la plataforma de gestión documental DOCUMENTUM y la solución de correspondencia de la ADRES. 
• El mes de marzo Soporte Pago 032018 Megareoup.pdf), Radicado en el seguimiento anterior, pero al corte de dicha revisión no se había cancelado, Actualmente se encuentra Pago.
• El mes de abril (Soporte Pago 042018 Megareoup.pdf), Se encuentra actualmente Pago.
• El mes de mayo (Soporte Pago 052018 Megareoup.pdf), Se encuentra actualmente Pago.
• El mes de junio No se ha radicado la cuenta de cobro.
2. Servicio de videoconferencia gubernamental y adquisición de equipos.
Actualmente, nos encontramos en proceso de definición de los anexos técnicos para la definición del alcance de la solución de Servicio de videoconferencia gubernamental que aplique a las necesidades de la Entidad.
3. Adquirir la Prestación de Servicios BPO-Mesa de ayuda, mediante Acuerdo Marco de Precios. 
Se tiene la Orden de compra número 29276, que puede ser consultada en  https://www.colombiacompra.gov.co/tienda-virtual-del-estado-colombiano/ordenes-compra/29276, la cual en corte al presente informe no se le ha realizado ningún pago.
ACLARACIÓN SOBRE LA EJECUCIÓN DE LA ACTIVIDAD: Esta actividad para este trimestre tenía presupuestado ejecutar $ 103.980.335 pesos y en el momento de hacer el presente seguimiento se ha ejecutado $59.976.000, el cual corresponde a 57.68% del valor proyectado.
</t>
  </si>
  <si>
    <r>
      <t xml:space="preserve">Dentro de la carpeta </t>
    </r>
    <r>
      <rPr>
        <b/>
        <sz val="10"/>
        <color theme="1"/>
        <rFont val="Verdana"/>
        <family val="2"/>
      </rPr>
      <t>Evidencias\I trimestre\11600-3-6-1</t>
    </r>
    <r>
      <rPr>
        <sz val="10"/>
        <color theme="1"/>
        <rFont val="Verdana"/>
        <family val="2"/>
      </rPr>
      <t xml:space="preserve"> se almacena un archivo indicando que para la revisión del primer trimestre no habían tareas planeadas para esta actividad.</t>
    </r>
  </si>
  <si>
    <t xml:space="preserve">Para este trimestre de acuerdo con el plan de adquisiciones se debía empezar a ejecutar el presupuesto. Teniendo en cuenta que la ley de garantías se terminó el 17 de junio de 2018, dentro de este trimestre no se pudo ejecutar recurso en dicha actividad.  
ACLARACIÓN SOBRE LA EJECUCIÓN DE LA ACTIVIDAD: Esta actividad para este trimestre tenía presupuestado ejecutar $ 138.720.000 pesos y en el momento de hacer el presente seguimiento se ha ejecutado $0, el cual corresponde a 0.00% del valor proyectado.
</t>
  </si>
  <si>
    <t xml:space="preserve">Dentro de la carpeta Evidencias\I trimestre\11600-3-7-1 se encuentra la evidencia de los pagos realizados frente a esta actividad. Tener en cuenta las siguientes consideraciones:
(i) Se tiene la relación de un contratista: John Edwin Rodríguez Sánchez. Inicia Actividades el día 11 de enero de 2018 bajo el contrato 0012 de 2018.
Las evidencias se encuentran en Evidencias\I trimestre\11600-3-7-1\ John Edwin Rodríguez Sánchez, de donde: 
• El mes de marzo (Informe 201803 John Edwin Rodriguez.pdf), Radicado en el seguimiento anterior, pero al corte de dicha revisión no se había cancelado, Actualmente se encuentra cancelada.
• El mes de abril (Informe 201804 John Edwin Rodriguez.pdf), Se encuentra actualmente pago.
• El mes de mayo (Informe 201805 John Edwin Rodriguez.pdf), Se encuentra actualmente pago.
• El mes de junio (Informe 201806 John Edwin Rodriguez.pdf), Se encuentra actualmente radicado.
ACLARACIÓN SOBRE LA EJECUCIÓN DE LA ACTIVIDAD: Esta actividad para este trimestre tenía presupuestado ejecutar $ 12.240.000 + radicado mes de junio (en proceso de pago) $4.080.000.   Es importante aclarar que, aunque el 100% del valor proyectado se ha ejecutado, se tienen $4.080.000 que corresponden a la radicación del mes de marzo y que se relacionan en el presente reporte, ya que en el anterior corte no habían sido pagados por parte de la Entidad. 
</t>
  </si>
  <si>
    <t xml:space="preserve">Dentro de la carpeta Evidencias\II trimestre\11600-3-9-1 se encuentra la evidencia de los pagos realizados frente a esta actividad. Tener en cuenta las siguientes consideraciones:
(i) Se tiene la relación de tres contratistas: (a) Manuel Alejandro Peña Vargas. (b) Jorge Augusto Suarez Isaza (c) Yuly Margoth Otalora Bernal, para lo cual se ha puesto una carpeta con el nombre de cada uno de ellos.
1. Manuel Alejandro Peña Vargas. Inicia Actividades el día 11 de enero de 2018 bajo el contrato 0024 de 2018. Las evidencias se encuentran en Evidencias\II trimestre\11600-3-9-1\ Manuel Alejandro Peña Vargas, de donde:
• El mes de marzo (Informe parcial 3-Contrato 0024_2018.pdf), Radicado en el seguimiento anterior, pero al corte de dicha revisión no se había cancelado, Actualmente se encuentra cancelada.
• El mes de abril (Informe parcial 4-Contrato 0024_2018.pdf), Se encuentra actualmente pago.
• El mes de mayo (Informe parcial 5-Contrato 0024_2018.pdf), Se encuentra actualmente pago.
• El mes de junio (Informe parcial 6-Contrato 0024_2018.pdf), Se encuentra actualmente radicado.
2. Jorge Augusto Suarez Isaza. Inicia Actividades el día 11 de enero de 2018 bajo el contrato 0019 de 2018. Las evidencias se encuentran en Evidencias\II trimestre\11600-3-9-1\ Jorge Augusto Suarez Isaza, de donde:
• El mes de marzo (Informe 032018 JORGE SUAREZ.pdf), Radicado en el seguimiento anterior, pero al corte de dicha revisión no se había cancelado, Actualmente se encuentra cancelada.
• El mes de abril (Informe 042018 JORGE SUAREZ.pdf), Se encuentra actualmente pago.
• El mes de mayo (Informe 052018 JORGE SUAREZ.pdf), Se encuentra actualmente pago.
• El mes de junio (Informe 062018 JORGE SUAREZ.pdf), Se encuentra actualmente radicado.
3. Yuly Margoth Otalora Bernal. Inicia Actividades el día 01 de febrero de 2018 bajo el contrato 0068 de 2018. Las evidencias se encuentran en Evidencias\I trimestre\11600-3-9-1\Yuly Margoth Otalora Bernal, de donde: 
• El mes de marzo (Informe 201803 Yuly Margoth Otalora Bernal.pdf), Radicado en el seguimiento anterior, pero al corte de dicha revisión no se había cancelado, Actualmente se encuentra cancelada.
• El mes de abril (Informe 201804 Yuly Margoth Otalora Bernal.pdf), Se encuentra actualmente pago.
• El mes de mayo (Informe 201805 Yuly Margoth Otalora Bernal.pdf), Se encuentra actualmente pago.
• El mes de junio (Informe 201806 Yuly Margoth Otalora Bernal.pdf), Se encuentra actualmente radicado.
ACLARACIÓN SOBRE LA EJECUCIÓN DE LA ACTIVIDAD: Teniendo en cuenta que dentro de esta actividad para este trimestre se tenía presupuestado ejecutar $ 128.634.000 y hasta el momento se ha ejecutado (pagado) $ 37.711.221 + radicado mes de junio (en proceso de pago) $12,590,407. 
Se tiene un valor ejecutado de $ 37.711.221 dando una diferencia de $ 90.922.779, el cual es producto a que no se ha podido contratar todos los contratistas que se tenían presupuestados; ya que dentro del primer trimestre se hizo la convocatoria de selección de los contratistas requeridos y se adelantó la evaluación de perfil y requisitos para el cargo. Sin embargo, antes de entrar en período de ley de garantías (27 de enero de 2018), solo se pudo contratar a Yuly Otalora (única candidata que cumplió el perfil) quedando pendiente la contratación de los otros contratistas hasta finalizar el periodo en el cual rige la ley. 
Por tal razón hasta el momento se tiene un 29.31% de la ejecución del presupuesto asignado para esta actividad en este trimestre.
</t>
  </si>
  <si>
    <t xml:space="preserve">Dentro de la carpeta Evidencias\II trimestre\11600-3-10-1 se encuentra la evidencia de los pagos realizados frente a esta actividad al contratista PCCOM. Tener en cuenta las siguientes consideraciones:
• El mes de marzo (Pago 032018 PCcom.pdf), Radicado en el seguimiento anterior, pero al corte de dicha revisión no se había cancelado, Actualmente se encuentra cancelada.
• El mes de abril (Pago 042018 PCcom.pdf), Se encuentra actualmente pago.
• El mes de mayo (Pago 052018 PCcom.pdf), Se encuentra actualmente pago.
ACLARACIÓN SOBRE LA EJECUCIÓN DE LA ACTIVIDAD: En esta actividad para este trimestre se tenía presupuestado ejecutar $211.535.887,5 y hasta el momento se ha ejecutado (pagado) $ 157.497.690. Por tal razón hasta el momento se tiene un 74.45% de la ejecución del presupuesto asignado para esta actividad en este trimestre.  
</t>
  </si>
  <si>
    <t>11600-3-11</t>
  </si>
  <si>
    <t>Red de almacenamiento de información (producto o servicio)</t>
  </si>
  <si>
    <t>11600-3-11-1</t>
  </si>
  <si>
    <t>Apoyo técnico para la implementación de la red de almacenamiento de información.</t>
  </si>
  <si>
    <t>Dentro de la carpeta Evidencias\II trimestre\11600-3-11-1 se almacena un archivo indicando que para la revisión del segundo trimestre no había tareas planeadas para esta actividad.</t>
  </si>
  <si>
    <t>11600-3-12</t>
  </si>
  <si>
    <t>Portal web y portal intranet de la ADRES</t>
  </si>
  <si>
    <t>11600-3-12-1</t>
  </si>
  <si>
    <t>Administración y desarrollo de soluciones en la plataforma SharePoint requeridas para el portal web y portal intranet de la ADRES</t>
  </si>
  <si>
    <t>Se anexan a la carpeta compartida por la Oficina Asesora de Planeación y Control de Riesgos, las cuentas de cobros radicados del trimestre, las cuales evidencian la ejecución de los recursos asignados y programados entre Abril a Junio de 2018.
Se anexan a la carpeta compartida por la Oficina Asesora de Planeación y Control de Riesgos, la relación de registros de recaudos identificados Vs. Total de Registros recaudos en el II Trimestre.</t>
  </si>
  <si>
    <t>Se anexan a la carpeta compartida por la Oficina Asesora de Planeación y Control de Riesgos, los Informe de Control de Recaudo y Fuentes de Financiamiento, correspondientes a los periodos comprendidos de: 1) Marzo 2018; 2) Abril 2018; y 3) Mayo 2018.</t>
  </si>
  <si>
    <t>Se reportó el 11 de julio en este documento los avances de la ejecución del Plan de Acción de esta dependencia.</t>
  </si>
  <si>
    <r>
      <t xml:space="preserve">Durante el 2° trimestre de 2018 se realizó el seguimiento al Plan de Acción correspondiente al 1° trimestre de 2018, cuyo informe de avance se reportó y publicó en la página Web de la ADRES Las evidencias se encuentran en la ruta: </t>
    </r>
    <r>
      <rPr>
        <u/>
        <sz val="10"/>
        <color theme="4"/>
        <rFont val="Verdana"/>
        <family val="2"/>
      </rPr>
      <t>ONE DRIVE\ADRES\PLAN DE ACCION\DIRECCIÓN GENERAL\OFICINA ASESORA DE PLANEACIÓN Y CONTROL DE RIESGOS\Evidencias\II Trimestre\12000-2-1-1.</t>
    </r>
  </si>
  <si>
    <r>
      <t xml:space="preserve">En la ruta: </t>
    </r>
    <r>
      <rPr>
        <u/>
        <sz val="10"/>
        <color theme="4"/>
        <rFont val="Verdana"/>
        <family val="2"/>
      </rPr>
      <t>ONE DRIVE\ADRES\PLAN DE ACCION\DIRECCIÓN GENERAL\OFICINA ASESORA DE PLANEACIÓN Y CONTROL DE RIESGOS\Evidencias\II Trimestre\12000-2-2-1</t>
    </r>
    <r>
      <rPr>
        <sz val="10"/>
        <color theme="1"/>
        <rFont val="Verdana"/>
        <family val="2"/>
      </rPr>
      <t xml:space="preserve"> se encuentran como evidencias de esta actividad los informes de cumplimiento de avance de obligaciones contractuales y pago correspondientes a los meses de abril, mayo y junio del contrato 021 de 2018, avalados por el supervisor. Se aclara que el valor del mes de marzo ($5.136.839) fue pagado durante el periodo objeto de reporte, por lo que se incluye dentro de la ejecución presupuestal del segundo trimestre; y el valor del mes de junio ($5.136.839) fue aprobado por el Supervisor pero no se ha pagado a la fecha del reporte, razón por la cual éste no se incluye dentro de la ejecución presupuestal del segundo trimestre. </t>
    </r>
  </si>
  <si>
    <r>
      <t xml:space="preserve">Se da cumplimiento al reporte correspondiente al </t>
    </r>
    <r>
      <rPr>
        <b/>
        <sz val="10"/>
        <color theme="1"/>
        <rFont val="Verdana"/>
        <family val="2"/>
      </rPr>
      <t xml:space="preserve">Segundo Trimestre </t>
    </r>
    <r>
      <rPr>
        <sz val="10"/>
        <color theme="1"/>
        <rFont val="Verdana"/>
        <family val="2"/>
      </rPr>
      <t>de 2018, el viernes 6 de julio de 2018.</t>
    </r>
  </si>
  <si>
    <r>
      <t xml:space="preserve">Avance Ejecución 100%  en el </t>
    </r>
    <r>
      <rPr>
        <b/>
        <sz val="10"/>
        <color theme="1"/>
        <rFont val="Verdana"/>
        <family val="2"/>
      </rPr>
      <t xml:space="preserve">Segundo Trimestre </t>
    </r>
    <r>
      <rPr>
        <sz val="10"/>
        <color theme="1"/>
        <rFont val="Verdana"/>
        <family val="2"/>
      </rPr>
      <t>de acuerdo con lo establecido en el Plan de Acción 2018. Los procedimientos fueron aprobados e incluidos en el Manual operativo de Control y Evaluación de la Gestión, el cual se encuentra publicado en la Página web de la entidad.</t>
    </r>
  </si>
  <si>
    <r>
      <t xml:space="preserve">
Avance Ejecución 0% de acuerdo con lo establecido en el Plan de Acción 2018. Actividades programadas para iniciar en el </t>
    </r>
    <r>
      <rPr>
        <b/>
        <sz val="10"/>
        <color theme="1"/>
        <rFont val="Verdana"/>
        <family val="2"/>
      </rPr>
      <t>Tercer Trimestre.</t>
    </r>
  </si>
  <si>
    <r>
      <t xml:space="preserve">Se dio cumplimiento al avance del 25% en el 2 trimestre correspondiente a la realización de 2 informes. En la ruta One Drive </t>
    </r>
    <r>
      <rPr>
        <b/>
        <sz val="10"/>
        <color theme="1"/>
        <rFont val="Verdana"/>
        <family val="2"/>
      </rPr>
      <t>EVIDENCIAS/Trimestre II/11800-3-1-1</t>
    </r>
    <r>
      <rPr>
        <sz val="10"/>
        <color theme="1"/>
        <rFont val="Verdana"/>
        <family val="2"/>
      </rPr>
      <t xml:space="preserve"> se encuentran 2 carpetas con los respectivos informes y soportes de cumplimiento.
1. Arqueo Caja Menor - ADRES- 2018.
2. Informe de seguimiento Estado de ejecución presupuestal ADRES -UGG-URA.</t>
    </r>
  </si>
  <si>
    <r>
      <t xml:space="preserve">Se dio cumplimiento al avance del 28% en el </t>
    </r>
    <r>
      <rPr>
        <b/>
        <sz val="10"/>
        <color theme="1"/>
        <rFont val="Verdana"/>
        <family val="2"/>
      </rPr>
      <t xml:space="preserve">Segundo Trimestre </t>
    </r>
    <r>
      <rPr>
        <sz val="10"/>
        <color theme="1"/>
        <rFont val="Verdana"/>
        <family val="2"/>
      </rPr>
      <t>correspondiente a la realización de 5 informes para dar respuesta a los Requerimientos Legales Internos. En la ruta One Drive EVIDENCIAS/Trimestre II/11800-3-2-1 se encuentran 5 carpetas con los respectivos informes y soportes de cumplimiento.
1. Seguimiento a las medidas de austeridad en el gasto público en ADRES (Decretos 1737 y 2209 de 1998 y el 2445 de 2000).
2. Evaluación al Sistema de Información y Gestión del Empleo Público - SIGEP.
3. Seguimiento a la Ley de Transparencia 1712 de 2014.
4. Seguimiento Plan Anticorrupción.   
5. Seguimiento al cumplimiento del Artículo 76 de la ley 1474 de 2011. Atención al Ciudadano y PQR.
1. Evaluación Dependencias Plan de Acción y Plan Estratégico. (Informes General e informes por dependencias).
2. Verificar cumplimiento de la publicación del Plan de Acción 2018 en página Web (Informe).
3. Seguimiento a las medidas de austeridad en el gasto público en ADRES (Informe Cuarto trimestre 2017).
4. Seguimiento Acuerdos de Gestión Talento Humano (Oficio Radicado a Director General)
5. Realizar un informe pormenorizado del estado del control interno (informe con corte a marzo 2018).</t>
    </r>
  </si>
  <si>
    <r>
      <t xml:space="preserve">Se dio cumplimiento al 12% proyectado en el Plan de Acción para el Segundo Trimestre, realizando 2 informes de los 2 propuestos y presentando 1 informe que se encontraba pendiente del Primer Trimestre. En la ruta One Drive </t>
    </r>
    <r>
      <rPr>
        <b/>
        <sz val="10"/>
        <color theme="1"/>
        <rFont val="Verdana"/>
        <family val="2"/>
      </rPr>
      <t>EVIDENCIAS/Trimestre II/11800-3-3-1</t>
    </r>
    <r>
      <rPr>
        <sz val="10"/>
        <color theme="1"/>
        <rFont val="Verdana"/>
        <family val="2"/>
      </rPr>
      <t xml:space="preserve"> se encuentran 3 carpetas con los respectivos informes y soportes de cumplimiento.
1. Acompañamiento y Consolidación del Informe de Rendición de la Cuenta Fiscal Anual y envío a la Contraloría General de la República (Pendiente del 1 Trimestre).
2. Revisión y envío de la Gestión Contractual del Trimestre a la CGR, a través del SIRECI.
3. Seguimiento y Evaluación Mapa de Riesgos Institucional y de corrupción.
</t>
    </r>
  </si>
  <si>
    <r>
      <t xml:space="preserve">Se dio cumplimiento al avance del 50%  en el </t>
    </r>
    <r>
      <rPr>
        <b/>
        <sz val="10"/>
        <color theme="1"/>
        <rFont val="Verdana"/>
        <family val="2"/>
      </rPr>
      <t>Primer Trimestre</t>
    </r>
    <r>
      <rPr>
        <sz val="10"/>
        <color theme="1"/>
        <rFont val="Verdana"/>
        <family val="2"/>
      </rPr>
      <t xml:space="preserve"> a través de la presentación del INFORME DE SEGUIMIENTO PLAN DE MEJORAMIENTO CGR. El siguiente informe correspondiente al 50%, se emitirá en el </t>
    </r>
    <r>
      <rPr>
        <b/>
        <sz val="10"/>
        <color theme="1"/>
        <rFont val="Verdana"/>
        <family val="2"/>
      </rPr>
      <t>Tercer Trimestre</t>
    </r>
    <r>
      <rPr>
        <sz val="10"/>
        <color theme="1"/>
        <rFont val="Verdana"/>
        <family val="2"/>
      </rPr>
      <t>.</t>
    </r>
  </si>
  <si>
    <r>
      <t xml:space="preserve">Se da cumplimiento al avance del 25% en el </t>
    </r>
    <r>
      <rPr>
        <b/>
        <sz val="10"/>
        <color theme="1"/>
        <rFont val="Verdana"/>
        <family val="2"/>
      </rPr>
      <t xml:space="preserve">Segundo Trimestre </t>
    </r>
    <r>
      <rPr>
        <sz val="10"/>
        <color theme="1"/>
        <rFont val="Verdana"/>
        <family val="2"/>
      </rPr>
      <t xml:space="preserve"> correspondiente a la emisión de 3 Boletines de autocontrol. En la ruta One Drive </t>
    </r>
    <r>
      <rPr>
        <b/>
        <sz val="10"/>
        <color theme="1"/>
        <rFont val="Verdana"/>
        <family val="2"/>
      </rPr>
      <t>EVIDENCIAS/Trimestre II/11800-3-5-1</t>
    </r>
    <r>
      <rPr>
        <sz val="10"/>
        <color theme="1"/>
        <rFont val="Verdana"/>
        <family val="2"/>
      </rPr>
      <t xml:space="preserve"> se encuentran los 3 boletines emitidos por la OCI correspondientes a los meses de abril, mayo y junio de 2018. </t>
    </r>
  </si>
  <si>
    <t xml:space="preserve">Se reporta el número de procesos de contratación efectuados en el período los cuales fueron solicitados por las diferentes dependencias de la Entidad.
Financieramente solo se reportan los contratos propios del grupo.
</t>
  </si>
  <si>
    <t>se solicitaron107 certificados y ese mismo valor fue entregado en ese periodo</t>
  </si>
  <si>
    <t>Esta en proceso de contratación esta para firma  de las partes </t>
  </si>
  <si>
    <t>Se incluye informe de ejecución presupuestal del mes de marzo, dado que se canceló en el trimestre objeto de reporte. En este avance de ejecución no se incluye el valor a pagar del mes de junio, dado que no se pagó al corte del trimestre.</t>
  </si>
  <si>
    <t xml:space="preserve"> $ - </t>
  </si>
  <si>
    <t>El avance del Plan de Acción se reportó el 13 de julio de 2018.</t>
  </si>
  <si>
    <t>Para el segundo trimestre de la vigencia no se identificaron nuevos procedimientos o procedimientos que dieran lugar a reportes.</t>
  </si>
  <si>
    <t xml:space="preserve">Dirección General </t>
  </si>
  <si>
    <t>11200-2-10</t>
  </si>
  <si>
    <t>Informe mensual de los contenidos digitales de la ADRES</t>
  </si>
  <si>
    <t>11600-2-10-1</t>
  </si>
  <si>
    <t>Administrar los contenidos de los medios digitales de la ADRES</t>
  </si>
  <si>
    <t># Informes de administración de contenidos digitales de la ADRES</t>
  </si>
  <si>
    <t>11200-2-7</t>
  </si>
  <si>
    <t>11200-2-7-1</t>
  </si>
  <si>
    <t>11300/11700-2</t>
  </si>
  <si>
    <t>11300/11700-2-1</t>
  </si>
  <si>
    <t>NIIF implementadas</t>
  </si>
  <si>
    <t>11300/11700-2-1-1</t>
  </si>
  <si>
    <t>Implementar las NIIF de acuerdo con la Resolución 553, el instructivo 002 de 2015 y sus modificaciones.</t>
  </si>
  <si>
    <t># Actividades realizadas para la implementación de las NIIF / # actividades programadas para la implementación de las NIIF</t>
  </si>
  <si>
    <t>11300/11700</t>
  </si>
  <si>
    <t>Dirección de Gestión de Recursos Financieros para la Salud
Dirección Administrativa y Financiera</t>
  </si>
  <si>
    <t>Definición y aprobación de planes asociados a la DGTIC (Plan Estratégico de Tecnologías de la Información y las Comunicaciones PETI, Plan de Seguridad y Privacidad de la Información y Plan de Tratamiento de Riesgos de Seguridad y Privacidad de la Información)</t>
  </si>
  <si>
    <t xml:space="preserve">Porcentual </t>
  </si>
  <si>
    <t># Planes asociados a la DGTIC aprobados / # Planes asociados a la DGTIC establecidos</t>
  </si>
  <si>
    <t>Dentro de la carpeta Evidencias\II trimestre\11600-3-2-1 se encuentra la evidencia de los pagos realizados frente a esta actividad. Tener en cuenta las siguientes consideraciones:
Tomando como insumo el plan de adquisiciones de la vigencia presente para esta actividad se tiene la relación de los siguientes Rubros: (a) Adquirir el Servicio de Centro de Datos Principal para la ADRES. (b) Contratar la prestación del Servicio de Centro de Datos / Nube Privada (Adición). (c) Adquirir servicios de conectividad para la Entidad Administradora de los Recursos del Sistema General de Seguridad Social en Salud (Adición).
1. Adquirir el Servicio de Centro de Datos Principal para la ADRES. 
Se realiza el proceso de selección del nuevo proveedor del servicio del centro de Datos principal para la ADRES, bajo la modalidad de acuerdo marco. De donde:
El proceso fue adjudicado a COLOMBIANA DE SOFTWARE Y HARDWARE COLSOF S.A, para lo cual se realizó la orden de compra 28969, por un valor de $ 861.588.100,00. La orden de compra puede ser consultada en el enlace https://www.colombiacompra.gov.co/tienda-virtual-del-estado-colombiano/ordenes-compra/28969. 
Actualmente, se está en proceso de definición de la migración del centro de datos; por consiguiente, no se ha gastado presupuesto asignado a dicha actividad.
2. Contratar la prestación del Servicio de Centro de Datos / Nube Privada (Adición).
Se tiene la relación con el proveedor Century Link (Level 3), la cual inicia Actividades el día 15 de mayo de 2017 bajo el contrato 0059 de 2017. Las evidencias se encuentran en Evidencias\ II trimestre\11600-3-2-1\Nube Privada, de donde: 
• Enero (Pago 032018 nube privada.pdf), la cual no fue radicada antes del seguimiento anterior, Actualmente se encuentra Paga.
• Febrero (Pago 032018 nube privada.pdf), la cual no fue radicada antes del seguimiento anterior, Actualmente se encuentra Paga.
• Marzo (Pago 032018 nube privada.pdf), la cual no fue radicada antes del seguimiento anterior, Actualmente se encuentra Paga.
• Abril (Pago 042018 nube privada.pdf), Se encuentra actualmente Paga.
• Mayo (Pago 052018 Nube privada.pdf), Se encuentra actualmente No se ha pagado. 
• Junio Al cierre del presente reporte no se ha radicado por parte del proveedor las facturas correspondientes al mes.
3. Adquirir servicios de conectividad para la Entidad Administradora de los Recursos del Sistema General de Seguridad Social en Salud (Adición).
Se tiene la relación con el proveedor Century Link (Level 3), la cual inicia Actividades el día 11 de abril de 2017 bajo el contrato 0048 de 2017. Las evidencias se encuentran en Evidencias\II trimestre\11600-3-2-1\Conectividad, de donde: 
• Diciembre(Pago 201701 Conectividad.pdf), la cual no fue radicada antes del seguimiento anterior, Actualmente se encuentra Paga.
• Enero (Pago 201801 Conectividad.pdf), la cual no fue radicada antes del seguimiento anterior, Actualmente se encuentra Paga.
• Febrero (Pago 032018(2).pdf), la cual no fue radicada antes del seguimiento anterior, Actualmente se encuentra Paga.
• Marzo (Pago 201803 Conectividad.pdf), la cual no fue radicada antes del seguimiento anterior, Actualmente se encuentra Paga.
• Abril (Pago 201804 Conectividad.pdf), Se encuentra actualmente Paga.
• Mayo (Pago 201805 Conectividad.pdf), Se encuentra actualmente Paga. 
• Junio Al cierre del presente reporte no se ha radicado por parte del proveedor las facturas correspondientes al mes.
ACLARACIÓN SOBRE LA EJECUCIÓN DE LA ACTIVIDAD: Esta actividad para este trimestre tenía presupuestado ejecutar $ 1.016.449.335 pesos y en el momento de hacer el presente seguimiento se ha ejecutado $ 1.262.981.648, el cual corresponde a 121.022% del valor proyectado.</t>
  </si>
  <si>
    <t>La apropiación se ajustó, teniendo en cuenta la Resolución 2572 del 26 de junio de 2018.  </t>
  </si>
  <si>
    <t>La apropiación se ajustó, teniendo en cuenta la Resolución 1667 del 3 de mayo de 2018 y la Resolución 2572 del 26 de junio de 2018.  </t>
  </si>
  <si>
    <t>La  apropiación se ajusto, teniendo en cuenta  la  Resolución 1668 del 04 de mayo de 2018, a  este concepto se le realizo una adición presupuestal.   </t>
  </si>
  <si>
    <t>La meta del indicador se excede con respecto a lo establecido, ya que para los últimos días de junio se logró vincular al comunity manager, mejorando así los procesos y los resultados en las redes sociales.</t>
  </si>
  <si>
    <t>La información en rojo corresponde a aquella incluida o ajustada por concepto de: 
* Modificaciones al Plan Anual de Adquisiciones
* Resoluciones de adición, reducción y/o traslados de presupuesto de gastos administrados y/o funcionamiento.</t>
  </si>
  <si>
    <t>Presupuesto Total 1° Trimestre</t>
  </si>
  <si>
    <t>Presupuesto URA 1° Trimestre</t>
  </si>
  <si>
    <t>Presupuesto UGG 1° Trimestre</t>
  </si>
  <si>
    <t>Presupuesto Total 2° Trimestre</t>
  </si>
  <si>
    <t>Presupuesto URA 2° Trimestre</t>
  </si>
  <si>
    <t>Presupuesto UGG 2° Trimestre</t>
  </si>
  <si>
    <t>Ejecución Total 2° Trimestre</t>
  </si>
  <si>
    <t>Ejecución URA 2° Trimestre</t>
  </si>
  <si>
    <t>Ejecución UGG 2° Trimestre</t>
  </si>
  <si>
    <t>Ejecución Total 1° Trimestre</t>
  </si>
  <si>
    <t>Ejecución URA 1° Trimestre</t>
  </si>
  <si>
    <t>Ejecución UGG 1° Trimestre</t>
  </si>
  <si>
    <t>|</t>
  </si>
  <si>
    <t>% Cumplimiento Marzo</t>
  </si>
  <si>
    <t>% Cumplimiento Acumulado Marzo</t>
  </si>
  <si>
    <t>% Cumplimiento Junio</t>
  </si>
  <si>
    <t>% Cumplimiento Acumulado Junio</t>
  </si>
  <si>
    <t>% Cumplimiento Septiembre</t>
  </si>
  <si>
    <t>% Cumplimiento Acumulado Septiembre</t>
  </si>
  <si>
    <t>% Cumplimiento Diciembre</t>
  </si>
  <si>
    <t>% Cumplimiento Acumulado Diciembre</t>
  </si>
  <si>
    <t>I TRIMESTRE</t>
  </si>
  <si>
    <t>II TRIMESTRE</t>
  </si>
  <si>
    <t>Norela Briceño
Carlos Guzmán 
Marian Batista
Laddy Giraldo
Juan Carlos Borda
Juan Carlos Escobar</t>
  </si>
  <si>
    <t xml:space="preserve">
Directora de Gestión de Recursos Financieros de Salud
Director Administrativo y Financiero
Director de Liquidaciones y Garantías
Director de Otras Prestaciones
Director de Gestión de Tecnologías de la Información y las Comunicaciones
Jefe Oficina Asesora de Planeación y Control de Riesgos
Jefe Oficina de Control Interno
Jefe Oficina Asesora Jurídica
Asesor de Comunicaciones de la Dirección General</t>
  </si>
  <si>
    <t>Comité Institucional de Gestión y Desempeño</t>
  </si>
  <si>
    <t>Se ajustan los valores de las actividades de códigos: 11600-3-2-1 11600-3-3-1 junto con sus metas trimestrales, y de las actividades 11700-2-8-1 y 11700-2-2-6;  y se incluyen las actividades 11600-3-11-1 y 11600-3-12-1. Todo lo anterior,  según memorandos de solicitud de la DGTIC al GIGC sobre modificaciones al Plan Anual de Adquisiciones, de fechas 21/05/2018, 15/06/2018 y 18/06/2018 respectivamente.
Se ajusta la descripción de la actividad 11600-3-1-1 y las metas trimestrales, de acuerdo con la comunicación del 12/04/2018.
Se complementa la descripción de la actividad de Código 11600-3-4-1 y se cambia el código al 11600-3-1-1-5, teniendo en cuenta la integración de los planes institucionales y la solicitud de modificaciones al Plan Anual de Adquisiciones, de fecha 15/06/2018.</t>
  </si>
  <si>
    <t>Director de Gestión de Tecnologías de la Información y las Comunicaciones</t>
  </si>
  <si>
    <t>Norela Briceño
Juan Carlos Escobar</t>
  </si>
  <si>
    <t>Ajuste en el valor de la actividad 11700-2-17-1, dado que se incluyeron $120.000.000 que salen de los recursos del contrato de gestión de correspondencia, mensajería expresa masiva para la Administradora de los Recursos del Sistema de Seguridad Social en Salud-ADRES y de  gestión documental en el archivo de la entidad para la actividad 11700-2-58-1 correspondiente al PINAR.</t>
  </si>
  <si>
    <t>Norela Briceño
Juan Carlos Borda</t>
  </si>
  <si>
    <t>Se definieron las metas del 1° y 3° indicador de la actividad 11200-2-1-1.
Se incluyó la actividad 11600-2-10-1 y el valor asignado a la actividad  11200-2-7-1, por concepto de modificaciones al Plan Anual de Adquisiciones, con fecha de publicación en el SECOP II del 27/06/2018.</t>
  </si>
  <si>
    <t>Asesor de Comunicaciones de la Dirección General</t>
  </si>
  <si>
    <t>Norela Briceño
Johanna Contreras</t>
  </si>
  <si>
    <t>Se ajustan los valores de las actividades de códigos: 11300-3-1-3, 11300-3-1-4, 11300-3-1-5, 11300-3-1-14 y 11300-3-1-15 en concordancia con las Resoluciones 1667 del 3 de mayo de 2018, 1668 del 3 de mayo de 2018 y 2572 del 26 de junio de 2018. De acuerdo con esto, se ajustan las metas trimestrales de estas mismas actividades.</t>
  </si>
  <si>
    <t>Coordinador Grupo de Gestión Presupuestal de la Dirección de Gestión de Recursos Financieros de Salud</t>
  </si>
  <si>
    <t>Norela Briceño
Luz Inés Arboleda</t>
  </si>
  <si>
    <t>Se incluye la actividad 11300/11700-2-1-1 por concepto de modificaciones al Plan Anual de Adquisiciones, con fecha de publicación en el SECOP II del 27/06/2018.</t>
  </si>
  <si>
    <t>Directora de Gestión de Recursos Financieros de Salud
Director Administrativo y Financiero</t>
  </si>
  <si>
    <t xml:space="preserve">Norela Briceño </t>
  </si>
  <si>
    <t>Se desagregó el presupuesto asignado inicialmente en el Plan de Acción a las actividades 11700-2-10-1 y 11700-2-10-2, en las actividades de los Planes Institucionales de Capacitación, Bienestar e Incentivos y Seguridad y Salud en el Trabajo. Por esta misma razón, se ajustó el valor total, y las metas anuales y del tercer y cuarto trimestre de estas mismas actividades.</t>
  </si>
  <si>
    <t>Coordinador Grupo Interno de Gestión del Talento Humano</t>
  </si>
  <si>
    <t>Laddy Giraldo
Norela Briceño</t>
  </si>
  <si>
    <t>Leidy Marcela Beltrán González
Norela Briceño</t>
  </si>
  <si>
    <t>Coordinadora de Gestión Financiera Interna</t>
  </si>
  <si>
    <t>Jefe de la Oficina Asesora Jurídica encargado de la Dirección Administrativa y Financiera</t>
  </si>
  <si>
    <t xml:space="preserve">Grupo Interno de Gestión de Contratación </t>
  </si>
  <si>
    <t>Se reporta el valor pagado al contrato de la vigencia 2018, en lo corrido del Segundo Trimestre.
El contrato fue terminado anticipadamente al 31 de mayo de 2018 y el saldo fue liberado, por lo que se ajusta el valor asignado para el desarrollo de la actividad. </t>
  </si>
  <si>
    <t>Se retiraron $119.000.000 de la actividad 11700-2-23-1 dado que se liberaron estos recursos por terminación anticipada del contrato 067 de 2018, la solicitud del supervisor y la aprobación del Jefe de la Oficina Asesora Jurídica encargado de la Dirección Administrativa y Financiera</t>
  </si>
  <si>
    <t>Mediante resolución 1462 del 19  de abril del 2018 se depuraron 8.185 terceros que corresponden a 15.307 reclamaciones por el valor de  19.946.889.921,88 </t>
  </si>
  <si>
    <t>ANÁLISIS GENERAL DE RESULTADOS</t>
  </si>
  <si>
    <t>Trimestre</t>
  </si>
  <si>
    <t>Análisis</t>
  </si>
  <si>
    <t>II</t>
  </si>
  <si>
    <t>Como aspectos relevantes de la ejecución del Plan de Acción, para mejorar  los resultados en los siguientes trimestres se encuentran:
* La adquisición y actualización del licenciamiento
* La implementación de estrategias, instrumentos y herramientas
* Iniciar el desarrollo de nuevos Sistemas de información
* Realizar la venta de cartera a CISA
* Iniciar la ejecución de los contratos de capacitación y bienestar y Servicio de Centro de Datos / Nube Privada
* Realizar la contratación de:  la auditoria de recobros y reclamaciones y profesionales de apoyo, la estrategia de comunicaciones, la administración y custodia del portafolio de inversión y el soporte a los sistemas de información que respaldan los procesos misionales; dado que son contratos que influyen de manera importante en la ejecución presupuestal por los montos apropiados para éstos.</t>
  </si>
  <si>
    <t>No hubo ejecución presupuestal porque estábamos en Ley de Garantías y no se pudo contratar el realizador d el nueva página web de la ADRES.
El excedente en el índice del indicador se debe a una mayor producción de información que fue divulgada a los medios de comunicación, ya que en la labor de comunicaciones hemos evidenciado mayor oportunidad de temas que pueden ser noticiosos.</t>
  </si>
  <si>
    <t>Se envía correo con copia a la Directora de Gestión de los Recursos Financieros de salud como soporte </t>
  </si>
  <si>
    <t>Link de enlace publicación: https://www.adres.gov.co/Transparencia/Manuales-técnicos</t>
  </si>
  <si>
    <t>La  apropiación se ajusto, teniendo en cuenta  las  Resoluciones 1667 del 03 de mayo de 2018 y la 2372 26 de junio de 2018, a  este concepto se le realizo una adición y un traslado presupuestal.   </t>
  </si>
  <si>
    <t>La  apropiación se ajusto teniendo en cuenta  las  Resoluciones 1668 del 04 de mayo de 2018 y 2572 del 26 de junio de 2018. A este concepto se le realizo una adición presupuestal.</t>
  </si>
  <si>
    <t>Los estados financieros y el informe de operación reciproca están a corte de 31 de Marzo del 2018, la presentación de este informe fue prorrogada mediante resolución 159 de 29 de Mayo del 2018, la cual se adjunta en las Evidencias.</t>
  </si>
  <si>
    <r>
      <t>Dentro de la carpeta Evidencias\I trimestre\11600-3-2-1 se encuentra la evidencia de los pagos realizados frente a esta actividad. Tener en cuenta las siguientes consideraciones:
Tomando como insumo el plan de adquisiciones de la vigencia presente para esta actividad se tiene la relación de los siguientes Rubros: (a) Adquisición de servidores y switches core. (b) Contratar la prestación del Servicio de Centro de Datos / Nube Privada (Adición). (c) Adquirir servicios de conectividad para la Entidad Administradora de los Recursos del Sistema General de Seguridad Social en Salud (Adición).
(a) </t>
    </r>
    <r>
      <rPr>
        <b/>
        <sz val="10"/>
        <color theme="1"/>
        <rFont val="Verdana"/>
        <family val="2"/>
      </rPr>
      <t>Adquisición de servidores y switches core</t>
    </r>
    <r>
      <rPr>
        <sz val="10"/>
        <color theme="1"/>
        <rFont val="Verdana"/>
        <family val="2"/>
      </rPr>
      <t>. 
Se escala con la Dirección Administrativa y Financiera, para validar incluir el switch core dentro del canon de arrendamiento, dado que no se puede referenciar marcas y se requiere tener un switch core de la misma marca y referencia, para garantizar la redundancia y alta disponibilidad.
(b) </t>
    </r>
    <r>
      <rPr>
        <b/>
        <sz val="10"/>
        <color theme="1"/>
        <rFont val="Verdana"/>
        <family val="2"/>
      </rPr>
      <t>Contratar la prestación del Servicio de Centro de Datos / Nube Privada (Adición)</t>
    </r>
    <r>
      <rPr>
        <sz val="10"/>
        <color theme="1"/>
        <rFont val="Verdana"/>
        <family val="2"/>
      </rPr>
      <t xml:space="preserve">.
</t>
    </r>
    <r>
      <rPr>
        <sz val="10"/>
        <rFont val="Verdana"/>
        <family val="2"/>
      </rPr>
      <t>El proveedor radicó las facturas correspondientes a los meses de Enero y Febrero del contrato 0059 del 2017, las cuales no ha sido posible cancelar por motivos de que no se encontraba incluido el IVA del 19% en la orden de compra, para amparar la aplicación del IVA en los servicios prestados por el proveedor.</t>
    </r>
    <r>
      <rPr>
        <sz val="10"/>
        <color rgb="FFFF0000"/>
        <rFont val="Verdana"/>
        <family val="2"/>
      </rPr>
      <t xml:space="preserve">
</t>
    </r>
    <r>
      <rPr>
        <sz val="10"/>
        <color theme="1"/>
        <rFont val="Verdana"/>
        <family val="2"/>
      </rPr>
      <t xml:space="preserve">
Las evidencias se encuentran en Evidencias\I trimestre\11600-3-2-1\Nube Privada, de donde: 
Carta de justificación de adición del IVA al contrato 0059 del 2017 (Justificación Adicion.pdf)
El mes de enero (INFORME ENERO 2018 - Nube Privada.pdf y Factura mes Enero). 
El mes de febrero (INFORME FEBRERO 2018 - Nube Privada.pdf y Factura mes Febrero). 
Finalmente, para el mes de marzo No han radicado factura de cobro de dicho mes.
</t>
    </r>
    <r>
      <rPr>
        <b/>
        <sz val="10"/>
        <color theme="1"/>
        <rFont val="Verdana"/>
        <family val="2"/>
      </rPr>
      <t>(c) Adquirir servicios de conectividad para la Entidad Administradora de los Recursos del Sistema General de Seguridad Social en Salud (Adición).</t>
    </r>
    <r>
      <rPr>
        <sz val="10"/>
        <color theme="1"/>
        <rFont val="Verdana"/>
        <family val="2"/>
      </rPr>
      <t xml:space="preserve">
Se tiene la relación con el proveedor Century Link  Inicia Actividades el día 11 de Abril de 2017 bajo el contrato 0048 de 2017.
Las evidencias se encuentran en Evidencias\I trimestre\11600-3-2-1\Conectividad, de donde: 
El mes de enero (INFORME ENERO 2018 - Conectividad.pdf) la factura fue aprobada en el mes de abril
El mes de Febrero (INFORME FEBRERO 2018 -Conectividad.pdf) a factura fue aprobada en el mes de abril
Finalmente, para el mes de marzo No han radicado factura de dicho mes.
</t>
    </r>
    <r>
      <rPr>
        <b/>
        <sz val="10"/>
        <color theme="1"/>
        <rFont val="Verdana"/>
        <family val="2"/>
      </rPr>
      <t>ACLARACIÓN SOBRE LA EJECUCIÓN DE LA ACTIVIDAD</t>
    </r>
    <r>
      <rPr>
        <sz val="10"/>
        <color theme="1"/>
        <rFont val="Verdana"/>
        <family val="2"/>
      </rPr>
      <t>: Esta actividad para este trimestre tenía presupuestado ejecutar $ 670.725.074 pesos y hasta el 31/03/2018 no se ha ejecutado (pagado).</t>
    </r>
  </si>
  <si>
    <t>Dentro de la carpeta Evidencias\II trimestre\11600-3-8-1 se encuentra la evidencia de los pagos realizados frente a esta actividad. Tener en cuenta las siguientes consideraciones:
(i) Se tiene la relación de tres contratistas: (a) William Andrés Páez. (b) Sergio Luis Antonio García (c) Andrés Bruce, para lo cual se ha puesto una carpeta con el nombre de cada uno de ellos.
1. William Andrés Páez. Inicia Actividades el día 11 de enero de 2018 bajo el contrato 0015 de 2018. Las evidencias se encuentran en Evidencias\II trimestre\11600-3-8-1\William Andrés Páez, de donde: 
• El mes de marzo (INFORME 032018 - WILLIAM ANDRES PAEZ.pdf), Radicado en el seguimiento anterior, pero al corte de dicha revisión no se había cancelado, Actualmente se encuentra cancelada.
• El mes de abril (INFORME 042018 - WILLIAM ANDRES PAEZ.pdf), Se encuentra actualmente pago.
• El mes de mayo (INFORME 052018 - WILLIAM ANDRES PAEZ.pdf), Se encuentra actualmente pago.
• El mes de junio (INFORME 062018 - WILLIAM ANDRES PAEZ.pdf), Se encuentra actualmente radicado.
2. Sergio Luis Antonio García. Inicia Actividades el día 11 de enero de 2018 bajo el contrato 0016 de 2018. Las evidencias se encuentran en Evidencias\II trimestre\11600-3-8-1\ Sergio Luis Antonio García, de donde: 
• El mes de marzo (INFORME 201803 SERGIO LUIS ANTONIO GARCIA.pdf), Radicado en el seguimiento anterior, pero al corte de dicha revisión no se había cancelado, Actualmente se encuentra cancelada.
• El mes de abril (INFORME 201804 SERGIO LUIS ANTONIO GARCIA.pdf), Se encuentra actualmente pago.
• El mes de mayo (INFORME 201805 SERGIO LUIS ANTONIO GARCIA.pdf), Se encuentra actualmente pago.
• El mes de junio (INFORME 201806 SERGIO LUIS ANTONIO GARCIA.pdf), Se encuentra actualmente radicado.
3. Andrés Bruce. Inicia Actividades el día 11 de enero de 2018 bajo el contrato 0017 de 2018.Las evidencias se encuentran en Evidencias\I trimestre\11600-3-8-1\Andrés Guillermo Bruce, de donde: 
• El mes de marzo (Soportes Pago 03 2018_Andres Bruce_DGTIC-BDUA.pdf), Radicado en el seguimiento anterior, pero al corte de dicha revisión no se había cancelado, Actualmente se encuentra cancelada.
• El mes de abril (Soportes Pago 04 2018_Andres Bruce_DGTIC-BDUA.pdf), Se encuentra actualmente pago.
• El mes de mayo (Soportes Pago 05 2018_Andres Bruce_DGTIC-BDUA.pdf), Se encuentra actualmente pago.
• El mes de junio (Soportes Pago 06 2018_Andres Bruce_DGTIC-BDUA.pdf), Se encuentra actualmente radicado.
ACLARACIÓN SOBRE LA EJECUCIÓN DE LA ACTIVIDAD.
Esta actividad para este trimestre tenía presupuestado ejecutar $ 36.720.000 y se ha ejecutado (pagado) $36.720.000 + radicado mes de junio (en proceso de pago) $12,240.000.  Es importante aclarar que, aunque el 100% del valor proyectado se ha ejecutado, se tienen $12,240.000 que corresponden a la radicación del mes de marzo y que se relacionan en el presente mes, ya que en el anterior corte no habían sido pagados por parte de la Entidad. Por consiguiente, se tiene un 100% de la ejecución del presupuesto asignado para esta actividad en este trimestre.</t>
  </si>
  <si>
    <t>Dentro de la carpeta Evidencias\I trimestre\11600-3-9-1 se encuentra la evidencia de los pagos realizados frente a esta actividad. Tener en cuenta las siguientes consideraciones:
(i) Se tiene la relación de tres contratistas: (a) Manuel Alejandro Peña Vargas. (b) Jorge Arturo Suarez Isaza (c) Yuly Margoth Otalora Bernal, para lo cual se ha puesto una carpeta con el nombre de cada uno de ellos.
(ii) Manuel Alejandro Peña Vargas. Inicia Actividades el día 11 de Enero de 2018 bajo el contrato 0024 de 2018.
Las evidencias se encuentran en Evidencias\I trimestre\11600-3-9-1\ Manuel Alejandro Peña Vargas,  de donde:
El mes de diciembre 2018 (GCON-F01_Informe de Cumplimiento de Avance de Obligaciones Contractuales y Pago.pdf), el cual ya se encuentra pago. 
El mes de enero (Informe parcial 1-Contrato 0024_2018 .pdf), el cual ya se encuentra pago. 
El mes de Febrero (Informe parcial 2-Contrato 0024_2018.pdf) ya se encuentra pago. 
Finalmente, para el mes de marzo (Informe parcial 3-Contrato 0024_2018.pdf) el cual se encuentra Radicada la cuenta.
(iii) Jorge Arturo Suarez Isaza. Inicia Actividades el día 11 de enero de 2018 bajo el contrato 0019 de 2018.
Las evidencias se encuentran en Evidencias\I trimestre\11600-3-9-1\  Jorge Arturo Suarez Isaza,  de donde:
El mes de enero (Jorge Suarez 2017Dic .pdf), el cual ya se encuentra pago. 
El mes de enero (Informe Supervisión Enero 2018 JORGE SUAREZ .pdf), el cual ya se encuentra pago. 
El mes de Febrero (Informe Supervisión Febrero 2018 JORGE SUAREZ.pdf) ya se encuentra pago. 
Finalmente, para el mes de marzo (Informe Supervisión Marzo 2018 JORGE SUAREZ.pdf) el cual se encuentra Radicada la cuenta.
(iv) Yuly Margoth Otalora Bernal. Inicia Actividades el día 01 de Febrero de 2018 bajo el contrato 0068 de 2018.
Las evidencias se encuentran en Evidencias\I trimestre\11600-3-9-1\Yuly Margoth Otalora Bernal,  de donde:
Mes de Febrero (1_GCON-F01_Informe de Cumplimiento de Avance de Obligaciones Contractual_022018.pdf), el cual ya se encuentra pago. 
Mes de marzo  (1_GCON-F01_Informe de Cumplimiento de Avance de Obligaciones Contractual_032018.pdf) el cual se encuentra Radicada la cuenta.
ACLARACIÓN SOBRE LA EJECUCIÓN DE LA ACTIVIDAD: Teniendo en cuenta que dentro de esta actividad para este trimestre se tenía presupuestado ejecutar $144.044.517 y hasta el momento se ha ejecutado (pagado) $ 25,139.012 + radicado mes de marzo (en proceso de pago) $12,590,407. 
Se tiene un valor ejecutado de $25,139,012 dando una diferencia de $118,905,505, el cual es producto de: (i)  la fecha en la cual se firmó el contrato de cada uno de los contratistas. (ii) No se ha podido contratar todos los contratistas que se tenían presupuestados; ya que dentro de este trimestre se hizo la convocatoria de selección de los contratistas requeridos y se adelantó  la evaluación de perfil y requisitos para el cargo. Sin embargo, antes de entrar en período de ley de garantías (27 de enero de 2018), solo se pudo contratar a Yuly Otalora  (única candidata que cumplió el perfil) quedando pendiente la contratación de los otros contratistas hasta finalizar el periodo en el cual rige la ley. 
Por tal razón hasta el momento se tiene un 17,45% de la ejecución del presupuesto asignado para está actividad en este trimestre.</t>
  </si>
  <si>
    <r>
      <t>Dentro de la carpeta </t>
    </r>
    <r>
      <rPr>
        <b/>
        <sz val="10"/>
        <rFont val="Verdana"/>
        <family val="2"/>
      </rPr>
      <t>Evidencias\I trimestre\11600-3-10-1 </t>
    </r>
    <r>
      <rPr>
        <sz val="10"/>
        <rFont val="Verdana"/>
        <family val="2"/>
      </rPr>
      <t xml:space="preserve">se encuentra la evidencia de los pagos realizados frente a esta actividad. Tener en cuenta las siguientes consideraciones:
(i) El proveedor es </t>
    </r>
    <r>
      <rPr>
        <b/>
        <sz val="10"/>
        <rFont val="Verdana"/>
        <family val="2"/>
      </rPr>
      <t xml:space="preserve">PC COM SA </t>
    </r>
    <r>
      <rPr>
        <sz val="10"/>
        <rFont val="Verdana"/>
        <family val="2"/>
      </rPr>
      <t xml:space="preserve">y la prestación del servicio se da bajo el contrato </t>
    </r>
    <r>
      <rPr>
        <i/>
        <sz val="10"/>
        <rFont val="Verdana"/>
        <family val="2"/>
      </rPr>
      <t>0050 de 2017</t>
    </r>
    <r>
      <rPr>
        <sz val="10"/>
        <rFont val="Verdana"/>
        <family val="2"/>
      </rPr>
      <t xml:space="preserve"> teniendo como </t>
    </r>
    <r>
      <rPr>
        <i/>
        <sz val="10"/>
        <rFont val="Verdana"/>
        <family val="2"/>
      </rPr>
      <t>vigencia 07/04/2017 hasta el 31/12/2018</t>
    </r>
    <r>
      <rPr>
        <sz val="10"/>
        <rFont val="Verdana"/>
        <family val="2"/>
      </rPr>
      <t>.
(ii) Las cuentas de cobro o facturas de estos tres meses se encuentran radicadas y revisadas por el supervisor del contrato.
(iiI) Las cuentas de cobro  o facturas del mes de enero se encuentra </t>
    </r>
    <r>
      <rPr>
        <b/>
        <sz val="10"/>
        <rFont val="Verdana"/>
        <family val="2"/>
      </rPr>
      <t>Pagada</t>
    </r>
    <r>
      <rPr>
        <sz val="10"/>
        <rFont val="Verdana"/>
        <family val="2"/>
      </rPr>
      <t>. se anexa informe de supervisor (Pago Enero.pdf)
(iv) Las cuentas de cobro  o facturas del mes de Febrero se encuentra </t>
    </r>
    <r>
      <rPr>
        <b/>
        <sz val="10"/>
        <rFont val="Verdana"/>
        <family val="2"/>
      </rPr>
      <t>Pagada</t>
    </r>
    <r>
      <rPr>
        <sz val="10"/>
        <rFont val="Verdana"/>
        <family val="2"/>
      </rPr>
      <t>. se anexa informe de supervisor (Pago Febrero 2018.pdf - Pago Febrero 2018 Firma.pdf)
(v) Finalmente, para el mes de marzo el proveedor no ha radicado factura de cobro de dicho mes.</t>
    </r>
    <r>
      <rPr>
        <b/>
        <sz val="10"/>
        <color rgb="FFFF0000"/>
        <rFont val="Verdana"/>
        <family val="2"/>
      </rPr>
      <t xml:space="preserve">
</t>
    </r>
    <r>
      <rPr>
        <b/>
        <sz val="10"/>
        <rFont val="Verdana"/>
        <family val="2"/>
      </rPr>
      <t>ACLARACIÓN SOBRE LA EJECUCIÓN DE LA ACTIVIDAD</t>
    </r>
    <r>
      <rPr>
        <sz val="10"/>
        <rFont val="Verdana"/>
        <family val="2"/>
      </rPr>
      <t xml:space="preserve">: En esta actividad para este trimestre se tenía presupuestado ejecutar $184.372.055 y hasta el momento se ha ejecutado (pagado) $ 104.998.460. Por tal razón hasta el momento se tiene un 56,95% de la ejecución del presupuesto asignado para está actividad en este trimestre.  </t>
    </r>
  </si>
  <si>
    <t>La planilla de la Nómina correspondiente al mes de Junio de 2018 se pagó en el mes de Julio por $335.709.100 y FNA por $93.631.304 y  la diferencia corresponde a  que la planta de personal no se ha provisto en su totalidad.
Ya se asocio a este indicador, lo pertinente a  servicios personales asociado a la nómina por $2.002.739 según resolución 860 de 2018,</t>
  </si>
  <si>
    <t>EL 29 de Junio de 2018, se presentó ante la CGN el informe Correspondiente al 1ª trimestre de 2018</t>
  </si>
  <si>
    <t>De las 324  cuentas de cobro y pago de proveedores y funcionarios se cancelaron 324, mas las 2 cuentas de cobro no canceladas en el primer trimestre que rechazó en el portal bancario de Davivienda por error en No de Cuenta Bancaria asignada a los terceros.
En el reporte de pagos por tercero, que constituye la evidencia de esta actividad, cada cuenta de cobro se identifica con un número de orden de giro independiente.</t>
  </si>
  <si>
    <t>Se reporta en acumulado el número de las constancias de archivo y las actas de liquidación tramitadas frente a los contratos terminados en Vigencia 2017 y 2018. La certificación aportada como evidencia es complemento a la enviada para el Primer Trimestre donde se refleja las novedades de este proceso. No se cuenta 1 liquidación suscrita en el mes de julio ésta será reportada en el siguiente trimestre.</t>
  </si>
  <si>
    <t>Se realizaron  diez actividades  de bienestar  durante el segundo trimestre  del 2018,  los cuales,  fueron desarrolladas para los  funcionarios de la Entidad sin ningún gasto. 1. MASAJES ANTIESTRES
2. RUMBOTERAPIA 
3. SHOW DE TITERES
4. KICKBOXING
5. ALIMENTOS SALUDABLES
6. TALLER DE CATARSIS
7. BIMBO
8. CAMPEONATO TENNIS DE MESA
9. DIA DEL PADRE
10. PARTIDOS DE COLOMBIA EN EL MUNDIAL DE FUTBOL</t>
  </si>
  <si>
    <t>Aunque se esta realizando   el  objetivo no se está contratando por que  hay una persona  de planta que  esta  realizado la  acción  planteada.  En el periodo  se realizaron  actividades  como:  administración  de  la custodia de las hojas de vida  de los  funcionarios públicos,  la cual  se  ha  evidenciado  con el  avance de del  archivo físico existente a la fecha.</t>
  </si>
  <si>
    <t>Se incluye la ejecución presupuestal del mes de marzo, dado que no fue incluida en el trimestre pasado por que a la fecha de realización del Plan de Acción, no se había radicado la cuenta de cobro. No se incluye el pago del mes de junio, pues a la fecha no se ha presentado la cuenta de cobro del respectivo mes. Para este período mejoraron los ANS con la modificación de los horarios de atención del callcenter.</t>
  </si>
  <si>
    <r>
      <t xml:space="preserve">La versión preliminar del Informe al Congreso, enviada al Ministerio de Salud y Protección Social en el mes de marzo, fue consolidada por ese ministerio y se mantiene hasta la fecha. De acuerdo con el cronograma establecido para su elaboración, se espera su publicación por parte del ministerio en el mes de julio. Las respectivas evidencias se encuentran en la ruta: </t>
    </r>
    <r>
      <rPr>
        <u/>
        <sz val="10"/>
        <color theme="4"/>
        <rFont val="Verdana"/>
        <family val="2"/>
      </rPr>
      <t>ONE DRIVE\ADRES\PLAN DE ACCION\DIRECCIÓN GENERAL\OFICINA ASESORA DE PLANEACIÓN Y CONTROL DE RIESGOS\Evidencias\II Trimestre\12000-2-3-1.</t>
    </r>
  </si>
  <si>
    <t>Se expidieron 1.261 actos administrativos ordenando el cobro de reclamaciones reconocidas y pagadas por el entonces FOSYGA hoy ADRES en relación con accidentes de transito cuyo vehículo involucrado carecía de seguro obligatoria SOAT.</t>
  </si>
  <si>
    <t>Se identifico 60  actos administrativos ejecutoriados con mas de 180 días de vencidos, para adelantar el procedimiento de Cobro Coactivo propiamente dicho durante el siguiente trimestre.</t>
  </si>
  <si>
    <t>Ese es el apoyo técnico para el nuevo portal y administración del SharePoint
Al momento del presente seguimiento no se ha realizado contrato, ni pago alguno frente al proveedor.
Dentro de la carpeta Evidencias\II trimestre\11600-3-12-1 se almacena (i) Estudios previos Ingeniero SharePoint. (ii)  Copia CDP 134 de 2018.</t>
  </si>
  <si>
    <t xml:space="preserve">1. La ejecución presupuestal acumulada de la UGG va en el 29%. Lo anterior, dado que:
i) no se han ejecutado recursos presupuestados para sentencias y conciliaciones; 
ii) el presupuesto disponible para contratos y gastos que por honorarios y/o remuneración de servicios técnicos se requieran según las necesidades de la ADRES, los cuales aún no están identificados, asciende a $9.619.731.854; 
iii) no ha iniciado la ejecución de los recursos apropiados para capacitación, bienestar, desarrollo de nuevos sistemas de información, ejercer la representación judicial, contestación y seguimiento de trámite del recurso extraordinario de casación para las sentencias que resulten adveras a la ADRES
iv) los recursos apropiados para viáticos y gastos de viaje, gestión de correspondencia, publicaciones en diario oficial, brindar Soporte a los sistemas de información que respaldan los procesos misionales de ADRES, atender las reclamaciones administrativas radicadas por las EPS o IPS, interponer oportunamente los recursos de Ley contra los actos administrativos de Colpensiones que ordenan la devolución de aportes a la ADRES, el trámite de solicitudes de embargos, los conceptos jurídicos, los gastos varios de representación judicial, la entrega de apoyos técnicos a la OAJ en recobros y reclamaciones una vez son resueltos por la Dirección de Tecnología de la Información y el convenio Café salud, han presentado ejecuciones inferiores al 50% de lo proyectado. 
v) No se ha contratado la estrategia de comunicación y marketing de la ADRES,  la administración y custodia del portafolio de inversión, ni la vigilancia judicial.
2. La ejecución presupuestal acumulada de la URA va en el 52%. Al respecto vale la pena mencionar que no se han ejecutado los recursos apropiados para los rubros: Rendimientos Financieros saldo de Aportes Patronales no compensados - Art, 12 Decreto 1363 de 2016, Fortalecimiento red de urgencias nacional, emergencias sanitarias y eventos catastróficos, FONSAET y Fortalecimientos Patrimonial a las Entidades del Sector salud, de todos los cuales se tenía proyectada una ejecución del 25% en primer y segundo trimestre. 
A nivel administrativo, la administración y custodia del portafolio de inversión no ha iniciado, teniendo también programadas metas de ejecución del 25% en el primer y segundo trimestre.
Se observan algunos rubros sobre ejecutados, tales como: Financiación UPC Régimen Contributivo CSF, Prestaciones Excepcionales – Recobros, Atención en salud, transporte primario, indemnizaciones y auxilios funerarios víctimas y Rendimientos Financieros cuentas de recaudo EPS – SSF.
Así mismo, se observan algunos los rubros con subejecución, tales como: Devolución de Aportes y Cotizaciones no conciliadas de vigencias anteriores, Prestaciones Económicas Regímenes Especiales de Excepción, Otros programas de salud promoción y prevención y Recursos con destinación específica. 
3. Así las cosas, la ejecución presupuestal total va en el 52%. </t>
  </si>
  <si>
    <t>Realización de Exámenes de Salud Ocupacional (pre-ocupacionales, exámenes médicos post-ocupacionales)</t>
  </si>
  <si>
    <t>Se elaboraron 133 Solicitudes aclaración para las auditorías ARS_BDEX002, ARCON002, ARS009</t>
  </si>
  <si>
    <t>En el trimestre se remitieron a la SNS 127 comunicaciones, con las conclusiones del procedimiento de la auditoría de reintegro de recursos.</t>
  </si>
  <si>
    <t>Se efectúo el proceso de la Liquidación Mensual de Afiliados mensualmente dentro de los tiempos establecidos en la normatividad vigente y los recursos disponibles para la aplicación del giro, la información resultado del proceso se encuentra publicada en el link:
http://www.adres.gov.co/Régimen-Subsidiado/Liquidación-mensual-afiliados-LMA/Resumen-LMA, por mes:
Resumen liquidación mensual mes de Abril de 2018
Resumen liquidación mensual mes de Mayo de 2018
Resumen liquidación mensual mes de Junio de 2018</t>
  </si>
  <si>
    <t>Se efectúo el giro directo a IPS y/o proveedores mensualmente dentro de los tiempos establecidos en la normatividad vigente y los recursos disponibles para la aplicación del giro, la información resultado del proceso se encuentra publicada en el link:
http://www.adres.gov.co La lupa al giro/Giros/Régimen Subsidiado</t>
  </si>
  <si>
    <t>Durante el II Trimestre no se realizaron operaciones de compra cartera. Todavía no se ha definido si se realizarán estas operaciones durante la vigencia  2018</t>
  </si>
  <si>
    <t>Durante el II Trimestre, la totalidad de certificaciones de descuento para que fueran aplicadas en el proceso LMA - La relación de las certificaciones puede verse en el archivo Findeter - II Trimestre 2018 (pestaña LMA), en la carpeta evidencias I Trimestre</t>
  </si>
  <si>
    <t>Durante el II Trimestre, la totalidad de certificaciones de descuento para que fueran aplicadas en el proceso LMA - La relación de las certificaciones puede verse en el archivo Findeter - II Trimestre 2018 (pestaña Compensación), en la carpeta evidencias I Trimestre</t>
  </si>
  <si>
    <t>Durante el II Trimestre se envió la totalidad de certificaciones de descuento para que fueran aplicadas en el proceso LMA - La relación de las certificaciones puede verse en el archivo Certificaciones Compra de Cartera - II Trimestre 2018 (pestaña LMA), en la carpeta evidencias II Trimestre</t>
  </si>
  <si>
    <t>Durante el II Trimestre se envió la totalidad de certificaciones de descuento para que fueran aplicadas en el proceso LMA - La relación de las certificaciones puede verse en el archivo Certificaciones Compra de Cartera - II Trimestre 2018 (pestaña Compensación), en la carpeta evidencias II Trimestre</t>
  </si>
  <si>
    <t xml:space="preserve">Durante el II Trimestre se elaboraron los siguientes estudios: Breve caracterización del valor recobrado a partir de los grupos relevantes, Metodología de Valores Máximos de Recobro, Proceso de Compensación del SGSSS 2010-2017, Balance y resultados del Impuesto Sobre la Renta para la Equidad – CREE- en el sector salud colombiano y Análisis de los recobros correspondientes a los principios activos imiglucerasa, miglustato, velaglucerasa y taliglucerasa alfa. Medicamento para la enfermedad de Gaucher.  El presupuesto indicado no es para la realización de un estudio, sino para la compra de un programa estadístico (Stata). Los recursos para esto, todavía no han sido desembolsados. </t>
  </si>
  <si>
    <t>Si bien se cerró el convenio con Cafesalud, los recursos indicados corresponden a la asesoría legal para lograrlo. Con cierre a II trimestre de 2018, el contratista no había entregado la respectiva cuenta de cobro.</t>
  </si>
  <si>
    <t>CUMPLIMIENTO GENERAL PERSPECTIVAS (Promedio porcentual)</t>
  </si>
  <si>
    <t>CUMPLIMIENTO TOTAL (Promedio porcentual)</t>
  </si>
  <si>
    <t>CUMPLIMIENTO FÍSICO (Promedio porcentual)</t>
  </si>
  <si>
    <t>CUMPIMIENTO TOTAL (Promedio)</t>
  </si>
  <si>
    <t>PROMEDIO PERSPECTIVAS</t>
  </si>
  <si>
    <t xml:space="preserve">4. En la perspectiva de clientes y partes interesadas se resaltan las siguientes situaciones:
i) los indicadores de comunicaciones presentan una ejecución del 137% y el 220%, aun cuando las metas fueron objeto de revisión y ajuste por parte del responsable al iniciar el 2° trimestre. 
ii) la actividad de dar respuesta a requerimientos de organismos externos en el marco de la normatividad vigente por parte de la Oficina de Control Interno excede la meta establecida en el periodo en razón a que en el segundo trimestre se presentó el informe que se encontraba pendiente del Primer Trimestre.
iii) la actividad de publicación del giro directo del giro previo tuvo una sobre ejecución del 167% dado que en el II trimestre se publicaron 2 informes que no se publicaron en el I trimestre.
iv) El indicador de contestación de procesos contencioso administrativos tuvo un resultado inferior al 50%.
5. La perspectiva de procesos internos presenta sobre ejecución principalmente por:
i) La DGTIC realizó la aprobación total de los procesos y procedimientos pendientes con respecto a los identificados en el II trimestre, habiendo programado un avance paulatino del 25% a lo largo del año.
ii) La DLG realizó 5 estudios del sector habiendo programado solamente 1 para el II trimestre.
iii) No obstante lo anterior, actividades como la organización de expedientes de hojas de vida, aprobación de procesos y procedimientos de la OAJ, desarrollo de nuevos sistemas de información, conciliaciones prejudiciales y judiciales y procesos penales, presentan un avance inferior al 50% en el periodo objeto de análisis.
6. La perspectiva de aprendizaje y desarrollo presenta una sobre ejecución del 190% porque durante el periodo se realizaron 8 capacitaciones de 2 que se habían planeado. </t>
  </si>
  <si>
    <r>
      <rPr>
        <b/>
        <sz val="14"/>
        <color indexed="8"/>
        <rFont val="Verdana"/>
        <family val="2"/>
      </rPr>
      <t>Nota:</t>
    </r>
    <r>
      <rPr>
        <sz val="14"/>
        <color indexed="8"/>
        <rFont val="Verdana"/>
        <family val="2"/>
      </rPr>
      <t xml:space="preserve"> El cumplimiento general de perspectivas corresponde al promedio de los resultados de cada perspectiva, tanto en el periodo como acumulado. El cumplimiento total corresponde al promedio de los resultados de todas y cada una de las actividades del Plan de Acción, tanto en el periodo como de forma acumulada. El cumplimiento físico excluye la perspectiva financiera.</t>
    </r>
  </si>
  <si>
    <t>% Actividades sobre ejecutadas</t>
  </si>
  <si>
    <t>Jefe Oficina Asesora de Planeación y Control de Riesgos</t>
  </si>
  <si>
    <t>Jefe y Gestor de Operaciones Oficina Asesora de Planeación y Control de Riesgos</t>
  </si>
  <si>
    <r>
      <t xml:space="preserve">Se integran los siguientes planes según el Decreto 612 de 2018:
* Plan Anticorrupción y de Atención al Ciudadano
* Plan Institucional de Archivos
* Plan Institucional de Capacitación
* Plan de Seguridad y Salud en el Trabajo
* Plan de Bienestar e Incentivos
</t>
    </r>
    <r>
      <rPr>
        <b/>
        <sz val="10"/>
        <color theme="1"/>
        <rFont val="Verdana"/>
        <family val="2"/>
      </rPr>
      <t>Nota:</t>
    </r>
    <r>
      <rPr>
        <sz val="10"/>
        <color theme="1"/>
        <rFont val="Verdana"/>
        <family val="2"/>
      </rPr>
      <t xml:space="preserve"> Estos tres (3) últimos planes constituyen el Plan Estratégico de Gestión del Talento Humano.
* Plan Estratégico de Tecnologías de la Información y las Comunicaciones - PETI
* Plan de Tratamiento de Riesgos de Seguridad y Privacidad de la Información
* Plan de Seguridad y Privacidad de la Información.</t>
    </r>
  </si>
  <si>
    <t>Coordinador  Grupo de Gestión administrativa y Documental</t>
  </si>
  <si>
    <t xml:space="preserve">El mes de enero se pagó a los contratistas asignados a esta línea entre el 50 y el 60% del valor mensual porque las fechas de inicio fueron entre el 12 y el 15 de enero. En la ejecución se incluyen las cuentas por pagar del mes de diciembre de 2017.En el trimestre no  se ejecutó efectivamente el valor correspondiente al mes de marzo. </t>
  </si>
  <si>
    <t xml:space="preserve">El mes de enero se pagó a la contratista asignada a esta línea el 63% del valor mensual porque la de inicio fue  el 12 de enero  el 15 de enero. En la ejecución se incluyen las cuentas por pagar del mes de diciembre de 2017. n el trimestre no  se ejecutó efectivamente el valor correspondiente al mes de marzo. </t>
  </si>
  <si>
    <t>De acuerdo con el Plan No. 1 de acción de mejora de la Oficina Asesora de Planeación, en el Procedimiento de Seguimiento al Plan de Acción y el Plan Estratégico e Institucional:
Se agregó una columna la cual se formuló para  aproximar a 100% todos aquellos datos de cada periodo de medición que superan esta cifra para cada una de las actividades.
Se agregó una columna la cual se formuló para  aproximar a 50%, 75% y 100% todos aquellos datos acumulados en cada periodo que superan esta cifra para cada una de las actividades.
Se agregó una columna replicando la información anterior, con el fin de calcular los resultados considerando únicamente las actividades programadas para cada periodo objeto de medición.
Se incluyeron nuevas hojas con los resultados consolidados por perspectivas, objetivos y dependencias, formuladas con los datos de las columnas descritas en los párrafos anteriores.
Se agregó una fila denominada: CUMPLIMIENTO TOTAL (Promedio porcentual) la cual se formuló con el promedio aritmético de todas y cada una de las 189 actividades actuales del Plan de Acción.
Se agregó una fila denominada: CUMPLIMIENTO FÍSICO (Promedio porcentual) la cual se formuló con el promedio aritmético de las actividades de las perspectivas: enfoque al cliente y otras partes interesadas, procesos internos y aprendizaje y desarrollo. 
En la hoja denominada. Cumplimiento Perspectivas se agregó una columna con el porcentaje de actividades sobre ejecutadas para cada perspectiva y en cada periodo.</t>
  </si>
  <si>
    <t>Plan Estratégico de Tecnologías de la Información y las Comunicaciones PETI</t>
  </si>
  <si>
    <t>Documento de planeación para la elaboración de la línea base del PETI.</t>
  </si>
  <si>
    <t>11600-3-1-1-1</t>
  </si>
  <si>
    <t>Realizar planeación de para la elaboración de la línea base del  PETI; de acuerdo con: (i) Estabilización de la operación de la Entidad. (ii) Guía Cómo elaborar el Plan Estratégico de Tecnologías de la Información - PETI del  MINTIC.</t>
  </si>
  <si>
    <t># Documentos de planeación para elaboración de la línea base del PETI</t>
  </si>
  <si>
    <t>11600-3-1-2</t>
  </si>
  <si>
    <t>Documento de entendimiento de situación actual de la Entidad. Tomando como guía "Guía Cómo elaborar el Plan
Estratégico de Tecnologías de la Información - PETI del  MINTIC", en la cual se tendrán 6 grandes entregables.</t>
  </si>
  <si>
    <t>11600-3-1-1-2</t>
  </si>
  <si>
    <t>Realizar análisis de la situación actual de la Entidad de acuerdo a los dominios: (i) Estrategia de TI. (ii) Gobierno de TI. (iii) Gestión de la información. (iv) Gestión de sistemas de información. (v) Gestión de servicios tecnológicos. (vi) Uso y apropiación de TI</t>
  </si>
  <si>
    <t>(Número de entregables  contenidos dentro del Documento de entendimiento de situación actual de la Entidad) /
(Número de entregables  definidos para la Fase 1 dentro de la Guía Cómo elaborar el Plan Estratégico de Tecnologías de la Información - PETI del  MINTIC)</t>
  </si>
  <si>
    <t>11600-3-1-3</t>
  </si>
  <si>
    <t>Documento en el cual se encuentre definida la visión estratégica de la DGTIC, para la Entidad</t>
  </si>
  <si>
    <t>11600-3-1-1-3</t>
  </si>
  <si>
    <t>Construir visión estratégica de TI alineada a la visión estratégica de la Entidad, el sector y el Plan Nacional de Desarrollo.</t>
  </si>
  <si>
    <t>(Número de entregables  contenidos dentro del la visión estratégica) /
(Número de entregables  definidos para la Fase 2 dentro de la Guía Cómo elaborar el Plan Estratégico de Tecnologías de la
Información - PETI del  MINTIC)</t>
  </si>
  <si>
    <t>11600-3-1-4</t>
  </si>
  <si>
    <t>Documento en el cual se encuentre definida la hoja de Ruta para la ejecución del PETI</t>
  </si>
  <si>
    <t>11600-3-1-1-4</t>
  </si>
  <si>
    <t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t>
  </si>
  <si>
    <t>(Número de entregables  contenidos dentro del Documento de la hoja de ruta para la ejecución del PETI) /
(Número de entregables  definidos para la Fase 3 dentro de la Guía Cómo elaborar el Plan Estratégico de Tecnologías de la Información - PETI del  MINTIC)</t>
  </si>
  <si>
    <t>Plan de Acción</t>
  </si>
  <si>
    <t>11600-3-1-5</t>
  </si>
  <si>
    <t>11600-3-1-1-5</t>
  </si>
  <si>
    <t>Adquirir bienes y/o servicios para la seguridad de la información, para la adopción de IPV6 y Protocolos de seguridad de la información en el área de Tesorería de la Entidad</t>
  </si>
  <si>
    <t># Mapas de riesgos actualizados por proceso / Total de mapas de riesgos por procesos</t>
  </si>
  <si>
    <t>Actualizar mapa de riesgos de los procesos de la Entidad</t>
  </si>
  <si>
    <t>11600-3-1-1-12</t>
  </si>
  <si>
    <t>Mapas de riesgos de los procesos actualizados</t>
  </si>
  <si>
    <t>11600-3-1-12</t>
  </si>
  <si>
    <t xml:space="preserve">Plan de Tratamiento de Riesgos de Seguridad y Privacidad de la Información </t>
  </si>
  <si>
    <t># Herramientas de administración de riesgos actualizadas  / Total Herramientas de administración de riesgos implementadas</t>
  </si>
  <si>
    <t>Actualizar herramientas de administración de riesgos</t>
  </si>
  <si>
    <t>11600-3-1-1-11</t>
  </si>
  <si>
    <t>Herramientas de administración de riesgos</t>
  </si>
  <si>
    <t>11600-3-1-11</t>
  </si>
  <si>
    <t># Documentos de Política de Administración integral de Riesgos</t>
  </si>
  <si>
    <t xml:space="preserve">Actualizar política de administración integral de Riesgos </t>
  </si>
  <si>
    <t>11600-3-1-1-10</t>
  </si>
  <si>
    <t>Política de administración integral de riesgos</t>
  </si>
  <si>
    <t>11600-3-1-10</t>
  </si>
  <si>
    <t>Procedimientos revisados y actualizados / Total procedimientos de la Dirección</t>
  </si>
  <si>
    <t>Revisar procedimientos de la dirección y validar su cumplimiento frente al Modelo de Seguridad y Privacidad de la información</t>
  </si>
  <si>
    <t>11600-3-1-1-9</t>
  </si>
  <si>
    <t>Procedimientos, manuales y guías de la Dirección de Gestión de Tecnologías de Información y Comunicaciones</t>
  </si>
  <si>
    <t>11600-3-1-9</t>
  </si>
  <si>
    <t>Plan de Seguridad y Privacidad de la Información</t>
  </si>
  <si>
    <t># Manuales de políticas de Seguridad y Privacidad de la Información publicados</t>
  </si>
  <si>
    <t>Elaborar manual de políticas específicas de seguridad y privacidad de la información</t>
  </si>
  <si>
    <t>11600-3-1-1-8</t>
  </si>
  <si>
    <t>Manual de políticas especificas de seguridad y privacidad de la Información</t>
  </si>
  <si>
    <t>11600-3-1-8</t>
  </si>
  <si>
    <t># Registros de Activos de información publicados dentro del portal Web de la Entidad</t>
  </si>
  <si>
    <t>Realizar el reporte del instrumento de Registro de activos de Información, dentro del portal de la Entidad.</t>
  </si>
  <si>
    <t>11600-3-1-1-7</t>
  </si>
  <si>
    <t>Registro de Activos de Información</t>
  </si>
  <si>
    <t>11600-3-1-7</t>
  </si>
  <si>
    <t># Procesos con inventario de activos de información / Total de procesos de la Entidad</t>
  </si>
  <si>
    <t>Consolidar inventario de activos de información de la Entidad</t>
  </si>
  <si>
    <t>11600-3-1-1-6</t>
  </si>
  <si>
    <t>Inventario de activos de Información</t>
  </si>
  <si>
    <t>11600-3-1-6</t>
  </si>
  <si>
    <t>TIPO DE PLAN</t>
  </si>
  <si>
    <t xml:space="preserve">Plan Institucional de Capacitación </t>
  </si>
  <si>
    <t>Capacitación sobre Manejo y control de los bienes de uso de la Entidad.</t>
  </si>
  <si>
    <t>11700-2-10-1-1</t>
  </si>
  <si>
    <t>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t>
  </si>
  <si>
    <t xml:space="preserve"># Funcionarios  participantes / 
# Funcionarios  convocados
</t>
  </si>
  <si>
    <t>Capacitación en Gestión documental en el entorno laboral.
Cero papel
Ley  de Archivo 594 del  2000
Manejo de inventarios.
Tabla de retención documental (construcción).
Gestión y manejo del Archivo.</t>
  </si>
  <si>
    <t>11700-2-10-3</t>
  </si>
  <si>
    <t>Controles y seguridad informática.</t>
  </si>
  <si>
    <t>11700-2-10-1-2</t>
  </si>
  <si>
    <t>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t>
  </si>
  <si>
    <t>11700-2-10-4</t>
  </si>
  <si>
    <t>Informe de resultados de la aplicación de la encuesta sobre factores de riesgo psicosocial.</t>
  </si>
  <si>
    <t>11700-2-10-1-3</t>
  </si>
  <si>
    <t>Contribuir al fortalecimiento de las competencias de los servidores públicos desde las dimensiones del Ser.</t>
  </si>
  <si>
    <t xml:space="preserve"># Informe de resultados
</t>
  </si>
  <si>
    <t>11700-2-10-5</t>
  </si>
  <si>
    <t>Taller en Comunicación efectiva.</t>
  </si>
  <si>
    <t>11700-2-10-6</t>
  </si>
  <si>
    <t>Taller en Manejo del tiempo libre.</t>
  </si>
  <si>
    <t>11700-2-10-7</t>
  </si>
  <si>
    <t>Taller de Trabajo en equipo.</t>
  </si>
  <si>
    <t>11700-2-10-8</t>
  </si>
  <si>
    <t>Taller de Liderazgo.</t>
  </si>
  <si>
    <t>11700-2-10-9</t>
  </si>
  <si>
    <t>Taller en  Adaptación al cambio.</t>
  </si>
  <si>
    <t>11700-2-10-10</t>
  </si>
  <si>
    <t>Taller en Control y manejo del estrés laboral.</t>
  </si>
  <si>
    <t># Capacitaciones Ejecutadas/ # Capacitaciones programadas</t>
  </si>
  <si>
    <t xml:space="preserve">Plan de Bienestar e Incentivos Institucionales </t>
  </si>
  <si>
    <t>11700-2-10-11</t>
  </si>
  <si>
    <t>Olimpiadas Deportivas</t>
  </si>
  <si>
    <t>11700-2-10-2-1</t>
  </si>
  <si>
    <t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t>
  </si>
  <si>
    <t># Funcionarios  participantes en las olimpiadas deportivas realizadas / 
# Total de Funcionarios  X # olimpiadas deportivas programadas</t>
  </si>
  <si>
    <t>11700-2-10-12</t>
  </si>
  <si>
    <t>Caminatas Ecológicas</t>
  </si>
  <si>
    <t>11700-2-10-2-2</t>
  </si>
  <si>
    <t xml:space="preserve">
Crear un espacio de integración en las familias, fomentar un habito saludable y sensibilizar sobre el cuidado del medio ambiente.</t>
  </si>
  <si>
    <t xml:space="preserve"># participantes en las caminatas ecológicas realizadas  / 
#  Participantes  proyectados X # caminatas ecológicas programadas </t>
  </si>
  <si>
    <t>11700-2-10-13</t>
  </si>
  <si>
    <t>Vacaciones Recreativas</t>
  </si>
  <si>
    <t>11700-2-10-2-3</t>
  </si>
  <si>
    <t xml:space="preserve">
Ofrecer un espacio de diversión y sano esparcimiento a los hijos de los funcionarios de la Entidad con edades entre los 6 a 16 años.</t>
  </si>
  <si>
    <t xml:space="preserve"># Hijos de funcionarios  participantes  durante la semana
/ Hijos de funcionarios proyectados en la semana
</t>
  </si>
  <si>
    <t>11700-2-10-14</t>
  </si>
  <si>
    <t>Actividad lúdica para los niños</t>
  </si>
  <si>
    <t>11700-2-10-2-4</t>
  </si>
  <si>
    <t>Celebración el día del niño a los hijos de los funcionarios a través de actividades lúdicas y recreativas.</t>
  </si>
  <si>
    <t>#  pases entregados  / # pases proyectados</t>
  </si>
  <si>
    <t>11700-2-10-15</t>
  </si>
  <si>
    <t>Actividades recreacionales que incluyan el grupo familiar</t>
  </si>
  <si>
    <t>11700-2-10-2-5</t>
  </si>
  <si>
    <t>Crear espacios de encuentro entre los funcionares y su grupo familiar para fortalecer el equilibrio entre la vida familiar y laboral.</t>
  </si>
  <si>
    <t xml:space="preserve">#   participantes en las actividades / 
# participantes proyectados
</t>
  </si>
  <si>
    <t>11700-2-10-16</t>
  </si>
  <si>
    <t xml:space="preserve">Rendición de cuentas interna
Día ADRES (día del aniversario ADRES)
</t>
  </si>
  <si>
    <t>11700-2-10-2-6</t>
  </si>
  <si>
    <t>Conmemorar el aniversario de la creación de la ADRES y fomentar el sentido de pertenencia de los funcionarios hacia la Entidad.</t>
  </si>
  <si>
    <t xml:space="preserve"># Funcionarios  participantes /
# Total  de funcionarios
</t>
  </si>
  <si>
    <t>11700-2-10-17</t>
  </si>
  <si>
    <t>Integración grupos de trabajo</t>
  </si>
  <si>
    <t>11700-2-10-2-7</t>
  </si>
  <si>
    <t>Promover actividades que contribuyan al desarrollo y fortalecimiento del ambiente laboral.</t>
  </si>
  <si>
    <t xml:space="preserve"># Funcionarios Directores y lideres de grupos  participantes en las sesiones de integración de grupos de trabajo  / # total de Directores y lideres de grupos  X  # sesiones de integración de grupos de trabajo programadas
</t>
  </si>
  <si>
    <t>11700-2-10-18</t>
  </si>
  <si>
    <t>Pausas activas</t>
  </si>
  <si>
    <t xml:space="preserve"># Funcionarios  participantes en las pausas activas  realizadas / # total  de funcionarios X # pausas activas  programadas  
</t>
  </si>
  <si>
    <t>Charlas de superación y programación neurolingüística</t>
  </si>
  <si>
    <t xml:space="preserve"># Funcionarios  participantes en las charlas realizadas / 
# Funcionarios  proyectados X # charlas programadas 
</t>
  </si>
  <si>
    <t>11700-2-10-20</t>
  </si>
  <si>
    <t>Plan prepensionados</t>
  </si>
  <si>
    <t>11700-2-10-2-8</t>
  </si>
  <si>
    <t>Proporcionar herramientas a los pre pensionados para una mejor adaptación a los cambios y transformaciones, el fortalecimiento de las relaciones con las personas y la interacción con su entorno.</t>
  </si>
  <si>
    <t xml:space="preserve"># Funcionarios prepensionados  participantes / 
# Total  de funcionarios prepensionados
</t>
  </si>
  <si>
    <t>11700-2-10-21</t>
  </si>
  <si>
    <t>Actividad de cierre de gestión y socialización de los logros</t>
  </si>
  <si>
    <t>11700-2-10-2-9</t>
  </si>
  <si>
    <t>Reconocer la labor y dedicación de los funcionarios en el 2018, además generar un espacio de integración para todos los equipos de trabajo.</t>
  </si>
  <si>
    <t xml:space="preserve"># Funcionarios  participantes / 
#Total de Funcionarios
</t>
  </si>
  <si>
    <t>11700-2-10-22</t>
  </si>
  <si>
    <t>Resolución de  incentivos</t>
  </si>
  <si>
    <t>11700-2-10-2-10</t>
  </si>
  <si>
    <t>Premiación del mejor empleado de carrera y mejor de libre nombramiento y remoción, y premiación al mejor empleado de carrera por nivel (Gestor, Técnico administrativo y Auxiliar Administrativo) según la calificación obtenida en la evaluación del desempeño.</t>
  </si>
  <si>
    <t xml:space="preserve"># Resoluciones firmadas
</t>
  </si>
  <si>
    <t>11700-2-10-23</t>
  </si>
  <si>
    <t>Otros incentivos</t>
  </si>
  <si>
    <t>11700-2-10-2-11</t>
  </si>
  <si>
    <t>Proporcionar otros incentivos a los funcionarios</t>
  </si>
  <si>
    <t># solicitudes recibidas por el canal virtual tramitadas / # total de solicitudes recibidas por el canal virtual</t>
  </si>
  <si>
    <t>Plan Anticorrupción y de Atención al Ciudadano</t>
  </si>
  <si>
    <t>12000-2-4</t>
  </si>
  <si>
    <t>Política de riesgos revisada y actualizada</t>
  </si>
  <si>
    <t>12000-2-4-1</t>
  </si>
  <si>
    <t>Estructurar de manera colaborativa la política de Administración de Riesgos de ADRES.</t>
  </si>
  <si>
    <t># Políticas estructuradas</t>
  </si>
  <si>
    <t>12000-2-5</t>
  </si>
  <si>
    <t>Acto Administrativo que adopta para ADRES Política de Administración de Riesgos</t>
  </si>
  <si>
    <t>12000-2-5-1</t>
  </si>
  <si>
    <t>Adoptar por parte de ADRES a través de acto administrativo Política de Administración de Riesgos.</t>
  </si>
  <si>
    <t># Actos Administrativos que adoptan la Política de Administración de Riesgos de la ADRES</t>
  </si>
  <si>
    <t>12000-2-6</t>
  </si>
  <si>
    <t>Política socializada a nivel interno</t>
  </si>
  <si>
    <t>12000-2-6-1</t>
  </si>
  <si>
    <t>Socializar la política de administración de riesgos a los funcionarios y contratistas.</t>
  </si>
  <si>
    <t># Socializaciones de la Política de Administración de Riesgos realizadas a los funcionarios y contratistas de la ADRES</t>
  </si>
  <si>
    <t>12000-2-7</t>
  </si>
  <si>
    <t>Política socializada nivel externo</t>
  </si>
  <si>
    <t>12000-2-7-1</t>
  </si>
  <si>
    <t>Socializar la política de administración de riesgos a la ciudadanía y partes interesadas a través de su publicación en la página web.</t>
  </si>
  <si>
    <t># Publicaciones de la Política de Administración de Riesgos en la página Web de la ADRES</t>
  </si>
  <si>
    <t>12000-2-8</t>
  </si>
  <si>
    <t xml:space="preserve">Manual: Metodología de Administración de Riesgos  (Manual Operativo de Administración de Riesgos) </t>
  </si>
  <si>
    <t>12000-2-8-1</t>
  </si>
  <si>
    <t>Estructurar metodología interna de Administración de Riesgos (manual), según corresponda</t>
  </si>
  <si>
    <t xml:space="preserve"># Manuales Operativos de Administración de Riesgos estructurados </t>
  </si>
  <si>
    <t>12000-2-9</t>
  </si>
  <si>
    <t>Documentos internos socializados</t>
  </si>
  <si>
    <t>12000-2-9-1</t>
  </si>
  <si>
    <t>Socializar documentos internos de Administración de riesgos a Servidores y Contratistas</t>
  </si>
  <si>
    <t>#socializaciones realizadas de documentos internos de la Metodología de Administración de Riesgos  / # total de socializaciones programadas</t>
  </si>
  <si>
    <t>12000-2-10</t>
  </si>
  <si>
    <t>Mapa de riesgos de corrupción, procesos misionales</t>
  </si>
  <si>
    <t>12000-2-10-1</t>
  </si>
  <si>
    <t>Construir mapa de riesgos de corrupción de acuerdo con la Guía de Administración de Riesgos de procesos misionales.</t>
  </si>
  <si>
    <t># Mapas de riesgos de corrupción de procesos misionales construidos</t>
  </si>
  <si>
    <t>12000-2-11</t>
  </si>
  <si>
    <t>Mapa de riesgos de corrupción, procesos de apoyo y evaluación.</t>
  </si>
  <si>
    <t>12000-2-11-1</t>
  </si>
  <si>
    <t xml:space="preserve">Construir mapa de riesgos de corrupción de acuerdo con la Guía de Administración de Riesgos de procesos de apoyo y evaluación. </t>
  </si>
  <si>
    <t># Mapas de riesgos de corrupción de procesos de apoyo y de evaluación construidos</t>
  </si>
  <si>
    <t>12000-2-12</t>
  </si>
  <si>
    <t>Mapa de riesgos de corrupción consolidado, aprobado y publicado</t>
  </si>
  <si>
    <t>12000-2-12-1</t>
  </si>
  <si>
    <t>Consolidación de mapa de riesgos de corrupción, aprobado y publicado en página web de la Entidad.</t>
  </si>
  <si>
    <t># Mapas de riesgos de corrupción consolidados, aprobados y publicados</t>
  </si>
  <si>
    <t>12000-2-13</t>
  </si>
  <si>
    <t>Documento de análisis a propuestas, consideraciones y observaciones</t>
  </si>
  <si>
    <t>12000-2-13-1</t>
  </si>
  <si>
    <t>Socializar mapa de riesgos para así recopilar, consolidar y analizar propuestas, consideraciones u observaciones al Mapa de Riesgos de Corrupción y ajustar en caso de ser necesario.</t>
  </si>
  <si>
    <t xml:space="preserve"># Documentos de análisis a propuestas, consideraciones y observaciones al mapa socializado de riesgos de corrupción </t>
  </si>
  <si>
    <t>12000-2-14</t>
  </si>
  <si>
    <t>Mapa de riesgos de corrupción ajustado</t>
  </si>
  <si>
    <t>12000-2-14-1</t>
  </si>
  <si>
    <t>Armonizar mapa de riesgos de corrupción, con la plataforma estratégica aprobada en ADRES y con el modelo de operación de la entidad</t>
  </si>
  <si>
    <t># Mapas de riesgos armonizados a la plataforma estratégica y al modelo de operación de la ADRES</t>
  </si>
  <si>
    <t>12000-2-15</t>
  </si>
  <si>
    <t>Jornada de socialización de mapa de riesgos para ADRES</t>
  </si>
  <si>
    <t>12000-2-15-1</t>
  </si>
  <si>
    <t>Socializar mapa de riesgos de corrupción a los funcionarios y contratistas</t>
  </si>
  <si>
    <t># Jornada de socialización de mapa de riesgos para ADRES</t>
  </si>
  <si>
    <t>12000-2-16</t>
  </si>
  <si>
    <t>Publicación de mapa de riesgos de corrupción en página web de la entidad.</t>
  </si>
  <si>
    <t>12000-2-16-1</t>
  </si>
  <si>
    <t>Socializar mapa de riesgos de corrupción a usuarios y partes interesadas a través de su publicación en la página web.</t>
  </si>
  <si>
    <t># Publicaciones del mapa de riesgos de corrupción en la página Web de la ADRES</t>
  </si>
  <si>
    <t>12000-2-17</t>
  </si>
  <si>
    <t>Jornadas de socialización de mapa de riesgos ajustado y/o actualizado.</t>
  </si>
  <si>
    <t>12000-2-17-1</t>
  </si>
  <si>
    <t>Socializar ajustes y actualizaciones a mapa de riesgos de corrupción cada vez que se realicen cambios.</t>
  </si>
  <si>
    <t># Jornadas de socialización de los mapas de riesgos de corrupción actualizados</t>
  </si>
  <si>
    <t>12000-2-18</t>
  </si>
  <si>
    <t>Reuniones de Autocontrol que evidencie(n) monitoreo al mapa de riesgos de corrupción</t>
  </si>
  <si>
    <t>12000-2-18-1</t>
  </si>
  <si>
    <t>Monitorear y revisar periódicamente los riesgos de corrupción del proceso a cargo, verificando el cumplimiento del Plan de Acción para mitigarlos o la identificación de nuevos riesgos de corrupción, a través de reuniones de Autocontrol.</t>
  </si>
  <si>
    <t># Reuniones de Autocontrol realizadas</t>
  </si>
  <si>
    <t>12000-2-19</t>
  </si>
  <si>
    <t>Mapa de riesgos de corrupción (nueva versión) de ser necesario</t>
  </si>
  <si>
    <t>12000-2-19-1</t>
  </si>
  <si>
    <t>Ajustar mapa de riesgos de corrupción de ser necesario y solicitar cambios (remitir a Oficina Asesora de Planeación)</t>
  </si>
  <si>
    <t># Mapas de riesgos de corrupción actualizados</t>
  </si>
  <si>
    <t xml:space="preserve">Oficina Asesora de Planeación y Control de Riesgos </t>
  </si>
  <si>
    <t>12000-2-20</t>
  </si>
  <si>
    <t>Adaptación de un Sistema de Administración del Riesgo de Lavado de Activos y Financiación del Terrorismo –SARLAFT</t>
  </si>
  <si>
    <t>12000-2-20-1</t>
  </si>
  <si>
    <t>Adelantar acciones que permitan prevenir apariencia de legalidad a activos provenientes de actividades delictivas o para la canalización de recursos hacia la realización de actividades terroristas en ADRES</t>
  </si>
  <si>
    <t># Acciones adelantadas / # acciones programadas</t>
  </si>
  <si>
    <t>11700-2-24</t>
  </si>
  <si>
    <t>11700-2-24-1</t>
  </si>
  <si>
    <t>11700-2-25</t>
  </si>
  <si>
    <t>11700-2-25-1</t>
  </si>
  <si>
    <t>11300-2-3</t>
  </si>
  <si>
    <t>11300-2-3-1</t>
  </si>
  <si>
    <t>11300-2-4</t>
  </si>
  <si>
    <t>11300-2-4-1</t>
  </si>
  <si>
    <t>11600-2-3</t>
  </si>
  <si>
    <t>11600-2-3-1</t>
  </si>
  <si>
    <t>11600-2-4</t>
  </si>
  <si>
    <t>11600-2-4-1</t>
  </si>
  <si>
    <t>11400-2-3</t>
  </si>
  <si>
    <t>11400-2-3-1</t>
  </si>
  <si>
    <t>11400-2-4</t>
  </si>
  <si>
    <t>11400-2-4-1</t>
  </si>
  <si>
    <t>11500-2-3</t>
  </si>
  <si>
    <t>11500-2-3-1</t>
  </si>
  <si>
    <t>11500-2-4</t>
  </si>
  <si>
    <t>11500-2-4-1</t>
  </si>
  <si>
    <t>11900-2-3</t>
  </si>
  <si>
    <t>11900-2-3-1</t>
  </si>
  <si>
    <t>11900-2-4</t>
  </si>
  <si>
    <t>11900-2-4-1</t>
  </si>
  <si>
    <t>11800-2-3</t>
  </si>
  <si>
    <t>11800-2-3-1</t>
  </si>
  <si>
    <t>11800-2-4</t>
  </si>
  <si>
    <t>11800-2-4-1</t>
  </si>
  <si>
    <t>11800-2-5</t>
  </si>
  <si>
    <t>Informe de seguimiento a los Mapas de Riesgos de Corrupción publicados.</t>
  </si>
  <si>
    <t>11800-2-5-1</t>
  </si>
  <si>
    <t>Realizar seguimiento al mapa de riesgos de corrupción y a la efectividad de los controles</t>
  </si>
  <si>
    <t># seguimientos a los mapas de riesgos de corrupción realizados</t>
  </si>
  <si>
    <t>11600-2-5</t>
  </si>
  <si>
    <t>Documento técnico de soporte de la estrategia de Interoperabilidad</t>
  </si>
  <si>
    <t>11600-2-5-1</t>
  </si>
  <si>
    <t>Definir estrategia de interoperabilidad de sistemas de información interinstitucional.</t>
  </si>
  <si>
    <t># Documentos técnicos de soporte de la estrategia de Interoperabilidad elaborados</t>
  </si>
  <si>
    <t>Inventario de información sobre la gestión de la entidad, responsables y periodicidad de la actualización</t>
  </si>
  <si>
    <t>Inventariar la información sobre la gestión de la entidad y el cumplimiento de metas del Plan Nacional de Desarrollo y establecer responsables y periodicidad de actualización de la misma.</t>
  </si>
  <si>
    <t># Inventarios de información sobre la gestión de la entidad</t>
  </si>
  <si>
    <t>12000-2-21</t>
  </si>
  <si>
    <t>Formalización de equipo líder</t>
  </si>
  <si>
    <t>12000-2-21-1</t>
  </si>
  <si>
    <t>Definición de equipo líder del proceso de rendición de cuentas de ADRES</t>
  </si>
  <si>
    <t># Equipo líder de rendición de cuentas formalizado</t>
  </si>
  <si>
    <t>Oficina Asesora de Planeación y Control de Riegos
Dirección General</t>
  </si>
  <si>
    <t>12000-2-22</t>
  </si>
  <si>
    <t>Caracterización de ciudadanos y grupos de interés</t>
  </si>
  <si>
    <t>12000-2-22-1</t>
  </si>
  <si>
    <t xml:space="preserve">Caracterizar a los ciudadanos y grupos de interés para el proceso de rendición de cuentas de ADRES </t>
  </si>
  <si>
    <t># Documentos de caracterización de ciudadanos y grupos de interés elaborados</t>
  </si>
  <si>
    <t>12000-2-23</t>
  </si>
  <si>
    <t>Soportes de la rendición de cuentas</t>
  </si>
  <si>
    <t>11200-2-2-1</t>
  </si>
  <si>
    <t>Realizar la rendición de cuentas de ADRES teniendo como base la normativa existente en la materia, Ley 1757 de 2015.</t>
  </si>
  <si>
    <t xml:space="preserve"># soportes de rendición de cuentas elaborados / # soportes de rendición de cuentas requeridos </t>
  </si>
  <si>
    <t>11200-2-2</t>
  </si>
  <si>
    <t>Resultados socializados en página web</t>
  </si>
  <si>
    <t>Comunicar los resultados del ejercicio de Rendición de Cuentas a la ciudadanía y partes interesadas.</t>
  </si>
  <si>
    <t># publicaciones realizadas de los resultados de la rendición de cuentas en la página Web de la ADRES</t>
  </si>
  <si>
    <t>11200-2-6-1</t>
  </si>
  <si>
    <t>Oficina Asesora de Planeación y Control de Riesgos
Dirección General
Dirección Administrativa y Financiera</t>
  </si>
  <si>
    <t>12000-2-25</t>
  </si>
  <si>
    <t>Jornada de rendición de Cuentas interna</t>
  </si>
  <si>
    <t>Realizar la Rendición de Cuentas interna de ADRES teniendo como base la normativa existente en la materia.</t>
  </si>
  <si>
    <t># Jornadas de rendición de Cuentas internas realizadas</t>
  </si>
  <si>
    <t>11200-2-3</t>
  </si>
  <si>
    <t>Jornada de Sensibilización sobre la importancia de la Rendición de Cuentas</t>
  </si>
  <si>
    <t>11200-2-3-1</t>
  </si>
  <si>
    <t>Sensibilizar e incentivar a servidores y contratistas sobre la rendición de cuentas, la normativa aplicable, las responsabilidades frente a misma, su importancia y la forma en que la entidad rinde cuentas.</t>
  </si>
  <si>
    <t># Jornadas de rendición de Cuentas interna realizadas</t>
  </si>
  <si>
    <t>11200-2-4</t>
  </si>
  <si>
    <t>Una (1) pieza comunicacional y una (1) presentación explicativa de rendición de cuentas</t>
  </si>
  <si>
    <t>11200-2-4-1</t>
  </si>
  <si>
    <t>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t>
  </si>
  <si>
    <t># Piezas comunicacionales  explicativas de rendición de cuentas publicadas en la página Web</t>
  </si>
  <si>
    <t># Presentaciones explicativas de rendición de cuentas publicadas en la página Web</t>
  </si>
  <si>
    <t>12000-2-26</t>
  </si>
  <si>
    <t>Evaluación interna y externa del ejercicio de Rendición de Cuentas</t>
  </si>
  <si>
    <t>Consolidar, registrar y analizar las evaluaciones, inquietudes, observaciones o aportes realizados por la ciudadanía y partes interesadas, frente a la gestión de la entidad.</t>
  </si>
  <si>
    <t># Evaluaciones del ejercicio de Rendición de Cuentas externa</t>
  </si>
  <si>
    <t>12000-2-27</t>
  </si>
  <si>
    <t>Informe de evaluación</t>
  </si>
  <si>
    <t>12000-2-23-1</t>
  </si>
  <si>
    <t>Consolidar, registrar y analizar las evaluaciones, inquietudes, observaciones o aportes realizados por los servidores de ADRES, frente a la gestión de la entidad.</t>
  </si>
  <si>
    <t># Informes de evaluación del ejercicio de rendición de cuentas interna</t>
  </si>
  <si>
    <t>12000-2-28</t>
  </si>
  <si>
    <t>Informe de autoevaluación</t>
  </si>
  <si>
    <t>12000-2-24-1</t>
  </si>
  <si>
    <t>Autoevaluar el cumplimiento de la estrategia de rendición de cuentas externa implementada por la entidad.</t>
  </si>
  <si>
    <t># Informes de autoevaluación de la estrategia de  rendición de cuentas</t>
  </si>
  <si>
    <t>12000-2-29</t>
  </si>
  <si>
    <t>Documento con acciones de mejoramiento publicado en página web</t>
  </si>
  <si>
    <t>12000-2-25-1</t>
  </si>
  <si>
    <t>Documentar acciones de mejoramiento derivadas de acuerdos, propuestas o evaluaciones que resulten del proceso de rendición de cuentas y divulgarlas entre los participantes.</t>
  </si>
  <si>
    <t># Documentos con acciones de mejoramiento publicados en página web</t>
  </si>
  <si>
    <t>11700-2-26</t>
  </si>
  <si>
    <t>Pliegos de condiciones de los procesos contractuales y actas de audiencias públicas</t>
  </si>
  <si>
    <t>11700-2-26-1</t>
  </si>
  <si>
    <t>Convocar a audiencias públicas en los procesos de contratación que se requiera y convocar a las veedurías ciudadanas dentro de los procesos contractuales.</t>
  </si>
  <si>
    <t># de audiencias públicas convocadas en los pliegos de condiciones de procesos licitatorios adelantados durante el periodo / # procesos licitatorios adelantados durante el periodo</t>
  </si>
  <si>
    <t>11700-2-27</t>
  </si>
  <si>
    <t>Formalización del Grupo de Atención al Ciudadano. Acto Administrativo</t>
  </si>
  <si>
    <t>11700-2-27-1</t>
  </si>
  <si>
    <t>Presentar al Director General de la ADRES la formalización del grupo de Atención al Ciudadano y la figura de Coordinador del Grupo.</t>
  </si>
  <si>
    <t xml:space="preserve"># Actos Administrativos de formalización del Grupo de Atención al Ciudadano. </t>
  </si>
  <si>
    <t>11700-2-28</t>
  </si>
  <si>
    <t xml:space="preserve">Socialización a través de publicación en Página WEB de información referente a medios y horarios de atención de la ADRES </t>
  </si>
  <si>
    <t>11700-2-28-1</t>
  </si>
  <si>
    <t>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t>
  </si>
  <si>
    <t># campañas de socialización de medios y horarios de atención de la ADRES publicadas en la página Web de la entidad</t>
  </si>
  <si>
    <t>11700-2-29</t>
  </si>
  <si>
    <t xml:space="preserve">Encuesta satisfacción del usuario diseñada e implementada. </t>
  </si>
  <si>
    <t>11700-2-29-1</t>
  </si>
  <si>
    <t>Diseñar e implementar la encuesta satisfacción del usuario.</t>
  </si>
  <si>
    <t># Encuestas de atención al ciudadano diseñadas e implementadas</t>
  </si>
  <si>
    <t>11700-2-30</t>
  </si>
  <si>
    <t>Informes bimensuales de evaluación de satisfacción de los usuarios.</t>
  </si>
  <si>
    <t>11700-2-30-1</t>
  </si>
  <si>
    <t xml:space="preserve">Evaluar la satisfacción de los usuarios por el canal de atención presencial en cuanto al trámite de las PQRSD en la ADRES y socializar los resultados a las áreas involucradas para la generación de planes de mejoramiento. </t>
  </si>
  <si>
    <t># Informes socializados a las áreas involucradas</t>
  </si>
  <si>
    <t xml:space="preserve"># usuarios encuestados que calificaron el servicio de atención presencial como Excelente (trato recibido del funcionario) / # total de usuarios encuestados el servicio de atención presencial </t>
  </si>
  <si>
    <t>11700-2-31</t>
  </si>
  <si>
    <t>Protocolos de atención al ciudadano publicado en página web de la ADRES</t>
  </si>
  <si>
    <t>11700-2-31-1</t>
  </si>
  <si>
    <t>Publicar el protocolo de atención al ciudadano de la entidad en página web.</t>
  </si>
  <si>
    <t># Protocolos de atención al ciudadano publicados en página web de la ADRES</t>
  </si>
  <si>
    <t>11700-2-32</t>
  </si>
  <si>
    <t>Propuesta de nuevo canal de atención presentada y puesta a consideración de la Dirección General.</t>
  </si>
  <si>
    <t>11700-2-32-1</t>
  </si>
  <si>
    <t xml:space="preserve">Poner a consideración propuesta de un nuevo canal de atención de acuerdo con las características y necesidades de los ciudadanos y partes interesadas para garantizar una mayor cobertura. </t>
  </si>
  <si>
    <t># Propuestas presentadas y puestas a consideración de la Dirección General.</t>
  </si>
  <si>
    <t>11700-2-33</t>
  </si>
  <si>
    <t>Jornadas de socialización de protocolo</t>
  </si>
  <si>
    <t>11700-2-33-1</t>
  </si>
  <si>
    <t>Socializar a los servidores públicos y contratistas de la Entidad el Protocolo de Atención al Ciudadano.</t>
  </si>
  <si>
    <t># Jornadas de socialización del protocolo realizadas</t>
  </si>
  <si>
    <t>11700-2-34</t>
  </si>
  <si>
    <t xml:space="preserve">Jornadas de capacitación para fortalecer competencias e incentivar a los servidores de la ADRES de servicio al ciudadano. </t>
  </si>
  <si>
    <t>11700-2-34-1</t>
  </si>
  <si>
    <t>Fortalecer las competencias de los servidores de la entidad cuyas funciones están relacionadas con servicio al ciudadano, a través de capacitaciones que los incentiven a realizar permanentemente una adecuada gestión.</t>
  </si>
  <si>
    <t># Jornadas de capacitación</t>
  </si>
  <si>
    <t>11700-2-35</t>
  </si>
  <si>
    <t>Matriz con riesgos de corrupción identificados para el proceso de Atención al Ciudadano</t>
  </si>
  <si>
    <t>11700-2-35-1</t>
  </si>
  <si>
    <t>Identificar Riesgos de corrupción asociados al proceso Gestión de Atención al Ciudadano para la ADRES.</t>
  </si>
  <si>
    <t># Matrices de riesgos de corrupción de Atención al Ciudadano aprobadas</t>
  </si>
  <si>
    <t>11700-2-36</t>
  </si>
  <si>
    <t>Proceso y/o procedimientos actualizados</t>
  </si>
  <si>
    <t>11700-2-36-1</t>
  </si>
  <si>
    <t>Caracterizar el proceso y/o procedimiento referente a la administración de Quejas, Reclamos y Sugerencias, de conformidad con el modelo de operación de ADRES.</t>
  </si>
  <si>
    <t># procedimientos relacionados con la administración de Quejas, Reclamos y Sugerencias caracterizados y/o actualizados / # procedimientos requeridos para caracterizar y/o actualizar</t>
  </si>
  <si>
    <t>11600-2-6</t>
  </si>
  <si>
    <t>Formulario dispuesto en la Página Web de Adres.</t>
  </si>
  <si>
    <t>11600-2-6-1</t>
  </si>
  <si>
    <t>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t>
  </si>
  <si>
    <t># Formularios dispuestos en la Página Web de Adres.</t>
  </si>
  <si>
    <t>11600-2-7</t>
  </si>
  <si>
    <t>Desarrollo tecnológico de encuesta de satisfacción al usuario.</t>
  </si>
  <si>
    <t>11600-2-7-1</t>
  </si>
  <si>
    <t>Desarrollar encuesta de satisfacción al usuario en formato virtual con base en los requerimientos de la Dirección Administrativa y Financiera</t>
  </si>
  <si>
    <t># Encuestas virtuales de satisfacción al usuario dispuesta en el portal institucional.</t>
  </si>
  <si>
    <t>11600-2-8</t>
  </si>
  <si>
    <t>Desarrollo tecnológico de herramienta de medición de oportunidad de respuestas a PQRSD.</t>
  </si>
  <si>
    <t>11600-2-8-1</t>
  </si>
  <si>
    <t>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t>
  </si>
  <si>
    <t># Herramientas de medición de oportunidad de respuestas a PQRSD implementada</t>
  </si>
  <si>
    <t>Oficina Asesora Jurídica
Dirección Administrativa y Financiera</t>
  </si>
  <si>
    <t>11900-2-5</t>
  </si>
  <si>
    <t>Política formalizada a través de Acto Administrativo</t>
  </si>
  <si>
    <t>11900-2-5-1</t>
  </si>
  <si>
    <t>Formalizar política de protección de datos personales (habeas data).</t>
  </si>
  <si>
    <t># Actos Administrativos que contienen la política de protección de datos personales formalizados</t>
  </si>
  <si>
    <t>11700-2-37</t>
  </si>
  <si>
    <t>Charlas servidores de Atención al Ciudadano en actualización normativa y portafolio de la ADRES</t>
  </si>
  <si>
    <t>11700-2-37-1</t>
  </si>
  <si>
    <t>Realizar charlas de actualización normativa a los servidores públicos y contratistas de Atención al Ciudadano como mecanismo de actualización.</t>
  </si>
  <si>
    <t># Charlas realizadas a servidores de Atención al Ciudadano en actualización normativa y portafolio de la ADRES</t>
  </si>
  <si>
    <t>11700-2-38</t>
  </si>
  <si>
    <t>Carta de Trato digno   publicada</t>
  </si>
  <si>
    <t>11700-2-38-1</t>
  </si>
  <si>
    <t>Publicar en los canales de atención la Carta de Trato Digno al Ciudadano.</t>
  </si>
  <si>
    <t>11700-2-39</t>
  </si>
  <si>
    <t>Formatos estandarizados y aprobados</t>
  </si>
  <si>
    <t>11700-2-39-1</t>
  </si>
  <si>
    <t>Definir e implementar los formatos para recepción de peticiones verbales y atención personalizada.</t>
  </si>
  <si>
    <t># Formatos estandarizados y aprobados / # total de formatos para recepción de peticiones verbales y atención personalizada</t>
  </si>
  <si>
    <t>11700-2-40</t>
  </si>
  <si>
    <t>11700-2-40-1</t>
  </si>
  <si>
    <t># Informes mensuales de PQRS realizados</t>
  </si>
  <si>
    <t>11700-2-41</t>
  </si>
  <si>
    <t>Caracterización de Usuarios</t>
  </si>
  <si>
    <t>11700-2-41-1</t>
  </si>
  <si>
    <t>Identificar y caracterizar usuarios y partes interesadas.</t>
  </si>
  <si>
    <t># Documentos de caracterización de usuarios y partes interesadas</t>
  </si>
  <si>
    <t>11700-2-42</t>
  </si>
  <si>
    <t>Formato encuesta de percepción adoptado.</t>
  </si>
  <si>
    <t>11700-2-42-1</t>
  </si>
  <si>
    <t>Adaptar formato de encuesta de percepción de los ciudadanos y funcionarios de la entidad respecto a los servicios de la ADRES. Según metodología del DNP.</t>
  </si>
  <si>
    <t># Formatos encuesta de percepción adoptado con base en el PNSC del DNP</t>
  </si>
  <si>
    <t>11700-2-43</t>
  </si>
  <si>
    <t>Documento publicado</t>
  </si>
  <si>
    <t>11700-2-43-1</t>
  </si>
  <si>
    <t>Realizar documento del Portafolio de Servicios de la ADRES y publicarlo en la página WEB.</t>
  </si>
  <si>
    <t># Documentos publicados</t>
  </si>
  <si>
    <t>11200-2-5</t>
  </si>
  <si>
    <t>Propuesta de Política de Comunicaciones</t>
  </si>
  <si>
    <t>11200-2-5-1</t>
  </si>
  <si>
    <t>Elaborar propuesta de Política de Comunicaciones de la Entidad en la cual se definan los parámetros, requisitos o estándares de publicación de información en página web.</t>
  </si>
  <si>
    <t># Propuestas de Política de Comunicaciones elaboradas</t>
  </si>
  <si>
    <t>11700-2-44</t>
  </si>
  <si>
    <t>Información publicada en página web institucional - pestaña transparencia</t>
  </si>
  <si>
    <t>11700-2-44-1</t>
  </si>
  <si>
    <t>Publicar la información mínima requerida en página web que tratan los artículos 9, 10 y 11 de la Ley 1712 de 2014.</t>
  </si>
  <si>
    <t>Información publicada en página web institucional / Información que requiere publicación o actualización</t>
  </si>
  <si>
    <t>11600-2-9</t>
  </si>
  <si>
    <t>Publicación en portal de datos abiertos</t>
  </si>
  <si>
    <t>11600-2-9-1</t>
  </si>
  <si>
    <t>Consolidar información como dato abierto reportada por las dependencias, gestionar tratamiento técnico y publicación en el portal de datos abiertos.</t>
  </si>
  <si>
    <t># Información de datos abiertos publicada / # información de datos abiertos identificada</t>
  </si>
  <si>
    <t>11600-2-10</t>
  </si>
  <si>
    <t>Inventario Activos de la información de tipo "información y datos"</t>
  </si>
  <si>
    <t>Realizar el Inventario Activos de la información de tipo “información y datos”.</t>
  </si>
  <si>
    <t># Inventario de Activos de la información de tipo "información y datos" elaborados</t>
  </si>
  <si>
    <t>11700-2-45</t>
  </si>
  <si>
    <t>Resolución</t>
  </si>
  <si>
    <t>11700-2-45-1</t>
  </si>
  <si>
    <t>Verificar principio de gratuidad y costos de reproducción de información solicitada, de acuerdo con los artículos 20 y 21 del Decreto 103 de 2015</t>
  </si>
  <si>
    <t># Resoluciones publicada en la página Web de la ADRES</t>
  </si>
  <si>
    <t>11200-2-6</t>
  </si>
  <si>
    <t>Esquema de publicación publicado en página web institucional</t>
  </si>
  <si>
    <t>Estructurar un Esquema de Publicación para ADRES.</t>
  </si>
  <si>
    <t># Esquemas de publicación publicados en página web institucional</t>
  </si>
  <si>
    <t>11700-2-46</t>
  </si>
  <si>
    <t>Programa de Gestión Documental publicado en página web institucional</t>
  </si>
  <si>
    <t>11700-2-46-1</t>
  </si>
  <si>
    <t>Elaborar y publicar en página web el Programa de Gestión Documental de acuerdo con el Capítulo IV del Decreto 103 de 2015</t>
  </si>
  <si>
    <t># Documentos del Programa de Gestión Documental publicado en la pagina WEB</t>
  </si>
  <si>
    <t>11700-2-47</t>
  </si>
  <si>
    <t>Diagnóstico de accesibilidad en punto de atención a personas en condición de discapacidad</t>
  </si>
  <si>
    <t>11700-2-47-1</t>
  </si>
  <si>
    <t>Verificación de accesibilidad en punto de atención a personas en condición de discapacidad</t>
  </si>
  <si>
    <t xml:space="preserve"># Documentos de diagnóstico elaborado </t>
  </si>
  <si>
    <t>11700-2-48</t>
  </si>
  <si>
    <t>Informes semestrales de acceso a información pública PQRS</t>
  </si>
  <si>
    <t>11700-2-48-1</t>
  </si>
  <si>
    <t>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t>
  </si>
  <si>
    <t># Informes semestrales de acceso a información pública PQRS elaborados</t>
  </si>
  <si>
    <t>11900-2-6</t>
  </si>
  <si>
    <t>Índice de Confidencialidad para ADRES formalizado</t>
  </si>
  <si>
    <t>11900-2-6-1</t>
  </si>
  <si>
    <t>Definir el Índice de Información Reservada y Confidencial para ADRES.</t>
  </si>
  <si>
    <t># Índice de Confidencialidad para ADRES formalizado</t>
  </si>
  <si>
    <t>11700-2-49</t>
  </si>
  <si>
    <t xml:space="preserve">Jornadas de capacitación </t>
  </si>
  <si>
    <t>11700-2-49-1</t>
  </si>
  <si>
    <t>Capacitar a servidores en relación con sus funciones y las herramientas existentes para el fortalecimiento de la cultura ética y el cambio comportamental, con el fin de que se apropie el concepto del cuidado de lo público.</t>
  </si>
  <si>
    <t># participantes de planta en las jornadas de capacitación realizadas / # funcionarios de planta convocados a las jornadas de capacitación</t>
  </si>
  <si>
    <t>11700-2-50</t>
  </si>
  <si>
    <t xml:space="preserve">Jornada de capacitación </t>
  </si>
  <si>
    <t>11700-2-50-1</t>
  </si>
  <si>
    <t>Capacitar a la Alta Dirección de ADRES en relación con el fortalecimiento de la cultura ética de la entidad.</t>
  </si>
  <si>
    <t>Jornada de capacitación realizada a la Alta Dirección de la ADRES</t>
  </si>
  <si>
    <t>11700-2-51</t>
  </si>
  <si>
    <t>Documento técnico de Soporte de identificación de comportamientos deseables - Código de Integridad del Servidor Público.</t>
  </si>
  <si>
    <t>11700-2-51-1</t>
  </si>
  <si>
    <t>Identificar y establecer comportamientos deseables en el desarrollo de las acciones cotidianas, asociados a los valores institucionales, que permitan la apropiación de lo público.</t>
  </si>
  <si>
    <t># Códigos de Integridad del Servidor Público socializados y publicados en la página Web de la ADRES</t>
  </si>
  <si>
    <t>11700-2-52</t>
  </si>
  <si>
    <t>Una (1) pieza comunicacional y una (1) actividad lúdica de promoción y divulgación</t>
  </si>
  <si>
    <t>11700-2-52-1</t>
  </si>
  <si>
    <t>Promocionar e incentivar los comportamientos deseables a través de piezas o actividades lúdicas.</t>
  </si>
  <si>
    <t># piezas comunicacionales sobre comportamientos deseables socializadas a los colaboradores</t>
  </si>
  <si>
    <t>11700-2-53</t>
  </si>
  <si>
    <t>Documento lúdico Código de Integridad</t>
  </si>
  <si>
    <t>11700-2-53-1</t>
  </si>
  <si>
    <t>Elaborar un documento lúdico con el Código de Integridad del Servidor Público y socializarlo a los colaboradores de la entidad.</t>
  </si>
  <si>
    <t># actividades lúdicas de promoción y divulgación  comportamientos deseables realizadas</t>
  </si>
  <si>
    <t># Documentos lúdicos del Código de Integridad socializado a los colaboradores de la entidad.</t>
  </si>
  <si>
    <t>11700-2-54</t>
  </si>
  <si>
    <t>Una (1) jornada de sensibilización y 2 piezas comunicacionales de promoción y divulgación</t>
  </si>
  <si>
    <t>11700-2-54-1</t>
  </si>
  <si>
    <t>Promover en los servidores y contratistas de ADRES, la NO tolerancia con la corrupción.</t>
  </si>
  <si>
    <t># participantes de planta en las jornadas de sensibilización realizadas / # funcionarios de planta de planta</t>
  </si>
  <si>
    <t># piezas comunicacionales sobre la NO tolerancia con la corrupción socializadas a los colaboradores</t>
  </si>
  <si>
    <t>11300-2-6</t>
  </si>
  <si>
    <t>Tramites y otros procedimientos administrativos - OPA desarrollados, implementados y publicados en página web</t>
  </si>
  <si>
    <t>11300-2-6-1</t>
  </si>
  <si>
    <t>Desarrollar e implementar los trámites y otros procedimientos administrativos - OPA identificados, para así poner a disposición de los usuarios a través de la página web de la entidad.</t>
  </si>
  <si>
    <t># Tramites y otros procedimientos administrativos - OPA desarrollados, implementados y publicados en página web</t>
  </si>
  <si>
    <t>12000-2-30</t>
  </si>
  <si>
    <t>Inventario de Trámites y Servicios</t>
  </si>
  <si>
    <t>12000-2-26-1</t>
  </si>
  <si>
    <t>Identificar e inventariar los trámites y otros procedimientos administrativos - OPA de ADRES de conformidad con la estructura de la entidad y a su modelo de operación.</t>
  </si>
  <si>
    <t># Inventarios de Trámites y Servicios</t>
  </si>
  <si>
    <t>11600-2-12</t>
  </si>
  <si>
    <t>11600-2-12-1</t>
  </si>
  <si>
    <t># Procedimientos administrativos - OPA desarrollados, implementados y publicados en página web</t>
  </si>
  <si>
    <t>12000-2-31</t>
  </si>
  <si>
    <t>Trámites inscritos en el SUIT</t>
  </si>
  <si>
    <t>12000-2-27-1</t>
  </si>
  <si>
    <t>Gestión ante el DAFP para inscripción en el SUIT, de los trámites identificados en ADRES</t>
  </si>
  <si>
    <t># trámites inscritos en el SUIT / # Trámites identificados</t>
  </si>
  <si>
    <t>11400-2-6</t>
  </si>
  <si>
    <t>11400-2-6-1</t>
  </si>
  <si>
    <t>11500-2-6</t>
  </si>
  <si>
    <t>11500-2-6-1</t>
  </si>
  <si>
    <t>11700-2-56</t>
  </si>
  <si>
    <t>Diagnóstico de trámites y servicios de la ADRES</t>
  </si>
  <si>
    <t>11700-2-56-1</t>
  </si>
  <si>
    <t>Realizar un diagnóstico y análisis de los trámites y otros procedimientos administrativos – OPA´s, de la entidad para su priorización.</t>
  </si>
  <si>
    <t>Documento de Diagnóstico de trámites y servicios de la ADRES</t>
  </si>
  <si>
    <t>Plan Institucional de Archivos</t>
  </si>
  <si>
    <t>11700-2-57</t>
  </si>
  <si>
    <t>11700-2-57-1</t>
  </si>
  <si>
    <t>Elaborar, revisar las TRD por parte de la dependencias de la ADRES, para aprobación  del Comité Institucional de Gestión y Desempeño</t>
  </si>
  <si>
    <t># TRD de las Dependencias de la ADRES aprobadas / # de Dependencias de la ADRES</t>
  </si>
  <si>
    <t>11700-2-58</t>
  </si>
  <si>
    <t xml:space="preserve">Las unidades documentales transferidas al custodio final </t>
  </si>
  <si>
    <t>11700-2-58-1</t>
  </si>
  <si>
    <t xml:space="preserve">Organizar y transferir las unidades documentales del archivo de gestión ubicados en las instalaciones de la ADRES, anteriores a 30 de septiembre de 2018, con excepción de los expedientes jurídicos. </t>
  </si>
  <si>
    <t># Unidades Documentales transferidas / Unidades Documentales recibidas para alistamiento</t>
  </si>
  <si>
    <t>11700-2-59</t>
  </si>
  <si>
    <t>Propuesta de mejoras al Sistemas de Gestión documental - SGD aprobadas.</t>
  </si>
  <si>
    <t>11700-2-59-1</t>
  </si>
  <si>
    <t>Proponer, presentar y aprobar las mejoras del Sistema de Gestión Documental para reducir el uso del papel e incorporar los instrumentos archivísticos a que haya lugar.</t>
  </si>
  <si>
    <t>Numero de propuestas presentadas y aprobadas sobre las mejoras de SGD</t>
  </si>
  <si>
    <t>11200-2-8</t>
  </si>
  <si>
    <t xml:space="preserve">Propuesta de Mecanismo virtual </t>
  </si>
  <si>
    <t>11200-2-8-1</t>
  </si>
  <si>
    <t xml:space="preserve">Estructuración de propuesta de un mecanismo virtual para la rendición de cuentas, en el cual la ciudadanía y partes interesadas, puedan participar y retroalimentar a la entidad sobre su gestión y puedan depositar sus inquietudes, observaciones y aportes. </t>
  </si>
  <si>
    <t># Propuestas de Mecanismo virtual para la Rendición de Cuentas estructuradas</t>
  </si>
  <si>
    <t>11200-2-9</t>
  </si>
  <si>
    <t>Informe de Resultados</t>
  </si>
  <si>
    <t>Comunicar los resultados del ejercicio de Rendición de Cuentas a los servidores de la ADRES.</t>
  </si>
  <si>
    <t># Informes de Resultados de la Rendición de Cuentas interna</t>
  </si>
  <si>
    <t xml:space="preserve">Plan de Trabajo Anual en Seguridad y Salud en el Trabajo </t>
  </si>
  <si>
    <t>11700-2-60</t>
  </si>
  <si>
    <t>Diagnóstico del SG-SST según resolución 1111 de 2017</t>
  </si>
  <si>
    <t>11700-2-60-1</t>
  </si>
  <si>
    <t>Realizar una  evaluación inicial de los componentes  del  SG-SST</t>
  </si>
  <si>
    <t># Documentos de diagnóstico elaborados</t>
  </si>
  <si>
    <t>11700-2-61</t>
  </si>
  <si>
    <t>Política de SST firmadas</t>
  </si>
  <si>
    <t>11700-2-61-1</t>
  </si>
  <si>
    <t>Elaboración de política de SST.</t>
  </si>
  <si>
    <t># Documentos de políticas de SST elaborados</t>
  </si>
  <si>
    <t>11700-2-62</t>
  </si>
  <si>
    <t>Política de prevención de alcohol y drogas</t>
  </si>
  <si>
    <t>11700-2-62-1</t>
  </si>
  <si>
    <t>Elaboración de política de prevención de alcohol y drogas</t>
  </si>
  <si>
    <t># Documentos de políticas de prevención de Alcohol y drogas elaborados</t>
  </si>
  <si>
    <t>11700-2-63</t>
  </si>
  <si>
    <t>Reglamento de higiene y seguridad industrial</t>
  </si>
  <si>
    <t>11700-2-63-1</t>
  </si>
  <si>
    <t>Elaboración del reglamento de higiene y seguridad industrial</t>
  </si>
  <si>
    <t># Reglamentos de higiene y seguridad industrial elaborados</t>
  </si>
  <si>
    <t>11700-2-64</t>
  </si>
  <si>
    <t>Responsable del SST</t>
  </si>
  <si>
    <t>11700-2-64-1</t>
  </si>
  <si>
    <t>Designación del responsable del SST</t>
  </si>
  <si>
    <t xml:space="preserve"># Documentos elaborados con designación de responsable del SST
</t>
  </si>
  <si>
    <t>11700-2-65</t>
  </si>
  <si>
    <t>Plan de emergencia</t>
  </si>
  <si>
    <t>11700-2-65-1</t>
  </si>
  <si>
    <t>Elaboración del plan de emergencia</t>
  </si>
  <si>
    <t># Planes de emergencias elaborados</t>
  </si>
  <si>
    <t>11700-2-66</t>
  </si>
  <si>
    <t>Programa de mantenimiento</t>
  </si>
  <si>
    <t>11700-2-66-1</t>
  </si>
  <si>
    <t>Elaboración de programa de mantenimiento</t>
  </si>
  <si>
    <t># Programas de mantenimiento elaborados</t>
  </si>
  <si>
    <t>11700-2-67</t>
  </si>
  <si>
    <t>Actividades  relacionadas  con  todo  el  plan del SST</t>
  </si>
  <si>
    <t>11700-2-67-1</t>
  </si>
  <si>
    <t>Realizar otras actividades  relacionadas  con  todo  el  plan del SST</t>
  </si>
  <si>
    <t># Actividades realizadas / # actividades programadas</t>
  </si>
  <si>
    <t>11700-2-68</t>
  </si>
  <si>
    <t xml:space="preserve">Acto Administrativo aprobado y publicado </t>
  </si>
  <si>
    <t>11900-2-68-1</t>
  </si>
  <si>
    <t xml:space="preserve">Adelantar la reglamentación Interna del manejo de las PQRS en la ADRES a través de la correspondiente resolución para dar cumplimiento a la ley 1755. </t>
  </si>
  <si>
    <t># Actos Administrativos que contienen la reglamentación Interna del manejo de las PQRS en la ADRES publicados</t>
  </si>
  <si>
    <t xml:space="preserve">Se anexan a la carpeta compartida por la Oficina Asesora de Planeación y Control de Riesgos, las cuentas de cobros radicados del trimestre, las cuales evidencian la ejecución de los recursos asignados y programados entre Enero a Marzo de 2018.
Se anexan a la carpeta compartida por la Oficina Asesora de Planeación y Control de Riesgos, la relación de registros de recaudos identificados Vs. Total de Registros recaudos en el I Trimestre.
El mes de enero se pagó a los contratistas asignados a esta línea entre el 50 y el 53% del valor mensual porque las fechas de inicio fueron entre el 12 y el 15 de enero. En la ejecución se incluyen las cuentas por pagar del mes de diciembre de 2017. En el trimestre no se ejecutó efectivamente el valor correspondiente al mes de marzo. </t>
  </si>
  <si>
    <t>11200-2-11</t>
  </si>
  <si>
    <t>Realización de diferentes piezas audiovisuales para la audiencia pública de rendición de cuentas de la ADRES</t>
  </si>
  <si>
    <t xml:space="preserve">Piezas audiovisuales elaboradas para la audiencia pública de rendición de cuentas de la ADRES </t>
  </si>
  <si>
    <t>11200-2-12</t>
  </si>
  <si>
    <t xml:space="preserve">Suscripciones </t>
  </si>
  <si>
    <t>11200-2-10-1</t>
  </si>
  <si>
    <t>11200-2-11-1</t>
  </si>
  <si>
    <t>11200-2-12-1</t>
  </si>
  <si>
    <t>Director General</t>
  </si>
  <si>
    <t>50% &lt;=75%</t>
  </si>
  <si>
    <t xml:space="preserve">75% &lt;=95% </t>
  </si>
  <si>
    <t>50% &lt;=75% de la meta del periodo</t>
  </si>
  <si>
    <t>75% &lt;=95% de la meta del periodo</t>
  </si>
  <si>
    <t>Coordinador del Grupo de Acciones Constitucionales y de Tutela</t>
  </si>
  <si>
    <t>Se adicionan $1.215.528 a la actividad 11900-3-1-1 según solicitud por correo electrónico del Coordinador del Grupo de Acciones Constitucionales y de Tutela el 21/09/2018, y teniendo en cuenta la solicitud de inclusión de líneas en el Plan de Adquisiciones del 06/08/2018 mediante memorando de radicado 16060</t>
  </si>
  <si>
    <t>Coordinador Grupo de Cobro Coactivo</t>
  </si>
  <si>
    <t>Se adicionan $4.430.000  a las actividades 11900-3-11-1  y 11900-3-12-1 según solicitud de modificación del Plan de Adquisiciones del 29/08/2018 mediante memorando de radicado 16895</t>
  </si>
  <si>
    <t>Apoyar la gestión de los procesos disciplinarios que se adelanten en la ADRES, ante la licencia de maternidad de la funcionaria que adelanta esta gestión, que por términos perentorios requiere la continuación del impulso procesal.</t>
  </si>
  <si>
    <t>Apoyo a los procesos disciplinarios de la ADRES</t>
  </si>
  <si>
    <t>11700-2-69-1</t>
  </si>
  <si>
    <t>11700-2-69</t>
  </si>
  <si>
    <t>Inclusión de la actividad 11700-2-69-1 por concepto del memorando de inclusión de línea en el Plan de Adquisiciones con radicado 16842</t>
  </si>
  <si>
    <t>Jefe de la Oficina Jurídica encargado de las funciones de la Dirección Administrativa y Financiera</t>
  </si>
  <si>
    <t>Directora de Otras Prestaciones</t>
  </si>
  <si>
    <t>11900-3-16</t>
  </si>
  <si>
    <t>11900-3-16-1</t>
  </si>
  <si>
    <t># sentencias condenatorias en firme contra ADRES cuyo sentido de las mismas nos requiere el reconocimiento y pago de intereses moratorios, corrientes bancarios y/o indexaciones / # liquidaciones de intereses y/o indexaciones proyectadas</t>
  </si>
  <si>
    <t>Tiempo (días)</t>
  </si>
  <si>
    <t>Fecha de entrega real de la provisión de contingencias judiciales durante el trimestre - Fecha de entrega pactada con el Grupo de Gestión Contable y Control de Recursos ET</t>
  </si>
  <si>
    <t>Entrega de la provisión de contingencias judiciales al Grupo de Gestión Contable y Control de Recursos ET en la fecha pactada</t>
  </si>
  <si>
    <t>Norela Briceño
Mónica Duque
Johanna Africano</t>
  </si>
  <si>
    <t>Se retiran $33.478.540 asignados inicialmente a las actividades 11900-3-2-1,  11900-3-3-1, 11900-3-4-1, 11900-3-7-1 y 11900-3-7-2 y $4.184.817 liberados de presupuesta, en razón a  que una contratista pasa a la planta de la ADRES y los procesos que ella adelantaba serán contratados con una firma externa.
De estas mismas actividades se liberan también $10,708,407 del presupuesto.</t>
  </si>
  <si>
    <t>Se retiran $3.396.645 asignados  a la actividad11900-3-7-3, los cuales fueron liberados del presupuesto</t>
  </si>
  <si>
    <t>Se incluye la actividad 11900-3-16-1 según solicitud de inclusión de línea en el Plan de Adquisiciones en memorando de radicado 13751</t>
  </si>
  <si>
    <t>Coordinadora Grupo de Representación Judicial</t>
  </si>
  <si>
    <t>Se adicionan $33.478.540 que impactan las actividades 11900-3-2-1,  11900-3-3-1, 11900-3-4-1, 11900-3-7-1 y 11900-3-7-2, según solicitud de inclusión de línea en el Plan de Adquisiciones en memorando de radicado 13751. Así mismo, se adicionan recursos a esas mismas actividades por valor de $17.721.628 y $32.125.220 según memorando de solicitud de inclusión líneas del Plan de Adquisiciones con radicado 16487; y $58.879.460 según memorando de solicitud de inclusión líneas Plan de Adquisiciones con radicado 16826.</t>
  </si>
  <si>
    <t>Se retiran $35.443.256 de las actividades 11900-3-5-1, 11900-3-6-1 y 11900-3-8-1, según solicitud de inclusión de línea en el Plan de Adquisiciones en memorando de radicado 13751</t>
  </si>
  <si>
    <t>Se adicionan $33.478.540 que impactan las actividades 11900-3-2-1,  11900-3-3-1, 11900-3-4-1, 11900-3-7-1 y 11900-3-7-2, según solicitud de inclusión de línea en el Plan de Adquisiciones en memorando de radicado 13751. Así mismo, se adicionan recursos a esas mismas actividades por valor de $17.721.628 y 32.125.220 según memorando de solicitud de inclusión líneas del Plan de Adquisiciones con radicado 16487.</t>
  </si>
  <si>
    <t>Ajuste de las metas de la actividad  11500-3-2-1  "auditoria de recobros y reclamaciones", dada la solicitud de la Dra. Laura Beltrán por correo electrónico el 12/09/2018,</t>
  </si>
  <si>
    <t>Presupuesto Total 3° Trimestre</t>
  </si>
  <si>
    <t>Presupuesto URA 3° Trimestre</t>
  </si>
  <si>
    <t>Presupuesto UGG 3° Trimestre</t>
  </si>
  <si>
    <t>Presupuesto Total 4° Trimestre</t>
  </si>
  <si>
    <t>Presupuesto URA 4° Trimestre</t>
  </si>
  <si>
    <t>Presupuesto UGG 4° Trimestre</t>
  </si>
  <si>
    <t>Consolidar la información de la atención de quejas, peticiones, reclamos, sugerencias y denuncias y elaborar informes trimestrales</t>
  </si>
  <si>
    <t xml:space="preserve">Definir las necesidades y estructurar anexo técnico que permitirá adaptar la página Web de la entidad a la NTC 5854, que establece los requisitos de accesibilidad aplicables a páginas Web </t>
  </si>
  <si>
    <t>Documento anexo técnico</t>
  </si>
  <si>
    <t># Documentos anexo técnico elaborados</t>
  </si>
  <si>
    <t>Informes trimestrales de PQRSD</t>
  </si>
  <si>
    <t>Tablas de Retención Documental - TRD aprobadas</t>
  </si>
  <si>
    <t xml:space="preserve">Mensualmente se realizaron los respectivos Informes y se enviaron las ejecuciones presupuestales al MHCP, se ajusto el valor del monto total del  contrato por diferencia con en el plan de adquisiciones.
En enero se pago a Wilmer Erazo el 50% del valor mensual del contrato, teniendo en cuenta que inició el 11 de enero, el contratista no tenía cuentas pendientes de pago de diciembre de 2017 y en el primer  trimestre no se ejecutó efectivamente el valor correspondiente al mes de marzo. </t>
  </si>
  <si>
    <r>
      <t xml:space="preserve">Los 33 procedimientos se encuentran descritos en los siguientes Manuales Operativos:
* Gestión Integral Régimen Contributivo
* Gestión Integral Régimen Subsidiado
* Gestión Integral Régimen Especial o de Excepción.
Estos Manuales se encuentran publicados en la siguiente ruta de a página Web de la ADRES: </t>
    </r>
    <r>
      <rPr>
        <u/>
        <sz val="10"/>
        <color rgb="FF3333FF"/>
        <rFont val="Verdana"/>
        <family val="2"/>
      </rPr>
      <t xml:space="preserve">https://www.adres.gov.co/Transparencia/Manuales-t%C3%A9cnicos  </t>
    </r>
    <r>
      <rPr>
        <sz val="10"/>
        <rFont val="Verdana"/>
        <family val="2"/>
      </rPr>
      <t>tal como se observa en la evidencia localizada en la carpeta de evidencias correspondiente a esta actividad.</t>
    </r>
  </si>
  <si>
    <t>Se realizaron en el trimestre 12 informes de auditoría, teniendo en cuenta los términos del procedimientos de reintegro, el mayor porcentaje de informes se  verán reflejados tercer y cuarto trimestre.</t>
  </si>
  <si>
    <t>Se generaron comunicaciones de solicitud de  reintegro a 11 EPS, de acuerdo con los resultados generados en el proceso LMA.</t>
  </si>
  <si>
    <r>
      <t>Dentro de la carpeta</t>
    </r>
    <r>
      <rPr>
        <b/>
        <sz val="10"/>
        <color theme="1"/>
        <rFont val="Verdana"/>
        <family val="2"/>
      </rPr>
      <t xml:space="preserve"> Evidencias\I trimestre\11600-3-7-1</t>
    </r>
    <r>
      <rPr>
        <sz val="10"/>
        <color theme="1"/>
        <rFont val="Verdana"/>
        <family val="2"/>
      </rPr>
      <t xml:space="preserve"> se encuentra la evidencia de los pagos realizados frente a esta actividad. Tener en cuenta las siguientes consideraciones:
(i) Se tiene la relación de un contratista  John Edwin Rodríguez Sánchez. Inicia Actividades el día 11 de enero de 2018 bajo el contrato 0012 de 2018.
Las evidencias se encuentran en </t>
    </r>
    <r>
      <rPr>
        <b/>
        <sz val="10"/>
        <color theme="1"/>
        <rFont val="Verdana"/>
        <family val="2"/>
      </rPr>
      <t>Evidencias\I trimestre\11600-3-7-1\John Edwin Rodríguez Sánchez</t>
    </r>
    <r>
      <rPr>
        <sz val="10"/>
        <color theme="1"/>
        <rFont val="Verdana"/>
        <family val="2"/>
      </rPr>
      <t xml:space="preserve">, de donde: 
El mes de diciembre 2017 (INFORME DICIEMBRE 2017.pdf), el cual ya es encuentra </t>
    </r>
    <r>
      <rPr>
        <b/>
        <sz val="10"/>
        <color theme="1"/>
        <rFont val="Verdana"/>
        <family val="2"/>
      </rPr>
      <t>pago.</t>
    </r>
    <r>
      <rPr>
        <sz val="10"/>
        <color theme="1"/>
        <rFont val="Verdana"/>
        <family val="2"/>
      </rPr>
      <t xml:space="preserve">
El mes de enero (JOHN RODRIGUEZ  ENERO 2018.pdf), el cual ya se encuentra </t>
    </r>
    <r>
      <rPr>
        <b/>
        <sz val="10"/>
        <color theme="1"/>
        <rFont val="Verdana"/>
        <family val="2"/>
      </rPr>
      <t>pago</t>
    </r>
    <r>
      <rPr>
        <sz val="10"/>
        <color theme="1"/>
        <rFont val="Verdana"/>
        <family val="2"/>
      </rPr>
      <t xml:space="preserve">. 
El mes de Febrero (JOHN RODRIGUEZ  FEBRERO 2018.pdf) ya se encuentra </t>
    </r>
    <r>
      <rPr>
        <b/>
        <sz val="10"/>
        <color theme="1"/>
        <rFont val="Verdana"/>
        <family val="2"/>
      </rPr>
      <t>pago</t>
    </r>
    <r>
      <rPr>
        <sz val="10"/>
        <color theme="1"/>
        <rFont val="Verdana"/>
        <family val="2"/>
      </rPr>
      <t xml:space="preserve">. 
Finalmente, para el mes de marzo (JOHN RODRIGUEZ  MARZO 2018.pdf)  se encuentra </t>
    </r>
    <r>
      <rPr>
        <b/>
        <sz val="10"/>
        <color theme="1"/>
        <rFont val="Verdana"/>
        <family val="2"/>
      </rPr>
      <t>Radicada la cuenta</t>
    </r>
    <r>
      <rPr>
        <sz val="10"/>
        <color theme="1"/>
        <rFont val="Verdana"/>
        <family val="2"/>
      </rPr>
      <t xml:space="preserve">.
</t>
    </r>
    <r>
      <rPr>
        <b/>
        <sz val="10"/>
        <color theme="1"/>
        <rFont val="Verdana"/>
        <family val="2"/>
      </rPr>
      <t>ACLARACIÓN SOBRE LA EJECUCIÓN DE LA ACTIVIDAD</t>
    </r>
    <r>
      <rPr>
        <sz val="10"/>
        <color theme="1"/>
        <rFont val="Verdana"/>
        <family val="2"/>
      </rPr>
      <t>: Esta actividad para este trimestre tenía presupuestado ejecutar $ 12.240.000 y hasta el momento se ha ejecutado (pagado) $10,880.000 + radicado mes de marzo (en proceso de pago) $4,080.000. 
Se tiene un valor ejecutado de $10.880.000 dando una diferencia de $1.380.000, la cual es producto de la fecha en la cual se firmó el contrato del contratista. 
Por tal razón, hasta el momento se tiene un 88,89% de la ejecución del presupuesto asignado para está actividad en este trimestre.</t>
    </r>
  </si>
  <si>
    <r>
      <t xml:space="preserve">Dentro de la carpeta </t>
    </r>
    <r>
      <rPr>
        <b/>
        <sz val="10"/>
        <color theme="1"/>
        <rFont val="Verdana"/>
        <family val="2"/>
      </rPr>
      <t xml:space="preserve">Evidencias\I trimestre\11600-3-8-1 </t>
    </r>
    <r>
      <rPr>
        <sz val="10"/>
        <color theme="1"/>
        <rFont val="Verdana"/>
        <family val="2"/>
      </rPr>
      <t xml:space="preserve">se encuentra la evidencia de los pagos realizados frente a esta actividad. Tener en cuenta las siguientes consideraciones:
(i) Se tiene la relación de tres contratistas: (a) William Andrés Páez. (b) Sergio Luis Antonio García (c) Andrés Bruce, para lo cual se ha puesto una carpeta con el nombre de cada uno de ellos.
(ii) </t>
    </r>
    <r>
      <rPr>
        <b/>
        <sz val="10"/>
        <color theme="1"/>
        <rFont val="Verdana"/>
        <family val="2"/>
      </rPr>
      <t>William Andrés Páez</t>
    </r>
    <r>
      <rPr>
        <sz val="10"/>
        <color theme="1"/>
        <rFont val="Verdana"/>
        <family val="2"/>
      </rPr>
      <t xml:space="preserve">. Inicia Actividades el día 11 de enero de 2018 bajo el contrato 0015 de 2018.
Las evidencias se encuentran en </t>
    </r>
    <r>
      <rPr>
        <b/>
        <sz val="10"/>
        <color theme="1"/>
        <rFont val="Verdana"/>
        <family val="2"/>
      </rPr>
      <t>Evidencias\I trimestre\11600-3-8-1\William Andrés Páez</t>
    </r>
    <r>
      <rPr>
        <sz val="10"/>
        <color theme="1"/>
        <rFont val="Verdana"/>
        <family val="2"/>
      </rPr>
      <t xml:space="preserve">, de donde: 
El mes de diciembre 2017 (Informe de actividades Diciembre 2017 - William Andrés Paez.pdf), el cual ya es encuentra </t>
    </r>
    <r>
      <rPr>
        <b/>
        <sz val="10"/>
        <color theme="1"/>
        <rFont val="Verdana"/>
        <family val="2"/>
      </rPr>
      <t>pago</t>
    </r>
    <r>
      <rPr>
        <sz val="10"/>
        <color theme="1"/>
        <rFont val="Verdana"/>
        <family val="2"/>
      </rPr>
      <t xml:space="preserve">.
El mes de enero (INFORME ENERO 2018 - WILLIAM ANDRES PAEZ .pdf), el cual ya se encuentra </t>
    </r>
    <r>
      <rPr>
        <b/>
        <sz val="10"/>
        <color theme="1"/>
        <rFont val="Verdana"/>
        <family val="2"/>
      </rPr>
      <t>pago.</t>
    </r>
    <r>
      <rPr>
        <sz val="10"/>
        <color theme="1"/>
        <rFont val="Verdana"/>
        <family val="2"/>
      </rPr>
      <t xml:space="preserve"> 
El mes de Febrero (INFORME FEBRERO 2018 - WILLIAM ANDRES PAEZ.pdf) ya se encuentra </t>
    </r>
    <r>
      <rPr>
        <b/>
        <sz val="10"/>
        <color theme="1"/>
        <rFont val="Verdana"/>
        <family val="2"/>
      </rPr>
      <t>pago.</t>
    </r>
    <r>
      <rPr>
        <sz val="10"/>
        <color theme="1"/>
        <rFont val="Verdana"/>
        <family val="2"/>
      </rPr>
      <t xml:space="preserve"> 
Finalmente, para el mes de marzo (INFORME MARZO 2018 - WILLIAM ANDRES PAEZ.pdf) el cual se encuentra</t>
    </r>
    <r>
      <rPr>
        <b/>
        <sz val="10"/>
        <color theme="1"/>
        <rFont val="Verdana"/>
        <family val="2"/>
      </rPr>
      <t xml:space="preserve"> Radicada la cuenta</t>
    </r>
    <r>
      <rPr>
        <sz val="10"/>
        <color theme="1"/>
        <rFont val="Verdana"/>
        <family val="2"/>
      </rPr>
      <t xml:space="preserve">.
(iii) </t>
    </r>
    <r>
      <rPr>
        <b/>
        <sz val="10"/>
        <color theme="1"/>
        <rFont val="Verdana"/>
        <family val="2"/>
      </rPr>
      <t>Sergio Luis Antonio García</t>
    </r>
    <r>
      <rPr>
        <sz val="10"/>
        <color theme="1"/>
        <rFont val="Verdana"/>
        <family val="2"/>
      </rPr>
      <t xml:space="preserve">. Inicia Actividades el día 11 de enero de 2018 bajo el contrato 0016 de 2018.
El mes de diciembre 2017 (Informe Diciembre SERGIO LUIS ANTONIO GARCIA.pdf), el cual ya es encuentra </t>
    </r>
    <r>
      <rPr>
        <b/>
        <sz val="10"/>
        <color theme="1"/>
        <rFont val="Verdana"/>
        <family val="2"/>
      </rPr>
      <t>pago.</t>
    </r>
    <r>
      <rPr>
        <sz val="10"/>
        <color theme="1"/>
        <rFont val="Verdana"/>
        <family val="2"/>
      </rPr>
      <t xml:space="preserve">
El mes de enero (INFORME ENERO SERGIO LUIS ANTONIO GARCIA.pdf), el cual ya se encuentra </t>
    </r>
    <r>
      <rPr>
        <b/>
        <sz val="10"/>
        <color theme="1"/>
        <rFont val="Verdana"/>
        <family val="2"/>
      </rPr>
      <t>pago.</t>
    </r>
    <r>
      <rPr>
        <sz val="10"/>
        <color theme="1"/>
        <rFont val="Verdana"/>
        <family val="2"/>
      </rPr>
      <t xml:space="preserve"> 
El mes de Febrero (INFORME FEBRERO SERGIO LUIS ANTONIO GARCIA.pdf) ya se encuentra </t>
    </r>
    <r>
      <rPr>
        <b/>
        <sz val="10"/>
        <color theme="1"/>
        <rFont val="Verdana"/>
        <family val="2"/>
      </rPr>
      <t>pago.</t>
    </r>
    <r>
      <rPr>
        <sz val="10"/>
        <color theme="1"/>
        <rFont val="Verdana"/>
        <family val="2"/>
      </rPr>
      <t xml:space="preserve"> 
Finalmente, para el mes de marzo (INFORME MARZO SERGIO LUIS ANTONIO GARCIA.pdf) el cual se encuentra</t>
    </r>
    <r>
      <rPr>
        <b/>
        <sz val="10"/>
        <color theme="1"/>
        <rFont val="Verdana"/>
        <family val="2"/>
      </rPr>
      <t xml:space="preserve"> Radicada la cuenta.</t>
    </r>
    <r>
      <rPr>
        <sz val="10"/>
        <color theme="1"/>
        <rFont val="Verdana"/>
        <family val="2"/>
      </rPr>
      <t xml:space="preserve">
(iv) </t>
    </r>
    <r>
      <rPr>
        <b/>
        <sz val="10"/>
        <color theme="1"/>
        <rFont val="Verdana"/>
        <family val="2"/>
      </rPr>
      <t>Andrés Bruce</t>
    </r>
    <r>
      <rPr>
        <sz val="10"/>
        <color theme="1"/>
        <rFont val="Verdana"/>
        <family val="2"/>
      </rPr>
      <t>. Inicia Actividades el día 11 de enero de 2018 bajo el contrato 0017 de 2018.
Las evidencias se encuentran en</t>
    </r>
    <r>
      <rPr>
        <b/>
        <sz val="10"/>
        <color theme="1"/>
        <rFont val="Verdana"/>
        <family val="2"/>
      </rPr>
      <t xml:space="preserve"> Evidencias\I trimestre\11600-3-8-1\ Andrés Bruce</t>
    </r>
    <r>
      <rPr>
        <sz val="10"/>
        <color theme="1"/>
        <rFont val="Verdana"/>
        <family val="2"/>
      </rPr>
      <t xml:space="preserve">, de donde: 
El mes de diciembre 2017 (informe DICIEMBRE ANDRES GUILLERMO BRUCE RUIZ.pdf), el cual ya es encuentra pago.
El mes de enero (Soportes Pago Enero 2018_Andres Bruce_DGTIC-BDUA.pdf), el cual ya se encuentra </t>
    </r>
    <r>
      <rPr>
        <b/>
        <sz val="10"/>
        <color theme="1"/>
        <rFont val="Verdana"/>
        <family val="2"/>
      </rPr>
      <t>pago.</t>
    </r>
    <r>
      <rPr>
        <sz val="10"/>
        <color theme="1"/>
        <rFont val="Verdana"/>
        <family val="2"/>
      </rPr>
      <t xml:space="preserve"> 
El mes de Febrero (Soportes Pago Febrero 2018_Andres Bruce_DGTIC-BDUA.pdf) ya se encuentra </t>
    </r>
    <r>
      <rPr>
        <b/>
        <sz val="10"/>
        <color theme="1"/>
        <rFont val="Verdana"/>
        <family val="2"/>
      </rPr>
      <t>pago.</t>
    </r>
    <r>
      <rPr>
        <sz val="10"/>
        <color theme="1"/>
        <rFont val="Verdana"/>
        <family val="2"/>
      </rPr>
      <t xml:space="preserve"> 
Finalmente, para el mes de marzo (Soportes Pago Marzo 2018_Andres Bruce_DGTIC-BDUA.pdf) el cual se encuentra</t>
    </r>
    <r>
      <rPr>
        <b/>
        <sz val="10"/>
        <color theme="1"/>
        <rFont val="Verdana"/>
        <family val="2"/>
      </rPr>
      <t xml:space="preserve"> Radicada la cuenta</t>
    </r>
    <r>
      <rPr>
        <sz val="10"/>
        <color theme="1"/>
        <rFont val="Verdana"/>
        <family val="2"/>
      </rPr>
      <t xml:space="preserve">.
</t>
    </r>
    <r>
      <rPr>
        <b/>
        <sz val="10"/>
        <color theme="1"/>
        <rFont val="Verdana"/>
        <family val="2"/>
      </rPr>
      <t>ACLARACIÓN SOBRE LA EJECUCIÓN DE LA ACTIVIDAD</t>
    </r>
    <r>
      <rPr>
        <sz val="10"/>
        <color theme="1"/>
        <rFont val="Verdana"/>
        <family val="2"/>
      </rPr>
      <t>: Esta actividad para este trimestre tenía presupuestado ejecutar $ 36.720.000 y hasta el momento se ha ejecutado (pagado) $32.640.000 + radicado mes de marzo (en proceso de pago) $12,240.000. Se tiene un valor ejecutado de $32.640.000 dando una diferencia de $4.080.000, la cual es producto de la fecha en la cual se firmó el contrato de cada uno de los contratistas. Por tal razón hasta el momento se tiene un 88,89% de la ejecución del presupuesto asignado para está actividad en este trimestre.</t>
    </r>
  </si>
  <si>
    <t>Realizar la suscripción al periódico El Tiempo, Portafolio y a la revista Semana para la Dirección General de la ADRES.</t>
  </si>
  <si>
    <t>Revisión, análisis y liquidación de sentencias condenatorias</t>
  </si>
  <si>
    <t xml:space="preserve">Apoyar a la Oficina Asesora Jurídica en la revisión, análisis y liquidación de sentencias condenatorias; así como rendir informes que sean solicitados conforme el manejo de las bases de datos del Grupo de Representación Judicial y Ekogui </t>
  </si>
  <si>
    <t xml:space="preserve">Las situaciones expuestas anteriormente, obedecen también a la reciente creación y transición de la entidad, y explican a su vez los resultados en el cumplimiento de los objetivos estratégicos y en el aporte de cada dependencia al Plan de Acción. </t>
  </si>
  <si>
    <t>Asesora de Comunicaciones</t>
  </si>
  <si>
    <t>Se ajusta redacción de la actividad 11700-2-40-1, al producto se le da periodicidad mensual y en ese sentido, se ajustan las metas trimestrales a un (1) informe por trimestre</t>
  </si>
  <si>
    <t>Asesor Oficina Asesora de Planeación y Control de Riesgos</t>
  </si>
  <si>
    <t>Norela Briceño 
Carlos Andrés Guzmán</t>
  </si>
  <si>
    <t>Martha Ligia Serna
Gestor de Operaciones Servicio al Ciudadano</t>
  </si>
  <si>
    <t>Se ajusta fecha de cumplimiento de la meta de la actividad 11200-2-5-1 para el 4° trimestre de la vigencia</t>
  </si>
  <si>
    <t>Se ajusta descripción de la actividad 11200-2-7-1 porque se ve necesario priorizar las actividades iniciando con la definición de necesidades técnicas, teniendo en cuenta el desarrollo tecnológico que esta actividad implica</t>
  </si>
  <si>
    <t>Se ajusta fecha de cumplimiento de la meta de la actividad 11900-2-6-1 para el 4° trimestre de la vigencia</t>
  </si>
  <si>
    <t>Asesor Dirección Administrativa y Financiera</t>
  </si>
  <si>
    <t>Se elimina actividad 11700-2-55-1 porque está repetida con la actividad 11700-2-43-1</t>
  </si>
  <si>
    <t>Jefe de Oficina Asesora de Planeación y Control de Riesgos</t>
  </si>
  <si>
    <t>Inclusión de las actividades 11200-2-11-1 y 11200-2-12-1 según los memorandos suscritos por el Director General, de inclusión de líneas al Plan de Adquisiciones, con radicados 13019 y 14974 de julio de 2018</t>
  </si>
  <si>
    <t>Retiro de $500.000.000 de la actividad 11200-2-1-1, según el memorando suscrito por el Director General, de eliminación de línea al Plan de Adquisiciones, con radicado 15463 de agosto de 2018. En este sentido, se ajustaron las metas del 3° y 4° trimestre.</t>
  </si>
  <si>
    <t>Se reporta en acumulado el número de las constancias de archivo y/o actas de liquidación tramitadas en el trimestre frente a los contratos de Vigencias 2017 y 2018, terminados en el periodo a reportar. La certificación aportada como evidencia es complemento a las enviadas en el Primer y Segundo Trimestre donde se reflejan las novedades de este proceso.</t>
  </si>
  <si>
    <t>Se reporta el número de procesos de contratación adelantados en el periodo de acuerdo a lo solicitado por las diferentes dependencias de la Entidad.
Financieramente se reportan los contratos del área, y se modifico el valor proyectado teniendo en cuenta la terminación por plazo de ejecución de 1 de los 3 reportados en los trimestres anteriores, y se incluye el valor para dos contratos nuevos con plazo de 4 meses.</t>
  </si>
  <si>
    <t>Coordiandor(a) Grupo Interno de Contratación</t>
  </si>
  <si>
    <t>Se modifican los periodos de cumplimiento de las metas de la actividad 11700-2-48-1 según solicitud del responsable mediante correo electrónico del 18/10/2018.</t>
  </si>
  <si>
    <t>Quedan en firme y debidamente sustentados los valores de las actividades 11700-2-10-1 y 11700-2-10-2 de acuerdo con la Resolución 0260 del 5 de julio de 2018</t>
  </si>
  <si>
    <t>Se retira del valor total asignado de las siguientes actividades los valores respectivos, así como de los valores programados para el III trimestre para cada una de ellas, por liberación del presupuesto: 
* 11700-2-3-1 : $3.730.000
* 11700-2-8-1 : $2.677.102
* 11400-3-4-1 : $1.883.508
* 11900-3-1-1 :  $3.864.000.
Así mismo, todos estos valores se incluyen en la actividad 11700-2-2-6.</t>
  </si>
  <si>
    <t>Coordinador(a) Grupo de Gestión Financiera Interna</t>
  </si>
  <si>
    <t>Director Administrativo y Financiero ( E )</t>
  </si>
  <si>
    <t>Se adiciona el valor de la actividad 3.2.1 en la suma de $1,777,974,945, fundamentado en la "Prorroga No.3, Adición No.3 y Modificación No.4" al Contrato de Interventoría No 103 de 2012, suscrito con JAHV MCGREGOR S.A.S efectuado el 26 de Julio de 2018.
Esta adición redujo a su vez el valor de la actividad 11700-2-2-6,</t>
  </si>
  <si>
    <t xml:space="preserve">Directora de la Dirección de Otras Prestaciones </t>
  </si>
  <si>
    <t>María Trinidad Villamizar</t>
  </si>
  <si>
    <t> $                                - </t>
  </si>
  <si>
    <t>Se da cumplimiento al reporte correspondiente al Tercer Trimestre de 2018, el martes 16 de octubre de 2018.</t>
  </si>
  <si>
    <t>Avance Ejecución 100%  en el Segundo Trimestre de acuerdo con lo establecido en el Plan de Acción 2018. Los procedimientos fueron aprobados e incluidos en el Manual operativo de Control y Evaluación de la Gestión, el cual se encuentra publicado en la Página web de la entidad. META CUMPLIDA AL  100%</t>
  </si>
  <si>
    <t>"Avance de Ejecución del 50% de acuerdo con lo establecido en el Plan de Acción 2018 en el Tercer Trimestre de acuerdo a lo planteado, el día  viernes 5 de octubre de 2018, se realizó el reporte de los indicadores propuestos por la OCI así:  NOMBRE DEL INDICADOR FRECUENCIA DE MEDICIÓN OBSERVACION – SEPTIEMBRE 1, Cumplimiento al Plan de Mejoramiento Institucional derivado de la Auditoría de la Contraloría General de la República Semestral De acuerdo a la periodicidad definida semestral, el reporte de dicho indicador se realizara en el mes de diciembre de 2018. 2, Cumplimiento al Plan Anual de Auditorías Internas Semestral De acuerdo a la periodicidad definida semestral, el reporte de dicho indicador se realizara en el mes de diciembre de 2018. 3, Cumplimiento al Plan de Mejoramiento por procesos derivado de las Auditorías Internas Trimestral De acuerdo a la periodicidad definida Trimestral, el reporte de dicho indicador se realizara en el mes de diciembre de 2018. 4, Eficacia en la presentación de Informes Externos en el marco de la normatividad vigente Trimestral De acuerdo a la periodicidad definida Trimestral, el reporte de dicho indicador se realizara en el mes de diciembre de 2018. "</t>
  </si>
  <si>
    <t>"Se dio cumplimiento al avance del 25% en el tercer trimestre correspondiente a la realización de 2 informes. En la ruta One Drive EVIDENCIAS/Trimestre II/11800-3-1-1 se encuentran 2 carpetas con los respectivos informes y soportes de cumplimiento. 1. Informe de Seguimiento a la ejecución del Plan de Acción, Plan Estratégico y Tablero de Control. 2. Auditoria al Proceso: GESTION DE RECAUDO Y FUENTES DE FINANCIACIÓN. Procedimiento: Todos."</t>
  </si>
  <si>
    <t>"Se dio cumplimiento al avance del 17% en el Tercer Trimestre correspondiente a la realización de 3 informes para dar respuesta a los Requerimientos Legales Internos. En la ruta One Drive EVIDENCIAS/Trimestre II/11800-3-2-1 se encuentran 3 carpetas con los respectivos informes y soportes de cumplimiento. 1. Seguimiento a las medidas de austeridad en el gasto público en ADRES (Decretos 1737 y 2209 de 1998 y el 2445 de 2000). Informe Trimestral al Director . 2. Seguimiento Plan Anticorrupción.   Componentes:  Metodología para la identificación de riesgos de corrupción, Estrategia Anti trámites,  Rendición de cuentas, Mecanismos para mejorar la atención al ciudadano 3.Realizar un informe cuatrimestral y pormenorizado del estado del control interno de ADRES y publicarlo en la página Web.  Artículo 9 Ley 1474 de 2011."</t>
  </si>
  <si>
    <t>Se dio cumplimiento al avance del 50%  del Tercer Trimestre a través de la presentación del INFORME DE SEGUIMIENTO PLAN DE MEJORAMIENTO CGR. META CUMPLIDA AL 100%</t>
  </si>
  <si>
    <t>Se da cumplimiento al avance del 25% en el Tercer Trimestre  correspondiente a la emisión de 3 Boletines de autocontrol. En la ruta One Drive EVIDENCIAS/Trimestre II/11800-3-5-1 se encuentran los 3 boletines emitidos por la OCI correspondientes a los meses de julio, agosto y septiembre de 2018. </t>
  </si>
  <si>
    <t>A través de la realización de Comités Internos, la Oficina de Control Interno ha venido realizando el monitoreo mensual de los riesgos que tenemos identificados en el área, verificando que se cumplan y que se estén ejecutando los controles propuestos. Como evidencia  tenemos actas de las reuniones realizadas durante los meses de julio, agosto y septiembre. En la Carpeta OneDrive EVIDENCIAS/Trimestre II/11800-2-3-1C se encuentran las 3 actas de reunión.</t>
  </si>
  <si>
    <t>A través de la realización del reporte mensual de los soportes de cumplimiento de las acciones de mitigación del riesgo de corrupción, se adjuntan reportes realizados del mes de agosto y septiembre. En la Carpeta OneDrive EVIDENCIAS/Trimestre II/11800-2-5-1C se encuentran los 2 reportes mencionados.</t>
  </si>
  <si>
    <t>Los avances del III trimestre del Plan de Acción a cargo de la Oficina Asesora de Planeación y Control de Riesgos, fueron reportados dentro del plazo establecido, y su evidencia es este mismo informe.</t>
  </si>
  <si>
    <t>Durante el 3° trimestre de 2018 se realizó el seguimiento al Plan de Acción correspondiente al 2° trimestre de 2018, cuyo informe de avance se reportó y publicó en la página Web de la ADRES Las evidencias se encuentran en la ruta: ONE DRIVE\ADRES\PLAN DE ACCION\DIRECCIÓN GENERAL\OFICINA ASESORA DE PLANEACIÓN Y CONTROL DE RIESGOS\Evidencias\III Trimestre\12000-2-1-1.</t>
  </si>
  <si>
    <t>En la ruta: ONE DRIVE\ADRES\PLAN DE ACCION\DIRECCIÓN GENERAL\OFICINA ASESORA DE PLANEACIÓN Y CONTROL DE RIESGOS\Evidencias\III Trimestre\12000-2-2-1 se encuentran como evidencias de esta actividad los informes de cumplimiento de avance de obligaciones contractuales y pago correspondientes a los meses de julio, agosto y septiembre del contrato 021 de 2018, avalados por el supervisor. Se aclara que el valor del mes de junio ($5.136.839) fue pagado durante el periodo objeto de reporte, por lo que se incluye dentro de la ejecución presupuestal del segundo trimestre; y el valor de la fracción ejecutada del mes de septiembre ($5.136.839) fue aprobado por el Supervisor pero no se ha pagado a la fecha del reporte, razón por la cual éste no se incluye dentro de la ejecución presupuestal del tercer trimestre.  El contrato se ejecutó hasta el 15 de septiembre dado que la contratista fue contratada en la planta de la ADRES.</t>
  </si>
  <si>
    <t>La socialización de la política se realizó en diferentes sesiones efectuadas entre julio y agosto. Las listas de asistencia a estas sesiones de socialización se encuentran en la carpeta de esta actividad.</t>
  </si>
  <si>
    <t>La socialización de los documentos internos de la administración de riesgos se realizó en diferentes sesiones efectuadas entre julio y agosto. Las listas de asistencia a estas sesiones de socialización se encuentran en la carpeta de esta actividad.</t>
  </si>
  <si>
    <t>Se consolidó mapa de riesgos de la entidad (Operativos y de Corrupción) y se publicó en la página web de ADRES</t>
  </si>
  <si>
    <t>La OAPCR realizó reunión de autocontrol el 28 de septiembre de 2018, se cuenta con Acta formalizada en la que se consigna el análisis, las conclusiones y los compromisos adquiridos en materia de riesgos.</t>
  </si>
  <si>
    <t>El informe al congreso fue elaborado en el primer semestre del año y publicado por el Ministerio de Salud y Protección Social en el mes de julio en su página Web. Las respectivas evidencias se encuentran en la ruta: ONE DRIVE\ADRES\PLAN DE ACCION\DIRECCIÓN GENERAL\OFICINA ASESORA DE PLANEACIÓN Y CONTROL DE RIESGOS\Evidencias\III Trimestre\12000-2-3-1 </t>
  </si>
  <si>
    <t> $                                     - </t>
  </si>
  <si>
    <t>Se evidencia el desarrollo de esta actividad con la Resolución 1659 del 30 de abril de 2018, la cual se encuentra en la carpeta de evidencias correspondiente a esta actividad en el sitio One Drive.</t>
  </si>
  <si>
    <t>La metodología interna para la administración de riesgos se estructuró y se aprobó en el mes de abril. Las evidencias se encuentran en la carpeta correspondiente a esta actividad.</t>
  </si>
  <si>
    <t>Para la construcción de la metodología de administración de riesgos que incluye el mapa de riesgos de corrupción, se contemplo la plataforma estratégica de la entidad, así como el modelo de operación por procesos de la ADRES tal y como se evidencia en el instrumento "Mapa de Riesgos". </t>
  </si>
  <si>
    <t>Se elaboró presentación para la socialización al mapa de riesgos y suministrar indicaciones para el reporte del seguimiento a las acciones de mitigación de los mismo. Se realizó jornada de socialización del 17 al 19 de julio de 2018</t>
  </si>
  <si>
    <t>Se estructuró y se remitió para publicación en la página web de la ADRES. En link https://www.adres.gov.co/Transparencia/Mapa-de-riesgos</t>
  </si>
  <si>
    <t>Para el periodo no se realizaron ajustes </t>
  </si>
  <si>
    <t>"Los responsables del proceso realizaron reunión con el Departamento Administrativo de la Función Pública del 10 de abril de 2018, en dicha reunión se definió como equipo líder del proceso de rendición de cuentas a los líderes de la Oficina Asesora de Planeación y Control Riesgos, la líder de la Oficina Asesora de Comunicaciones y los Asesores de la Dirección General.   Evidencia: Listado de Asistencia de la reunión. Acta No 3 del 10 de abril de 2018"</t>
  </si>
  <si>
    <t>Se realizó el inventario de trámites y Otros Procedimientos Administrativos. El día 10 de abril de 2018 se realizó reunión con funcionaria del Departamento Administrativo de la Función Pública en la que se presentaron los tramites y otros procedimientos administrativos identificados.</t>
  </si>
  <si>
    <t>Se elaboró un preliminar en la construcción al mapa de riesgos en  procesos de apoyo y evaluación</t>
  </si>
  <si>
    <t>Para el tercer trimestre se observa un nivel de servicio del 93%, superando al período anterior (89%), lo que representa un mejoramiento en los ANS pactados con el Callcenter y debido al incremento de agentes en la línea en el horario ordinario.  Comparando el período anterior, el nivel de abandono representó un 11% del total de llamadas entrante, para este período disminuyó a un 6.6%</t>
  </si>
  <si>
    <t>Se  diseñó e implementó la Encuesta de Satisfacción de los Usuarios para el canal de Atención Presencial, la cual fue aprobada y codificada por la Oficina de Planeación de la Entidad</t>
  </si>
  <si>
    <t>Se han realizado dos informes con los resultados de la encuesta de percepción, los cuales fueron socializados con el Director de la DAF y demás Direcciones de la Entidad</t>
  </si>
  <si>
    <t>De un total de 199 usuarios encuestados, 169 calificaron la atención como excelente y 30 como buena</t>
  </si>
  <si>
    <t>Se aplica la encuesta a un total de 117 usuarios que acudieron al punto de atención presencial de la Adres, de los cuales 94 calificaron la atención como excelente y 23 como buena. Se elaboró informe y se remitió al Director de la DAF y a Planeación</t>
  </si>
  <si>
    <t>Se encuestan 117 usuarios y 94 califican la atención como excelente</t>
  </si>
  <si>
    <t>Protocolo de Atención al Ciudadano Publicado en página web enero de 2018</t>
  </si>
  <si>
    <t>Se realizó socialización del Protocolo de Atención al Ciudadano a los funcionarios de Atención al Ciudadano y Grupo de Correspondencia. Se adjunta registro de asistencia y presentación</t>
  </si>
  <si>
    <t>Capacitación a los Funcionarios sobre el tramite interno de las PQRSD, con base en los lineamientos normativos y Resolución Interna 668 para el tramite de las peticiones en la entidad</t>
  </si>
  <si>
    <t>Riesgos identificados y aprobados por la Oficina de Planeación</t>
  </si>
  <si>
    <t>Se realiza charla al GAC sobre la normatividad Riesgos de Corrupción y Matriz de Riesgos del GAC 8 de agosto de 2018. De igual manera se realizó capacitación sobre Resolución 668 de 2018 y Protocolos de Atención a los agentes del Call Center de la Entidad. 12 de julio de 2018</t>
  </si>
  <si>
    <t>Formato diseñado y aprobado por Planeación</t>
  </si>
  <si>
    <t>Informes realizados y publicados en la Página WEB enlaces de Portal Ciudadano y Transparencia</t>
  </si>
  <si>
    <t>Informe elaborado y remitido a la Oficina de Control Interno de la Entidad.</t>
  </si>
  <si>
    <t>Encuestas aprobadas por la Oficina de Planeación</t>
  </si>
  <si>
    <t>Información publicada y actualizada en la pagina web enlace transparencia</t>
  </si>
  <si>
    <t>Se realizó análisis de accesibilidad del punto de atención al ciudadano de la ADRES.</t>
  </si>
  <si>
    <t>Se elaboró informe remitido a Control Interno y publicado en la página web de la entidad</t>
  </si>
  <si>
    <t>Resolución 668 de 2018. Publicada en Normatividad página WEB de la Entidad</t>
  </si>
  <si>
    <t>12000-2-28-1</t>
  </si>
  <si>
    <t>11200-2-29-1</t>
  </si>
  <si>
    <t>11200-2-30-1</t>
  </si>
  <si>
    <t>12000-2-31-1</t>
  </si>
  <si>
    <t xml:space="preserve">Para  la adopción de un SARLAFT para la entidad se tienen definidas 3 actividades. Para el periodo se adelantaron dos actividades que hacen referencia a:
1. Reuniones de coordinación con la SNS y
2. Sensibilización por parte de la UIAF a funcionarios de la ADRES sobre el fenómeno de Lavado de Activos y Financiación del terrorismo en el marco de sus competencias.
Para el cuarto trimestre se espera tener estructurado un plan de trabajo donde se definan las de fases para la estructuración del SARLAFT para la ADRES. el cual tiene el mayor peso que corresponde al 60%
</t>
  </si>
  <si>
    <t>Para este periodo no hubo actualización del Mapa de Riesgos de Corrupción, por tal N/A para la medición.</t>
  </si>
  <si>
    <t>Para este periodo no se realizaron ajustes al mapa de riesgos de corrupción</t>
  </si>
  <si>
    <t>Se identificó un trámite en la Dirección y se está trabajando para publicarlo en la página web</t>
  </si>
  <si>
    <t>Para este periodo no se han ordenado pagos de paquetes tramitados por el nuevo contratista</t>
  </si>
  <si>
    <t>Coordinador(a) Grupo Interno de Gestión Financiera</t>
  </si>
  <si>
    <t>Dirección de Gestión de Tecnologías de Información y Comunicaciones </t>
  </si>
  <si>
    <t>"Ricardo Varón. Juan Carlos Escobar "</t>
  </si>
  <si>
    <t>Asesor GTIC</t>
  </si>
  <si>
    <t>Director de Gestión de Tecnologías de Información y Comunicaciones </t>
  </si>
  <si>
    <t>Dirección de Gestión de Tecnologías de Información y Comunicaciones </t>
  </si>
  <si>
    <t>Ricardo Varón </t>
  </si>
  <si>
    <t>1 RIESGOS PSICOSOCIAL  12 Y  14 DE AGOSTO
2.  GESTION DOCUMENTAL  I 13 AL  22 DE AGOSTO 
3, ADAPTACIÓN AL CAMBIO  23 AL  31 DE AGOSTO
4, MANEJO  Y CONTROL  DE VIENES  DEL  3 AL  11 DE SEPTIEMBRE
5, COMUNICACIÓN EFECTIVA  DEL  19 AL  27 DE SPETIEMBRE</t>
  </si>
  <si>
    <t xml:space="preserve">1,Manejo y control de los bienes de propiedad de la Entidad del 3 al 11 de septiembre
2, Gestión documental en el entorno laboral del 13 al  22 de agosto </t>
  </si>
  <si>
    <t xml:space="preserve">
1. RIESGO SICOSOCIAL  12 DE AGOSTO ( QUE REPOSA EN LA CARPETA QUE TIENE HASTA QUE ACABE EL CONTRATO 2018 LADDY GIRALDO)</t>
  </si>
  <si>
    <t xml:space="preserve">SOLO SE ENTREGA INFORME DE RESULTADOS A LO QUE HASTA EL MOMENTO  HAY  FACTURADO DIA DE LA ADRES.
OLIMPIADAS DEPORTIVAS
PAUSAS ACTIVAS
</t>
  </si>
  <si>
    <t>RANA INSCRIPCIONES  10 PARTICIPARON  2
TENIS DE MESA  26  PARTICIPARON 22
NATACION 9 INSCRIPCIONES PARTICIPARON 6
FUTBOL 29 INSCRIPCIONES PARTICIPARON 29
MICROFUTBOL 31 INSCRITOS PARTICIPARON  31
BOLOS  60 INSCRITOS  PARTICIPARON  60
BILLAR  12 INCRITOS PARTICIPARON 12</t>
  </si>
  <si>
    <t>CAMINATA REALIZADA EL 28 DE JULIO</t>
  </si>
  <si>
    <t xml:space="preserve">DIA DE LA ADRES  CELEBRACIÓN EL  1 DE AGOSTO
</t>
  </si>
  <si>
    <t>La gestora de operaciones  de nomina   esta de planta y no genera  gasto presupuestal</t>
  </si>
  <si>
    <t>DE 176  VERIFICADAS AL  100% 30 HOJAS DE VIDA</t>
  </si>
  <si>
    <t xml:space="preserve">
24 de agosto  pausa activa tema  Honestidad
3 de agosto  pausa  activa  de tema Confianza
10 de agosto  pausa activa  tema Diligencia
17 de agosto  pausa  activa  tema  Responsabilidad
27 de agosto correo  dando  recordación a la ley de transparencia
Se realizaron 3 actividades lúdicas adicionales.</t>
  </si>
  <si>
    <t>Capacitación de ley de transparencia   dictada por  la presidencia de la  republica.</t>
  </si>
  <si>
    <t>El reporte de avance del tercer trimestre, se hizo por parte de cada uno de los responsables de los Grupos Internos de Trabajo y áreas de la Dirección Administrativa y Financiera. </t>
  </si>
  <si>
    <t xml:space="preserve">El reporte de avance del tercer trimestre, se hizo a través del envío de la información por parte de cada unos de lo responsables de Grupos Internos de Trabajo y áreas de la Dirección Administrativa y Financiera. .
Se tienen identificados y estructurados todos los procedimientos de la Dirección Administrativa y Financiera, incluyendo los del proceso de Gestión Administrativa y Documental. Se cuenta con el Manual Operativo de Gestión Administrativa y Documental debidamente aprobado y publicado en la página electrónica de la Entidad. Dicho documento fue enviado por el Coordinador del Grupo de Gestión Administrativa y Documental a los funcionarios de la ADRES a través de correo electrónico de 9 de septiembre. El Manual contiene (9) procedimientos. 
El Grupo de Gestión del Talento Humano envió a la Oficina Asesora de Planeación y Control de Riesgos la información correspondiente a tres (3) procedimientos relacionados con el trámite y legalización de comisiones de servicio para funcionarios públicos y desplazamientos de contratistas de la Entidad, dentro del Plan de Mejoramiento de la ADRES suscrito con la Contraloría General de la República y reportado en el Sistema de Rendición Electrónica de la Cuenta e Informes -SIRECI. Esos procedimientos fueron levantados en el mes de agosto 
Se adjunta archivo en formato Excel con información actualizada del listado de procedimientos identificados y aprobados de la Dirección Administrativa y Financiera. Se tiene un porcentaje de avance del 95,16%, que se desprende de 62 procedimientos identificados Vs. 59 procedimientos aprobados, de acuerdo con la evidencia adjuntada.
</t>
  </si>
  <si>
    <t>La diferencia corresponde a  que la planta de personal no se ha provisto en su totalidad.
Ya se asocio a este indicador, lo pertinente a  servicios personales asociado a la nómina por $2.002.739 según resolución 860 de 2018.</t>
  </si>
  <si>
    <t>EL 31 de Julio de 2018, se presentó ante la CGN el informe Correspondiente al 2ª trimestre de 2018</t>
  </si>
  <si>
    <t>De las 361  cuentas de cobro y pago de proveedores y funcionarios se cancelaron 361.
En el reporte de pagos por tercero, que constituye la evidencia de esta actividad, cada cuenta de cobro se identifica con un número de orden de giro independiente.</t>
  </si>
  <si>
    <t>"Los 35 procedimientos se encuentran descritos en los siguientes Manuales Operativos: * Gestión Integral Régimen Contributivo * Gestión Integral Régimen Subsidiado * Gestión Integral Régimen Especial o de Excepción. . Reintegro de Recursos Apropiados o reconocidos sin justa causa Estos Manuales se encuentran publicados en la siguiente ruta de a página Web de la ADRES: https://www.adres.gov.co/Transparencia/Manuales-t%C3%A9cnicos  tal como se observa en la evidencia localizada en la carpeta de evidencias correspondiente a esta actividad."</t>
  </si>
  <si>
    <t>"Se efectúo el proceso de la Liquidación Mensual de Afiliados mensualmente dentro de los tiempos establecidos en la normatividad vigente y los recursos disponibles para la aplicación del giro, la información resultado del proceso se encuentra publicada en el link: http://www.adres.gov.co/Régimen-Subsidiado/Liquidación-mensual-afiliados-LMA/Resumen-LMA, por mes: Resumen liquidación mensual mes de Julio de 2018 Resumen liquidación mensual mes de Agosto de 2018 Resumen liquidación mensual mes de Septiembre de 2018"</t>
  </si>
  <si>
    <t>"Se efectúo el giro directo a IPS y/o proveedores mensualmente dentro de los tiempos establecidos en la normatividad vigente y los recursos disponibles para la aplicación del giro, la información resultado del proceso se encuentra publicada en el link: http://www.adres.gov.co La lupa al giro/Giros/Régimen Subsidiado"</t>
  </si>
  <si>
    <t>La ADRES no generó auditorías en este trimestre, por lo tanto, no se realizaron solicitudes de aclaración.</t>
  </si>
  <si>
    <t>Se realizaron en el trimestre 196 informes, correspondientes a las auditorías ARCON001, ARCON002, ARS008, ARS009 Y ARCON_BDEX002.</t>
  </si>
  <si>
    <t>En el trimestre se remitieron a la SNS 4 comunicaciones, con las conclusiones del procedimiento de la auditoría de reintegro de recursos.</t>
  </si>
  <si>
    <t>Se generaron 7 comunicaciones de solicitud de  reintegro, de acuerdo con los resultados generados en el proceso LMA.</t>
  </si>
  <si>
    <t>Durante el III Trimestre no se realizaron operaciones de compra cartera. Todavía no se ha definido si se realizarán estas operaciones durante la vigencia  2018</t>
  </si>
  <si>
    <t>Durante el III Trimestre, la totalidad de certificaciones de descuento para que fueran aplicadas en el proceso LMA - La relación de las certificaciones puede verse en el archivo Findeter - LMA III Trimestre 2018, en la carpeta evidencias III Trimestre</t>
  </si>
  <si>
    <t>Durante el III Trimestre, la totalidad de certificaciones de descuento para que fueran aplicadas en el proceso de compensación - La relación de las certificaciones puede verse en el archivo Findeter - Compensación III Trimestre 2018, en la carpeta evidencias III Trimestre</t>
  </si>
  <si>
    <t>Durante el III Trimestre se envió la totalidad de certificaciones de descuento para que fueran aplicadas en el proceso LMA - La relación de las certificaciones puede verse en el archivo Compra de Cartera LMA - III Trimestre 2018, en la carpeta evidencias III Trimestre</t>
  </si>
  <si>
    <t>Durante el III Trimestre se envió la totalidad de certificaciones de descuento para que fueran aplicadas en el proceso de compensación - La relación de las certificaciones puede verse en el archivo Compra de Cartera Compensación - III Trimestre 2018, en la carpeta evidencias III Trimestre</t>
  </si>
  <si>
    <t xml:space="preserve">Durante el III Trimestre de 2018 se elaboraron los siguientes documentos: 1.) Análisis de los recobros correspondientes al principio activo lomitapide. Medicamento para la hipercolesterolemia familiar homocigota; 2.) Una mirada al aseguramiento en salud de la población colombiana durante el año 2017; 3.) Metodología para el análisis de riesgo financiero de EPS. 
Los recursos ejecutados corresponden a la compra del programa estadístico Stata </t>
  </si>
  <si>
    <t>Los recursos corresponden al pago del asesor jurídico para dar cierre al convenio con Cafesalud</t>
  </si>
  <si>
    <t>"De acuerdo con lo relacionado en los seguimientos del primer y segundo semestre los procesos y procedimientos de la DGTIC ya habían sido definidos en su primera versión al 100%, por tal razón durante este trimestre no se realizó nada frente a la presente actividad. Se recuerda que las versiones finales de los manuales han sido publicados en: https://www.adres.gov.co/Transparencia/Procesos-y-procedimientos"</t>
  </si>
  <si>
    <t>"Dentro del segundo trimestre se terminó la definición de procesos y procedimientos de la DGTIC. Paso seguido, en el mes de septiembre se definieron los indicadores para los tres (3) procesos de la DGTIC; por tal motivo, para el cierre de este seguimiento no se cuenta aún con resultado de indicadores ya que se iniciará su medición en el IV trimestre de 2018. Por su parte durante este trimestre no se presentaron acciones de mejora reportadas por parte de Control Interno. Se recuerda que los manuales operativos de los procesos de la DGTIC se encuentran ya publicados dentro del portal Web de la entidad en el enlace https://www.adres.gov.co/Transparencia/Procesos-y-procedimientos "</t>
  </si>
  <si>
    <t>"Tomando en cuenta la integración de los planes de la DGTIC dentro del plan de Acción; se hace modificación de la formulación de las actividades frente al PETI, de donde se definió las siguientes actividades: 1. Realizar planeación para la elaboración de la línea base del PETI; de acuerdo con: (i) Estabilización de la operación de la Entidad. (ii) Guía Cómo elaborar el Plan Estratégico de Tecnologías de la Información - PETI del MINTIC. Con fecha de cumplimiento II semestre (30 junio de 2018) 2. Realizar análisis de la situación actual de la Entidad de acuerdo con los dominios: (i) Estrategia de TI. (ii) Gobierno de TI. (iii) Gestión de la información. (iv) Gestión de sistemas de información. (v) Gestión de servicios tecnológicos. (vi) Uso y apropiación de TI. Con fecha de avance del 75% en el III Semestre (30 septiembre de 2018) y Fecha de cumplimiento al 100% en el IV Semestre (31 de diciembre de 2018). 3. Construir visión estratégica de TI alineada a la visión estratégica de la Entidad, el sector y el Plan Nacional de Desarrollo. Con fecha de cumplimiento IV semestre (31 diciembre de 2018) 4. 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Con fecha de cumplimiento IV semestre (31 diciembre de 2018). Tomando como insumo 4. Definir la hoja de ruta para la ejecución de la línea base del PETI, la cual se debe encontrar alineada a la visión estratégica de la Entidad, el sector y el Plan Nacional de desarrollo. y lo expresado en el seguimiento anterior, la DGTIC se encuentra trabajando en el consolidado del PETI, el cual de acuerdo con cronograma estará al finalizar la actual vigencia. "</t>
  </si>
  <si>
    <t>"Con Memorando No. 1352500 del 12 de julio de 2018, el Director de Gestión de Tecnología de la Información y Comunicaciones, remitió el insumo técnico solicitando el inicio de un proceso de contratación por la modalidad de Contratación Directa para la adopción del direccionamiento IPV6 según Modelo de Seguridad y Privacidad de la Información, anexando a este documento CDP 143 por valor de ($131.257.000) del 10 de julio de 2018. Después de la revisión y análisis realizado por el Grupo Interno de Gestión de Contratación, se concluye que el proceso de contratación debe adelantarse por la modalidad de Concurso de Méritos Abierto con una duración aproximada de dos (2) meses y quince (15) días, según lo estipulado en el Manual de Contratación, que sumado al tiempo estimado de ejecución del contrato de cuatro (4) meses, hacen inviable adelantar el respectivo proceso de contratación en la vigencia actual; por lo anterior, se solicitó la eliminación de la línea: Apoyo técnico para la adopción del Direccionamiento IPV6 según Modelo de Seguridad y Privacidad de la Información. Esa línea dentro del plan de acción será nuevamente incluida dentro del plan de acción de 2019. "</t>
  </si>
  <si>
    <t>"Al cierre del corte de seguimiento para el tercer trimestre se han realizado espacios de trabajo junto con la OAPCR para el desarrollo de la política de administración integral de Riesgos tomando como insumo los documentos (última versión) definidos por Función Pública y la Superintendencia de Salud. Para esto se ha definido iniciar con la elaboración de la herramienta de gestión y posteriormente, modificar el alcance de la política de administración integral de Riesgos. Se adjunta versión preliminar de la herramienta de administración de riesgos que se tiene en trabajo conjunto con la OAPCR (Ver Evidencias\III trimestre\11600-3-1-1-10\Rediseño de formato08102018)"</t>
  </si>
  <si>
    <t>"Aunque esta actividad estaba definida para realizar dentro del IV trimestre se invirtió con el desarrollo de la actividad 11600-3-1-1-10 Plan de Tratamiento de Riesgos de Seguridad y Privacidad de la Información, con el fin de optimizar el desarrollo de la nueva versión de la política de administración integral de Riesgos. Se adjunta versión preliminar de la herramienta de administración de riesgos que se tiene en trabajo conjunto con la OAPCR (Ver Evidencias\III trimestre\11600-3-1-1-10Rediseño de formato08102018) Esta actividad se encuentra para ser desarrollada dentro del IV trimestre de la presente vigencia. Por tal razón, al desarrollo de este informe no se relacionan avances al respecto."</t>
  </si>
  <si>
    <t>"El pasado 20 de septiembre de 2018 mediante oficio con radicado S11610200918031316I000001797400, se solicita la modificación al Plan de Adquisiciones de la ADMINISTRADORA DE LOS RECURSOS DEL SISTEMA GENERAL DE SEGURIDAD SOCIAL EN SALUD – ADRES, relacionadas con la eliminación de la línea presupuestal relacionada a Nuevos desarrollos y mantenimiento de aplicaciones, la cual tenía un presupuesto total de $816.000.000,00. Dentro de la carpeta Evidencias\III trimestre\ 11600-3-6-1 se encuentra la evidencia del oficio radicado."</t>
  </si>
  <si>
    <t>"Dentro de la carpeta Evidencias\III trimestre\11600-3-7-1 se encuentra la evidencia de los pagos realizados frente a esta actividad. Tener en cuenta las siguientes consideraciones: Se tiene la relación de un contratista: John Edwin Rodríguez Sánchez. Inicia Actividades el día 11 de enero de 2018 bajo el contrato 0012 de 2018. Las evidencias se encuentran en Evidencias\III trimestre\11600-3-7-1\ John Edwin Rodríguez Sánchez, de donde: • El mes de junio (Informe 201806 John Edwin Rodriguez.pdf), Radicado en el seguimiento anterior, pero al corte de dicha revisión no se había cancelado, Actualmente se encuentra cancelada. • El mes de julio (Informe 201807 John Edwin Rodriguez.pdf), Se encuentra actualmente pago. • El mes de agosto (Informe 201808 John Edwin Rodriguez.pdf), Se encuentra actualmente pago. • El mes de septiembre (Informe 201809 John Edwin Rodriguez.pdf), Se encuentra actualmente radicado. ACLARACIÓN SOBRE LA EJECUCIÓN DE LA ACTIVIDAD: Esta actividad para este trimestre tenía presupuestado ejecutar $ 12.240.000 + radicado mes de septiembre (en proceso de pago) $4.080.000.   Es importante aclarar que, aunque el 100% del valor proyectado se ha ejecutado, se tienen $4.080.000 que corresponden a la radicación del mes de junio y que se relacionan en el presente reporte, ya que en el anterior corte no habían sido pagados por parte de la Entidad."</t>
  </si>
  <si>
    <t>"Dentro de la carpeta Evidencias\III trimestre\11600-3-8-1 se encuentra la evidencia de los pagos realizados frente a esta actividad. Tener en cuenta las siguientes consideraciones: (i) Se tiene la relación de tres contratistas: (a) William Andrés Páez. (b) Sergio Luis Antonio García (c) Andrés Bruce, para lo cual se ha puesto una carpeta con el nombre de cada uno de ellos. 1. William Andrés Páez. Inicia Actividades el día 11 de enero de 2018 bajo el contrato 0015 de 2018. Las evidencias se encuentran en Evidencias\III trimestre\11600-3-8-1\William Andrés Páez, de donde: • El mes de junio (INFORME 062018 - WILLIAM ANDRES PAEZ.pdf), Radicado en el seguimiento anterior, pero al corte de dicha revisión no se había cancelado, Actualmente se encuentra cancelada. • El mes de julio (INFORME 072018 - WILLIAM ANDRES PAEZ.pdf), Se encuentra actualmente pago. • El mes de agosto (INFORME 082018 - WILLIAM ANDRES PAEZ.pdf), Se encuentra actualmente pago. • El mes de septiembre (INFORME 092018 - WILLIAM ANDRES PAEZ.pdf), Se encuentra actualmente radicado. 2. Sergio Luis Antonio García. Inicia Actividades el día 11 de enero de 2018 bajo el contrato 0016 de 2018. Las evidencias se encuentran en Evidencias\III trimestre\11600-3-8-1\ Sergio Luis Antonio García, de donde: • El mes de junio (INFORME 201806 SERGIO LUIS ANTONIO GARCIA.pdf), Radicado en el seguimiento anterior, pero al corte de dicha revisión no se había cancelado, Actualmente se encuentra cancelada. • El mes de julio (INFORME 201807 SERGIO LUIS ANTONIO GARCIA.pdf), Se encuentra actualmente pago. • El mes de agosto (INFORME 201808 SERGIO LUIS ANTONIO GARCIA.pdf), Se encuentra actualmente pago. • El mes de septiembre (INFORME 201809 SERGIO LUIS ANTONIO GARCIA.pdf), Se encuentra actualmente radicado. 3. Andrés Bruce. Inicia Actividades el día 11 de enero de 2018 bajo el contrato 0017 de 2018.Las evidencias se encuentran en Evidencias\III trimestre\11600-3-8-1\Andrés Guillermo Bruce, de donde: • El mes de junio (INFORME 201806 ANDRES BRUCE.pdf), Radicado en el seguimiento anterior, pero al corte de dicha revisión no se había cancelado, Actualmente se encuentra cancelada. • El mes de julio (INFORME 201807 ANDRES BRUCE.pdf), Se encuentra actualmente pago. • El mes de agosto (INFORME 201808 ANDRES BRUCE.pdf), Se encuentra actualmente pago. • El mes de septiembre (INFORME 201809 ANDRES BRUCE.pdf), Se encuentra actualmente radicado. ACLARACIÓN SOBRE LA EJECUCIÓN DE LA ACTIVIDAD. Esta actividad para este trimestre tenía presupuestado ejecutar $ 36.720.000 y se ha ejecutado (pagado) $36.720.000 + radicado mes de junio (en proceso de pago) $12,240.000.  Es importante aclarar que, aunque el 100% del valor proyectado se ha ejecutado, se tienen $12,240.000 que corresponden a la radicación del mes de marzo y que se relacionan en el presente mes, ya que en el anterior corte no habían sido pagados por parte de la Entidad. Por consiguiente, se tiene un 100% de la ejecución del presupuesto asignado para esta actividad en este trimestre. "</t>
  </si>
  <si>
    <t>"Dentro de la carpeta Evidencias\III trimestre\11600-3-9-1 se encuentra la evidencia de los pagos realizados frente a esta actividad. Tener en cuenta las siguientes consideraciones: Se tiene la relación de tres contratistas: (a) Manuel Alejandro Peña Vargas. (b) Jorge Augusto Suarez Isaza (c) Yuly Margoth Otalora Bernal, para lo cual se ha puesto una carpeta con el nombre de cada uno de ellos. 1. Manuel Alejandro Peña Vargas. Inicia Actividades el día 11 de enero de 2018 bajo el contrato 0024 de 2018. Las evidencias se encuentran en Evidencias\III trimestre\11600-3-9-1\ Manuel Alejandro Peña Vargas, de donde: • El mes de junio (Informe parcial 6-Contrato 0024_2018.pdf), Radicado en el seguimiento anterior, pero al corte de dicha revisión no se había cancelado, Actualmente se encuentra cancelada. • El mes de julio (Informe parcial 7-Contrato 0024_2018.pdf), Se encuentra actualmente pago. • El mes de agosto (Informe parcial 8-Contrato 0024_2018.pdf), Se encuentra actualmente pago. • El mes de septiembre (Informe parcial 9-Contrato 0024_2018.pdf), Se encuentra actualmente radicado. 2. Jorge Augusto Suarez Isaza. Inicia Actividades el día 11 de enero de 2018 bajo el contrato 0019 de 2018. Las evidencias se encuentran en Evidencias\II trimestre\11600-3-9-1\ Jorge Augusto Suarez Isaza, de donde: • El mes de junio (Informe 062018 JORGE SUAREZ.pdf), Radicado en el seguimiento anterior, pero al corte de dicha revisión no se había cancelado, Actualmente se encuentra cancelada. • El mes de julio (Informe 072018 JORGE SUAREZ.pdf), Se encuentra actualmente pago. • El mes de agosto (Informe 082018 JORGE SUAREZ.pdf), Se encuentra actualmente pago. • El mes de septiembre (Informe 092018 JORGE SUAREZ.pdf), Se encuentra actualmente radicado. 3. Yuly Margoth Otalora Bernal. Inicia Actividades el día 01 de febrero de 2018 bajo el contrato 0068 de 2018. Las evidencias se encuentran en Evidencias\I trimestre\11600-3-9-1\Yuly Margoth Otalora Bernal, de donde: • El mes de marzo (Informe 201806 Yuly Margoth Otalora Bernal.pdf), Radicado en el seguimiento anterior, pero al corte de dicha revisión no se había cancelado, Actualmente se encuentra cancelada. • El mes de abril (Informe 201807 Yuly Margoth Otalora Bernal.pdf), Se encuentra actualmente pago. • El mes de mayo (Informe 201808 Yuly Margoth Otalora Bernal.pdf), Se encuentra actualmente pago. • El mes de junio (Informe 201809 Yuly Margoth Otalora Bernal.pdf), Se encuentra actualmente radicado. ACLARACIÓN SOBRE LA EJECUCIÓN DE LA ACTIVIDAD: Teniendo en cuenta que dentro de esta actividad para este trimestre se tenía presupuestado ejecutar $ 123.488.640 y hasta el momento se ha ejecutado (pagado) $ 37.711.221 + radicado mes de septiembre (en proceso de pago) $12,590,407. Se tiene un valor ejecutado de $ 37.711.221 dando una diferencia de $ 85.777.419, el cual es producto a que no se ha podido contratar todos los contratistas que se tenían presupuestados. Por tal razón hasta el momento se tiene un 30.53% de la ejecución del presupuesto asignado para esta actividad en este trimestre. Ahora bien, frente a los indicadores de soporte no se hace ningún reporte ya que para estos se inició su cálculo desde este mes. Finalmente, el pasado 20 de septiembre de 2018 mediante oficio con radicado S11610200918031316I000001797400, se solicita la modificación al Plan de Adquisiciones de la ADMINISTRADORA DE LOS RECURSOS DEL SISTEMA GENERAL DE SEGURIDAD SOCIAL EN SALUD – ADRES, relacionadas con los contratistas adicionales que se encontraban originalmente dentro de esta actividad. Dentro de la carpeta Evidencias\III trimestre\ 11600-3-6-1 se encuentra la evidencia del oficio radicado. "</t>
  </si>
  <si>
    <t>"Dentro de la DGTIC se han definido para los 3 procesos un total de 8 riesgos, de los cuales 3 tienen el enfoque de riesgos de corrupción, los cuales son: (i) Posibilidad de acceder y modificar la información clasificada y/o reservada a un sistema informático, con el fin de obtener buen sea un beneficio personal o para un tercero. (ii) Posibilidad de que por acción u omisión se suministre información de base de datos de afiliados y/o de referencia para beneficio propio o de terceros a cambio de dádivas. (iii) Posibilidad de que por acción u omisión se suministre información clasificada o reservada para beneficio propio o de terceros a cambio de dádivas. El reporte de las acciones realizadas frente a los primeros está a cargo del ingeniero José Leonardo Herrera y se ha venido efectuando en los tiempos establecidos por la OAPCR. La evidencia se puede encontrar en la carpeta Evidencias\III trimestre\11600-2-3-1. Finalmente, se aclara que está actividad no tiene recursos económicos relacionados."</t>
  </si>
  <si>
    <t>"Dentro de la DGTIC se han definido para los 3 procesos un total de 8 riesgos, de los cuales 3 tienen el enfoque de riesgos de corrupción, los cuales son: (i) Posibilidad de acceder y modificar la información clasificada y/o reservada a un sistema informático, con el fin de obtener buen sea un beneficio personal o para un tercero. (ii) Posibilidad de que por acción u omisión se suministre información de base de datos de afiliados y/o de referencia para beneficio propio o de terceros a cambio de dádivas. (iii) Posibilidad de que por acción u omisión se suministre información clasificada o reservada para beneficio propio o de terceros a cambio de dádivas. Actualmente, dentro de la DGTIC no ha sido necesario realizar solicitud de cambios frente al mapa de riesgos de corrupción. Finalmente, se aclara que está actividad no tiene recursos económicos relacionados. "</t>
  </si>
  <si>
    <t>"De acuerdo con la definición del Plan Anticorrupción y de Atención al Ciudadano, esta actividad se desarrollará en el último trimestre de 2018; por tal razón, en el presente seguimiento no se tienen avances frente a la misma. Finalmente, se aclara que está actividad no tiene recursos económicos relacionados."</t>
  </si>
  <si>
    <t>"El Formulario dispuesto en la Página Web de Adres, se encuentra publicado en el enlace: https://aplicaciones.adres.gov.co/PQRS/Radicado, de igual manera la explicación general del sistema de PQRSD se encuentra en: https://www.adres.gov.co/Atenci%C3%B3n-al-ciudadano/PQRSD-en-l%C3%ADnea. Cabe aclarar que esta actividad se desarrolló en el primer semestre y fue evidenciada dentro de los seguimientos que ha realizado la OAPCR."</t>
  </si>
  <si>
    <t>Ver descripción del desarrollo de las actividades 11600-3-1-1-6: Consolidar inventario de activos de información de la Entidad y 11600-3-1-1-7: Realizar el reporte del instrumento de Registro de activos de Información, dentro del portal de la Entidad.</t>
  </si>
  <si>
    <t>"OPA´s identificadas e inscritas en SUIT: (1) Certificación de aportes en salud en los regímenes de excepción y especial (2) Consulta de la Base de Datos Única de Afiliados - BDUA (3) Estado de cuenta entidades territoriales Trámites identificados e inscritos en SUIT: (1) Devolución de aportes pagados directamente a la Administradora de los Recursos del Sistema General de Seguridad Social en Salud - ADRES (2) Reconocimiento de prestaciones económicas a afiliados a los regímenes especial y/o de excepción (3) Registro y modificación de cuentas bancarias para giro directo (4) Solicitud compra de cartera Está pendiente por vincular en línea o parcialmente en línea Devolución de aportes pagados directamente a la Administradora de los Recursos del Sistema General de Seguridad Social en Salud - ADRES y Registro y modificación de cuentas bancarias para giro directo"</t>
  </si>
  <si>
    <t>"Dentro de la carpeta Evidencias\III trimestre\11600-3-12-1 se encuentra la evidencia de los pagos realizados frente a esta actividad. Tener en cuenta las siguientes consideraciones: Se tiene la relación de un contratista: Andrés Camilo Rodríguez Gómez. Inicia Actividades el día 01 de agosto de 2018 bajo el contrato 0085 de 2018. Las evidencias se encuentran en Evidencias\III trimestre\11600-3-12-1\: Andrés Camilo Rodríguez Gómez, de donde: • El mes de agosto (CTO085-2018 - Informe Cumplimiento - 201808), Se encuentra actualmente pago. • El mes de septiembre en el momento de realizar la revisión del plan de acción no había sido radicada la cuenta. ACLARACIÓN SOBRE LA EJECUCIÓN DE LA ACTIVIDAD: Esta actividad para este trimestre tenía presupuestado ejecutar $ 20.341.882.   y hasta el momento se ha ejecutado (pagado) $ 5.136.839 + $ 5.136.839 (pendiente por radicar). Por tal razón, hasta el momento se tiene un 25.25% de la ejecución del presupuesto asignado para esta actividad en este trimestre.  "</t>
  </si>
  <si>
    <t>No hay meta establecida para este trimestre</t>
  </si>
  <si>
    <t>"Se anexan a la carpeta compartida por la Oficina Asesora de Planeación y Control de Riesgos, las cuentas de cobros radicados del trimestre, las cuales evidencian la ejecución de los recursos asignados y programados entre Julio a Septiembre de 2018. Se anexan a la carpeta compartida por la Oficina Asesora de Planeación y Control de Riesgos, la relación de registros de recaudos identificados Vs. Total de Registros recaudos en el III Trimestre."</t>
  </si>
  <si>
    <t>Se anexan a la carpeta compartida por la Oficina Asesora de Planeación y Control de Riesgos, la relación de PPI identificadas en el III Trimestre, al 30 de marzo de 2018.</t>
  </si>
  <si>
    <t>Los estados financiero y el informe de operaciones reciprocas se reportó en el mes de julio a corte 30 de junio.</t>
  </si>
  <si>
    <t>Se realizo un traslado presupuestal, teniendo en cuenta lo citado en la Resolución 3982 de 2018.</t>
  </si>
  <si>
    <t>Se realizo un traslado presupuestal, teniendo en cuenta lo citado en la Resolución 3825 de 2018.</t>
  </si>
  <si>
    <t>Se realizan dos adiciones al presupuesto de Ingreso y Gasto, teniendo en cuenta las Resoluciones 10 y 11 de 2018.
Se realizo un traslado presupuestal, teniendo en cuenta lo citado en la Resolución 3825 de 2018.</t>
  </si>
  <si>
    <t>Se realizo un traslado presupuestal, teniendo en cuenta lo citado en la Resolución 4344 de 2018.</t>
  </si>
  <si>
    <t>"Una vez entregadas las actividades definidas para: (i) Plan Estratégico de Tecnologías de la Información y las Comunicaciones PETI, (ii) Plan de Seguridad y Privacidad de la Información y (iii) Plan de Tratamiento de Riesgos de Seguridad y Privacidad de la Información. Estas fueron incluidas dentro del desarrollo del presente plan, las cuales se explicarán conforme al desarrollo y alcance de las mismas. Ver actividades por cada uno de los planes definidos. "</t>
  </si>
  <si>
    <t>"Tomando en cuenta la integración de los planes de la DGTIC dentro del plan de Acción; se hace modificación de la formulación de las actividades frente al PETI, de donde se definió las siguientes actividades: 1. Realizar planeación para la elaboración de la línea base del PETI; de acuerdo con: (i) Estabilización de la operación de la Entidad. (ii) Guía Cómo elaborar el Plan Estratégico de Tecnologías de la Información - PETI del MINTIC. Con fecha de cumplimiento II trimestre (30 junio de 2018) 2. Realizar análisis de la situación actual de la Entidad de acuerdo con los dominios: (i) Estrategia de TI. (ii) Gobierno de TI. (iii) Gestión de la información. (iv) Gestión de sistemas de información. (v) Gestión de servicios tecnológicos. (vi) Uso y apropiación de TI. Con fecha de avance del 75% en el III Semestre (30 septiembre de 2018) y Fecha de cumplimiento al 100% en el IV Semestre (31 de diciembre de 2018). 3. Construir visión estratégica de TI alineada a la visión estratégica de la Entidad, el sector y el Plan Nacional de Desarrollo. Con fecha de cumplimiento IV semestre (31 diciembre de 2018) 4. 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Con fecha de cumplimiento IV semestre (31 diciembre de 2018). Tomando como insumo 4. Definir la hoja de ruta para la ejecución de la línea base del PETI, la cual se debe encontrar alineada a la visión estratégica de la Entidad, el sector y el Plan Nacional de desarrollo. y lo expresado en el seguimiento anterior, la DGTIC se encuentra trabajando en el consolidado del PETI, el cual de acuerdo con cronograma estará al finalizar la actual vigencia. "</t>
  </si>
  <si>
    <t>Se encuentra en proceso de contratación</t>
  </si>
  <si>
    <t>Se expidieron 1.206 actos administrativos ordenando el cobro de reclamaciones reconocidas y pagadas por el entonces FOSYGA hoy ADRES en relación con accidentes de transito cuyo vehículo involucrado carecía de seguro obligatoria SOAT.</t>
  </si>
  <si>
    <t>El valor consignado en la columna AU se sacó de las evidencias remitidas en su momento a la Coordinación de Representación Judicial; la Dirección Administrativa y Financiera no remitió la información, a pesar de haber sido solicitada</t>
  </si>
  <si>
    <t>Se programó la reunión correspondiente al tercer trimestre para la segunda semana de noviembre (ver evidencia de programación de reunión)</t>
  </si>
  <si>
    <t>No fue necesario ajustar el mapa de riesgo de corrupción, de acuerdo a lo informado por los Coordinadores</t>
  </si>
  <si>
    <t>La acción es una tarea conjunta con Dirección Administrativa y Financiera. Se anexa evidencia con el correspondiente acto administrativo</t>
  </si>
  <si>
    <t>La Dirección General no se contempla en el indicador toda vez que esta dependencia no produce documentación.</t>
  </si>
  <si>
    <t>Se modifican los valores de apropiación total y del 3° y 4° trimestre de las actividades: 11300-3-1-4 y 11300-3-1-5 y 11300-3-1-14 de acuerdo con la Resolución 3982 de 2018.</t>
  </si>
  <si>
    <t>Se modifican los valores de apropiación total y del 3° y 4° trimestre de las actividades: 11300-3-1-6, 11300-3-1-15, 11300-3-1-16 y 11300-3-1-17 de acuerdo con la Resolución 3825 de 2018.</t>
  </si>
  <si>
    <t>Se modifican los valores de apropiación total y del 3° y 4° trimestre de la actividad 11300-3-1-18 de acuerdo con la Resolución 4344 de 2018.</t>
  </si>
  <si>
    <t>Se modifican los valores de apropiación total y del 3° y 4° trimestre de la actividad: 11300-3-1-12 de acuerdo con la Resoluciones 10 y 11 de 2018 y la  Resolución 3825 de 2018.</t>
  </si>
  <si>
    <t>Adriana Paola Restrepo
Gestor de Operaciones Grupo Gestión de Presupuesto DGRFS</t>
  </si>
  <si>
    <t xml:space="preserve">Directora de Gestión de Recursos Financieros para la Salud
</t>
  </si>
  <si>
    <t>En el mes de septiembre de 2018, se presentaron Las Hojas de Vida de los Indicadores de Gestión de los procesos: Gestión de Recaudo y Fuentes de Financiación - Gestión de Presupuesto.</t>
  </si>
  <si>
    <t>"Teniendo en cuenta que la interior de la DGTIC se habían definido 26 procedimientos de los 3 procesos que la componente, se realiza la verificación de los procedimientos relacionados con la Administración de la Base de Datos Única de Afiliados – BDUA y dentro de estos no se requiere hacer ningún cambio puntal frente al modelo de Seguridad y Privacidad de la Información – MSPI. (ver https://www.adres.gov.co/Portals/0/manuales/BDUA-C01_Administracion_base_de_datos_unica_de_afiliados_V01.pdf). Ahora bien, dentro de los procedimientos de Soporte a las tecnologías se realizan modificación al procedimiento gestión de incidentes de seguridad y gestión de activos de información. Dichas modificaciones se encuentran en versión preliminar, ya que al finalizar el periodo de este seguimiento se deben hacer algunos ajustes de acuerdo con las validaciones realizadas por la Oficina de Control Interno – OCI. Se adjunta borrador de la segunda versión de los procedimientos del manual operativo del Proceso Gestión de soporte a las tecnologías. (Ver Evidencias\III trimestre\11600-3-1-1-9\ GSTE-C01_Gestión_soporte_a_las_tecnologías_V01) Por consiguiente, en el momento se ha realizado la revisión de 14 de los 26 procedimientos, dando así un cumplimiento del 53.85%"</t>
  </si>
  <si>
    <t>En el siguiente link se evidencia las piezas comunicativas y la presentación publicada para la Rendición de Cuentas de la entidad: https://www.adres.gov.co/Rendicion-cuentas  </t>
  </si>
  <si>
    <t>IIITRIMESTRE</t>
  </si>
  <si>
    <t>"Dentro de la carpeta Evidencias\III trimestre\11600-3-5-1 se encuentra la evidencia de los pagos realizados frente a esta actividad. Tener en cuenta las siguientes consideraciones: Tomando como insumo el plan de adquisiciones de la vigencia presente para esta actividad se tiene la relación de los siguientes Rubros: (a) Prestar el servicio de soporte y administración de la plataforma de gestión documental DOCUMENTUM y la solución de correspondencia de la ADRES (b) Servicio de videoconferencia gubernamental y adquisición de equipos. (c) Adquirir la Prestación de Servicios BPO-Mesa de ayuda, mediante Acuerdo Marco de Precios. 1. Prestar el servicio de soporte y administración de la plataforma de gestión documental DOCUMENTUM y la solución de correspondencia de la ADRES. En la ubicación \Evidencias\III trimestre\11600-3-5-1\Mega Group, se encuentra:   o El mes de junio (Soporte Pago 062018 Megareoup.pdf), Radicado en el seguimiento anterior, pero al corte de dicha revisión no se había cancelado, Actualmente se encuentra Pago. o El mes de julio (Soporte Pago 072018 Megareoup.pdf), Se encuentra actualmente Pago. o El mes de agosto (Soporte Pago 082018 Megareoup.pdf), Se encuentra actualmente Pago. o El mes de septiembre (Soporte Pago 092018 Megareoup.pdf), Se encuentra actualmente Pago. 2. Servicio de videoconferencia gubernamental y adquisición de equipos. Actualmente, nos encontramos en proceso de definición de los anexos técnicos para la definición del alcance de la solución de Servicio de videoconferencia gubernamental que aplique a las necesidades de la Entidad. 3. Adquirir la Prestación de Servicios BPO-Mesa de ayuda, mediante Acuerdo Marco de Precios. Se tiene la Orden de compra número 29276, que puede ser consultada en  https://bit.ly/2NHQcaY. Se aclara que al cierre del presente informe no se ha registrado pagos sobre este servicio. Sin embargo, se relaciona facturas que ya se encuentran radicadas, la evidencia se encuentra en: Evidencias\III trimestre\11600-3-5-1\BPO-Mesa y allí se tiene: • Julio: mesa_de_ayuda_julio.pdf • Agosto: mesa_de_ayuda_agosto.pdf ACLARACIÓN SOBRE LA EJECUCIÓN DE LA ACTIVIDAD: Esta actividad para este trimestre tenía presupuestado ejecutar $ 163.480.426 pesos y en el momento de hacer el presente seguimiento se ha ejecutado $59.976.000 , el cual corresponde a 12,53% del valor total proyectado. "</t>
  </si>
  <si>
    <t>"Dentro de la carpeta Evidencias\III trimestre\11600-3-10-1 se encuentra la evidencia de los pagos realizados frente a esta actividad al contratista PCCOM. Tener en cuenta las siguientes consideraciones: • El mes de junio (Pago 062018 PCcom.pdf), Se encuentra actualmente pago. • El mes de julio (Pago 072018 PCcom.pdf), Se encuentra actualmente pago. • El mes de agosto (Pago 082018 PCcom.pdf), Se encuentra actualmente pago. • Para el mes de septiembre en el momento de generar el presente informe no había sido radicada la factura • ACLARACIÓN SOBRE LA EJECUCIÓN DE LA ACTIVIDAD: En esta actividad para este trimestre se tenía presupuestado ejecutar $211.535.887,5 y hasta el momento se ha ejecutado (pagado) $ 159.085.945. Por tal razón, hasta el momento se tiene un 74.45% de la ejecución del presupuesto asignado para esta actividad en este trimestre.   "</t>
  </si>
  <si>
    <t>"Dentro de la carpeta Evidencias\II trimestre\11600-3-2-1 se encuentra la evidencia de los pagos realizados frente a esta actividad. Tener en cuenta las siguientes consideraciones: Tomando como insumo el plan de adquisiciones de la vigencia presente para esta actividad se tiene la relación de los siguientes Rubros: (a) Adquirir el Servicio de Centro de Datos Principal para la ADRES. (b) Contratar la prestación del Servicio de Centro de Datos / Nube Privada (Adición). (c) Adquirir servicios de conectividad para la Entidad Administradora de los Recursos del Sistema General de Seguridad Social en Salud (Adición). 1. Adquirir el Servicio de Centro de Datos Principal para la ADRES. 1. Contratar la prestación del Servicio de Centro de Datos / Nube Privada (Adición). Se realiza el proceso de selección del nuevo proveedor del servicio del centro de Datos principal para la ADRES, bajo la modalidad de acuerdo marco. De donde: El proceso fue adjudicado a COLOMBIANA DE SOFTWARE Y HARDWARE COLSOF S.A, para lo cual se realizó la orden de compra 28969, por un valor de $ 861.588.100,00. La orden de compra puede ser consultada en el enlace https://www.colombiacompra.gov.co/tienda-virtual-del-estado-colombiano/ordenes-compra/28969. Ahora bien, se describen las ejecuciones relacionadas dentro de la presente actividad del plan de acción: Se tiene la relación con el proveedor Century Link (Level 3), la cual inicia Actividades el día 15 de mayo de 2017 bajo el contrato 0059 de 2017. Las evidencias se encuentran en Evidencias\ III trimestre\11600-3-2-1\Nube Privada, de donde: • Junio (Pago 062018 nube privada.pdf), la cual no fue radicada antes del seguimiento anterior, Actualmente se encuentra Paga. • Julio (Pago 072018 nube privada.pdf). Actualmente se encuentra Paga. • Agosto (Pago 082018 nube privada.pdf) Actualmente se encuentra Radicado no pagado y en espera del informe final del proveedor por cierre del contrato. Por su parte, como se describió en el inicio de la presente observación, el nuevo proveedor del centro de Datos es Colsof el cual inició labores desde el 16 de agosto de 2018; Sin embargo, al cierre de este mes no se han sido radicadas facturas relacionadas a este contrato. 2. Adquirir servicios de conectividad para la Entidad Administradora de los Recursos del Sistema General de Seguridad Social en Salud (Adición). Se tiene la relación con el proveedor Century Link (Level 3), la cual inicia Actividades el día 11 de abril de 2017 bajo el contrato 0048 de 2017. Las evidencias se encuentran en Evidencias\III trimestre\11600-3-2-1\Conectividad, de donde: • Junio (Pago 201706 Conectividad.pdf) Actualmente se encuentra Paga. • Julio (Pago 201807 Conectividad.pdf) Actualmente se encuentra Paga. • Agosto (Pago 201808 Conectividad.pdf) Actualmente se encuentra Paga. • Septiembre no ha sido radicada la factura. 3. Adquirir un Robot de cintas para copias de respaldo de información Conforme al oficio S11610200918015439I000001797200 enviado el 20 de septiembre, se solicitó la liberación de los recursos relacionados a la presente actividad, las evidencias se encuentran en Evidencias\III trimestre\11600-3-2-1\Robot 4. Para las actividades Adquisición de switches y Adquisición de servidores, al cierre del presente seguimiento se encontraban en fase de contratación. ACLARACIÓN SOBRE LA EJECUCIÓN DE LA ACTIVIDAD: Esta actividad para este trimestre tenía presupuestado ejecutar   $ 1.741,388,504 y en el momento de hacer el presente seguimiento se ha ejecutado $989,608,577, el cual corresponde a 20% del valor total proyectado. "</t>
  </si>
  <si>
    <t>Ejecución UGG 3° Trimestre</t>
  </si>
  <si>
    <t>Ejecución URA 3° Trimestre</t>
  </si>
  <si>
    <t>III</t>
  </si>
  <si>
    <t xml:space="preserve">1. La ejecución presupuestal acumulada de la UGG va en el 45%. Esto se debe principalmente a que no se ha iniciado la ejecución de los siguientes asuntos, que representan un porcentaje importante en el presupuesto de la entidad: 
* La administración y custodia del portafolio de inversión
* La adquisición de bienes y/o servicios para la seguridad de la información, para la adopción de IPV6 y Protocolos de seguridad de la información en el área de Tesorería de la Entidad 
* El apoyo técnico para la implementación de la red de almacenamiento de información
* La Ordenación del pago de los paquetes de recobros cuyo trámite de auditoría haya culminado, para el trámite de reconocimiento y pago por parte de ADRES 
Adicionalmente, La ejecución presupuestal de bienestar y capacitación va en el 4%, y la de viáticos y gastos de viaje va en el 15%.
Estas situaciones a su vez inciden en los resultados de la perspectiva financiera con un cumplimiento del 62% en el trimestre, y un avance acumulado del 47%.
2. La ejecución presupuestal acumulada de la URA va en el 77% lo cual es acorde a los resultados  esperados para el tercer trimestre (75%). 
Se observan algunos rubros de los recursos administrados aun no ejecutados al corte, y con metas de ejecución de alrededor del 25% en cada trimestre. Estos son: Devolución de Aportes y Cotizaciones no conciliadas de vigencias anteriores; Rendimientos Financieros saldo de Aportes Patronales no compensados; Fortalecimiento red de urgencias nacional, emergencias sanitarias y eventos catastróficos; Otros programas de salud promoción y prevención y FONSAET.
3. Así las cosas, la ejecución presupuestal total va en el 77% cumpliendo con la meta a la fecha de corte. </t>
  </si>
  <si>
    <t>Todos los aspectos mencionados anteriormente,  explican a su vez los resultados en el cumplimiento de los objetivos estratégicos y en el aporte de cada dependencia al Plan de Acción; así como en el resultado general consolidado tanto en el tercer trimestre como de manera acumulada a la fecha.</t>
  </si>
  <si>
    <t>Se modifica la meta del indicador: : #Noticias Positivas en el periodo/#Noticias Negativas en el mismo periodo de la actividad 11200-2-1-1, de 15 a 3.
Se modificó la meta del indicador: ((#Visitas Página WEB periodo actual - # Visitas Página WEB periodo anterior) / # Visitas Página WEB periodo anterior) de la actividad 11200-2-1-1, de 5% a 3%.
Lo anterior en razón a que por directriz del director general de la ADRES, Carlos Mario Ramírez, la entidad disminuirá su presencia en medios por recomendación del Ministerio de Salud y Protección Social, por tanto el número de noticias positivas y negativas de la ADRES seguirá disminuyendo.</t>
  </si>
  <si>
    <t>Johanna Contreras
Asesor Dirección General</t>
  </si>
  <si>
    <t>Asesorar y apoyar a la Dirección de Gestión de Tecnología de la Información y Comunicaciones de la Administradora de los Recursos del Sistema General de Seguridad Social en Salud – ADRES, en la construcción del modelo de Seguridad y Privacidad de la Información - MSPI definido por el Ministerio de Tecnologías de la Información y Comunicaciones – MINTIC.</t>
  </si>
  <si>
    <t>11600-3-13</t>
  </si>
  <si>
    <t>11600-3-13-1</t>
  </si>
  <si>
    <t xml:space="preserve">Modelo de Seguridad y Privacidad de la Información - MSPI </t>
  </si>
  <si>
    <t>Hisnardo Ubaque
Director de Gestión de Tecnologías de la Información y las Comunicaciones</t>
  </si>
  <si>
    <t>Juan Carlos Escobar</t>
  </si>
  <si>
    <t>Soporte de operación de la plataforma de auditoría integral en salud, jurídica y financiera a los recobros por servicios 
y tecnología NO POS y reclamaciones por accidentes de tránsito y eventos catastróficos y terroristas; y a los procesos y procedimientos misionales y tecnológicos de la Base de Datos Única de Afiliados – BDUA</t>
  </si>
  <si>
    <t>11600-3-14</t>
  </si>
  <si>
    <t>11600-3-14-1</t>
  </si>
  <si>
    <t xml:space="preserve">
Apoyar a la Entidad en el proceso de soporte de operación de la plataforma de auditoría integral en salud, jurídica y financiera a los recobros por servicios y tecnología NO POS y reclamaciones por accidentes de tránsito y eventos catastróficos y terroristas. Apoyar la gestión de los procesos y procedimientos misionales y tecnológicos de la Base de Datos Única de Afiliados – BDUA brindando la asistencia necesaria a los actores del proceso bajo la normativa vigente.
</t>
  </si>
  <si>
    <t>11600-3-15</t>
  </si>
  <si>
    <t>Apoyar a la Entidad en el proceso de desarrollo, mantenimiento, actualización e integración de los aplicativos que soportan las operaciones misionales de la Entidad.</t>
  </si>
  <si>
    <t>Desarrollo, mantenimiento, actualización e integración de los aplicativos que soportan las operaciones misionales de la Entidad.</t>
  </si>
  <si>
    <t>11600-3-15-1</t>
  </si>
  <si>
    <t>Durante el 4° trimestre de 2018 se realizó el seguimiento al Plan de Acción correspondiente al 3° trimestre de 2018, cuyo informe de avance se reportó y publicó en la página Web de la ADRES Las evidencias se encuentran en la ruta: ONE DRIVE\ADRES\PLAN DE ACCION\DIRECCIÓN GENERAL\OFICINA ASESORA DE PLANEACIÓN Y CONTROL DE RIESGOS\Evidencias\IV Trimestre\12000-2-1-1.</t>
  </si>
  <si>
    <t>Los avances del IV trimestre del Plan de Acción a cargo de la Oficina Asesora de Planeación y Control de Riesgos, fueron reportados dentro del plazo establecido, y su evidencia es este mismo informe.</t>
  </si>
  <si>
    <t>Se realizó una reunión de autocontrol 21 de diciembre donde se revisaron los riesgos asociados a los procesos de la dependencia</t>
  </si>
  <si>
    <t>el mapa de riesgos de corrupción de la dependencia no presento cambios en el periodo de análisis</t>
  </si>
  <si>
    <t>se elaboró propuesta plan de implementación SARLAFT con el fin de ser socializado en la UIAF para que nos orienten en el proceso.</t>
  </si>
  <si>
    <t>se realizó la gestión ante el DAFP y se registraron en el SUIT los 5 tramites y 3 OPAS identificados para la entidad</t>
  </si>
  <si>
    <t xml:space="preserve">Marcela Brun
Directora de Gestión de Recursos Financieros para la Salud </t>
  </si>
  <si>
    <t xml:space="preserve">Directora de Gestión de Recursos Financieros para la Salud </t>
  </si>
  <si>
    <t>Inclusión de la actividad 11600-3-13-1 por solicitud del Ing. Hisnardo Ubaque mediante correo electrónico del 6/11/2018, y soportado con los memorandos de solicitud de inclusión de línea en el Plan de Adquisiciones con radicado No. 18979 del 17/10/2018 y 19109 del 22/10/2018.</t>
  </si>
  <si>
    <t>Inclusión de las actividades 11600-3-14-1 y  11600-3-15-1 por solicitud del Ing. Hisnardo Ubaque mediante correo electrónico del 12/12/2018, y soportado con el memorando de solicitud modificación de línea en el Plan de Adquisiciones con radicado No. 19540 del 31/10/2018,</t>
  </si>
  <si>
    <t>11700-2-70</t>
  </si>
  <si>
    <t>Estructuración e implementación del Sistema de Seguridad y Salud en el Trabajo - Decreto 1072 de 2015</t>
  </si>
  <si>
    <t>Prestar servicios profesionales en Salud Ocupacional para la estructuración e implementación del Sistema de Seguridad y Salud en el Trabajo - Decreto 1072 de 2015</t>
  </si>
  <si>
    <t>11700-2-70-1</t>
  </si>
  <si>
    <t>Se incluye la actividad 11700-2-70-1 de acuerdo con el memorando de inclusión de línea del Plan de Adquisiciones con radicado No. 18505 del 04/10/2018.</t>
  </si>
  <si>
    <t>Juan José Trujillo
Jefe de la Oficina Asesora Jurídica encargado de la Dirección Administrativa y Financiera</t>
  </si>
  <si>
    <t>Coordinador Grupo Interno de Gestión del Talento Humano
Coordiandor(a) Grupo Interno de Contratación</t>
  </si>
  <si>
    <t>Se ajusta el valor total y del 4° trimestre de la actividad  11700-2-12-1 de acuerdo con el memorando de modificación de línea del Plan de Adquisiciones con radicado No. 20500 del 21/11/2018,</t>
  </si>
  <si>
    <t>Carlos Cáceres
Coordinador Grupo Interno de Gestión del Talento Humano</t>
  </si>
  <si>
    <t>Se realizó el informe con el resultado de la encuesta de satisfacción, y se socializó con el Director de la DAF y demás Direcciones de la Entidad el 19 de noviembre de 2018</t>
  </si>
  <si>
    <t>Se encuentra aprobado por junta directiva en sesión del 10 de noviembre de 2018 y está pendiente la formalización del grupo</t>
  </si>
  <si>
    <t>Para este período se realizó una actualización al Manual de Servicio y Protocolos de Atención al Usuario y se socializó a todos los funcionarios mediante correo electrónico enviado el 5 de diciembre de 2018.</t>
  </si>
  <si>
    <t xml:space="preserve">Portafolio elaborado y socializado con la Oficina Asesora de Planeación para su revisión y aprobación, el cual fue aprobado y remitido a la DGTI para su publicación en la WEB. </t>
  </si>
  <si>
    <t>Jefe Oficina de Planeación y Control de Riesgos</t>
  </si>
  <si>
    <t>Se adicionaron $18.015.000 al valor total y del 4° trimestre de la actividad 11700-2-18-1, de acuerdo con la solicitud de la funcionaria responsable de la gestión de servicio al ciudadano, mediante correo electrónico el 18/12/2018,</t>
  </si>
  <si>
    <t xml:space="preserve">Mediante reunión de 11 de diciembre, con la participación del Director (encargado) de la DAF y los coordinadores y responsables de área, se hizo verificación del cumplimiento del Plan de Acción y el monitoreo de los riesgos de corrupción. De dicho monitoreo no se concluyó la necesidad de hacerles ajustes o cambios. Sin embargo, para la vigencia 2019 se llevarán a cabo reuniones para garantizar el seguimiento del mapa de riesgos de corrupción. En evidencias se adjunta el listado de asistencia de la reunión. </t>
  </si>
  <si>
    <t xml:space="preserve"> De la reunión de monitoreo relacionada en el ítem anterior, no se concluyó la necesidad de hacerles ajustes o cambios al mapa de riesgos de corrupción. </t>
  </si>
  <si>
    <t>Se realizaron 12 reuniones de autocontrol, con el fin de hacer monitoreo a los riesgos de los  procesos de: Gestión de Recaudo y Fuentes de Financiación - Gestión Presupuestal - Gestión Contable y Gestión de Pagos y Manejo de Portafolio.</t>
  </si>
  <si>
    <t>Actividad ejecutada al 100% en el III Trimestre de 2018</t>
  </si>
  <si>
    <t>"Se realiza reunión de autocontrol el día 07 de diciembre de 2018, conforme a acta que se adjunta en la carpeta Evidencias\IV trimestre\11600-2-3-1. Finalmente, se aclara que está actividad no tiene recursos económicos relacionados. "</t>
  </si>
  <si>
    <t>"Dentro de la DGTIC se habían definido para los 3 procesos un total de 8 riesgos, de los cuales 3 tienen el enfoque de riesgos de corrupción, los cuales son: (i) Posibilidad de acceder y modificar la información clasificada y/o reservada a un sistema informático, con el fin de obtener buen sea un beneficio personal o para un tercero. (ii) Posibilidad de que por acción u omisión se suministre información de base de datos de afiliados y/o de referencia para beneficio propio o de terceros a cambio de dádivas. (iii) Posibilidad de que por acción u omisión se suministre información clasificada o reservada para beneficio propio o de terceros a cambio de dádivas. Ahora bien, teniendo en cuenta algunas indicaciones de la OAPCR, se realizó una actualización del instrumento de riesgos conforme a las directrices del MSPS, en donde los riesgos de corrupción de los procesos de BDUA y GPI fueron redefinidos respectivamente de la siguiente manera: (i) Exceso de las facultades otorgadas al acceder, modificar y divulgar fuera de los canales permitidos Información Clasificada que se encuentra dentro de los Sistemas de Información. Con el fin, de obtener un beneficio personal o para un tercero. (ii) Exceso de las facultades otorgadas para suministrar información de las bases de datos de afiliados y/o de referencia para beneficio propio o de terceros a cambio de dádivas. (iii) Uso indebido de información privilegiada sobre los proyectos de tecnologías de información y comunicaciones para beneficio propio o de terceros a cambio de dádivas. Dentro de la ruta Evidencias\IV trimestre\11600-2-4-1\; se encuentran los instrumentos que han sido definidos."</t>
  </si>
  <si>
    <t>Se desarrolla  proyecto de documento guía para la estrategia de interoperabilidad, el cual define los lineamientos a seguir dentro del ciclo que se definirá al interior de la ADRES. Se adjunta evidencia del documento: Evidencias\IV trimestre\11600-2-5-1\EstrategiaInteroperabilidad.docx".</t>
  </si>
  <si>
    <t>"El Formulario dispuesto en la Página Web de Adres, se encuentra publicado en el enlace: https://aplicaciones.adres.gov.co/PQRS/Radicado, de igual manera la explicación general del sistema de PQRSD se encuentra en: https://www.adres.gov.co/Atenci%C3%B3n-al-ciudadano/PQRSD-en-l%C3%ADnea. Cabe aclarar que esta actividad se desarrolló en el primer semestre y fue evidenciada dentro de los seguimientos que ha realizado la OAPCR. "</t>
  </si>
  <si>
    <t>"Ver observación de las actividades: 11600-3-1-1-6 Consolidar inventario de activos de información de la Entidad 11600-3-1-1-7 Realizar el reporte del instrumento de Registro de activos de Información, dentro del portal de la Entidad."</t>
  </si>
  <si>
    <t>Se celebraron dos reuniones, en los meses de noviembre y diciembre. Se anexan las actas respectivas</t>
  </si>
  <si>
    <t>Durante el último trimestre no fue necesario realizar ajustes al mapa de riesgos de corrupción</t>
  </si>
  <si>
    <t>El índice de información reservada y confidencial para ADRES fue definido en el anterior trimestre</t>
  </si>
  <si>
    <t>" A través de la realización de Comités Internos, la Oficina de Control Interno ha venido realizando el monitoreo mensual de los riesgos que tenemos identificados en el área, verificando que se cumplan y que se estén ejecutando los controles propuestos. Como evidencia tenemos actas de las reuniones realizadas durante los meses de octubre, noviembre y diciembre. En la Carpeta OneDrive EVIDENCIAS/Trimestre IV/11800-2-3-1C se encuentran las 3 actas de reunión. "</t>
  </si>
  <si>
    <t>Se realizó rendición de cuentas en el mes de noviembre</t>
  </si>
  <si>
    <t>El ejercicio de Rendición de Cuentas Interna de la Administradora de los Recursos del Sistema General de Seguridad Social en Salud -ADRES- se llevó a cabo el 22 de noviembre de 2018, previo envío de mensajes de comunicación y sensibilización sobre este ejercicio, por correo electrónico, a todos los funcionarios y contratistas de la ADRES.</t>
  </si>
  <si>
    <t>No hay meta establecida para este trimestre.</t>
  </si>
  <si>
    <t xml:space="preserve">Se realizó informe de evaluación de la rendición de cuentas interna </t>
  </si>
  <si>
    <t xml:space="preserve">Se realizó informe de autoevaluación de la rendición de cuentas interna </t>
  </si>
  <si>
    <t>Se realizó informe de autoevaluación de la rendición de cuentas interna dentro del cual se documentaron las acciones de mejoramiento identificadas.</t>
  </si>
  <si>
    <t>En la carpeta de evidencias se encuentra publicado el documento de la Política de Comunicaciones de la entidad. Esta documento es considerado una propuesta para la Política definitiva de la entidad.</t>
  </si>
  <si>
    <t>El esquema se encuentra alojado en las evidencias del Plan de Acción Trimestre IV 2018</t>
  </si>
  <si>
    <t>El Anexo técnico se encuentra estructurado, en etapa de revisión y aprobación para su publicación final.</t>
  </si>
  <si>
    <t>No hay meta establecida para este trimestre. Se ejecutó en el segundo trimestre.</t>
  </si>
  <si>
    <t>De un total de 209 usuarios encuestados, 164 calificaron la atención como excelente y 45 como buena</t>
  </si>
  <si>
    <t>"Se reporta el número de procesos de contratación adelantados en el periodo de acuerdo a lo solicitado por las diferentes dependencias de la Entidad. Financieramente se reportan los contratos del área, y se modifico el valor proyectado incluyendo el valor de un contrato nuevo con plazo de 2 meses."</t>
  </si>
  <si>
    <t>"Se reporta en acumulado el número de las constancias de archivo y/o actas de liquidación tramitadas en el trimestre frente a los contratos de Vigencias 2017 y 2018, terminados en el periodo a reportar. La certificación aportada como evidencia es complemento a las enviadas en los trimestres anteriores donde se reflejan las novedades de este proceso. Teniendo en cuenta la terminación de los contratos con corte a 30 noviembre y la fecha del reporte."</t>
  </si>
  <si>
    <t xml:space="preserve">Se hace reporte de avance de cuarto trimestre, enviando información por este medio por parte de todos los responsables de reporte de información de la Dirección Administrativa y Financiera. </t>
  </si>
  <si>
    <t xml:space="preserve">El reporte de avance del cuarto trimestre, se hizo a través del envío de la información por parte de cada unos de lo responsables de Grupos Internos de Trabajo y áreas de la Dirección Administrativa y Financiera.
El Grupo de Gestión del Talento Humano, mediante comunicación de 6 de diciembre, envió a la Oficina Asesora de Planeación y Control de Riesgos respuesta a las observaciones relacionadas con el Manual Operativo de Comisión de Servicios o Desplazamiento Nacional, que contiene tres (3) procedimientos relativos al trámite y legalización de comisiones de servicio para funcionarios públicos y desplazamientos de contratistas de la Entidad. En evidencias se adjunta evidencia de la comunicación citada.
También se adjunta archivo en formato Excel con información actualizada del listado de procedimientos identificados y aprobados de la Dirección Administrativa y Financiera. Se mantienen el porcentaje de avance del tercer trimestre del 95,16%, que se desprende de 62 procedimientos identificados Vs. 59 procedimientos aprobados.
</t>
  </si>
  <si>
    <t>Se envía correo electrónico de reporte a la Oficina Asesora de Planeación y Control de Riesgos, con copia a la Directora de Gestión de los Recursos Financieros de salud como soporte.</t>
  </si>
  <si>
    <t>En el link: https://www.adres.gov.co/Transparencia/Manuales-t%C3%A9cnicos, se evidencian los Procesos y Procedimientos del Grupo Gestión de Pagos y Manejo de Portafolio actualmente hay 38 procedimientos aprobados de 47 identificados.</t>
  </si>
  <si>
    <t>En el mes de noviembre de 2018, se ajustó el mapa de riesgos- nueva matriz "ficha integral del riesgo u oportunidad" establecida por el Ministerio de Salud y Protección Social, para los 4 procesos de la DGRFS.</t>
  </si>
  <si>
    <t>"Se anexan a la carpeta compartida por la Oficina Asesora de Planeación y Control de Riesgos, los Informe de Control de Recaudo y Fuentes de Financiamiento, correspondientes a los periodos comprendidos de: 1) Septiembre 2018; 2) Octubre 2018; y 3) Noviembre 2018. Con relación al informe del mes de noviembre, se precisa que el mismos corresponde a un informe preliminar, toda vez que este informe se realiza validando contra cierre contable y financiero, el cual conforme a la normatividad de la CGR se realizó el 14 de diciembre de 2018, según requerimiento de la OAPCR. Finalmente, los informes de recaudo se publican en la página Web de la ADRES, a través del siguiente link: https://www.adres.gov.co/La-Entidad/Informaci%C3%B3n-financiera/URA/Informes-de-recaudo"</t>
  </si>
  <si>
    <t>"Se anexan a la carpeta compartida por la Oficina Asesora de Planeación y Control de Riesgos, la relación de PPI identificadas en el IV Trimestre, al 30 de noviembre de 2018. La medición del indicador presenta corte al 30 de noviembre de 2018. lo anterior, toda vez que los tiempos definidos por la OAPCR para el reporte del IV trimestre, no alcanzan a incluir el mes de diciembre de 2018 sujeto a cierre de Estados Financieros de la URA."</t>
  </si>
  <si>
    <t>Se anexan a la carpeta compartida por la Oficina Asesora de Planeación y Control de Riesgos, las cuentas de cobros radicados del trimestre, las cuales evidencian la ejecución de los recursos asignados y programados entre Octubre a Diciembre de 2018. Se anexan a la carpeta compartida por la Oficina Asesora de Planeación y Control de Riesgos, la relación de registros de recaudos identificados Vs. Total de Registros recaudos en el III Trimestre."" La medición del indicador presenta corte al 30 de noviembre de 2018. lo anterior, toda vez que los tiempos definidos por la OAPCR para el reporte del IV trimestre, no alcanzan a incluir el mes de diciembre de 2018, sujeto a cierre de Estados Financieros de la URA."</t>
  </si>
  <si>
    <t>Durante el IV Trimestre de 2018, se ejecuta el 100% de esta actividad.</t>
  </si>
  <si>
    <t>El desarrollo dentro de esta vigencia no se realizó; para lo cual  dentro del alcance de la implementación del CRM se han realizado los requerimientos para llevar acabo dicha funcionalidad dentro del desarrollo del proyecto de PQRSD</t>
  </si>
  <si>
    <t>"Conforme a la información remitida por parte de Carlos Guzmán de la OAPCR, se tiene lo siguiente: OPA´s identificadas e inscritas en SUIT: (1) Certificación de aportes en salud en los regímenes de excepción y especial: http://visor.suit.gov.co/VisorSUIT/index.jsf?FI=63286 (2) Consulta de la Base de Datos Única de Afiliados - BDUA: http://visor.suit.gov.co/VisorSUIT/index.jsf?FI=63275 (3) Estado de cuenta entidades territoriales: http://visor.suit.gov.co/VisorSUIT/index.jsf?FI=63289 Trámites identificados e inscritos en SUIT: (1) Devolución de aportes pagados directamente a la Administradora de los Recursos del Sistema General de Seguridad Social en Salud - ADRES: http://visor.suit.gov.co/VisorSUIT/index.jsf?FI=63284 (2) Reconocimiento de prestaciones económicas a afiliados a los regímenes especial y/o de excepción: http://visor.suit.gov.co/VisorSUIT/index.jsf?FI=63287 (3) Registro y modificación de cuentas bancarias para giro directo: http://visor.suit.gov.co/VisorSUIT/index.jsf?FI=63288 (4) Solicitud compra de cartera: http://visor.suit.gov.co/VisorSUIT/index.jsf?FI=63272 (5) Reconocimiento y pago de prestaciones por concepto de atenciones médico-quirúrgicas a víctimas de eventos catastróficos, terroristas y de accidentes de tránsito La Consulta de la Base de Datos Única de Afiliados - BDUA es la asociada a la BDUA y se puede acceder a través del enlace: https://www.adres.gov.co/BDUA/Consulta-Afiliados-BDUA"</t>
  </si>
  <si>
    <t>Se da cumplimiento al reporte correspondiente al Cuarto Trimestre de 2018, el viernes 14 de diciembre de 2018.</t>
  </si>
  <si>
    <t>Avance Ejecución 100% en el Segundo Trimestre de acuerdo con lo establecido en el Plan de Acción 2018. Los procedimientos fueron aprobados e incluidos en el Manual operativo de Control y Evaluación de la Gestión, el cual se encuentra publicado en la Página web de la entidad</t>
  </si>
  <si>
    <t>Avance Ejecución 100% de acuerdo con lo establecido en el Plan de Acción 2018. Actividades programadas para iniciar en el Cuarto Trimestre. Reporte de indicadores del proceso.</t>
  </si>
  <si>
    <t>"Avance Ejecución 100% en el Cuarto Trimestre correspondiente a la realización de 4 informes. En la ruta One Drive EVIDENCIAS/Trimestre IV/11800-3-1-1 se encuentran 4 carpetas con los respectivos informes y soportes de cumplimiento a 31 de diciembre de 2018. 1. Auditoria al proceso: GESTIÓN DE RECOBROS/COBROS. Procedimiento: Alistamiento de Información para Giro Previo - noviembre. 2. Auditoria al Proceso: GESTION INTEGRAL REGIMEN CONTRIBUTIVO. Procedimiento: Liquidación de UPC del Régimen Contributivo – Diciembre. 3. Arqueo Caja Menor - ADRES- 2018 – octubre. 4. Evaluación a una muestra de contratos de prestación de servicios profesionales y apoyo a la gestión, y otras modalidades – octubre. "</t>
  </si>
  <si>
    <t>"Avance Ejecución 100% en el Cuarto Trimestre correspondiente a la realización de 5 informes para dar respuesta a los Requerimientos Legales Internos. En la ruta One Drive EVIDENCIAS/Trimestre IV/11800-3-2-1 se encuentran 5 carpetas con los respectivos informes y soportes de cumplimiento. 1. Seguimiento a las medidas de austeridad en el gasto público en ADRES (Decretos 1737 y 2209 de 1998 y el 2445 de 2000) - octubre. 2. Verificación cumplimiento de contestación encuesta Participación de la Mujer en los niveles decisorios de la Administración Pública – octubre. 3. Informe cuatrimestral y pormenorizado del estado del control interno – noviembre. 4. Seguimiento al cumplimiento del Artículo 76 de la ley 1474 de 2011. Atención al Ciudadano y PQR - noviembre. 5. Verificación, Seguimiento a la Implementación de Modelo de Seguridad y Privacidad de la Información – MSPI - diciembre. "</t>
  </si>
  <si>
    <t>"Avance Ejecución 100% en el Cuarto Trimestre, correspondiente a la realización de 2 informes para dar respuesta a los Requerimientos Legales externos. En la ruta One Drive EVIDENCIAS/Trimestre IV/11800-3-3-1 se encuentran 3 carpetas con los respectivos informes y soportes de cumplimiento. 1. Verificación, Seguimiento a la Implementación de Modelo Integrado de Planeación y Gestión – MIPG - noviembre. 2. Revisión y envío de la Gestión Contractual del Trimestre a la CGR, a través del SIRECI – octubre. "</t>
  </si>
  <si>
    <t>Avance Ejecución 100% en el Tercer Trimestre a través de la presentación del INFORME DE SEGUIMIENTO PLAN DE MEJORAMIENTO CGR.</t>
  </si>
  <si>
    <t>Avance Ejecución 100% en el Cuarto Trimestre correspondiente a la emisión de 3 Boletines de autocontrol. En la ruta One Drive EVIDENCIAS/Trimestre IV/11800-3-5-1 se encuentran los 3 boletines emitidos por la OCI correspondientes a los meses de octubre, noviembre y diciembre de 2018.</t>
  </si>
  <si>
    <t>En la vigencia se realizó una (1) Licitación Pública, se cargan los soportes respectivos de la citación a la audiencia pública y el pliego de condiciones.</t>
  </si>
  <si>
    <t>Actividad ejecutada al 100% en el 1er Trimestre</t>
  </si>
  <si>
    <t>Los informes se encuentran en las evidencias del IV trimestre.</t>
  </si>
  <si>
    <t>Ejecutado al 100 % en el tercer trimestre.</t>
  </si>
  <si>
    <t>Se modifico el valor proyectado total y del 3° y 4° trimestre de la actividad 11700-2-8-1,  teniendo en cuenta la terminación por plazo de ejecución de 1 de los 3 contratistas reportados en los trimestres anteriores, y se incluye el valor para dos contratos nuevos con plazo de 4 meses.
Lo anterior se sustenta en los memorandos de radicado No. 16542 del 15/08/2018 y 17055 del 29/08/2018,</t>
  </si>
  <si>
    <t>Se elimina la actividad 11300-3-8-1 de acuerdo con el memorando de solicitud de modificación del Plan de Adquisiciones, con radicado No. 18446 del 03/10/2018.</t>
  </si>
  <si>
    <t>EL 30 de Octubre de 2018, se presentó ante la CGN el informe Correspondiente al 3ª trimestre de 2018</t>
  </si>
  <si>
    <t xml:space="preserve">"Los 35 procedimientos se encuentran descritos en los siguientes Manuales Operativos: * Gestión Integral Régimen Contributivo * Gestión Integral Régimen Subsidiado * Gestión Integral Régimen Especial o de Excepción. . Reintegro de Recursos Apropiados o reconocidos sin justa causa Estos Manuales se encuentran publicados en la siguiente ruta de a página Web de la ADRES: https://www.adres.gov.co/Transparencia/Manuales-t%C3%A9cnicos. </t>
  </si>
  <si>
    <t>De las 370  cuentas de cobro y pago de proveedores y funcionarios se cancelaron 420.
En el reporte de pagos por tercero, que constituye la evidencia de esta actividad, cada cuenta de cobro se identifica con un número de orden de giro independiente.</t>
  </si>
  <si>
    <t>Durante el último trimestre, en auditoría PQRs, la OCI determinó que la OAJ tenía algunos hallazgos que debían ser objeto de Plan de Mejoramiento, en relación con el Grupo de Representación Judicial y el de Acciones Constitucionales y de Tutela. Se anexa prueba de lo relacionado </t>
  </si>
  <si>
    <t>Desde que la funcionaria encargada de impulsar el trámite de los procesos disciplinarios de la Entidad entró a su licencia de maternidad, se dispuso la contratación de un profesional en derecho para garantizar el cumplimiento de los términos procesales. A partir del 12 de noviembre, previa modificación del  Manual de Funciones de la Entidad, se dispuso la vinculación de dicho contratista a la nómina de la ADRES, en búsqueda del fortalecimiento del proceso de gestión y prevención de asuntos disciplinarios. Al contratista, antes de su vinculación a nómina, se le hicieron dos (3) pagos por un valor de $13.117.798</t>
  </si>
  <si>
    <t xml:space="preserve">Durante el IV Trimestre de 2018 se elaboraron los siguientes documentos: 1.) Descripción de las prescripciones realizadas a través de MIPRES - corte Junio de 2018; 2.) Boletín de Suministros de MIPRES; 3.) Análisis de proveedores de medicamentos recobrados; 4.) Análisis de los recobros correspondientes al principio activo Eculizumab. 
Los recursos ejecutados corresponden a la compra del programa estadístico Stata </t>
  </si>
  <si>
    <t>Se reduce el presupuesto de la actividad 11700-2-2-5 en $1.000.000.000 de acuerdo con la Resolución 497 del 31/10/2018. En este sentido se modifica la meta del 4° trimestre de la misma actividad a cero (0),</t>
  </si>
  <si>
    <t>Director Administrativo y Financiero ( E)</t>
  </si>
  <si>
    <t>Se reduce el presupuesto de la actividad 11700-2-3-1 en $4.382.984.407 de acuerdo con la Resolución 4974 del 31/10/2018. En este sentido se modifica la meta del 4° trimestre de la misma actividad, reduciendo este mismo monto en el valor programado.</t>
  </si>
  <si>
    <t>Se reduce el presupuesto de la actividad 11700-2-3-1 en $1.560.499.998 de acuerdo con la Resolución 6635 del 31/12/2018. En este sentido se modifica la meta del 4° trimestre de la misma actividad, reduciendo este mismo monto en el valor programado.</t>
  </si>
  <si>
    <t>Al  4 de diciembre no hay  sido facturada: ESTA ACTIVIDAD (Manejo de Bienes) ES DEL TERCER TRIMESTRE Y FACTURADO EL CUARTO TRIMESTRE CON N° 9018941267</t>
  </si>
  <si>
    <t>RANA INSCRIPCIONES  10 PARTICIPARON  2
BOLOS  60 INSCRITOS  PARTICIPARON  60
BILLAR  12 INCRITOS PARTICIPARON 12
TEJO 32 INSCRITOS PARTICIPARON 28
Olimpiadas Deportivas (FACTURA 9018511948)</t>
  </si>
  <si>
    <t xml:space="preserve">Caminata realizada en Villeta el 28 de julio de 2018, granja Extrema: Factura N° 9018860441
Caminata ecológica  parque Chicaque  (FACTURA 9018892773)
Se solicitó liberación contrato 078 (bienestar) mediante oficio con radicado 0000022119 del 28 de diciembre de 2018. </t>
  </si>
  <si>
    <t>Actividad programada  del   30 de noviembre al  6 de diciembre
Vacaciones recreativas (FACTURA 9018977452)</t>
  </si>
  <si>
    <t xml:space="preserve">Actividad  realizada el  20 de octubre Hotel bosques de Athan - Girardot.
(FACTURA HBA1168)
Se solicitó liberación contrato 078 (bienestar) mediante oficio con radicado 0000022119 del 28 de diciembre de 2018. </t>
  </si>
  <si>
    <t>Actividad del tercer trimestre</t>
  </si>
  <si>
    <t xml:space="preserve">Actividad programada para el 10 de diciembre .
Coaching (FACTURA 8740003992)
Se solicitó liberación contrato 078 (bienestar) mediante oficio con radicado 0000022119 del 28 de diciembre de 2018. </t>
  </si>
  <si>
    <t xml:space="preserve">Actividad realizada el  7 de noviembre: Prepensionados (FACTURA 9018559096)
Se solicitó liberación contrato 078 (bienestar) mediante oficio con radicado 0000022119 del 28 de diciembre de 2018. </t>
  </si>
  <si>
    <t>Se evidencia informe Se evidencia informe y oficio de liberación</t>
  </si>
  <si>
    <t>Se evidencia la Resolución 6207 del 07 de diciembre de 2018 e informe/cuenta de cobro 089318</t>
  </si>
  <si>
    <t>Los incentivos pecuniarios se otorgaron mediante del contrato de la Caja de Compensación Colsubsidio, por tal motivo el valor inicialmente asignado de $50.000.000 no se usó y no se solicitó CDP.</t>
  </si>
  <si>
    <t>Se retira la actividad 11200-2-6-1 toda vez que el Ministerio de Salud y Protección Social no ha programado rendición de cuentas para el sector</t>
  </si>
  <si>
    <t xml:space="preserve">En el informe final de diciembre de 2018 indica lo proyectado versus lo pagado, adicionalmente se observa el oficio del 28 de diciembre de 2018 la solicitud de liberación por valor de $2.398.100 </t>
  </si>
  <si>
    <t>FACTURA N° factura de venta No. 30426 del 28/12/2018, de SOLREDES</t>
  </si>
  <si>
    <t>Se evidencia registro de las hojas de vida actualizadas: Total de 193. Y filtro de las hojas de vida completas: 70</t>
  </si>
  <si>
    <t>se adjunta evidencia  hasta el  5 de diciembre de 2018</t>
  </si>
  <si>
    <t>Trabajo en Equipo y Liderazgo= asistieron 81 de 163 convocados
Seguridad informática (BIG DATA)= asistieron 33 de 37 convocados
Ética y valores empresariales= asistieron 68 de 134 convocados
Control y manejo del estrés, manejo del tiempo libre= asistieron 99 de 130 convocados</t>
  </si>
  <si>
    <t>Se cumplió en el segundo trimestre del 2018</t>
  </si>
  <si>
    <t>Se evidencias dos pieza comunicacionales y dos actividades lúdicas de promoción y divulgación</t>
  </si>
  <si>
    <t>Se evidencian tres jornadas de sensibilización con listado de asistencia y registro fotográfico, se evidencian dos correos de promoción y divulgación</t>
  </si>
  <si>
    <t>SE ADJUNTA PDF CON LA EVALUACION REALIZADA POR POSITIVA, POR LEGALIZAR</t>
  </si>
  <si>
    <t>Política aprobada y emitida del 28 de noviembre de 2018</t>
  </si>
  <si>
    <t>El Documento elaborado con designación de responsable del SST es un proyecto de circular "ROLES Y RESPONSABILIDADES CON EL SISTEMA DE GESTION DE LA SEGURIDAD Y SALUD EN EL TRABAJO (SG-SST)" del 05 de diciembre de 2018.</t>
  </si>
  <si>
    <t>María del Socorro Sandoval
Coordinador Grupo Interno de Gestión del Talento Humano</t>
  </si>
  <si>
    <t>Se ajusta el valor de la actividad  11700-2-67-1 a $0 de acuerdo con la solicitud de liberación de presupuesto con memorando 16546 del 15agosto de 2018.</t>
  </si>
  <si>
    <t>Contratos 111 y 113 del 2018 ejecutados</t>
  </si>
  <si>
    <t xml:space="preserve">Se cumplió con las obligaciones específicas de los contratos, evidenciando las respectivas facturas. Se solicitó liberación contrato 111 y 113 mediante oficio con radicado 0000022119 del 28 de diciembre de 2018. </t>
  </si>
  <si>
    <t>Se realizó un traslado presupuestal, teniendo en cuenta lo citado en la Resolución 6085 de 2018.</t>
  </si>
  <si>
    <t>Se realizó un traslado presupuestal, teniendo en cuenta lo citado en las Resoluciones 6085 y 6258 de 2018.</t>
  </si>
  <si>
    <t>Se realizó un traslado presupuestal, teniendo en cuenta lo citado en la Resolución 4972 de 2018.</t>
  </si>
  <si>
    <t>Se realizó un traslado presupuestal, teniendo en cuenta lo citado en la Resolución 6208 y 6257 de 2018.</t>
  </si>
  <si>
    <t>Se realizó un traslado presupuestal, teniendo en cuenta lo citado en las Resoluciones 4864, 4972, 6085, 6257, 6258 y 6263 de 2018.</t>
  </si>
  <si>
    <t>Se realizó un traslado presupuestal, teniendo en cuenta lo citado en las Resoluciones 4357, 6085 y 6258 de 2018.</t>
  </si>
  <si>
    <t>Se realizó un traslado presupuestal, teniendo en cuenta lo citado en las Resoluciones 4972 y 6085 de 2018.</t>
  </si>
  <si>
    <t>Se realizó un traslado presupuestal, teniendo en cuenta lo citado en la Resolución 4357 de 2018.</t>
  </si>
  <si>
    <t>Se realizó un traslado presupuestal, teniendo en cuenta lo citado en las Resoluciones 4972, 4864, 5965, 6085 y 6258.</t>
  </si>
  <si>
    <t>Se realizó un traslado presupuestal, teniendo en cuenta lo citado en la Resolución 6208 de 2018.</t>
  </si>
  <si>
    <t>Se realizó un traslado presupuestal, teniendo en cuenta lo citado en las Resoluciones 4972, 5203, 6085 y 6258.</t>
  </si>
  <si>
    <t>Se realizó un traslado presupuestal, teniendo en cuenta lo citado en las Resoluciones 5965, 6085 y 6544 de 2018.</t>
  </si>
  <si>
    <t>Se realizó un traslado presupuestal, teniendo en cuenta lo citado en las Resoluciones 4357, 5965 y 6085 de 2018.</t>
  </si>
  <si>
    <t>Se realizó una adición al presupuesto, teniendo en cuenta lo citado en la Resolución 4972 de 2018.</t>
  </si>
  <si>
    <t>Se realizó un traslado presupuestal, teniendo en cuenta lo citado en las Resoluciones 6085 y 6263 de 2018.</t>
  </si>
  <si>
    <t>En el mes de octubre se finalizó con el Centro de Contacto, la Orden de Compra Nr.18978. Para el período Noviembre 2018 a octubre 2019 se realizó un nuevo contrato a través de Colombia compra eficiente, mediante acuerdo marco de precios. Lo anterior mediante vigencias futuras se aprobó y realizó nueva orden de compra No.  0110 de 2018 TVEC 3238 con la Empresa Conalcenter-Conalcrédito BPO que presentó la mejor oferta. Para este nuevo contrato, el total de agentes dispuestos para la atención de la línea es de 8 agentes, dos agentes para el canal presencial y un agente para atención del PBX. En el Plan Anual de Adquisiciones, se estableció para la vigencia 2018 (pago centro de contacto 2018 noviembre y diciembre un valor de $95.547.737 Código UNSPSC 32151705).</t>
  </si>
  <si>
    <t xml:space="preserve">Se ajustaron los valores de las actividades de la 11300-3-1-1 a la , 11300-3-1-21, a excepción de las actividades 11300-3-1-16 y 11300-3-1-20;   de acuerdo con las Resoluciones: 6085, 6258, 4972, 6208, 6257, 4864, 4972, 6263, 4357, 5965, 5203, 6544 de 2018. </t>
  </si>
  <si>
    <t>Grupo de Gestión Presupuestal</t>
  </si>
  <si>
    <t>Directora General</t>
  </si>
  <si>
    <t xml:space="preserve">Los indicadores definidos para cada uno de los procesos de la DGTIC son: 
* Gestión soporte a las tecnologías: (i) Efectividad de la Mesa de servicio Reporte MENSUAL (ii)  Cumplimiento de ANS Reporte MENSUAL 
* Gestión de Proyectos de Información: (i) Porcentaje de proyectos Vs iniciativas propuestas Reporte Semestral.  (ii) Porcentaje de proyectos exitosos por vigencia Reporte TRIMESTRAL.
* Administración Base de Datos Única de afiliados : (i) Efectividad en el procesamiento de la información de las entidades reporte Mensual (ii) Efectividad en la respuesta a comunicaciones de afiliación reporte Mensual 
Se relaciona Evidencia en la ubicación del One Drive Evidencias\IV trimestre\ 11600-2-2-1 los siguientes archivos:
Gestión de Proyectos de Información 
1. Indicadores GPI_ PP_VS_IP.xlsx
2. Indicadores GPI_ PPE.xlsx
Administración Base de Datos Única de afiliados 
1. Indicadores ABDUA_EPIE.xlsx
2. Indicadores ABDUA_ERCA.xlsx
Se aclara que una vez aprobados los indicadores, la medición se inicio desde el mes de noviembre, por tal razón en el mes de octubre no se tiene información. Por otra parte,  en el momento del presente seguimiento el Coordinador de Gestión soporte a las tecnologías no había entregado la información respectiva de los indicadores a cargo.
</t>
  </si>
  <si>
    <t>Se define línea base del PETI 2019-2022. Se relaciona Evidencia en la ubicación del One Drive: Evidencias\IV trimestre\11600-3-1-1-1</t>
  </si>
  <si>
    <t>Con Memorando No. 1352500 del 12 de julio de 2018, el Director de Gestión de Tecnología de la Información y Comunicaciones, remitió el insumo técnico solicitando el inicio de un proceso de contratación por la modalidad de Contratación Directa para la adopción del direccionamiento IPV6 según Modelo de Seguridad y Privacidad de la Información, anexando a este documento CDP 143 por valor de ($131.257.000) del 10 de julio de 2018.
Después de la revisión y análisis realizado por el Grupo Interno de Gestión de Contratación, se concluye que el proceso de contratación debe adelantarse por la modalidad de Concurso de Méritos Abierto con una duración aproximada de dos (2) meses y quince (15) días, según lo estipulado en el Manual de Contratación, que sumado al tiempo estimado de ejecución del contrato de cuatro (4) meses, hacen inviable adelantar el respectivo proceso de contratación en la vigencia actual; por lo anterior, se solicitó la eliminación de la línea: Apoyo técnico para la adopción del Direccionamiento IPV6 según Modelo de Seguridad y Privacidad de la Información. Ver evidencia Evidencias\IV trimestre\11600-3-1-1-5\ RAD 18601.pdf
Se confirma que esta línea se ha incluido dentro del plan de adquisiciones vigencia 2019. Ver evidencia Evidencias\IV trimestre\11600-3-1-1-5\ PAA DIC 08 DIC 2018.xlsx</t>
  </si>
  <si>
    <t>En el https://www.adres.gov.co/Transparencia En la sección 2. Información de interés - publicación de datos abiertos, en el enlace Registro de activos de información, se encuentra publicados los activos de información de la Entidad conforme a la revisión realizada con corte a diciembre.
Se adjunta evidencia de la solicitud realizada a la mesa de servicios de la DGTIC. Ver: Evidencias\IV trimestre\11600-3-1-1-7\Publicación contenido</t>
  </si>
  <si>
    <t>Conforme a las obligaciones contractuales definidas dentro del contrato 109 de 2018, el ingeniero que ejecutó dicho contrato debía Asesorar a la Dirección de Gestión de Tecnologías de Información y Comunicaciones en la estructuración final del documento de políticas específicas de Seguridad y Privacidad de la información conforme a lo definido dentro del Modelo de Seguridad y Privacidad de la Información – MSPI y la Resolución 498 de 2018 a través de la cual la ADRES adoptó la Política General de Seguridad y Privacidad de la Información.  
Para lo cual, la DGTIC remitió información consolidada del trabajo realizado hasta la fecha para que fuera insumo para la construcción del manual. (ver: MSPI- Metodología de clasificación de activos.msg y FORMATOS - Política de Seguridad y Privacidad de la información.msg).
Como resultado se tiene la primera versión del manual de políticas específicas (ver: [PROYECTO] - Manual políticas específicas Cto 109-2018.pdf).
Se adjunta evidencia de la solicitud realizada a la mesa de servicios de la DGTIC. Ver: Evidencias\IV trimestre\11600-3-1-1-8\</t>
  </si>
  <si>
    <t>Teniendo en cuenta que la interior de la DGTIC se habían definido 26 procedimientos de los 3 procesos que la componente, se realiza la verificación de los procedimientos relacionados con la Administración de la Base de Datos Única de Afiliados – BDUA y dentro de estos no se requiere hacer ningún cambio puntal frente al modelo de Seguridad y Privacidad de la Información – MSPI. (ver https://www.adres.gov.co/Portals/0/manuales/BDUA-C01_Administracion_base_de_datos_unica_de_afiliados_V01.pdf).
Ahora bien, dentro de los procedimientos de Soporte a las tecnologías se realizan modificación al procedimiento gestión de incidentes de seguridad y gestión de activos de información. Dichas modificaciones se encuentran en versión preliminar, ya que al finalizar el periodo de este seguimiento se deben hacer algunos ajustes de acuerdo con las validaciones realizadas por la Oficina de Control Interno – OCI. Se adjunta borrador de la segunda versión de los procedimientos del manual operativo del Proceso Gestión de soporte a las tecnologías. (Ver Evidencias\IV trimestre\11600-3-1-1-9\ GSTE-C01_Gestión_soporte_a_las_tecnologías_V01). 
Frente a los procedimientos del proceso de Gestión de Proyectos de tecnología de Información, se realizan las respectivas validaciones y dentro de esta vigencia no se realizarán ajustes frente al enfoque que actualmente se tiene definido.
Por consiguiente, en el momento se ha realizado la revisión de la totalidad de los procedimientos, dando así un cumplimiento del 100%</t>
  </si>
  <si>
    <t>Desde el mes de junio en trabajo conjunto con la OAPCR se definió generar espacios de trabajo para la incorporación de un modelo integral en gestión de riesgos conforme a lo definido por la DAFP, para esto se realizó cronograma de trabajo (propuesta) y junto con la funcionaria Marian Batista se empezaron a hacer ajustes a las plantillas de los instrumentos para la adopción del modelo integrado de riesgos. (Ver Propuesta plan de Trabajo para la Gestión de Riesgos.msg)
En el mes de agosto Mariam Batista comparte la nueva metodología (oficialmente aprobada) a la OCI (Ver Nuevas versiones agosto 2018 Guía de Riesgos y MIPG de la DAFP.msg).
La consolidación de las nuevas herramientas se llevó a cabo como se puede ver en (para que trabajemos hoy.msg y Avance herramienta) En donde ya se tenía un adelanto significativo del nuevo instrumento y se iniciaría con la definición de la política y documentación relacionada. 
Sin embargo, sobre el 18 de noviembre por instrucción de la OAPCR toda ADRES debía actualizar los riesgos de corrupción adoptando el instrumento expuesto por parte del MSPS, para esto, la OAPCR dio las indicaciones de cómo se debía diligenciar la información. (Ver: Material reunión BDUA, Material reunión riesgos Proyectos de información y Solicitud de información de carácter urgente)
Teniendo en cuenta este contexto la actualización de la política de riesgos y las herramientas de administración de estos no fueron actualizadas hasta el momento. Cabe indicar que conforme a lo definido en el proyecto de plan anticorrupción del año 2019 se han definido las actividades en donde se tendrán la política, herramientas y mapa de riesgos actualizados.  (Ver: Preliminar Plan Anticorrupción y de Atención al Ciudadano Vigencia 2019) 
Las diferentes evidencias se encuentran en la ruta Evidencias\IV trimestre\11600-3-1-1-10.</t>
  </si>
  <si>
    <t>Ver seguimiento realizado para la actividad 11600-3-1-1-10.</t>
  </si>
  <si>
    <r>
      <t xml:space="preserve">Dentro de la carpeta Evidencias\IV trimestre\11600-3-2-1 se encuentra la evidencia de los pagos realizados frente a esta actividad. Tener en cuenta las siguientes consideraciones:
Tomando como insumo el plan de adquisiciones de la vigencia presente para esta actividad se tiene la relación de los siguientes Rubros: 
1. Contratar la prestación del Servicio de Centro de Datos / Nube Privada (Adición).
Se realiza el proceso de selección del nuevo proveedor del servicio del centro de Datos principal para la ADRES, bajo la modalidad de acuerdo marco. De donde: El proceso fue adjudicado a COLOMBIANA DE SOFTWARE Y HARDWARE COLSOF S.A, para lo cual se realizó la orden de compra 28969, por un valor de $ 861.588.100,00. La orden de compra puede ser consultada en el enlace https://www.colombiacompra.gov.co/tienda-virtual-del-estado-colombiano/ordenes-compra/28969. 
Ahora bien, se describen las ejecuciones relacionadas dentro de la presente actividad del plan de acción:
Se tiene la relación con el proveedor Century Link (Level 3), la cual inicia Actividades el día 15 de mayo de 2017 bajo el contrato 0059 de 2017. Las evidencias se encuentran en Evidencias\ IV trimestre\11600-3-2-1\Nube Privada, de donde: 
• Agosto (Pago 082018 nube privada Century.pdf y Pago final Agosto Nube privada Century.pdf) Actualmente se encuentra Radicado y pago.
Por su parte, como se describió en el inicio de la presente observación, el nuevo proveedor del centro de Datos es Colsof el cual inició labores desde el 16 de agosto de 2018; Sin embargo, al cierre de este mes no se han sido radicadas facturas relacionadas a este contrato, se relaciona copia de correo electrónico en donde se solicita confirmación de ANS (RE INFORMES NUBE PRIVADA ADRES.msg).
</t>
    </r>
    <r>
      <rPr>
        <b/>
        <sz val="10"/>
        <color theme="1"/>
        <rFont val="Verdana"/>
        <family val="2"/>
      </rPr>
      <t xml:space="preserve">
28122018</t>
    </r>
    <r>
      <rPr>
        <sz val="10"/>
        <color theme="1"/>
        <rFont val="Verdana"/>
        <family val="2"/>
      </rPr>
      <t xml:space="preserve">: Dentro del seguimiento extraordinario se tienen las siguientes novedades frente a Colsof:
• Agosto (Pago Agosto colsof.pdf) Actualmente se encuentra Radicado y pago.
• Septiembre (Pago septiembre Colsof.pdf) Actualmente se encuentra Radicado y pago.
• Octubre (Pago octubreColsof.pdf) Actualmente se encuentra Radicado y pago.
• Noviembre  (1. CTO_0004 - Informe de Avance Supervisor Noviembre.docx y Factura Colsof Noviembre) Actualmente se encuentra Radicado y pago.
2. Adquirir servicios de conectividad para la Entidad Administradora de los Recursos del Sistema General de Seguridad Social en Salud (Adición).
Se tiene la relación con el proveedor Century Link (Level 3), la cual inicia Actividades el día 11 de abril de 2017 bajo el contrato 0048 de 2017. Las evidencias se encuentran en Evidencias\IV trimestre\11600-3-2-1\Conectividad, de donde: 
• Septiembre (Pago 201809 Conectividad.pdf) Actualmente se encuentra Paga.
• Octubre (Pago 201810 Conectividad.pdf) Actualmente se encuentra en disputa una nota crédito conforme se puede ver en el correo electrónico RE  DETALLE FACTURACION OCTUBRE 2018 CLIENTE ADMINISTRADORA DE LOS RECURSOS DEL SISTEMA GENERAL DE SEGURIDAD SOCIAL EN SALUD.msg.
• Noviembre Sin radicar.
</t>
    </r>
    <r>
      <rPr>
        <b/>
        <sz val="10"/>
        <color theme="1"/>
        <rFont val="Verdana"/>
        <family val="2"/>
      </rPr>
      <t>28122018</t>
    </r>
    <r>
      <rPr>
        <sz val="10"/>
        <color theme="1"/>
        <rFont val="Verdana"/>
        <family val="2"/>
      </rPr>
      <t xml:space="preserve">: Dentro del seguimiento extraordinario se tienen las siguientes novedades frente a Century Link:
* Octubre (Pago 201810 Conectividad.pdf) Actualmente se encuentra Paga.
* Noviembre (Pago 201811 Conectividad.pdf) Actualmente se encuentra Paga.
3. Adquirir un Robot de cintas para copias de respaldo de información
Conforme al oficio S11610200918015439I000001797200 enviado el 20 de septiembre, se solicitó la liberación de los recursos relacionados a la presente actividad, las evidencias se encuentran en Evidencias\IV trimestre\11600-3-2-1\Robot
4. Para las actividades Adquisición de switches, se realizó proceso de contratación, bajo el siguiente objeto “Adquirir e instalar conmutadores (switch) de canales para fibra y elementos necesarios para su correcta puesta en funcionamiento, de acuerdo con las especificaciones técnicas definidas por la ADRES”. El proceso se encuentra adjudicado al proveedor UNIÓN TEMPORAL “REDCÓMPUTO LTDA –MICROHARD S.A.S-2018. Tal como se puede ver en la imagen soporteContratoSW.png. Hasta el momento para dicho proceso no se ha realizado ningún pago.
28122018: Dentro del seguimiento extraordinario  no se tienen las siguientes novedades
6. Adquisición de servidores, al cierre del presente seguimiento el proceso había sido adjudicado a COLOMBIANA DE SOFTWARE Y HARDWARE COLSOF Sa, como se puede ver en la evidencia soporteServidores.png y soporteServidoresII.png. Dicha evidencia se encuentra en la ruta de ONE DRIVE Evidencias\IV trimestre\11600-3-2-1\Servidores. Hasta el momento para dicho proceso no se ha realizado ningún pago.
28122018: Dentro del seguimiento extraordinario  no se tienen las siguientes novedades
</t>
    </r>
  </si>
  <si>
    <t>El pasado 20 de septiembre de 2018 mediante oficio con radicado S11610200918031316I000001797400, se solicita la modificación al Plan de Adquisiciones de la ADMINISTRADORA DE LOS RECURSOS DEL SISTEMA GENERAL DE SEGURIDAD SOCIAL EN SALUD – ADRES, relacionadas con la eliminación de la línea presupuestal relacionada a Nuevos desarrollos y mantenimiento de aplicaciones, la cual tenía un presupuesto total de $816.000.000,00.
Dentro de la carpeta Evidencias\IV trimestre\ 11600-3-6-1 se encuentra la evidencia del oficio radicado.</t>
  </si>
  <si>
    <t xml:space="preserve">Dentro de la carpeta Evidencias\III trimestre\11600-3-7-1 se encuentra la evidencia de los pagos realizados frente a esta actividad. Tener en cuenta las siguientes consideraciones:
Se tiene la relación de un contratista: John Edwin Rodríguez Sánchez. Inicia Actividades el día 11 de enero de 2018 bajo el contrato 0012 de 2018.
Las evidencias se encuentran en Evidencias\III trimestre\11600-3-7-1\ John Edwin Rodríguez Sánchez, de donde: 
• El mes de septiembre (Informe 201809 John Edwin Rodriguez.pdf), Radicado en el seguimiento anterior, pero al corte de dicha revisión no se había cancelado, Actualmente se encuentra cancelada.
• El mes de octubre (Informe 201810 John Edwin Rodriguez.pdf), Se encuentra actualmente pago.
• El mes de noviembre (Informe 201811 John Edwin Rodriguez.pdf), Se encuentra actualmente pago.
</t>
  </si>
  <si>
    <t xml:space="preserve">Dentro de la carpeta Evidencias\IV trimestre\11600-3-8-1 se encuentra la evidencia de los pagos realizados frente a esta actividad. Tener en cuenta las siguientes consideraciones:
(i) Se tiene la relación de tres contratistas: (a) William Andrés Páez. (b) Sergio Luis Antonio García (c) Andrés Bruce, para lo cual se ha puesto una carpeta con el nombre de cada uno de ellos.
1. William Andrés Páez. Inicia Actividades el día 11 de enero de 2018 bajo el contrato 0015 de 2018. Las evidencias se encuentran en Evidencias\III trimestre\11600-3-8-1\William Andrés Páez, de donde: 
• El mes de septiembre (INFORME 092018 - WILLIAM ANDRES PAEZ.pdf). Radicado en el seguimiento anterior, pero al corte de dicha revisión no se había cancelado, Actualmente se encuentra cancelada.
• El mes de octubre (INFORME 102018 - WILLIAM ANDRES PAEZ.pdf), Se encuentra actualmente pago.
• El mes de noviembre (INFORME 112018 - WILLIAM ANDRES PAEZ.pdf), Se encuentra actualmente pago.
2. Sergio Luis Antonio García. Inicia Actividades el día 11 de enero de 2018 bajo el contrato 0016 de 2018. Las evidencias se encuentran en Evidencias\IV trimestre\11600-3-8-1\ Sergio Luis Antonio García, de donde: 
•El mes de septiembre (INFORME 201809 SERGIO LUIS ANTONIO GARCIA.pdf). 
• El mes de octubre (INFORME 201810 SERGIO LUIS ANTONIO GARCIA.pdf), Se encuentra actualmente pago.
• El mes de noviembre (INFORME 201810 SERGIO LUIS ANTONIO GARCIA.pdf), Se encuentra actualmente pago.
3. Andrés Bruce. Inicia Actividades el día 11 de enero de 2018 bajo el contrato 0017 de 2018.Las evidencias se encuentran en Evidencias\III trimestre\11600-3-8-1\Andrés Guillermo Bruce, de donde: 
• El mes de septiembre (INFORME 201809 ANDRES BRUCE.pdf), Radicado en el seguimiento anterior, pero al corte de dicha revisión no se había cancelado, Actualmente se encuentra cancelada.
• El mes de octubre (INFORME 201810 ANDRES BRUCE.pdf), Se encuentra actualmente pago.
• El mes de noviembre (INFORME 201811 ANDRES BRUCE.pdf), Se encuentra actualmente pago.
ACLARACIÓN SOBRE LA EJECUCIÓN DE LA ACTIVIDAD.
Esta actividad para este trimestre tenía presupuestado ejecutar $ 36.720.000 y se ha ejecutado (pagado) $36.720.000.  Es importante aclarar que, aunque el 100% del valor proyectado se ha ejecutado, se tienen $12,240.000 que corresponden a la radicación del mes de septiembre y que se relacionan en el presente seguimiento, ya que en el anterior corte no habían sido pagados por parte de la Entidad. 
</t>
  </si>
  <si>
    <t>Dentro de la carpeta Evidencias\IV trimestre\11600-3-9-1 se encuentra la evidencia de los pagos realizados frente a esta actividad. Tener en cuenta las siguientes consideraciones:
Se tiene la relación de tres contratistas: (a) Manuel Alejandro Peña Vargas. (b) Jorge Augusto Suarez Isaza (c) Yuly Margoth Otalora Bernal, para lo cual se ha puesto una carpeta con el nombre de cada uno de ellos.
1. Manuel Alejandro Peña Vargas. Inicia Actividades el día 11 de enero de 2018 bajo el contrato 0024 de 2018. Las evidencias se encuentran en Evidencias\IV trimestre\11600-3-9-1\ Manuel Alejandro Peña Vargas, de donde:
• El mes de septiembre (Informe parcial 9-Contrato 0024_2018.pdf), Radicado en el seguimiento anterior, pero al corte de dicha revisión no se había cancelado, Actualmente se encuentra cancelada.
• El mes de octubre (Informe parcial 10-Contrato 0024_2018.pdf), Se encuentra actualmente pago.
• El mes de agosto (Informe parcial 11-Contrato 0024_2018.pdf), Se encuentra actualmente pago.
2. Jorge Augusto Suarez Isaza. Inicia Actividades el día 11 de enero de 2018 bajo el contrato 0019 de 2018. Las evidencias se encuentran en Evidencias\IV trimestre\11600-3-9-1\ Jorge Augusto Suarez Isaza, de donde:
• El mes de septiembre Informe 092018 JORGE SUAREZ.pdf), Radicado en el seguimiento anterior, pero al corte de dicha revisión no se había cancelado, Actualmente se encuentra cancelada.
• El mes de octubre (Informe 102018 JORGE SUAREZ.pdf), Se encuentra actualmente pago.
• El mes de noviembre (Informe 112018 JORGE SUAREZ.pdf), Se encuentra actualmente pago.
3. Yuly Margoth Otalora Bernal. Inicia Actividades el día 01 de febrero de 2018 bajo el contrato 0068 de 2018. Las evidencias se encuentran en Evidencias\IV trimestre\11600-3-9-1\Yuly Margoth Otalora Bernal, de donde: 
• El mes de septiembre (Informe 201809 Yuly Margoth Otalora Bernal.pdf), Radicado en el seguimiento anterior, pero al corte de dicha revisión no se había cancelado, Actualmente se encuentra cancelada.
• El mes de octubre (Informe 201810 Yuly Margoth Otalora Bernal.pdf), Se encuentra actualmente pago.
• El mes de noviembre (Informe 201811 Yuly Margoth Otalora Bernal.pdf), Se encuentra actualmente pago.
ACLARACIÓN SOBRE LA EJECUCIÓN DE LA ACTIVIDAD: Teniendo en cuenta que dentro de esta actividad para este trimestre se tenía presupuestado ejecutar $ $ 67.365.592 y hasta el momento se ha ejecutado (pagado) $ 37.711.221. Por consiguiente, se tiene un 55.97% de la ejecución del presupuesto asignado para esta actividad en este trimestre.</t>
  </si>
  <si>
    <t xml:space="preserve">Dentro de la carpeta Evidencias\IV trimestre\11600-3-10-1 se encuentra la evidencia de los pagos realizados frente a esta actividad al contratista PCCOM. Tener en cuenta las siguientes consideraciones:
• El mes de septiembre (Pago 092018 PCcom.pdf), Se encuentra actualmente pago.
• El mes de octubre (Pago 102018 PCcom.pdf), Se encuentra actualmente pago.
• Para el mes de noviembre en el momento de generar el presente informe no había sido radicada la factura
20181228: Seguimiento extraordinario: Se realiza pago para el mes de diciembre:  Ver evidencias: Pago 112018 PCcom.pdf
</t>
  </si>
  <si>
    <r>
      <t xml:space="preserve">El proceso fue adjudicado a UT REDCOMPUTO LTDA - ORIGIN IT SAS-2018 y se definió para tal fin el contrato 122 de 2018. Se relaciona evidencia del proceso de adjudicación del proceso dentro del SECOP.
Ver:  Evidencias\IV trimestre\11600-3-11-1\
CLAUSULADO DEL CONTRATO 122 de 2018.pdf
 OTROSI 1 CONTRATO 122 de 2018.pdf
soporteSan.png
En el momento del presente seguimiento no se había efectuado algún pago al proveedor por los servicios prestados o productos objetos del contrato.
</t>
    </r>
    <r>
      <rPr>
        <b/>
        <sz val="10"/>
        <rFont val="Verdana"/>
        <family val="2"/>
      </rPr>
      <t>28122018</t>
    </r>
    <r>
      <rPr>
        <sz val="10"/>
        <rFont val="Verdana"/>
        <family val="2"/>
      </rPr>
      <t>: Dentro del seguimiento extraordinario  no se tienen las siguientes novedades</t>
    </r>
  </si>
  <si>
    <t>N.A.</t>
  </si>
  <si>
    <t>Mediante resolución 6076 del 30 de noviembre del 2018 se depuraron 552 terceros que corresponden a 1.238 reclamaciones por el valor de  $2,121,043,631,oo. Es de anotar que la diferencia entre el valor del contrato solicitado y lo pagado, obedece que la Contratista GINA MARCELA ACOSTA, terminó su contrato el 08 de noviembre de 2018.  Por otra parte, el señor JAIRO WILLIAM GUERRERO MALAGÓN, quien asumió las funciones que la misma venía desarrollando, lo hizo a partir del 29 de noviembre de 2018.</t>
  </si>
  <si>
    <t>En el cuarto trimestre, se expidieron 1.514 actos administrativos  mediante los cuales se ordenó el cobro de las reclamaciones reconocidas y pagadas por el entonces FOSYGA hoy la ADRES, en relación con accidente de tránsito cuyo vehículo involucrado en el mismo, carecía del seguro obligatorio SOAT. Es de anotar que la diferencia entre el valor del contrato solicitado y lo pagado, obedece que la Contratista SANDRA PATRICIA HOYOS, inicio su contrato el 10 de septiembre de 2018.  </t>
  </si>
  <si>
    <t>TODAS LAS DEMANDAS FUERON TRAMITADAS, SIN EMBARGO EXISTE UN GRAN NUMERO EN TERMINOS DE CONTESTACION</t>
  </si>
  <si>
    <t>EL INDICADOR DE MEDICIÒN DEBE CAMBIARSE, YA QUE LAS FICHAS SE PRESENTAN CONFORME SE RECIBAN LAS CITACIONES PARA AUDIENCIA, LA MAYORÌA SE ENCUENTRAN A LA ESPERA DE PRUEBAS Y FIJACION DE AUDIENCIA POR PARTE DE LA PROCURADURÌA</t>
  </si>
  <si>
    <t>EL INDICADOR DE MEDICIÒN DEBE CAMBIARSE, YA QUE LAS FICHAS SE PRESENTAN CONFORME SE DISPONGAN AUDIENCIAS DE CONCILIACIÓN EN LOS EVENTOS EN QUE DEL APOYO TÉCNICO SE DETERMINE LA VIABILIDAD DE CONCILIACIÓN</t>
  </si>
  <si>
    <t>SE EVIDENCIA QUE NO HUBO PAGOS O EJECUCIÒN EN EL 4 TRIMESTRE, TODA VEZ QUE EL EXPEDIENTE JUDICIAL NO REPORTÓ MOVIMIENTO Y SE ESTÁ A LA ESPERA DEL IMPULSO PROCESAL A NIVEL JUDICIAL</t>
  </si>
  <si>
    <t>PROVISION PACTADA SE CUMPLIÓ EN TERMINOS DE AMPLIACIÓN DERIVADOS DE LA ADOPCIÓN DE METODOLOGÍA EKOGUI</t>
  </si>
  <si>
    <t>11300-2-7</t>
  </si>
  <si>
    <t>11300-2-7-1</t>
  </si>
  <si>
    <t xml:space="preserve">El valor restante se liberó </t>
  </si>
  <si>
    <t>Laddy Giraldo</t>
  </si>
  <si>
    <r>
      <t>Al  4 de diciembre no hay  sido facturada: ESTA ACTIVIDAD SE HIZO EN DEL 13 AL 22 AGOSTO  Y DEL 8 AL 9 OCTUBRE 2018 (19 asistentes de 27 convocados) Y FACTURADOS EN EL CUARTO TRIMESTRE 2018 CON N° 9018941267</t>
    </r>
    <r>
      <rPr>
        <b/>
        <sz val="11"/>
        <color theme="1"/>
        <rFont val="Calibri"/>
        <family val="2"/>
        <scheme val="minor"/>
      </rPr>
      <t/>
    </r>
  </si>
  <si>
    <t xml:space="preserve">COM EFECTIVA ESA SE HIZO EN SEPTIEMBRE, LA FACTURA Y SOPORTES DE ASISTENCIAS ESTÁN EN LA CARPETA DE EVIDENCIAS 2-10-1-3.
SE CARGA EVIDENCIA DE CONVOCADOS    </t>
  </si>
  <si>
    <t xml:space="preserve">Control y manejo del estrés, manejo del tiempo libre= asistieron 99 de 130 convocados.
Las evidencias ya fueron cargadas en la carpeta 11700-2-49-1 </t>
  </si>
  <si>
    <t xml:space="preserve">Trabajo en Equipo y Liderazgo= asistieron 81 de 163 convocados
Las evidencias ya fueron cargadas en la carpeta 11700-2-49-1 </t>
  </si>
  <si>
    <r>
      <t xml:space="preserve">ADAPTACION AL CAMBIO: ESA SE HIZO EN AGOSTO, LA FACTURA Y SOPORTES DE ASISTENCIAS ESTÁN EN LA CARPETA DE EVIDENCIAS 2-10-1-3.
SE CARGA EVIDENCIA DE CONVOCADOS   </t>
    </r>
    <r>
      <rPr>
        <b/>
        <sz val="10"/>
        <rFont val="Verdana"/>
        <family val="2"/>
      </rPr>
      <t xml:space="preserve"> </t>
    </r>
  </si>
  <si>
    <r>
      <t xml:space="preserve">Se evidencian en la carpeta 11700-2-52 dos pieza comunicacionales y </t>
    </r>
    <r>
      <rPr>
        <b/>
        <sz val="10"/>
        <color theme="1"/>
        <rFont val="Verdana"/>
        <family val="2"/>
      </rPr>
      <t>dos actividades lúdicas de promoción y divulgación</t>
    </r>
  </si>
  <si>
    <t xml:space="preserve">Se reduce el presupuesto de la actividad 11700-2-2-6  de acuerdo con las Resoluciones4974 y 6635 de 2018. </t>
  </si>
  <si>
    <t>Se reduce el presupuesto de la actividad 11700-2-8-1 en $5.323.930 por el valor de un contrato nuevo con plazo de 2 meses.</t>
  </si>
  <si>
    <t>Leidy Beltrán</t>
  </si>
  <si>
    <t>Norela Briceño
Gestor de Operaciones OAPCR</t>
  </si>
  <si>
    <t>Se efectuó el proceso de la Liquidación Mensual de Afiliados mensualmente dentro de los tiempos establecidos en la normatividad vigente y los recursos disponibles para la aplicación del giro, la información resultado del proceso se encuentra publicada en el link: http://www.adres.gov.co/Régimen-Subsidiado/Liquidación-mensual-afiliados-LMA/Resumen-LMA, por mes: Resumen liquidación mensual mes de Octubre de 2018 Resumen liquidación mensual mes de Noviembre de 2018 Resumen liquidación mensual mes de Diciembre de 2018.</t>
  </si>
  <si>
    <t>La publicación de la desagregación del giro directo de régimen contributivo se realiza en la Nota de prensa mensual.</t>
  </si>
  <si>
    <t>Se efectuó el giro directo a IPS y/o proveedores mensualmente dentro de los tiempos establecidos en la normatividad vigente y los recursos disponibles para la aplicación del giro, la información resultado de los procesos de octubre a diciembre de 2018 se encuentra publicada en el link: http://www.adres.gov.co La lupa al giro/Giros/Régimen Subsidiado.</t>
  </si>
  <si>
    <t>Se elaboraron 86 Solicitudes aclaración para las auditorías ARCON003, ARS010</t>
  </si>
  <si>
    <t>En el trimestre se remitieron a la SNS, 217 comunicaciones, con las conclusiones del procedimiento de la auditoría de reintegro de recursos, asociados a las auditorías ARCON001, ARCON002, ARS008, ARS009 y ARCON_BDEX002.</t>
  </si>
  <si>
    <t>Se generaron 10 comunicaciones de solicitud de  reintegro, de acuerdo con los resultados generados en el proceso LMA.</t>
  </si>
  <si>
    <t>De acuerdo a las acciones propuestas en cada uno de los riesgos identificados se adelantaron reuniones con los coordinadores de cada uno de los grupos de la Subdirección de Liquidaciones del Aseguramiento para su monitoreo y revisión de posible materialización de los mismos.</t>
  </si>
  <si>
    <t>Actividad cumplida en julio de 2018</t>
  </si>
  <si>
    <r>
      <rPr>
        <b/>
        <sz val="9"/>
        <color theme="1"/>
        <rFont val="Verdana"/>
        <family val="2"/>
      </rPr>
      <t xml:space="preserve">Notas: </t>
    </r>
    <r>
      <rPr>
        <sz val="9"/>
        <color theme="1"/>
        <rFont val="Verdana"/>
        <family val="2"/>
      </rPr>
      <t>Disponibilidad final</t>
    </r>
  </si>
  <si>
    <t>IV</t>
  </si>
  <si>
    <t>11500-3-9</t>
  </si>
  <si>
    <t>11500-3-9-1</t>
  </si>
  <si>
    <t>Apoyar la supervisión de los contratos suscritos para adelantar la auditoria de recobros y reclamaciones</t>
  </si>
  <si>
    <t>Informes de actividades según objeto del contrato</t>
  </si>
  <si>
    <t xml:space="preserve"># Informes de actividades presentados en el periodo/ (# contratistas x # informes requeridos en el periodo por contratista) </t>
  </si>
  <si>
    <t>Se incluyó la actividad 11500-3-9-1 debido a la suscripción de los contratos 117-2018 y 127-2018.</t>
  </si>
  <si>
    <t>Laura Beltrán 
Directora de Otras Prestaciones</t>
  </si>
  <si>
    <t>Norela Briceño
Rodrigo Molina</t>
  </si>
  <si>
    <t>Rodrigo Molina</t>
  </si>
  <si>
    <t>Se incluyó la actividad 11300-2-7-1 de acuerdo con el contrato 0092 de 2018.  Esto así mismo se refleja en la actividad 11700-2-2-6.</t>
  </si>
  <si>
    <t>Se modifica la actividad 11600-3-2-1 en el valor asignado dado que según memorando 17972 del 20 de Septiembre de 2018,  se solicitó la liberación de $90.000.000, los cuales a su vez se incluyen a la actividad 11600-3-3-1 para la adición del contrato 077 de 2018, con el fin de adquisición de licencias, configuración y parametrización del flujo de tutelas en la plataforma de CRM Dynamics. 
Así mismo, se modifican los valores programados de las mismas actividades para el tercer y cuarto trimestre.</t>
  </si>
  <si>
    <t>El cumplimiento del Plan de Acción se reporta a través de este documento.</t>
  </si>
  <si>
    <t>El administrador de las redes sociales estuvo laborando hasta el 15 de diciembre y por ende, la actividad en Twitter en esos último 15 días disminuyó </t>
  </si>
  <si>
    <t>La sobre ejecución de indicador se da porque se cambió la herramienta tecnológica con la que se realiza la medición de las visitas a la página web.</t>
  </si>
  <si>
    <t>Durante este periodo, se reportaron las hojas de vida los indicadores de Gestión, según la periodicidad de medición establecida en los procesos de: Gestión de Recaudo y Fuentes de Financiación - Gestión Presupuestal - Gestión Contable y Gestión de Pagos y Manejo de Portafolio.</t>
  </si>
  <si>
    <t>Los estados financiero y el informe de operaciones reciprocas se reportó en el mes de octubre a corte 30 de septiembre, se deja como soporte pantallazo de la presentación a la CGN.</t>
  </si>
  <si>
    <t xml:space="preserve">Los recursos asignados para este indicador cubren los contratos de prestación de servicios 002, 022, 103 y 130 de 2018. </t>
  </si>
  <si>
    <t>Se realizaron en el trimestre 54 informes de auditoría, teniendo en cuenta los términos del procedimientos de reintegro asociados en su mayoría a la auditoría ARS_BDEX002</t>
  </si>
  <si>
    <t>El giro previo debe efectuarse dentro de los ocho (8) días hábiles siguientes al cierre de la radicación, por lo que a la fecha del presente reporte no se ha adelantado la ordenación del giro previo correspondiente a la radicación de diciembre de 2018.</t>
  </si>
  <si>
    <t>El giro previo debe efectuarse dentro de los ocho (8) días hábiles siguientes al cierre de la radicación, por lo que a la fecha del presente reporte no se ha adelantado la ordenación del giro previo correspondiente a la radicación de diciembre de 2018, y por lo tanto no es posible su publicación.</t>
  </si>
  <si>
    <t xml:space="preserve">De acuerdo con lo relacionado en los seguimientos del primer y segundo trimestre los procesos y procedimientos de la DGTIC ya habían sido definidos en su primera versión al 100%. Por tal razón, durante este trimestre no se realizó nada frente a la presente actividad. 
Se recuerda que las versiones finales de los manuales han sido publicadas en: https://www.adres.gov.co/Transparencia/Procesos-y-procedimientos
</t>
  </si>
  <si>
    <t>Esta actividad, que se encuentra relacionada al Plan de Seguridad y Privacidad de la Información fue ingresada en la actualización del Plan de acción para dar cumplimiento al decreto 612 de 2018. Dicha inclusión se realizó finalizando el segundo trimestre del presente año. 
La consolidación del inventario se llevó dentro del tiempo definido para esto se deja copia del listado de activos de información que fueron definidos al interior de la Entidad.  La evidencia se encuentra en Evidencias\III trimestre\11600-3-1-1-6\GSTE-F02 matriz Valoración Activos Información V21092018</t>
  </si>
  <si>
    <t>Dentro de la carpeta Evidencias\IV trimestre\11600-3-3-1 se encuentra la evidencia de los pagos realizados frente a esta actividad. Tener en cuenta las siguientes consideraciones
Tomando como insumo el plan de adquisiciones de la vigencia presente para esta actividad se tiene la relación de los siguientes Rubros: (b) Adquirir el licenciamiento en la nube de la solución Dynamics 365 Enterprise para atención a incidentes en mesa de ayuda.
Adquirir el licenciamiento en la nube de la solución Dynamics 365 Enterprise para atención a incidentes en mesa de ayuda. Esta actividad se encuentra a cargo del proveedor Controles Empresariales bajo contrato 077 de 2018. A continuación, se relaciona avances: A corte de este trimestre no se ha realizado ningún pago. Sin embargo, en la ubicación Evidencias\III trimestre\11600-3-3-1\Controles Empresariales se encuentran los soportes de pago que ya han sido radicados: 
Julio: ControlesEmpresariales_201807.pdf 
Agosto: ControlesEmpresariales_201808.pdf 
Septiembre: ControlesEmpresariales_201809.pdf 
Octubre: ControlesEmpresariales_201810.pdf 
Noviembre:  ControlesEmpresariales_201811.pdf
ACLARACIÓN SOBRE LA EJECUCIÓN DE LA ACTIVIDAD: Esta actividad para este trimestre tenía presupuestado ejecutar $208,849,593 pesos y en el momento de hacer el presente seguimiento se ha ejecutado $168,114,780 , el cual corresponde a 80% del valor proyectado."</t>
  </si>
  <si>
    <r>
      <t xml:space="preserve">Dentro de la carpeta Evidencias\IV trimestre\11600-3-5-1 se encuentra la evidencia de los pagos realizados frente a esta actividad. Tener en cuenta las siguientes consideraciones: Tomando como insumo el plan de adquisiciones de la vigencia presente para esta actividad se tiene la relación de los siguientes Rubros: 
(a) Prestar el servicio de soporte y administración de la plataforma de gestión documental DOCUMENTUM y la solución de correspondencia de la ADRES 
(b) Servicio de videoconferencia gubernamental y adquisición de equipos. 
(c) Adquirir la Prestación de Servicios BPO-Mesa de ayuda, mediante Acuerdo Marco de Precios. 
a. Prestar el servicio de soporte y administración de la plataforma de gestión documental DOCUMENTUM y la solución de correspondencia de la ADRES. En la ubicación \Evidencias\IV trimestre\11600-3-5-1\Mega Group, se encuentra:   
El mes de octubre (Soporte Pago 102018 Megagroup.pdf), Se encuentra actualmente Pago.
El mes de noviembre no ha sido radicado.
</t>
    </r>
    <r>
      <rPr>
        <b/>
        <sz val="10"/>
        <color theme="1"/>
        <rFont val="Verdana"/>
        <family val="2"/>
      </rPr>
      <t xml:space="preserve">20181228: Seguimiento extraordinario: </t>
    </r>
    <r>
      <rPr>
        <sz val="10"/>
        <color theme="1"/>
        <rFont val="Verdana"/>
        <family val="2"/>
      </rPr>
      <t xml:space="preserve">Se realiza pago para los meses de noviembre y Diciembre:  Ver evidencias Pago Noviembre Mega.pdf y Pago Diciembre Mega.pdf
 2. Servicio de videoconferencia gubernamental y adquisición de equipos. El proceso fue adjudicado, se anexa relación de adjudicación dentro del SECOP, en la ruta Evidencias\IV trimestre\11600-3-5-1\Videoconferencia.  Se confirma que hasta el momento en la generación del presente seguimiento no ha sido radicadas cuentas de cobro
20181228: Seguimiento extraordinario se realiza pagos para los meses de Noviembre y Diciembre: Ver evidencias Pago noviembre Videoconferencia.pdf y Pago Diciembre Videoconferencia.docx
3. Adquirir la Prestación de Servicios BPO-Mesa de ayuda, mediante Acuerdo Marco de Precios. Se tiene la Orden de compra número 29276, que puede ser consultada en  https://bit.ly/2NHQcaY. Se aclara que al cierre del presente informe no se ha registrado pagos sobre este servicio. Sin embargo, se relaciona facturas que ya se encuentran radicadas, la evidencia se encuentra en: Evidencias\IV trimestre\11600-3-5-1\BPO-Mesa\ Se relaciona correos de soporte del porque no se ha realizado pagos hasta el momento.
20181228: Seguimiento extraordinario Se realiza pago para los meses de Julio a Diciembre : 
Ver evidencias: pago Julio BPO.pdf, Pago Agosto BPO.pdf, Pago septiembre BPO.rar, Pago Octubre BPO.rar, Pago noviembre BPO.pdf y Pago Diciembre BPO
</t>
    </r>
  </si>
  <si>
    <t>En el mes de Octubre se procedió a Liberar los 1.000.000.000 según Resolución  4974 de 2018</t>
  </si>
  <si>
    <t xml:space="preserve">Las ejecuciones presupuestales de Octubre, noviembre y  diciembre de 2018 se encuentran publicadas en la página Web de la ADRES, ruta: Transparencia - 5, Financiera y presupuestal - Ejecuciones presupuestales UGG </t>
  </si>
  <si>
    <t>1. Trabajo en equipo y liderazgo del  22 al   30 de octubre. (FACTURA 9018684718) 
2.  Seguridad Informática Big-Data  del  1 al  29 de noviembre (FACTURA 9018941268)
3. Ética y valores empresariales   del  19 al  27 de noviembre. (FACTURA 9018899434)        
4. Control y Manejo  del estrés,  manejo  del  tiempo libre  de 3 al  10 de diciembre.  (FACTURA 9018977454)
Solo hay  facturas de: Taller  de aceptación del cambio, Comunicación efectiva, Trabajo en equipo y liderazgo: Comunicación Efectiva (FACTURA 9018262714), Adaptación al Cambio (FACTURA 9018262713)
Se solicitó liberación por valor de $2.591.201 del contrato 078 mediante oficio con radicado 0000022119 del 28 de diciembre de 2018.</t>
  </si>
  <si>
    <t>Se cargan evidencias sobre asistencias, informes y facturas a las capacitaciones de Comunicación Efectiva (FACTURA 9018262714), Adaptación al Cambio (FACTURA 9018262713), Control y Manejo de Estrés y el Tiempo Libre (FACTURA 9018977454), Trabajo en Equipo y Liderazgo (FACTURA 9018684718), Ética y Valores (FACTURA 9018899434), Factores de Riesgo psicosocial (FACTURA S94118).
Se solicitó liberación por valor de $2.591.201 del contrato 078 mediante oficio con radicado 0000022119 del 28 de diciembre de 2018.</t>
  </si>
  <si>
    <t>1. Caminata ecológica  parque Chicaque  14 de noviembre. (FACTURA 9018892773)
2. Actividad lúdica para niños  22 de octubre- Boletas al Parque Jaime Duque (FACTURA 9018478331)
3. Pausa activas   13 de julio  al   12 de diciembre (FACTURA 9018845727)
4.  Actividades recreacionales que incluyen al grupo familiar 20 de octubre Hotel bosques de Athan - Girardot. (FACTURA HBA1168)
5. Olimpiadas Deportivas (FACTURA 9018511948)
6. Vacaciones recreativas (FACTURA 9018977452)
7. Prepensionados (FACTURA 9018559096)
8. Incentivos (CUENTA DE COBRO CTA CC 089818)
9. Cierre de año (FACTURA 9019035562)
10. Coaching (FACTURA 8740003992)
11. Neurolingüística (FACTURA 9018977453)
Se solicitó liberación por valor de $106.200.929 del contrato 078 mediante oficio con radicado 0000022119 del 28 de diciembre de 2018.</t>
  </si>
  <si>
    <t>550 boletas  entregadas  por  parte de Colsubsidio.
La  ADRES entrega  537 y queden  13 boletas físicas que se les entrega a Carlos Cáceres.
Boletas al Parque Jaime Duque (FACTURA 9018478331)</t>
  </si>
  <si>
    <t xml:space="preserve"> Pausa activas 13 de julio al 12 de diciembre (FACTURA 9018845727, evidencia cargada en carpeta 11700-2-10-2) en la cual se relaciona las fechas de ejecución de las pausas en el  último  trimestre 2018. Las evidencias de los participantes están cargadas en la carpeta 11700-2-10-18 y la evidencia de los convocados sería la planta de la ADRES, que se soporta en la carpeta 11700-2-12-1</t>
  </si>
  <si>
    <t>Neurolingüística (FACTURA 9018977453, evidencia cargada en carpeta 11700-2-10-2 y asistencias)</t>
  </si>
  <si>
    <t>Las solicitudes de publicación al Diario Oficial son a Demanda y para el ultimo trimestre no hubo requerimientos de las áreas de la ADRES.</t>
  </si>
  <si>
    <t>Se ha venido ejecutando de conformada con los compromisos. El contrato se adicionó y prorrogó hasta diciembre 2018</t>
  </si>
  <si>
    <t>Teniendo en cuenta que el alistamiento de los expedientes contentivos de las resoluciones con más de 180 días de vencidas, se encuentran listas para su entrega desde el mes de febrero del año en curso, no se ha adelantado el proceso de alistamiento de expedientes contentivos de resoluciones susceptibles de venta de cartera.  Ante esta situación se recomienda que el Grupo de Cobro Coactivo se fortalezca de tal manera que no sólo  adelante el procedimiento de Constitución del Título Ejecutivo, sino también el de Cobro Coactivo, que es en últimas la razón de ser del Grupo de Cobro Coactivo, y se adelante el proceso de venta de cartera, de aquellas acreencias de difícil o imposible recaudo. </t>
  </si>
  <si>
    <t>Sobre el particular, es pertinente señalar que la Oficina Asesora Jurídica no ha escatimado esfuerzo alguno para lograr que CISA S.A., presente la valoración de la cartera objeto de venta, cuyo alistamiento de los expedientes se encuentra desde el mes de febrero del año en curso, no obstante a la fecha no ha sido posible que en el cuatro trimestre y por ende en el año 2018, CISA S.A., haya presentado la valoración de la cartera de las resoluciones con más de 180 días de vencidas, objeto de venta. </t>
  </si>
  <si>
    <t>En este punto es pertinente reiterar que no obstante las gestiones adelantadas por la Oficina Asesora Jurídica, no fue posible que CISA S.A., presente la valoración de la cartera.  Es de anotar que mediante comunicación Radicado No. 0000158157 del 19 de octubre de 2018, el Vicepresidente de Negocios de CISA S.A., señala: "... En atención a las diferentes mesas de trabajo adelantadas y a la comunicación remitida a CISA S.A., solicitando el avance en la valoración de la cartera a cargo de ADRES, nos permitimos manifestar que nos encontramos actualmente culminando el proceso de análisis jurídico y financiero del último paquete de cartera remitido para valorar.  Así las cosas, estamos haciendo nuestro mayor esfuerzo en culminar dicha tarea y poder remitir el resultado de la misma en el menor tiempo posible..."  De la lectura de la comunicación,  se evidencia que CISA S.A., a mediados del mes de octubre y a la fecha, no ha presentado la valoración de la cartera.</t>
  </si>
  <si>
    <t>El Plan de Contingencia adelantado en el mes de agosto de 2018 donde se expidieron 19 Mandamientos de Pago, de conformidad con el Procedimiento de Cobro Coactivo, fueron debidamente citados, notificados y en este momento se está a la espera que los deudores presenten las excepciones las cuales en su momento serán resueltas. Es pertinente informar que como resultado del proceso de cobro coactivo adelantado, la señora YOLANDA RUTH GUZMAN pago el valor total adeudado, razón por la cual mediante auto  proceso No.000011 del 19 de noviembre de 2018, se declara terminado dicho proceso por pago de la obligación dentro del proceso No.000011. </t>
  </si>
  <si>
    <t>No aplica el indicador formulado, toda vez que el proceso de cobro coactivo lo viene adelantando CISA S.A., en desarrollo del Contrato Interadministrativo 080 de 2017. No obstante, la Oficina Asesora Jurídica - Grupo de cobro Coactivo, adelantó como un  Plan Piloto, el proceso de cobro Coactivo propiamente dicho, y para tal efecto profirió Mandamientos de Pago, sobre 19 resoluciones ejecutoriadas y  en este momento se cuenta en ese proceso de cobro coactivo.</t>
  </si>
  <si>
    <t>En el mapa de riesgos se incorporaron 3 riesgos nuevos del proceso de Gestión de Representación Judicial</t>
  </si>
  <si>
    <t>Se levanto inventario de información de la gestión de las dependencias asociada al PND</t>
  </si>
  <si>
    <t>Se dio  conocer el informe final del ejercicio de Rendición de Cuentas Interna de la Entidad a través de comunicación masiva vía correo electrónico</t>
  </si>
  <si>
    <t>Para este período se realizó como estrategia de capacitación virtual, remitiendo a los correos de todos los funcionarios el BOLETIN ATENCIÓN PQRSD y encuesta de conocimientos generales sobre el trámite de las PQRS en la entidad.
Además se realizó una jornada de capacitación, donde se resalta "servicio al ciudadano" en la jornada de: Ética y valores empresariales.
Y se realizaron adicionalmente las jornadas de:
Trabajo en Equipo y Liderazgo; Control y manejo del estrés, manejo del tiempo</t>
  </si>
  <si>
    <t>Se elabora el informe trimestral de PQRSD Julio, Agosto y Septiembre 2018, el cual fue remitido a la OCI y publicado en la página web en transparencia y Portal Ciudadano. El informe del IV trimestre se presentará en enero de 2019</t>
  </si>
  <si>
    <t>Se elaboró y publicó la caracterización de usuarios de la ADRES. Se adjunta Informe</t>
  </si>
  <si>
    <t>"Inicialmente, la información por cargar dentro del portal de datos abiertos es la que se ha definido como: (i) Registro de activos de información. (ii) Índice de Información clasificada y reservada. Para lo cual se pidió la creación del usuario dentro de dicho portal, el cual se realizó sin ningún inconveniente, tal como se puede ver en el adjunto bienvenida.msg. Sin embargo, se requiere la actualización del rol publicador dentro de dicho portal, para lo cual se realizó la solicitud respectiva ver adjuntos Rol publicador.msg y DATOS ABIERTOS - Rol publicador.msg. Hasta la fecha no ha sido adjudicado dicho rol, por tal razón la actividad no ha podido ser realizada. Es importante aclarar que no se había realizado la solicitud de creación del usuario con anterioridad teniendo en cuenta que no se contaba con la información a ser publicada. 28122018: El día 26 de diciembre fecha posterior al seguimiento inicial. (Ver: Respuesta   DATOS ABIERTOS  - Rol publicador.msg y Sus privilegios han sido actualizados en la plataforma de datos abiertos del gobierno colombiano.msg) fueron dados los permisos por parte de MinTIC para realizar la publicación de los datos abiertos. Se enviará un correo informativo al Jefe de la OAPCR para que el en el marco del plan anticorrupción articule el responsable en la creación y cargue de la información dentro de dicho portal. Ver evidencias en: Evidencias\IV trimestre\11600-2-9-1 Finalmente, se aclara que está actividad no tiene recursos económicos relacionados."</t>
  </si>
  <si>
    <t>Se evidencias listado de asistencia
Coaching</t>
  </si>
  <si>
    <t>el  documento lúdico  se elaboro en la capacitación= Se evidencia documento lúdico</t>
  </si>
  <si>
    <t>Inicialmente se identificaron tres, no obstante función pública después de la revisión autorizó sólo 1  OPA para la Dirección de Otras Prestaciones, relacionada  con el procedimiento de reconocimiento y pago de indemnizaciones y auxilios a víctimas de eventos catastróficos y terroristas de accidentes de tránsito a sus beneficiarios   </t>
  </si>
  <si>
    <t>Se realizó audiencia de rendición de cuentas interna, en donde se expuso el informe de gestión ante los funcionarios y contratistas de la ADRES</t>
  </si>
  <si>
    <r>
      <t xml:space="preserve">Dentro de la carpeta Evidencias\IV trimestre\11600-3-12-1 se encuentra la evidencia de los pagos realizados frente a esta actividad. Tener en cuenta las siguientes consideraciones:
Se tiene la relación de un contratista: Andrés Camilo Rodríguez Gómez. Inicia Actividades el día 01 de agosto de 2018 bajo el contrato 0085 de 2018, de donde: 
• El mes de septiembre (CTO085-2018 - Informe – 201809.pdf), Se encuentra actualmente pago.
• El mes de octubre (CTO085-2018 - Informe – 201810.pdf), Se encuentra actualmente radicada.
• El mes de noviembre (CTO085-2018 - Informe – 201811.pdf), Se encuentra actualmente radicada.
</t>
    </r>
    <r>
      <rPr>
        <b/>
        <sz val="10"/>
        <rFont val="Verdana"/>
        <family val="2"/>
      </rPr>
      <t>28122018:</t>
    </r>
    <r>
      <rPr>
        <sz val="10"/>
        <rFont val="Verdana"/>
        <family val="2"/>
      </rPr>
      <t xml:space="preserve"> Dentro del seguimiento extraordinario  Se tiene la confirmación de los pagos de los meses de Octubre y Noviembre</t>
    </r>
  </si>
  <si>
    <t>La elaboración del programa de mantenimiento es un documento Excel donde se proyecta la información general de las etapas de mantenimiento, cronograma, monitoreo del programa, reporte de indicadores, flujograma, matriz de seguimiento, Análisis de riesgos, el cual será formalizado y ejecutado para la vigencia 2019.</t>
  </si>
  <si>
    <t>Se incluye oficio 0000016546 del 15agosto2018 donde se solicitó liberar este rubro.</t>
  </si>
  <si>
    <r>
      <t xml:space="preserve">Dentro de la carpeta Evidencias\IV trimestre\11600-3-13-1 se encuentra la evidencia de los pagos realizados frente a esta actividad. Tener en cuenta las siguientes consideraciones:
Se tiene la relación de un contratista: Guillermo Cadena Ronderos. Inicia Actividades el día 30 de octubre de 2018 bajo el contrato 0109 de 2018, de donde: 
• El mes de octubre (Cuenta Radicada 201810.pdf), Se encuentra actualmente PAGA.
• El mes de noviembre (Cuenta Radicada 201811.pdf), Se encuentra actualmente radicada.
</t>
    </r>
    <r>
      <rPr>
        <b/>
        <sz val="10"/>
        <rFont val="Verdana"/>
        <family val="2"/>
      </rPr>
      <t>28122018:</t>
    </r>
    <r>
      <rPr>
        <sz val="10"/>
        <rFont val="Verdana"/>
        <family val="2"/>
      </rPr>
      <t xml:space="preserve"> Dentro del seguimiento extraordinario  Se tiene la confirmación de los pagos de el mes  de  Noviembre</t>
    </r>
  </si>
  <si>
    <r>
      <t xml:space="preserve">Dentro de la carpeta Evidencias\IV trimestre\11600-3-14-1 se encuentra la evidencia de los pagos realizados frente a esta actividad. Tener en cuenta las siguientes consideraciones:
Se tiene la relación de un contratista: Claudia Milena Soler Gamboa. Inicia Actividades el día 27 de noviembre de 2018 bajo el contrato 0125 de 2018, de donde: 
• El mes de noviembre (informe 112018.pdf), Se encuentra actualmente pago
</t>
    </r>
    <r>
      <rPr>
        <b/>
        <sz val="10"/>
        <rFont val="Verdana"/>
        <family val="2"/>
      </rPr>
      <t>28122018:</t>
    </r>
    <r>
      <rPr>
        <sz val="10"/>
        <rFont val="Verdana"/>
        <family val="2"/>
      </rPr>
      <t xml:space="preserve"> Dentro del seguimiento extraordinario   no se tiene  novedades
</t>
    </r>
  </si>
  <si>
    <r>
      <t xml:space="preserve">Dentro de la carpeta Evidencias\IV trimestre\11600-3-15-1 se encuentra la evidencia de los pagos realizados frente a esta actividad. Tener en cuenta las siguientes consideraciones:
Se tiene la relación de un contratista: Cristian Russi. Inicia Actividades el mes de noviembre de 2018 bajo el contrato 0126 de 2018, de donde: 
• El mes de noviembre (informe 112018.pdf), No se ha radicado cuenta de cobro
</t>
    </r>
    <r>
      <rPr>
        <b/>
        <sz val="10"/>
        <rFont val="Verdana"/>
        <family val="2"/>
      </rPr>
      <t>28122018:</t>
    </r>
    <r>
      <rPr>
        <sz val="10"/>
        <rFont val="Verdana"/>
        <family val="2"/>
      </rPr>
      <t xml:space="preserve"> Dentro del seguimiento extraordinario , se relaciona el pago del mes de noviembre( Ver Informe Cristian Russi 201811.pdf)</t>
    </r>
  </si>
  <si>
    <t>Durante el 4° trimestre de 2018 no hubo ejecución presupuestal de esta actividad en razón a que no se contrató a un externo. La contratista que apoyaba esta labor continuo apoyándola contratada en la planta de la ADRES desde el mes de septiembre del año en curso.
En la carpeta de evidencias de esta actividad se encuentra el reporte de RP en el cual se puede observar la liberación de los recursos del contrato 021 de 2018 el 31/10/2018,</t>
  </si>
  <si>
    <t>Se realizó, con el acompañamiento de la DAFP y las áreas misionales correspondientes a la ADRES, la identificación y revisión de 5 Trámites y 3 OPAs aprobados por el Departamento Administrativo de la Función Pública DAFP e inscritos con sus respectivos códigos en el Sistema Único de  Información de Trámites - SUIT.
Trámite 63287: "Reconocimiento de prestaciones económicas a los afiliados a los regímenes especial y /o de excepción".
Trámite 63284: "Devolución de aportes pagados directamente a la ADRES".
Trámite 63288:" Registro y modificación de cuentas bancarias para giro directo".
Trámite 63272: " Solicitud compra de cartera".
Trámite 70014: "Reconocimiento y pago de indemnizaciones y auxilios a víctimas de eventos catastróficos y terroristas y de accidentes de tránsito o a sus beneficiarios".
OPA 63286: "Certificación de aportes en salud en los regímenes de excepción y especial".
OPA 63289: " Estado de cuenta entidades territoriales".
OPA 63275: "Consulta de la Base de Datos Única de Afiliados - BDUA".
Una vez identificados los Trámites y OPAs de la ADRES, y con un margen de tiempo para su funcionamiento dado que son nuevos, se procederá a realizar su respectivo diagnóstico y análisis de los mismos para su priorización.</t>
  </si>
  <si>
    <t xml:space="preserve">1. La ejecución presupuestal acumulada de la UGG fue del 65%. Esto se debe principalmente a que quedaron cuentas por pagar en 2019 de contratos ejecutados en 2018, el monto de venta de la cartera a CISA fue inferior al esperado, y  algunos contratos que se habían contemplado inicialmente para realizar las actividades no se ejecutaron, cuyo presupuesto era importante: 
* La administración y custodia del portafolio de inversión
* La adquisición de bienes y/o servicios para la seguridad de la información, para la adopción de IPV6 y Protocolos de seguridad de la información en el área de Tesorería de la Entidad 
* El apoyo técnico para la implementación de la red de almacenamiento de información
* La auditoría integral para el trámite de reconocimiento y pago por parte de ADRES  de los paquetes de recobros y reclamaciones.
Adicionalmente, no se ejecutaron recursos de los contratos de recursos de casación y  vigilancia judicial.
Estas situaciones a su vez inciden en los resultados de la perspectiva financiera con un cumplimiento del 69% en el trimestre, y un avance acumulado del 70%.
2. La ejecución presupuestal acumulada de la URA fue del 99% lo cual es acorde a los resultados  esperados para el cuarto trimestre de 2018 (100%). 
3. Así las cosas, la ejecución presupuestal total alcanzó el 99% cumpliendo con la meta a la fecha de corte. </t>
  </si>
  <si>
    <t>A través de los medios de comunicación, Coomeva EPS acusó a la ADRES de sus problemas en la prestación de servicios de salud por la falta de pago. Al respecto, por directriz del director general, se decidió no salir públicamente a contrarrestar el ataque mediático que completó 16 publicaciones. Sobre el tema Coomeva, se adelantaron reuniones con las directivas de la EPS para intentar frenar la campaña mediática (la reunión del 14 de septiembre contó con la presencia del señor ministro Juan Pablo Uribe, el director General de la ADRES, Carlos Mario Ramírez, el presidente del Grupo Coomeva, Alfredo Arana, el director de salud de Coomeva, Gilberto Quinche, y la directora de la EPS, Ángela María Cruz).</t>
  </si>
  <si>
    <t>El indicador formulado para este trimestre arrojó resultado negativo toda vez que el número de visitantes a la página web de la ADRES se redujo por problemas técnicos y tecnológicos producto del proceso de migración que se dio en el proveedor de Data Center y de soluciones tecnológicas de la entidad. La página web presentaba constantes fallas y los aplicativos de los principales servicios del sitio web se cayeron frecuentemente. </t>
  </si>
  <si>
    <t>Se envía correo con copia a la Directora de Gestión de los Recursos Financieros de salud como soporte de lo remitido a la oficina asesora de planeación </t>
  </si>
  <si>
    <t>Durante el periodo se pago el 87% del valor asignado para la actividad, ya que se realiza la terminación del contrato 054-2018 con el señor Wilmer Andrés Erazo, se deja como soporte los informes de cumplimiento del contratista asignados al grupo de Gestión Presupuestal.</t>
  </si>
  <si>
    <t>Se anexan a la carpeta compartida por la Oficina Asesora de Planeación y Control de Riesgos, los Informe de Control de Recaudo y Fuentes de Financiamiento, correspondientes a los periodos comprendidos de: 1) Junio 2018; 2) Julio 2018; y 3) Agosto 2018.</t>
  </si>
  <si>
    <t>Durante el periodo se pago el 92% del valor asignado para la actividad, ya que se realiza la terminación de el contrato 007-2018 con el señor Javier Rativa, se deja como soporte los informes de cumplimiento de los contratistas asignados al grupo Gestión Contable y Control de recurso.</t>
  </si>
  <si>
    <t xml:space="preserve">Teniendo en cuenta el decreto 612 de 2018, en el cual se debe hacer la inclusión del Plan estratégico de Tecnología de Información dentro del plan de acción de la Entidad, se hace la solicitud de eliminación de la actual línea y adición de 4 líneas en las cuales se definen las siguientes actividades frente al plan de acción:
1.	Realizar planeación de para la elaboración de la línea base del PETI; de acuerdo con: (i) Estabilización de la operación de la Entidad. (ii) Guía Cómo elaborar el Plan Estratégico de Tecnologías de la Información - PETI del MINTIC.
2.	Realizar análisis de la situación actual de la Entidad de acuerdo con los dominios: (i) Estrategia de TI. (ii) Gobierno de TI. (iii) Gestión de la información. (iv) Gestión de sistemas de información. (v) Gestión de servicios tecnológicos. (vi) Uso y apropiación de TI
3.	Construir visión estratégica de TI alineada a la visión estratégica de la Entidad, el sector y el Plan Nacional de Desarrollo.
4.	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Se adjunta en la carpeta  Evidencias\II trimestre\11600-3-1-1: 
1.	Correo electrónico con asunto PLAN DE ACCION - Inclusión de Planes DGTIC, en el cual se explican las modificaciones que se deben hacer dentro del Plan de Acción de la Entidad. 
2.	Planeacion PETI. Presentación en donde se relaciona el alcance del desarrollo de la línea Base del PETI dentro de la Entidad.
</t>
  </si>
  <si>
    <r>
      <t xml:space="preserve">Tomando como insumo el indicador </t>
    </r>
    <r>
      <rPr>
        <b/>
        <sz val="10"/>
        <rFont val="Verdana"/>
        <family val="2"/>
      </rPr>
      <t xml:space="preserve"># Planes asociados a la DGTIC aprobados / # Planes asociados a la DGTIC establecidos, el cual está </t>
    </r>
    <r>
      <rPr>
        <sz val="10"/>
        <rFont val="Verdana"/>
        <family val="2"/>
      </rPr>
      <t xml:space="preserve">definido para esta actividad y la observación del segundo trimestre, la cual se relaciona a continuación: " Teniendo en cuenta el decreto 612 de 2018, en el cual se debe hacer la inclusión del Plan estratégico de Tecnología de Información dentro del plan de acción de la Entidad, se hace la solicitud de eliminación de la actual línea y adición de 4 líneas en las cuales se definen las siguientes actividades frente al plan de acción:
1. Realizar planeación de para la elaboración de la línea base del PETI; de acuerdo con: (i) Estabilización de la operación de la Entidad. (ii) Guía Cómo elaborar el Plan Estratégico de Tecnologías de la Información - PETI del MINTIC.
2. Realizar análisis de la situación actual de la Entidad de acuerdo con los dominios: (i) Estrategia de TI. (ii) Gobierno de TI. (iii) Gestión de la información. (iv) Gestión de sistemas de información. (v) Gestión de servicios tecnológicos. (vi) Uso y apropiación de TI
3. Construir visión estratégica de TI alineada a la visión estratégica de la Entidad, el sector y el Plan Nacional de Desarrollo.
4. 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Se adjunta en la carpeta  Evidencias\II trimestre\11600-3-1-1: 
1. Correo electrónico con asunto PLAN DE ACCION - Inclusión de Planes DGTIC, en el cual se explican las modificaciones que se deben hacer dentro del Plan de Acción de la Entidad. 
"
Se aclara que la actividad fue realizada en su totalidad en dicho trimestre, cuando quedo definido dentro del plan de acción de la Entidad las líneas aprobadas frente a los planes relacionados de la DGTIC. Por consiguiente, la información reportada en el 2do trimestre y3er trimestre no es la correspondiente y por tal razón debe ser la siguiente:
1er trimestre: 0% 2do trimestre: 100%, 3er trimestre: 0% y 4to trimestre 0%.
2. Planeación PETI. Presentación en donde se relaciona el alcance del desarrollo de la línea Base del PETI dentro de la Entidad.
. Se aclara lo siguiente:
</t>
    </r>
  </si>
  <si>
    <t>"Esta actividad, que se encuentra relacionada al Plan de Seguridad y Privacidad de la Información fue ingresada en la actualización del Plan de acción para dar cumplimiento al decreto 612 de 2018. Dicha inclusión se realizó finalizando el segundo trimestre del presente año. La consolidación del inventario se llevó dentro del tiempo definido para esto se deja copia del listado de activos de información que fueron definidos al interior de la Entidad.  La evidencia se encuentra en Evidencias\III trimestre\11600-3-1-1-6\GSTE-F02 matriz Valoración Activos Información V21092018 "</t>
  </si>
  <si>
    <t>"Teniendo en cuenta la actividad 11600-3-1-1-6, una vez consolidada la información del inventario de activos de información se debía hacer el reporte del instrumento del Registro de activos de información dentro del portal de la Entidad y el portal de datos abiertos que el MINTIC ha definido. Para esto la DGTIC en colaboración con la OAJ generaron la resolución 3589 de 2018 en la cual se adoptaban los instrumentos de información: (i) Registro de Activos de Información - RAI. (ii) Índice de Información Clasificada y reservada – IIC. Ahora bien, para poder hacer el respectivo reporte de dichos instrumentos las diferentes dependencias debían realizar la evaluación del índice para así mismo posteriormente hacer la publicación. A corte del presente reporte se tiene el 37.5% de activos revisados por las dependencias (ver Evidencias\III trimestre\11600-3-1-1-7\ Presentacion RAI-IIC - Estado30092018). Es importante aclarar que desde la DGTIC se solicitó e indico las fechas en las cuales se debía hacer la respectiva evaluación; dicha solicitud se realizó a través de oficios, los cuales se encuentra copia en (Evidencias\III trimestre\11600-3-1-1-7\comunicaciones_IIC10092018 y Evidencias\III trimestre\11600-3-1-1-7\ comunicaciones_IIC01102018) "</t>
  </si>
  <si>
    <t>El cumplimiento del desarrollo del manual se encuentra definido para el cuatro trimestre de 2018. Por tal razón se ha venido trabajando en el desarrollo de la definición del manual de políticas específicas de seguridad y privacidad de la información. Adjunto se relaciona el listado (borrador) de las políticas que se han definido en el alcance de la primera versión de este. (ver Evidencias\III trimestre\11600-3-1-1-8\ listado Políticas). Cabe aclarar que esta versión no es la definitiva ya que en este último trimestre se inicia la revisión de esta, para así generar la primera versión al interior de la ADRES.</t>
  </si>
  <si>
    <t>"Dentro de la carpeta Evidencias\III trimestre\11600-3-3-1 se encuentra la evidencia de los pagos realizados frente a esta actividad. Tener en cuenta las siguientes consideraciones: Tomando como insumo el plan de adquisiciones de la vigencia presente para esta actividad se tiene la relación de los siguientes Rubros: (a) Adquirir licencias Microsoft, el soporte de estas y demás servicios conexos. (b) Adquirir el licenciamiento en la nube de la solución Dynamics 365 Enterprise para atención a incidentes en mesa de ayuda. (c) Renovación del licenciamiento del software Crypto-Vault para las actividades de aseguramiento criptográfico digital de los archivos recibidos y remitidos por la ADRES. Ahora bien, para las actividades relacionadas se reporta el siguiente avance: 1. Adquirir licencias Microsoft, el soporte de estas y demás servicios conexos. De acuerdo con la orden de compra 27518, la cual puede ser consultada en el enlace https://bit.ly/2NDghaW, esta quedo a nombre del proveedor UT Soluciones Microsoft 2017, por un valor total de $331.449.357,90 con un saldo por pagar por valor de $45.811.921.22, De donde: o La segunda factura por valor de $2.768.925,27 radicada el 10/07/2018 ya fue paga. (Ver Evidencias\III trimestre\11600-3-3-1\ Licencias Microsoft\ Pago 2 UT Soluciones Microsoft 2017.pdf) 2. Adquirir el licenciamiento en la nube de la solución Dynamics 365 Enterprise para atención a incidentes en mesa de ayuda. Esta actividad se encuentra a cargo del proveedor Controles Empresariales bajo contrato 077 de 2018. A continuación, se relaciona avances: A corte de este trimestre no se ha realizado ningún pago. Sin embargo, en la ubicación Evidencias\III trimestre\11600-3-3-1\Controles Empresariales se encuentran los soportes de pago que ya han sido radicados: • Julio: ControlesEmpresariales_201807.pdf • Agosto: ControlesEmpresariales_201808.pdf 3. Renovación del licenciamiento del software Crypto-Vault para las actividades de aseguramiento criptográfico digital de los archivos recibidos y remitidos por la ADRES. Con orden de compra 083 de 2018 se realiza pago de  la renovación del licenciamiento del software Crypto-Vault por un valor de $14.695.500.00 y al cierre del presente informe ya se encuentra pagada (Ver Evidencias\III trimestre\11600-3-3-1\CyberTech\CyberTech.pdf) 4. Renovación del soporte y actualizaciones del licenciamiento del software TITAN FTP. Se ha realizado el pago por valor de $5.652.500, los soportes se encuentran en Evidencias\III trimestre\11600-3-3-1\Divix\Soporte de pago Divix.pdf. ACLARACIÓN SOBRE LA EJECUCIÓN DE LA ACTIVIDAD: Esta actividad para este trimestre tenía presupuestado ejecutar $ 563.801.135 pesos y en el momento de hacer el presente seguimiento se ha ejecutado $ 23.117.925,27 , el cual corresponde a 2,10% del valor proyectado."</t>
  </si>
  <si>
    <t>En el mes de Octubre y Diciembre se procedió a Liberar los saldos  de los rubros de Nómina que no se iban a utilizar según  Resolución  4974 y 6635 de 2018</t>
  </si>
  <si>
    <t>No hay lugar a ejecución ya que  los $11.300.573.000 a 31 de Enero de 2018 según Resolución 637 de 2018, correspondía a Disponibilidad Final de la Vigencia 2017;  De acuerdo a aprobación del CONFIS mediante Resolución 0012 del 27 de Marzo de 2018, la disponibilidad Final a 2017 se desagregó  en varios Rubros del Gasto, en la vigencia 2018, la cual quedó desagregada según Resolución 860 de 27 de Marzo de 2018; por lo tanto el Rubro de Disponibilidad Final debe ser $0. por ende se adjunta Resolución 860 de 2018 para evidenciar la modificación de la misma. 
En referencia a los $1.817.497.672 restantes, corresponde a un valor no asignado en el plan de adquisiciones. 
En el mes de Octubre y Diciembre se procedió a Liberar los saldos  de los rubros de Nómina que no se iban a utilizar según  Resolución  4974 y 6635 de 2018</t>
  </si>
  <si>
    <t xml:space="preserve">Las ejecuciones presupuestales de julio, agosto y septiembre de 2018 se encuentran publicadas en la página Web de la ADRES, ruta: Transparencia - 5, Financiera y presupuestal - Ejecuciones presupuestales UGG </t>
  </si>
  <si>
    <t xml:space="preserve">Se realizaron  siete capacitaciones durante el segundo trimestre   del 2018,  los cuales,  fueron desarrolladas para los  funcionarios de la Entidad sin ningún gasto. 
1. Capacitación  de Excel intermedio dictada por  SENA.
2. Capacitación gestión  preventiva disciplinaria dictada por control interno disciplinario ADRES
3. Capacitación de Excel  avanzado dictado por el SENA.
4. Capacitación ley de transparencia dictada por la Presidencia de la Republica.
5. Capacitación  coaching de resultados  dictado por Porvenir
6. Capacitación  prevención y control de fuego  y postevacuación dictada por Positiva 
7. capacitación asesoría legal comité  de convivencia  de  ética dictada por Positiva. 
8. Capacitación Excel  avanzado  dictado por el SENA.
</t>
  </si>
  <si>
    <t>Falta incluir la ejecución presupuestal del mes de marzo, dado que a pesar de los requerimientos, no han radicado factura. Se incluye ejecución del mes de diciembre, con pago en el mes de enero del contrato. De otra parte se informa que de acuerdo al contrato realizado a través de Colombia compra eficiente, mediante acuerdo marco de precios, Centro de Contacto, se estableció que el Nivel de Servicio será de 70/30 es decir el 70% de las llamadas se atenderán antes de 30 segundos; y el Nivel de atención 95/5, es decir que se deben atender el 95% de todas las llamadas entrantes. Debido al no cubrimiento del ANS, el comité directivo de la entidad aprobó la modificación del horario de atención de la línea que se encontraba dispuesta 7 días a la semana, 24 horas al día y se modificó para atender en el horario de lunes a viernes de 7:00 a.m. a 6:00 p.m. y sábados de 8:00 a.m. a 1:00 p.m. en jornada continua. el puesto de trabajo en el horario festivos domingos y horario nocturno, al eliminarlo de este horario representó incrementar la línea en tres agentes durante el nuevo horario de atención.</t>
  </si>
  <si>
    <t>Las PQRSD que ingresan por el canal virtual, son radicadas en el SGD para su respetivo tramite por parte de las áreas competentes. Las PQRSD que No son competencia de la entidad, así como las respuestas directas, son atendidas por Atención al Ciudadano</t>
  </si>
  <si>
    <t>Se ha venido ejecutando de conformidad con los compromisos. El contrato se adicionó y prorrogó por dos meses a partir de septiembre a octubre de 2018</t>
  </si>
  <si>
    <t>"Se dio cumplimiento al avance del 24% en el Trimestre correspondiente a la realización de 4 informes para dar respuesta a los Requerimientos Legales Externos. En la ruta One Drive EVIDENCIAS/Trimestre II/11800-3-3-1 se encuentran 4 carpetas con los respectivos informes y soportes de cumplimiento. 1. Seguimiento al Plan de Mejoramiento con la Contraloría General de la República, cargue al SIRECI e informe de resultados. Resolución 7350 del 29 de noviembre de 2013 2. Revisión y envío de la Gestión Contractual del Trimestre a la CGR, a través del SIRECI (Resolución 7350 del 29 de noviembre de 2013 3. Expedir certificación dirigida a  la AGENCIA NACIONAL DE DEFENSA JURIDICA DEL ESTADO sobre registro de gestión e información Litigiosa en el Sistema Único de Gestión e Información Litigiosa del Estado(E-KOGUI) , en cumplimiento a lo ordenado por el Decreto 2052 de 16 de Octubre de 2014 4. Seguimiento y Evaluación Mapa de Riesgos Institucional y de corrupción. Ley 1474 de 2011-Decreto 124 del 2016- Guía para la Gestión de Riesgos de Corrupción 2015. "</t>
  </si>
  <si>
    <t>El procedimiento de acciones constitucionales se aprobó en el segundo trimestre (15/jun/2018); se anexa evidencia en este trimestre</t>
  </si>
  <si>
    <t>De conformidad con lo establecido en el contrato, CENTRAL DE INVERSIONES S.A. - CISA S.A.,  presento ajuste al precio mediante comunicación RAD. 000005007500 del 27 de febrero.  
ADRES envía a través de la comunicación rad. 000005007500 del 22 de marzo del 2018 presentó respuesta a la solicitud de ajuste.
Nuevamente CENTRAL DE INVERSIONES S.A. - CISA S.A., mediante comunicación rad. 000008329000  y rad. 000009117400 del 17 y 31 de mayo  del año en curso presenta observaciones a la respuesta presentada por la ADRES.
ADRES envía a través de la comunicación rad. 0000011922 del 14 de junio del 2018 presentó respuesta y se llevo a cabo la conciliación con funcionarios de CENTRAL DE INVERSIONES S.A. - CISA S.A.
 Finalmente mediante comunicación Rad. 000010735800 del 6 de julio de 2018  CENTRAL DE INVERSIONES S.A. - CISA S.A.
informa que adelanta el proceso de pago, para tal efecto remite los formularios establecidos para llevar a cabo dicho pago por el valor de $ 61.834.473.   
  </t>
  </si>
  <si>
    <t>El día 13  de septiembre en cumplimiento de la reunión programada, asistió el Doctor Jaime Salas en representación CISA SA , donde el Doctor Juan José Ramírez jefe de la Oficina Asesora Jurídica  reitero la  valoración de la cartera que fue  entregada en el mes de enero del presente año así mismo le solicitó presente una comunicación mediante las cual  explique las razones por las cuales esta a la fecha no a sido  presentada, la no valoración de la cartera a acarreado el incumplimiento entre otros el plan de acción para la Oficina Asesora Jurídica .</t>
  </si>
  <si>
    <t>De conformidad con lo establecido en el contrato, CENTRAL DE INVERSIONES S.A. - CISA S.A.,  presento ajuste al precio mediante comunicación RAD. 000005007500 del 27 de febrero.  
ADRES envía a través de la comunicación rad. 000005007500 del 22 de marzo del 2018 presentó  respuesta a la solicitud de ajuste.
Nuevamente CENTRAL DE INVERSIONES S.A. - CISA S.A., mediante comunicación rad. 000008329000  y rad. 000009117400 del 17 y 31 de mayo  del año en curso presenta observaciones a la respuesta presentada por la ADRES.
ADRES envía a través de la comunicación rad. 0000011922 del 14 de junio del 2018 presentó respuesta y se llevo a cabo la conciliación con funcionarios de CENTRAL DE INVERSIONES S.A. - CISA S.A.
 Finalmente mediante comunicación Rad. 000010735800 del 6 de julio de 2018  CENTRAL DE INVERSIONES S.A. - CISA S.A.
informa que adelanta el proceso de pago, para tal efecto remite los formularios establecidos para llevar a cabo dicho pago por el valor de $ 61.834.473.   
  </t>
  </si>
  <si>
    <t>El día 13  de septiembre en cumplimiento de la reunión programada, asistió el Doctor Jaime Salas en representación CISA SA , donde el Doctor Juan José Ramírez jefe de la Oficina Asesora Jurídica  reitero la  valoración de la cartera que fue  entregada en el mes de enero del presente año así mismo le solicitó presente una comunicación mediante las cual  explique las razones por las cuales esta a la fecha no a sido  presentada, la no valoración de la cartera a acarreado el incumplimiento entre otros el plan de acción para la Oficina Asesora Jurídica</t>
  </si>
  <si>
    <t>Sobre el tema, es del caso informar que adelantado el proceso de depuración se encontraron 1618 terceros  los cuales se radico un oficio Rad. 1729200 al Instituto Agustín Codazzi el día 5 de septiembre del presente año solicitando la información de estudio de bienes a terceros fallecidos, en reiteradas ocasiones se a llamado al instituto no se a logrado comunicación con la persona encargada para agilizar el proceso. </t>
  </si>
  <si>
    <t>La política de riesgos fue estructurada durante el primer trimestre del año, y aprobada por el Comité Institucional de Coordinación de Control Interno, lo cual se evidencia en el Acta No. 1 de las sesiones de este comité efectuadas el 21 y el 22 de marzo. Esta acta se encuentra en la carpeta de evidencias de esta actividad en el sitio One Drive.</t>
  </si>
  <si>
    <t>La política de riesgos fue publicada en la página Web según consta en el correo electrónico de solicitud y en la evidencia que muestra el pantallazo de la resolución publicada en la sección de Normatividad de la página Web de la ADRES.  </t>
  </si>
  <si>
    <t>Se elaboró un preliminar en la construcción al mapa de riesgos que contiene únicamente procesos misionales.</t>
  </si>
  <si>
    <t>"Se logró una reunión con algún personal de la Función Publica donde se expusieron alguna inquietudes generadas en la construcción al mapa de riesgos y donde se recibieron recomendaciones en la construcción al mapa de riesgos de la ADRES en  temas como política, gestión y controles. Así mismo se socializó mapa mediante correo electrónico con la OCI la cual remitió recomendaciones para ajustar el instrumento."</t>
  </si>
  <si>
    <t>A partir del mes de Julio se inicio hacer seguimiento a los riesgos de corrupción de la DGRFS, dado lo anterior el mes julio fue una prueba piloto y se empezó a reportar desde el mes de Agosto. </t>
  </si>
  <si>
    <t>Dado los requerimientos  al interior de la DGRFS no se han identificado nuevos riesgos a los ya relacionados dentro del mapa de riesgos de la dirección, por lo tanto no se han solicitado cambios ni actualizaciones al respecto.</t>
  </si>
  <si>
    <t>No se presenta necesidad de ajuste del mapa de riesgos de corrupción</t>
  </si>
  <si>
    <t>A través de correo remitido el 17 de Agosto, se solicitó realizar un ajuste en el Control No. 1 del Riesgo # 2 del  Mapa de Riesgos de la OCI. En la Carpeta OneDrive EVIDENCIAS/Trimestre II/11800-2-4-1C</t>
  </si>
  <si>
    <t>" Se consolidó información en fichas de caracterización (metodología del DAFP, DNP, Gobierno en Línea, secretaría de la Transparencia y el PNSC), para el ejercicio y se desarrollo presentación con las generalidades de la caracterización de usuarios y partes interesadas para la rendición de Cuentas. Evidencia: Caracterización de Ciudadanos y grupos de Interés para el proceso de rendición de cuentas de ADRES."</t>
  </si>
  <si>
    <t>Se realizó campaña  de divulgación en redes sociales incentivando a la  ciudadanía a participar en el ejercicio de rendición de cuentas de la ADRES. Se emitieron 17 mensajes, previos a la fecha de la audiencia pública.</t>
  </si>
  <si>
    <t>Se ha socializado a través de la pagina web información sobre nuestros canales de atención. El 18/06/2018 se actualización del footer de la página web, EL 27 DE JUNIO se publica aviso en el Popup de la página informando los nuevos canales de atención y el 6 de junio se publicó el Popup en la página web sobre nuestros canales de atención.  Se adjuntan evidencias en el III trimestre dado que en el II no hay las carpetas</t>
  </si>
  <si>
    <t>Se aprobó la puesta en operación de un nuevo canal de atención para los usuarios, consistente en la habilitación del Formulario de PQRSD a través de dispositivos móviles, el cual fue aprobado por la Asesora de Comunicaciones de la Entidad Se socializó por Twitter el 6 de septiembre.</t>
  </si>
  <si>
    <t>Se realizó la caracterización del proceso PQRSD de la Adres, Gestión Servicio al Ciudad</t>
  </si>
  <si>
    <t xml:space="preserve">Como acción para actualización normativa de servicio al ciudadano, se socializó con el equipo de atención al ciudadano del Callcenter y canal presencial los  lineamientos normativos de la nueva versión de Protocolos de Atención al Usuario diseñados por el DNP-PNSC  y se convocó a la capacitación dictada por el DNP.-PNSC a la que asistieron Luz Marina Alarcón  contratista de Atención al ciudadano y los Agentes  Diana Paola Arango CC 1022982439 y Supervisor Fabian esteban Antonio López CC 80192487
</t>
  </si>
  <si>
    <t>Carta e Trato digno actualizada y publicada por nombramiento del Director Carlos Mario Ramírez. Publicada en la Pagina web en transparencia y Portal Ciudadano</t>
  </si>
  <si>
    <t>Información contenida en la Resolución 668 de 2018 y publicada en la página web</t>
  </si>
  <si>
    <t>La acción es una tarea conjunta con Dirección Administrativa y Financiera. Se expidió resolución para adelantar la definición y formalización (ver evidencia anexa)</t>
  </si>
  <si>
    <t>Se encuentra en página de la ADRES, en la ruta transparencia información de interés-datos abiertos- código de integridad (ética)</t>
  </si>
  <si>
    <t xml:space="preserve">
31 de julio  concurso código de integridad</t>
  </si>
  <si>
    <t>Piezas de recordación  al  correo electrónico a todos los  funcionarios y  contratistas.
Se realizaron 2 piezas adicionales</t>
  </si>
  <si>
    <t>"Después del acercamiento  con la función publica se evidenciaron dentro de la DGRFS un Trámite y un Opa que se pueden consultar en los siguientes Links:   Tramite: Estado de cuenta ET. http://visor.suit.gov.co/VisorSUIT/index.jsf?FI=63289 Opa: Registro y modificación de cuentas bancarias para giro Directo. http://visor.suit.gov.co/VisorSUIT/index.jsf?FI=63288"</t>
  </si>
  <si>
    <t>Se desarrollaron e implementaron dos trámites administrativos - OPA, en los procesos de prestaciones económicas y devolución de aportes de Régimen Especial y de Excepción los cuales se encuentran publicados en la página web de la ADRES</t>
  </si>
  <si>
    <t xml:space="preserve">El resultado del indicador refleja la documentación transferida en el tercer trimestre de 2018 correspondiente a la  serie documental Tutelas por ser el acervo documental más representativo (70% de la documentación total) del 1° de agosto al 30 de noviembre,  con respecto a la documentación total recibida y producida entre el 1° de agosto y el 31 de diciembre de 2017.
El contratista encargado del proceso de gestión documental fue multado por la ADRES mediante Resolución 3477 del 29 de agosto de 2018, entre otros aspectos, por no haber realizado el alistamiento del archivo de gestión de la documentación recibida y producida entre el 1° de agosto de 2017 y el 31 de agosto de 2018.
</t>
  </si>
  <si>
    <t>Durante el tercer trimestre no hubo avance de esta actividad, dado que el contrato de consultoría para la elaboración e implementación e las NIIF fue firmado el 05 de octubre de 2018 con la Entidad Accounting Control Advisers S.A.S.</t>
  </si>
  <si>
    <t>Publicación en un diario impreso de alta circulación y cobertura nacional, las publicaciones que requiera la entidad.</t>
  </si>
  <si>
    <t>Prestación del servicio de Publicación en un diario impreso de alta circulación y cobertura nacional, las publicaciones que requiera la entidad.</t>
  </si>
  <si>
    <t>Se destacan los resultados de la perspectiva de Enfoque a clientes y otras partes interesadas con un cumplimiento del 93% ; así como de la perspectiva de Aprendizaje y Desarrollo con un cumplimiento del 82%. En la primera perspectiva, estos resultados se dan principalmente por el cumplimiento de las metas de las actividades relacionadas con atención al ciudadano, rendición de cuentas y presentación de información de manera oportuna, clara y transparencia a entes externos. En la segunda perspectiva se destaca la contribución de las capacitaciones realizadas por la entidad en competencias y en temas de conocimiento general; así mismo, la contribución de las socializaciones que se realizan a los colaboradores en los diferentes temas y metodologías de apoyo que produce la entidad.</t>
  </si>
  <si>
    <t>Se destacan los resultados  acumulados de la perspectiva de Enfoque a clientes y otras partes interesadas con un cumplimiento del 91%; así como de la perspectiva de Aprendizaje y Desarrollo con un cumplimiento del 87% y la perspectiva de Procesos internos con un 86%. En la primera perspectiva, estos resultados se dan principalmente por el cumplimiento de las metas de las actividades relacionadas con atención al ciudadano, rendición de cuentas y presentación de información de manera oportuna, clara y transparencia a entes externos. En la segunda perspectiva se destaca la contribución de las capacitaciones realizadas por la entidad en competencias y en temas de conocimiento general; así mismo, la contribución de las socializaciones que se realizan a los colaboradores en los diferentes temas y metodologías de apoyo que produce la entidad. El resultado de la tercera perspectiva se debe principalmente a la definición y documentación de procesos y procedimientos, y a la ejecución de los misma en la operación de la ADRES.</t>
  </si>
  <si>
    <t xml:space="preserve">Se destaca el cumplimiento acumulado de los objetivos estratégicos: Optimización de procesos de recaudo, administración y pago de recursos, Calidad y oportunidad procesos de reconocimiento, prestaciones excepcionales y financiamiento, Garantizar la adecuación institucional mediante actividades transversales que complementen y sustenten el desempeño de los procesos misionales y estratégicos, así como el seguimiento continuo al cumplimiento de los objetivos de la Entidad, y seguimiento y reporte al cumplimiento del Plan de Acción, con unos resultados al término del trimestre de 93%, 87% y 100% respectivamente; así como el aporte de cada dependencia al Plan de Acción. </t>
  </si>
  <si>
    <t>Se modifica la actividad 11600-3-6-1 en el valor asignado dado que según memorando 17974 del 20 de Septiembre de 2018,  se solicitó la liberación de $816.000.000.
Así mismo, este valor se incluye en la actividad 11700-2-2-6.</t>
  </si>
  <si>
    <t>"Se modifica la actividad 11600-3-9-1 en el valor asignado dado que según memorando 17974 del 20 de Septiembre de 2018,  se solicitó la liberación de: * Código 81111801 UNSPSC: $64.250.440 * Código 81111801 UNSPSC: $64.250.440 * Código 81111801 UNSPSC: $64.250.440 * Código 81111801 UNSPSC: $41.094.712 Lo anterior en relación con los contratistas adicionales que se encontraban originalmente dentro de esta actividad.  "
Así mismo, estos valores se incluyen en la actividad 11700-2-2-6.</t>
  </si>
  <si>
    <t>Coordinador(a) Grupo Interno de Contratación</t>
  </si>
  <si>
    <t>Norela Briceño
Leidy Beltrán</t>
  </si>
  <si>
    <t>Coordinador(a) Grupo Interno de Contratación
Coordinador(a) Grupo de Gestión Financiera Interna</t>
  </si>
  <si>
    <t>Coordinador Grupo Interno de Gestión del Talento Humano
Coordinador(a) Grupo Interno de Contratación
Subdirectora de Liquidaciones
Coordinador del Grupo de Acciones Constitucionales y de Tutela</t>
  </si>
  <si>
    <t>Claudia Fernández
Gestor de Operaciones Dirección de Otras Prestaciones
Norela Briceño
Gestor de Operaciones OAPCR</t>
  </si>
  <si>
    <t>Se retiran $22.000.000 de la actividad 11700-2-15-1, y se adicionan $5.779.619 de acuerdo con el memorando de radicado No. 17951 del 20/09/2018.
Estos ajustes se reflejan a su vez en el valor de la actividad 11700-2-2-6.</t>
  </si>
  <si>
    <t>Coordinador Grupo Gestión Administrativa y Documental</t>
  </si>
  <si>
    <t>Miguel Ángel Camacho
Johanna Contreras</t>
  </si>
  <si>
    <t>Leidy Beltrán
Técnico Administrativo Grupo de Gestión de Contratación</t>
  </si>
  <si>
    <t>Yuly Gómez
Coordinadora Grupo de Gestión Financiera Interna</t>
  </si>
  <si>
    <t>IV 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</si>
</sst>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 #,##0;[Red]\-&quot;$&quot;\ #,##0"/>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 #,##0.00_-;\-* #,##0.00_-;_-* &quot;-&quot;_-;_-@_-"/>
    <numFmt numFmtId="166" formatCode="_-* #,##0.000_-;\-* #,##0.000_-;_-* &quot;-&quot;_-;_-@_-"/>
    <numFmt numFmtId="167" formatCode="0.0"/>
    <numFmt numFmtId="168" formatCode="0.0%"/>
    <numFmt numFmtId="169" formatCode="#,##0_ ;\-#,##0\ "/>
    <numFmt numFmtId="170" formatCode="_-* #,##0.000_-;\-* #,##0.000_-;_-* &quot;-&quot;???_-;_-@_-"/>
    <numFmt numFmtId="171" formatCode="[$$-240A]#,##0;[Red][$$-240A]#,##0"/>
    <numFmt numFmtId="172" formatCode="_-[$$-409]* #,##0.00_ ;_-[$$-409]* \-#,##0.00\ ;_-[$$-409]* &quot;-&quot;??_ ;_-@_ "/>
    <numFmt numFmtId="173" formatCode="&quot;$&quot;\ #,##0"/>
    <numFmt numFmtId="174" formatCode="_-[$$-240A]* #,##0.00_-;\-[$$-240A]* #,##0.00_-;_-[$$-240A]* &quot;-&quot;??_-;_-@_-"/>
    <numFmt numFmtId="175" formatCode="_-* #,##0\ _€_-;\-* #,##0\ _€_-;_-* &quot;-&quot;??\ _€_-;_-@_-"/>
  </numFmts>
  <fonts count="117" x14ac:knownFonts="1">
    <font>
      <sz val="11"/>
      <color theme="1"/>
      <name val="Calibri"/>
      <family val="2"/>
      <scheme val="minor"/>
    </font>
    <font>
      <b/>
      <sz val="9"/>
      <color theme="0"/>
      <name val="Arial"/>
      <family val="2"/>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sz val="10"/>
      <color theme="1"/>
      <name val="Calibri"/>
      <family val="2"/>
      <scheme val="minor"/>
    </font>
    <font>
      <b/>
      <sz val="10"/>
      <color theme="1"/>
      <name val="Verdana"/>
      <family val="2"/>
    </font>
    <font>
      <b/>
      <sz val="11"/>
      <color rgb="FFFF0000"/>
      <name val="Calibri"/>
      <family val="2"/>
      <scheme val="minor"/>
    </font>
    <font>
      <sz val="11"/>
      <name val="Calibri"/>
      <family val="2"/>
      <scheme val="minor"/>
    </font>
    <font>
      <b/>
      <sz val="9"/>
      <color indexed="81"/>
      <name val="Tahoma"/>
      <family val="2"/>
    </font>
    <font>
      <sz val="9"/>
      <color indexed="81"/>
      <name val="Tahoma"/>
      <family val="2"/>
    </font>
    <font>
      <sz val="11"/>
      <color rgb="FFFF0000"/>
      <name val="Calibri"/>
      <family val="2"/>
      <scheme val="minor"/>
    </font>
    <font>
      <sz val="8"/>
      <color theme="1" tint="0.499984740745262"/>
      <name val="Calibri"/>
      <family val="2"/>
      <scheme val="minor"/>
    </font>
    <font>
      <sz val="9"/>
      <color theme="1"/>
      <name val="Calibri"/>
      <family val="2"/>
      <scheme val="minor"/>
    </font>
    <font>
      <b/>
      <sz val="8"/>
      <color rgb="FF0000FF"/>
      <name val="Calibri"/>
      <family val="2"/>
      <scheme val="minor"/>
    </font>
    <font>
      <sz val="8.5"/>
      <color theme="1"/>
      <name val="Calibri"/>
      <family val="2"/>
      <scheme val="minor"/>
    </font>
    <font>
      <b/>
      <sz val="9"/>
      <color rgb="FF000000"/>
      <name val="Calibri"/>
      <family val="2"/>
      <scheme val="minor"/>
    </font>
    <font>
      <sz val="10"/>
      <color theme="1"/>
      <name val="Arial"/>
      <family val="2"/>
    </font>
    <font>
      <u/>
      <sz val="10"/>
      <color theme="10"/>
      <name val="Arial"/>
      <family val="2"/>
    </font>
    <font>
      <sz val="11"/>
      <color theme="4" tint="-0.249977111117893"/>
      <name val="Calibri"/>
      <family val="2"/>
      <scheme val="minor"/>
    </font>
    <font>
      <b/>
      <sz val="11"/>
      <color indexed="81"/>
      <name val="Tahoma"/>
      <family val="2"/>
    </font>
    <font>
      <b/>
      <sz val="10"/>
      <color indexed="81"/>
      <name val="Tahoma"/>
      <family val="2"/>
    </font>
    <font>
      <b/>
      <sz val="10"/>
      <name val="Arial"/>
      <family val="2"/>
    </font>
    <font>
      <sz val="11"/>
      <name val="Arial"/>
      <family val="2"/>
    </font>
    <font>
      <b/>
      <sz val="11"/>
      <color theme="4"/>
      <name val="Calibri"/>
      <family val="2"/>
      <scheme val="minor"/>
    </font>
    <font>
      <u/>
      <sz val="11"/>
      <color theme="10"/>
      <name val="Calibri"/>
      <family val="2"/>
      <scheme val="minor"/>
    </font>
    <font>
      <b/>
      <u/>
      <sz val="11"/>
      <color rgb="FF175099"/>
      <name val="Calibri"/>
      <family val="2"/>
      <scheme val="minor"/>
    </font>
    <font>
      <u/>
      <sz val="11"/>
      <color rgb="FF175099"/>
      <name val="Calibri"/>
      <family val="2"/>
      <scheme val="minor"/>
    </font>
    <font>
      <sz val="11"/>
      <color theme="1"/>
      <name val="Arial"/>
      <family val="2"/>
    </font>
    <font>
      <sz val="12"/>
      <color theme="1"/>
      <name val="Arial"/>
      <family val="2"/>
    </font>
    <font>
      <b/>
      <sz val="10"/>
      <color theme="1"/>
      <name val="Arial"/>
      <family val="2"/>
    </font>
    <font>
      <b/>
      <sz val="12"/>
      <color theme="1"/>
      <name val="Arial"/>
      <family val="2"/>
    </font>
    <font>
      <b/>
      <sz val="11"/>
      <color theme="1"/>
      <name val="Arial"/>
      <family val="2"/>
    </font>
    <font>
      <sz val="11"/>
      <color rgb="FFFF0000"/>
      <name val="Arial"/>
      <family val="2"/>
    </font>
    <font>
      <b/>
      <sz val="11"/>
      <color theme="0"/>
      <name val="Arial"/>
      <family val="2"/>
    </font>
    <font>
      <sz val="8"/>
      <color theme="1" tint="0.499984740745262"/>
      <name val="Arial"/>
      <family val="2"/>
    </font>
    <font>
      <sz val="9"/>
      <color theme="1"/>
      <name val="Arial"/>
      <family val="2"/>
    </font>
    <font>
      <b/>
      <sz val="9"/>
      <color rgb="FF000000"/>
      <name val="Arial"/>
      <family val="2"/>
    </font>
    <font>
      <b/>
      <sz val="12"/>
      <name val="Verdana"/>
      <family val="2"/>
    </font>
    <font>
      <sz val="12"/>
      <color theme="1"/>
      <name val="Verdana"/>
      <family val="2"/>
    </font>
    <font>
      <b/>
      <sz val="14"/>
      <color indexed="9"/>
      <name val="Verdana"/>
      <family val="2"/>
    </font>
    <font>
      <sz val="14"/>
      <color theme="1"/>
      <name val="Verdana"/>
      <family val="2"/>
    </font>
    <font>
      <b/>
      <sz val="14"/>
      <name val="Verdana"/>
      <family val="2"/>
    </font>
    <font>
      <sz val="11"/>
      <color theme="1"/>
      <name val="Verdana"/>
      <family val="2"/>
    </font>
    <font>
      <b/>
      <sz val="14"/>
      <color theme="1"/>
      <name val="Verdana"/>
      <family val="2"/>
    </font>
    <font>
      <sz val="11"/>
      <color indexed="8"/>
      <name val="Verdana"/>
      <family val="2"/>
    </font>
    <font>
      <b/>
      <sz val="10"/>
      <name val="Verdana"/>
      <family val="2"/>
    </font>
    <font>
      <sz val="10"/>
      <color theme="1" tint="0.499984740745262"/>
      <name val="Verdana"/>
      <family val="2"/>
    </font>
    <font>
      <sz val="10"/>
      <color theme="1"/>
      <name val="Verdana"/>
      <family val="2"/>
    </font>
    <font>
      <b/>
      <sz val="10"/>
      <color rgb="FF000000"/>
      <name val="Verdana"/>
      <family val="2"/>
    </font>
    <font>
      <b/>
      <sz val="12"/>
      <color indexed="18"/>
      <name val="Verdana"/>
      <family val="2"/>
    </font>
    <font>
      <sz val="12"/>
      <color indexed="8"/>
      <name val="Verdana"/>
      <family val="2"/>
    </font>
    <font>
      <sz val="9"/>
      <color theme="1"/>
      <name val="Verdana"/>
      <family val="2"/>
    </font>
    <font>
      <b/>
      <sz val="16"/>
      <color indexed="9"/>
      <name val="Verdana"/>
      <family val="2"/>
    </font>
    <font>
      <b/>
      <sz val="12"/>
      <color indexed="9"/>
      <name val="Verdana"/>
      <family val="2"/>
    </font>
    <font>
      <b/>
      <sz val="10"/>
      <color indexed="9"/>
      <name val="Verdana"/>
      <family val="2"/>
    </font>
    <font>
      <b/>
      <sz val="11"/>
      <color indexed="8"/>
      <name val="Verdana"/>
      <family val="2"/>
    </font>
    <font>
      <sz val="11"/>
      <color rgb="FF175099"/>
      <name val="Verdana"/>
      <family val="2"/>
    </font>
    <font>
      <sz val="11"/>
      <name val="Verdana"/>
      <family val="2"/>
    </font>
    <font>
      <sz val="12"/>
      <name val="Verdana"/>
      <family val="2"/>
    </font>
    <font>
      <b/>
      <sz val="11"/>
      <color indexed="18"/>
      <name val="Verdana"/>
      <family val="2"/>
    </font>
    <font>
      <b/>
      <sz val="12"/>
      <color indexed="8"/>
      <name val="Verdana"/>
      <family val="2"/>
    </font>
    <font>
      <sz val="11"/>
      <color rgb="FF00B050"/>
      <name val="Verdana"/>
      <family val="2"/>
    </font>
    <font>
      <sz val="16"/>
      <color indexed="8"/>
      <name val="Verdana"/>
      <family val="2"/>
    </font>
    <font>
      <b/>
      <sz val="16"/>
      <color indexed="8"/>
      <name val="Verdana"/>
      <family val="2"/>
    </font>
    <font>
      <b/>
      <sz val="14"/>
      <color indexed="8"/>
      <name val="Verdana"/>
      <family val="2"/>
    </font>
    <font>
      <b/>
      <sz val="16"/>
      <name val="Verdana"/>
      <family val="2"/>
    </font>
    <font>
      <b/>
      <sz val="11"/>
      <color rgb="FF175099"/>
      <name val="Verdana"/>
      <family val="2"/>
    </font>
    <font>
      <sz val="10"/>
      <color indexed="8"/>
      <name val="Verdana"/>
      <family val="2"/>
    </font>
    <font>
      <sz val="14"/>
      <color indexed="8"/>
      <name val="Verdana"/>
      <family val="2"/>
    </font>
    <font>
      <b/>
      <sz val="20"/>
      <color indexed="8"/>
      <name val="Verdana"/>
      <family val="2"/>
    </font>
    <font>
      <b/>
      <sz val="20"/>
      <name val="Verdana"/>
      <family val="2"/>
    </font>
    <font>
      <sz val="11"/>
      <color indexed="8"/>
      <name val="Arial"/>
      <family val="2"/>
    </font>
    <font>
      <b/>
      <sz val="10"/>
      <color indexed="8"/>
      <name val="Verdana"/>
      <family val="2"/>
    </font>
    <font>
      <b/>
      <sz val="9"/>
      <color indexed="8"/>
      <name val="Verdana"/>
      <family val="2"/>
    </font>
    <font>
      <sz val="11"/>
      <color theme="1"/>
      <name val="Arial Narrow"/>
      <family val="2"/>
    </font>
    <font>
      <b/>
      <sz val="8"/>
      <color theme="1"/>
      <name val="Verdana"/>
      <family val="2"/>
    </font>
    <font>
      <b/>
      <sz val="9"/>
      <color theme="1"/>
      <name val="Verdana"/>
      <family val="2"/>
    </font>
    <font>
      <b/>
      <u/>
      <sz val="11"/>
      <color theme="1"/>
      <name val="Verdana"/>
      <family val="2"/>
    </font>
    <font>
      <b/>
      <sz val="9"/>
      <color theme="0"/>
      <name val="Verdana"/>
      <family val="2"/>
    </font>
    <font>
      <sz val="10"/>
      <name val="Verdana"/>
      <family val="2"/>
    </font>
    <font>
      <i/>
      <sz val="10"/>
      <name val="Verdana"/>
      <family val="2"/>
    </font>
    <font>
      <u/>
      <sz val="10"/>
      <name val="Verdana"/>
      <family val="2"/>
    </font>
    <font>
      <b/>
      <sz val="14"/>
      <color theme="0"/>
      <name val="Verdana"/>
      <family val="2"/>
    </font>
    <font>
      <sz val="14"/>
      <name val="Verdana"/>
      <family val="2"/>
    </font>
    <font>
      <i/>
      <sz val="10"/>
      <color rgb="FFFF0000"/>
      <name val="Verdana"/>
      <family val="2"/>
    </font>
    <font>
      <i/>
      <sz val="10"/>
      <color theme="1"/>
      <name val="Verdana"/>
      <family val="2"/>
    </font>
    <font>
      <sz val="10"/>
      <color rgb="FFFF0000"/>
      <name val="Verdana"/>
      <family val="2"/>
    </font>
    <font>
      <b/>
      <sz val="10"/>
      <color rgb="FFFF0000"/>
      <name val="Verdana"/>
      <family val="2"/>
    </font>
    <font>
      <sz val="10"/>
      <color rgb="FF000000"/>
      <name val="Verdana"/>
      <family val="2"/>
    </font>
    <font>
      <u/>
      <sz val="10"/>
      <color theme="4"/>
      <name val="Verdana"/>
      <family val="2"/>
    </font>
    <font>
      <u/>
      <sz val="10"/>
      <color rgb="FF3333FF"/>
      <name val="Verdana"/>
      <family val="2"/>
    </font>
    <font>
      <sz val="11"/>
      <color theme="0"/>
      <name val="Verdana"/>
      <family val="2"/>
    </font>
    <font>
      <b/>
      <sz val="12"/>
      <color theme="0"/>
      <name val="Verdana"/>
      <family val="2"/>
    </font>
    <font>
      <b/>
      <sz val="11"/>
      <color theme="0"/>
      <name val="Verdana"/>
      <family val="2"/>
    </font>
    <font>
      <b/>
      <sz val="16"/>
      <color theme="0"/>
      <name val="Verdana"/>
      <family val="2"/>
    </font>
    <font>
      <b/>
      <sz val="20"/>
      <color theme="0"/>
      <name val="Verdana"/>
      <family val="2"/>
    </font>
    <font>
      <b/>
      <sz val="10"/>
      <color theme="0"/>
      <name val="Verdana"/>
      <family val="2"/>
    </font>
    <font>
      <sz val="11"/>
      <color rgb="FF33569D"/>
      <name val="Verdana"/>
      <family val="2"/>
    </font>
    <font>
      <sz val="10"/>
      <color theme="3"/>
      <name val="Verdana"/>
      <family val="2"/>
    </font>
    <font>
      <sz val="11"/>
      <color theme="3"/>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9"/>
      <name val="Verdana"/>
      <family val="2"/>
    </font>
    <font>
      <sz val="9"/>
      <name val="Calibri"/>
      <family val="2"/>
      <scheme val="minor"/>
    </font>
  </fonts>
  <fills count="61">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5"/>
        <bgColor indexed="64"/>
      </patternFill>
    </fill>
    <fill>
      <patternFill patternType="solid">
        <fgColor rgb="FFFFFF00"/>
        <bgColor indexed="64"/>
      </patternFill>
    </fill>
    <fill>
      <patternFill patternType="solid">
        <fgColor rgb="FF92D050"/>
        <bgColor indexed="64"/>
      </patternFill>
    </fill>
    <fill>
      <patternFill patternType="solid">
        <fgColor rgb="FFDBE5F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808080"/>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rgb="FFFF0000"/>
        <bgColor indexed="64"/>
      </patternFill>
    </fill>
    <fill>
      <patternFill patternType="solid">
        <fgColor indexed="30"/>
        <bgColor indexed="64"/>
      </patternFill>
    </fill>
    <fill>
      <patternFill patternType="solid">
        <fgColor indexed="9"/>
        <bgColor indexed="64"/>
      </patternFill>
    </fill>
    <fill>
      <patternFill patternType="solid">
        <fgColor indexed="44"/>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175099"/>
        <bgColor indexed="64"/>
      </patternFill>
    </fill>
    <fill>
      <patternFill patternType="solid">
        <fgColor rgb="FF00ACCA"/>
        <bgColor indexed="64"/>
      </patternFill>
    </fill>
    <fill>
      <patternFill patternType="solid">
        <fgColor rgb="FF00B050"/>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9">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83">
    <xf numFmtId="0" fontId="0" fillId="0" borderId="0"/>
    <xf numFmtId="9" fontId="2" fillId="0" borderId="0" applyFont="0" applyFill="0" applyBorder="0" applyAlignment="0" applyProtection="0"/>
    <xf numFmtId="0" fontId="5" fillId="0" borderId="0"/>
    <xf numFmtId="41" fontId="2" fillId="0" borderId="0" applyFont="0" applyFill="0" applyBorder="0" applyAlignment="0" applyProtection="0"/>
    <xf numFmtId="0" fontId="7" fillId="11" borderId="0" applyNumberFormat="0" applyBorder="0" applyProtection="0">
      <alignment horizontal="center" vertical="center"/>
    </xf>
    <xf numFmtId="42" fontId="2" fillId="0" borderId="0" applyFont="0" applyFill="0" applyBorder="0" applyAlignment="0" applyProtection="0"/>
    <xf numFmtId="0" fontId="7" fillId="14" borderId="1" applyNumberFormat="0" applyProtection="0">
      <alignment horizontal="left" vertical="center" wrapText="1"/>
    </xf>
    <xf numFmtId="0" fontId="18" fillId="0" borderId="0"/>
    <xf numFmtId="164"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19"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1" fontId="2" fillId="0" borderId="0" applyFont="0" applyFill="0" applyBorder="0" applyAlignment="0" applyProtection="0"/>
    <xf numFmtId="0" fontId="5" fillId="0" borderId="0"/>
    <xf numFmtId="0" fontId="102" fillId="0" borderId="0" applyNumberFormat="0" applyFill="0" applyBorder="0" applyAlignment="0" applyProtection="0"/>
    <xf numFmtId="0" fontId="103" fillId="0" borderId="80" applyNumberFormat="0" applyFill="0" applyAlignment="0" applyProtection="0"/>
    <xf numFmtId="0" fontId="104" fillId="0" borderId="81" applyNumberFormat="0" applyFill="0" applyAlignment="0" applyProtection="0"/>
    <xf numFmtId="0" fontId="105" fillId="0" borderId="82" applyNumberFormat="0" applyFill="0" applyAlignment="0" applyProtection="0"/>
    <xf numFmtId="0" fontId="105" fillId="0" borderId="0" applyNumberFormat="0" applyFill="0" applyBorder="0" applyAlignment="0" applyProtection="0"/>
    <xf numFmtId="0" fontId="106" fillId="30" borderId="0" applyNumberFormat="0" applyBorder="0" applyAlignment="0" applyProtection="0"/>
    <xf numFmtId="0" fontId="107" fillId="31" borderId="0" applyNumberFormat="0" applyBorder="0" applyAlignment="0" applyProtection="0"/>
    <xf numFmtId="0" fontId="108" fillId="32" borderId="0" applyNumberFormat="0" applyBorder="0" applyAlignment="0" applyProtection="0"/>
    <xf numFmtId="0" fontId="109" fillId="33" borderId="83" applyNumberFormat="0" applyAlignment="0" applyProtection="0"/>
    <xf numFmtId="0" fontId="110" fillId="34" borderId="84" applyNumberFormat="0" applyAlignment="0" applyProtection="0"/>
    <xf numFmtId="0" fontId="111" fillId="34" borderId="83" applyNumberFormat="0" applyAlignment="0" applyProtection="0"/>
    <xf numFmtId="0" fontId="112" fillId="0" borderId="85" applyNumberFormat="0" applyFill="0" applyAlignment="0" applyProtection="0"/>
    <xf numFmtId="0" fontId="3" fillId="35" borderId="86" applyNumberFormat="0" applyAlignment="0" applyProtection="0"/>
    <xf numFmtId="0" fontId="12" fillId="0" borderId="0" applyNumberFormat="0" applyFill="0" applyBorder="0" applyAlignment="0" applyProtection="0"/>
    <xf numFmtId="0" fontId="2" fillId="36" borderId="87" applyNumberFormat="0" applyFont="0" applyAlignment="0" applyProtection="0"/>
    <xf numFmtId="0" fontId="113" fillId="0" borderId="0" applyNumberFormat="0" applyFill="0" applyBorder="0" applyAlignment="0" applyProtection="0"/>
    <xf numFmtId="0" fontId="4" fillId="0" borderId="88" applyNumberFormat="0" applyFill="0" applyAlignment="0" applyProtection="0"/>
    <xf numFmtId="0" fontId="114"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114"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114"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114"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114" fillId="53"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114"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41" fontId="2" fillId="0" borderId="0" applyFont="0" applyFill="0" applyBorder="0" applyAlignment="0" applyProtection="0"/>
    <xf numFmtId="42" fontId="2"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1" fontId="2" fillId="0" borderId="0" applyFont="0" applyFill="0" applyBorder="0" applyAlignment="0" applyProtection="0"/>
  </cellStyleXfs>
  <cellXfs count="1693">
    <xf numFmtId="0" fontId="0" fillId="0" borderId="0" xfId="0"/>
    <xf numFmtId="0" fontId="0" fillId="0" borderId="1" xfId="0" applyBorder="1"/>
    <xf numFmtId="0" fontId="0" fillId="0" borderId="1" xfId="0" applyBorder="1" applyAlignment="1">
      <alignment vertical="top"/>
    </xf>
    <xf numFmtId="0" fontId="0" fillId="0" borderId="1" xfId="0" applyBorder="1" applyAlignment="1">
      <alignment vertical="top" wrapText="1"/>
    </xf>
    <xf numFmtId="9" fontId="0" fillId="0" borderId="0" xfId="1" applyFont="1"/>
    <xf numFmtId="0" fontId="0" fillId="0" borderId="0" xfId="0" applyFill="1" applyBorder="1" applyAlignment="1">
      <alignment vertical="top"/>
    </xf>
    <xf numFmtId="0" fontId="0" fillId="0" borderId="1" xfId="0" applyFill="1" applyBorder="1" applyAlignment="1">
      <alignment vertical="top" wrapText="1"/>
    </xf>
    <xf numFmtId="0" fontId="0" fillId="3" borderId="1" xfId="0" applyFill="1" applyBorder="1" applyAlignment="1">
      <alignment vertical="top" wrapText="1"/>
    </xf>
    <xf numFmtId="0" fontId="4" fillId="5" borderId="1" xfId="0" applyFont="1" applyFill="1" applyBorder="1" applyAlignment="1">
      <alignment horizontal="center" vertical="center"/>
    </xf>
    <xf numFmtId="0" fontId="0" fillId="0" borderId="0" xfId="0" applyAlignment="1">
      <alignment vertical="center"/>
    </xf>
    <xf numFmtId="0" fontId="4" fillId="5" borderId="1" xfId="0" applyFont="1" applyFill="1" applyBorder="1" applyAlignment="1">
      <alignment horizontal="center" vertical="center" wrapText="1"/>
    </xf>
    <xf numFmtId="0" fontId="0" fillId="0" borderId="3" xfId="0" applyBorder="1" applyAlignment="1"/>
    <xf numFmtId="0" fontId="1" fillId="8" borderId="1" xfId="0" applyFont="1" applyFill="1" applyBorder="1" applyAlignment="1">
      <alignment horizontal="center" vertical="center" wrapText="1"/>
    </xf>
    <xf numFmtId="9" fontId="0" fillId="7" borderId="1" xfId="1" applyFont="1" applyFill="1" applyBorder="1" applyAlignment="1">
      <alignment vertical="center" wrapText="1"/>
    </xf>
    <xf numFmtId="0" fontId="0" fillId="0" borderId="0" xfId="0" applyAlignment="1">
      <alignment horizontal="center"/>
    </xf>
    <xf numFmtId="9" fontId="0" fillId="6" borderId="1" xfId="1" applyFont="1" applyFill="1" applyBorder="1" applyAlignment="1">
      <alignment vertical="center" wrapText="1"/>
    </xf>
    <xf numFmtId="0" fontId="0" fillId="3" borderId="1" xfId="0" applyFill="1" applyBorder="1"/>
    <xf numFmtId="9" fontId="0" fillId="3" borderId="1" xfId="1" applyFont="1" applyFill="1" applyBorder="1" applyAlignment="1">
      <alignment vertical="center" wrapText="1"/>
    </xf>
    <xf numFmtId="0" fontId="0" fillId="3" borderId="0" xfId="0" applyFill="1"/>
    <xf numFmtId="0" fontId="0" fillId="9" borderId="1" xfId="0" applyFill="1" applyBorder="1" applyAlignment="1">
      <alignment vertical="top" wrapText="1"/>
    </xf>
    <xf numFmtId="41" fontId="0" fillId="0" borderId="0" xfId="3" applyFont="1"/>
    <xf numFmtId="0" fontId="0" fillId="9" borderId="1" xfId="0" applyFill="1" applyBorder="1"/>
    <xf numFmtId="0" fontId="4" fillId="5" borderId="0" xfId="0" applyFont="1" applyFill="1" applyBorder="1" applyAlignment="1">
      <alignment horizontal="center" vertical="center" wrapText="1"/>
    </xf>
    <xf numFmtId="0" fontId="0" fillId="0" borderId="0" xfId="0" applyBorder="1"/>
    <xf numFmtId="0" fontId="0" fillId="0" borderId="4" xfId="0" applyBorder="1" applyAlignment="1">
      <alignment vertical="top" wrapText="1"/>
    </xf>
    <xf numFmtId="0" fontId="0" fillId="0" borderId="6" xfId="0" applyBorder="1" applyAlignment="1">
      <alignment vertical="top" wrapText="1"/>
    </xf>
    <xf numFmtId="0" fontId="0" fillId="0" borderId="8" xfId="0" applyBorder="1" applyAlignment="1">
      <alignment vertical="top" wrapText="1"/>
    </xf>
    <xf numFmtId="0" fontId="0" fillId="9" borderId="8" xfId="0" applyFill="1" applyBorder="1" applyAlignment="1">
      <alignment vertical="top" wrapText="1"/>
    </xf>
    <xf numFmtId="0" fontId="0" fillId="3" borderId="6" xfId="0" applyFill="1" applyBorder="1" applyAlignment="1">
      <alignment vertical="top" wrapText="1"/>
    </xf>
    <xf numFmtId="0" fontId="0" fillId="3" borderId="8" xfId="0" applyFill="1" applyBorder="1" applyAlignment="1">
      <alignment vertical="top" wrapText="1"/>
    </xf>
    <xf numFmtId="0" fontId="0" fillId="3" borderId="12" xfId="0" applyFill="1" applyBorder="1" applyAlignment="1">
      <alignment vertical="top" wrapText="1"/>
    </xf>
    <xf numFmtId="0" fontId="0" fillId="9" borderId="10" xfId="0" applyFill="1" applyBorder="1" applyAlignment="1">
      <alignment vertical="top" wrapText="1"/>
    </xf>
    <xf numFmtId="0" fontId="0" fillId="0" borderId="10" xfId="0" applyBorder="1" applyAlignment="1">
      <alignment vertical="top" wrapText="1"/>
    </xf>
    <xf numFmtId="0" fontId="0" fillId="0" borderId="12" xfId="0" applyBorder="1" applyAlignment="1">
      <alignment vertical="top" wrapText="1"/>
    </xf>
    <xf numFmtId="0" fontId="0" fillId="5" borderId="1" xfId="0" applyFill="1" applyBorder="1" applyAlignment="1">
      <alignment vertical="center"/>
    </xf>
    <xf numFmtId="0" fontId="0" fillId="5" borderId="1" xfId="0" applyFill="1" applyBorder="1" applyAlignment="1">
      <alignment vertical="center" wrapText="1"/>
    </xf>
    <xf numFmtId="0" fontId="0" fillId="5" borderId="1" xfId="0" applyFill="1" applyBorder="1" applyAlignment="1">
      <alignment horizontal="right" vertical="center"/>
    </xf>
    <xf numFmtId="0" fontId="0" fillId="5" borderId="1" xfId="0" applyFill="1" applyBorder="1" applyAlignment="1">
      <alignment horizontal="center" vertical="center"/>
    </xf>
    <xf numFmtId="0" fontId="0" fillId="5" borderId="1" xfId="0" applyFill="1" applyBorder="1" applyAlignment="1">
      <alignment horizontal="left" vertical="center" wrapText="1"/>
    </xf>
    <xf numFmtId="41" fontId="0" fillId="5" borderId="1" xfId="3" applyFont="1" applyFill="1" applyBorder="1" applyAlignment="1">
      <alignment vertical="center"/>
    </xf>
    <xf numFmtId="9" fontId="0" fillId="5" borderId="1" xfId="1" applyFont="1" applyFill="1" applyBorder="1" applyAlignment="1">
      <alignment vertical="center"/>
    </xf>
    <xf numFmtId="0" fontId="0" fillId="5" borderId="1" xfId="0" applyFill="1" applyBorder="1" applyAlignment="1">
      <alignment vertical="top" wrapText="1"/>
    </xf>
    <xf numFmtId="0" fontId="0" fillId="5" borderId="1" xfId="0" applyFill="1" applyBorder="1"/>
    <xf numFmtId="0" fontId="0" fillId="5" borderId="1" xfId="1" applyNumberFormat="1" applyFont="1" applyFill="1" applyBorder="1" applyAlignment="1">
      <alignment vertical="center"/>
    </xf>
    <xf numFmtId="9" fontId="0" fillId="5" borderId="1" xfId="1" applyFont="1" applyFill="1" applyBorder="1" applyAlignment="1">
      <alignment vertical="center" wrapText="1"/>
    </xf>
    <xf numFmtId="0" fontId="0" fillId="5" borderId="0" xfId="0" applyFill="1"/>
    <xf numFmtId="9" fontId="0" fillId="5" borderId="1" xfId="0" applyNumberFormat="1" applyFill="1" applyBorder="1" applyAlignment="1">
      <alignment vertical="center"/>
    </xf>
    <xf numFmtId="9" fontId="0" fillId="5" borderId="1" xfId="1" applyFont="1" applyFill="1" applyBorder="1" applyAlignment="1">
      <alignment horizontal="right" vertical="center"/>
    </xf>
    <xf numFmtId="41" fontId="0" fillId="0" borderId="0" xfId="0" applyNumberFormat="1"/>
    <xf numFmtId="41" fontId="0" fillId="5" borderId="1" xfId="0" applyNumberFormat="1" applyFill="1" applyBorder="1" applyAlignment="1">
      <alignment vertical="center"/>
    </xf>
    <xf numFmtId="9" fontId="0" fillId="5" borderId="1" xfId="0" applyNumberFormat="1" applyFill="1" applyBorder="1" applyAlignment="1">
      <alignment horizontal="right" vertical="center"/>
    </xf>
    <xf numFmtId="41" fontId="0" fillId="5" borderId="1" xfId="3" applyFont="1" applyFill="1" applyBorder="1" applyAlignment="1">
      <alignment horizontal="right" vertical="center"/>
    </xf>
    <xf numFmtId="1" fontId="0" fillId="5" borderId="1" xfId="1" applyNumberFormat="1" applyFont="1" applyFill="1" applyBorder="1" applyAlignment="1">
      <alignment horizontal="right" vertical="center"/>
    </xf>
    <xf numFmtId="1" fontId="0" fillId="5" borderId="1" xfId="0" applyNumberFormat="1" applyFill="1" applyBorder="1" applyAlignment="1">
      <alignment horizontal="right" vertical="center"/>
    </xf>
    <xf numFmtId="9" fontId="8" fillId="5" borderId="1" xfId="1" applyFont="1" applyFill="1" applyBorder="1" applyAlignment="1">
      <alignment horizontal="right" vertical="center"/>
    </xf>
    <xf numFmtId="9" fontId="0" fillId="5" borderId="1" xfId="1" applyFont="1" applyFill="1" applyBorder="1"/>
    <xf numFmtId="9" fontId="0" fillId="5" borderId="1" xfId="0" applyNumberFormat="1" applyFill="1" applyBorder="1" applyAlignment="1">
      <alignment vertical="center" wrapText="1"/>
    </xf>
    <xf numFmtId="9" fontId="0" fillId="9" borderId="1" xfId="1" applyFont="1" applyFill="1" applyBorder="1" applyAlignment="1">
      <alignment vertical="center" wrapText="1"/>
    </xf>
    <xf numFmtId="0" fontId="0" fillId="9" borderId="0" xfId="0" applyFill="1"/>
    <xf numFmtId="0" fontId="0" fillId="9" borderId="12" xfId="0" applyFill="1" applyBorder="1" applyAlignment="1">
      <alignment vertical="top" wrapText="1"/>
    </xf>
    <xf numFmtId="0" fontId="0" fillId="0" borderId="16" xfId="0" applyBorder="1" applyAlignment="1">
      <alignment vertical="top" wrapText="1"/>
    </xf>
    <xf numFmtId="41" fontId="0" fillId="5" borderId="1" xfId="0" applyNumberFormat="1" applyFill="1" applyBorder="1" applyAlignment="1">
      <alignment vertical="center" wrapText="1"/>
    </xf>
    <xf numFmtId="0" fontId="0" fillId="12" borderId="1" xfId="0" applyFill="1" applyBorder="1" applyAlignment="1">
      <alignment vertical="center"/>
    </xf>
    <xf numFmtId="0" fontId="0" fillId="12" borderId="1" xfId="0" applyFill="1" applyBorder="1" applyAlignment="1">
      <alignment vertical="center" wrapText="1"/>
    </xf>
    <xf numFmtId="0" fontId="0" fillId="12" borderId="1" xfId="0" applyFill="1" applyBorder="1" applyAlignment="1">
      <alignment horizontal="right" vertical="center"/>
    </xf>
    <xf numFmtId="0" fontId="0" fillId="12" borderId="1" xfId="0" applyFill="1" applyBorder="1" applyAlignment="1">
      <alignment horizontal="center" vertical="center"/>
    </xf>
    <xf numFmtId="0" fontId="0" fillId="12" borderId="1" xfId="0" applyFill="1" applyBorder="1" applyAlignment="1">
      <alignment horizontal="left" vertical="center" wrapText="1"/>
    </xf>
    <xf numFmtId="41" fontId="0" fillId="12" borderId="1" xfId="3" applyFont="1" applyFill="1" applyBorder="1" applyAlignment="1">
      <alignment vertical="center"/>
    </xf>
    <xf numFmtId="9" fontId="0" fillId="12" borderId="1" xfId="1" applyFont="1" applyFill="1" applyBorder="1" applyAlignment="1">
      <alignment vertical="center"/>
    </xf>
    <xf numFmtId="0" fontId="0" fillId="12" borderId="1" xfId="0" applyFill="1" applyBorder="1" applyAlignment="1">
      <alignment vertical="top" wrapText="1"/>
    </xf>
    <xf numFmtId="0" fontId="0" fillId="12" borderId="1" xfId="0" applyFill="1" applyBorder="1"/>
    <xf numFmtId="0" fontId="0" fillId="12" borderId="1" xfId="1" applyNumberFormat="1" applyFont="1" applyFill="1" applyBorder="1" applyAlignment="1">
      <alignment vertical="center"/>
    </xf>
    <xf numFmtId="9" fontId="0" fillId="12" borderId="1" xfId="1" applyFont="1" applyFill="1" applyBorder="1" applyAlignment="1">
      <alignment vertical="center" wrapText="1"/>
    </xf>
    <xf numFmtId="0" fontId="0" fillId="12" borderId="0" xfId="0" applyFill="1"/>
    <xf numFmtId="9" fontId="0" fillId="12" borderId="1" xfId="0" applyNumberFormat="1" applyFill="1" applyBorder="1" applyAlignment="1">
      <alignment vertical="center"/>
    </xf>
    <xf numFmtId="9" fontId="0" fillId="12" borderId="1" xfId="1" applyFont="1" applyFill="1" applyBorder="1" applyAlignment="1">
      <alignment horizontal="right" vertical="center"/>
    </xf>
    <xf numFmtId="0" fontId="0" fillId="12" borderId="1" xfId="0" applyNumberFormat="1" applyFill="1" applyBorder="1" applyAlignment="1">
      <alignment vertical="center"/>
    </xf>
    <xf numFmtId="41" fontId="0" fillId="12" borderId="1" xfId="0" applyNumberFormat="1" applyFill="1" applyBorder="1" applyAlignment="1">
      <alignment vertical="center" wrapText="1"/>
    </xf>
    <xf numFmtId="0" fontId="0" fillId="13" borderId="1" xfId="0" applyFill="1" applyBorder="1" applyAlignment="1">
      <alignment vertical="center"/>
    </xf>
    <xf numFmtId="0" fontId="0" fillId="13" borderId="1" xfId="0" applyFill="1" applyBorder="1" applyAlignment="1">
      <alignment vertical="center" wrapText="1"/>
    </xf>
    <xf numFmtId="0" fontId="0" fillId="13" borderId="1" xfId="0" applyFill="1" applyBorder="1" applyAlignment="1">
      <alignment horizontal="center" vertical="center"/>
    </xf>
    <xf numFmtId="0" fontId="0" fillId="13" borderId="1" xfId="0" applyFill="1" applyBorder="1" applyAlignment="1">
      <alignment horizontal="left" vertical="center" wrapText="1"/>
    </xf>
    <xf numFmtId="41" fontId="0" fillId="13" borderId="1" xfId="3" applyFont="1" applyFill="1" applyBorder="1" applyAlignment="1">
      <alignment vertical="center"/>
    </xf>
    <xf numFmtId="9" fontId="0" fillId="13" borderId="1" xfId="1" applyFont="1" applyFill="1" applyBorder="1" applyAlignment="1">
      <alignment vertical="center"/>
    </xf>
    <xf numFmtId="0" fontId="0" fillId="13" borderId="1" xfId="0" applyFill="1" applyBorder="1" applyAlignment="1">
      <alignment vertical="top" wrapText="1"/>
    </xf>
    <xf numFmtId="0" fontId="0" fillId="13" borderId="1" xfId="0" applyFill="1" applyBorder="1"/>
    <xf numFmtId="41" fontId="0" fillId="13" borderId="1" xfId="0" applyNumberFormat="1" applyFill="1" applyBorder="1" applyAlignment="1">
      <alignment vertical="center" wrapText="1"/>
    </xf>
    <xf numFmtId="0" fontId="0" fillId="13" borderId="1" xfId="1" applyNumberFormat="1" applyFont="1" applyFill="1" applyBorder="1" applyAlignment="1">
      <alignment vertical="center"/>
    </xf>
    <xf numFmtId="9" fontId="0" fillId="13" borderId="1" xfId="1" applyFont="1" applyFill="1" applyBorder="1" applyAlignment="1">
      <alignment horizontal="center" vertical="center"/>
    </xf>
    <xf numFmtId="0" fontId="0" fillId="13" borderId="1" xfId="0" applyFill="1" applyBorder="1" applyAlignment="1">
      <alignment horizontal="left" vertical="top" wrapText="1"/>
    </xf>
    <xf numFmtId="9" fontId="9" fillId="13" borderId="1" xfId="0" applyNumberFormat="1" applyFont="1" applyFill="1" applyBorder="1" applyAlignment="1">
      <alignment horizontal="center" vertical="center"/>
    </xf>
    <xf numFmtId="9" fontId="0" fillId="13" borderId="1" xfId="0" applyNumberFormat="1" applyFill="1" applyBorder="1" applyAlignment="1">
      <alignment vertical="center" wrapText="1"/>
    </xf>
    <xf numFmtId="166" fontId="0" fillId="13" borderId="1" xfId="0" applyNumberFormat="1" applyFill="1" applyBorder="1"/>
    <xf numFmtId="9" fontId="0" fillId="13" borderId="1" xfId="0" applyNumberFormat="1" applyFill="1" applyBorder="1" applyAlignment="1">
      <alignment horizontal="center" vertical="center"/>
    </xf>
    <xf numFmtId="165" fontId="0" fillId="13" borderId="1" xfId="0" applyNumberFormat="1" applyFill="1" applyBorder="1"/>
    <xf numFmtId="41" fontId="0" fillId="13" borderId="1" xfId="0" applyNumberFormat="1" applyFill="1" applyBorder="1" applyAlignment="1">
      <alignment vertical="center"/>
    </xf>
    <xf numFmtId="0" fontId="0" fillId="13" borderId="0" xfId="0" applyFill="1"/>
    <xf numFmtId="41" fontId="0" fillId="13" borderId="1" xfId="1" applyNumberFormat="1" applyFont="1" applyFill="1" applyBorder="1" applyAlignment="1">
      <alignment vertical="center"/>
    </xf>
    <xf numFmtId="9" fontId="0" fillId="12" borderId="1" xfId="0" applyNumberFormat="1" applyFill="1" applyBorder="1" applyAlignment="1">
      <alignment horizontal="right" vertical="center"/>
    </xf>
    <xf numFmtId="9" fontId="0" fillId="12" borderId="1" xfId="0" applyNumberFormat="1" applyFill="1" applyBorder="1"/>
    <xf numFmtId="9" fontId="0" fillId="5" borderId="1" xfId="0" applyNumberFormat="1" applyFill="1" applyBorder="1"/>
    <xf numFmtId="0" fontId="0" fillId="5" borderId="1" xfId="0" applyFill="1" applyBorder="1" applyAlignment="1">
      <alignment horizontal="left" vertical="top" wrapText="1"/>
    </xf>
    <xf numFmtId="9" fontId="0" fillId="5" borderId="1" xfId="0" applyNumberFormat="1" applyFill="1" applyBorder="1" applyAlignment="1">
      <alignment horizontal="center" vertical="center"/>
    </xf>
    <xf numFmtId="0" fontId="0" fillId="5" borderId="1" xfId="0" applyFill="1" applyBorder="1" applyAlignment="1">
      <alignment wrapText="1"/>
    </xf>
    <xf numFmtId="165" fontId="0" fillId="12" borderId="1" xfId="0" applyNumberFormat="1" applyFill="1" applyBorder="1"/>
    <xf numFmtId="9" fontId="0" fillId="12" borderId="1" xfId="1" applyFont="1" applyFill="1" applyBorder="1" applyAlignment="1">
      <alignment horizontal="center" vertical="center"/>
    </xf>
    <xf numFmtId="0" fontId="0" fillId="12" borderId="1" xfId="0" applyFill="1" applyBorder="1" applyAlignment="1">
      <alignment horizontal="left" vertical="top" wrapText="1"/>
    </xf>
    <xf numFmtId="9" fontId="0" fillId="12" borderId="1" xfId="0" applyNumberFormat="1" applyFill="1" applyBorder="1" applyAlignment="1">
      <alignment horizontal="center" vertical="center"/>
    </xf>
    <xf numFmtId="0" fontId="0" fillId="12" borderId="17" xfId="0" applyFill="1" applyBorder="1" applyAlignment="1">
      <alignment vertical="center" wrapText="1"/>
    </xf>
    <xf numFmtId="0" fontId="0" fillId="12" borderId="17" xfId="0" applyFill="1" applyBorder="1" applyAlignment="1">
      <alignment horizontal="left" vertical="center" wrapText="1"/>
    </xf>
    <xf numFmtId="42" fontId="0" fillId="12" borderId="0" xfId="5" applyFont="1" applyFill="1"/>
    <xf numFmtId="9" fontId="0" fillId="12" borderId="0" xfId="0" applyNumberFormat="1" applyFill="1"/>
    <xf numFmtId="42" fontId="0" fillId="12" borderId="0" xfId="0" applyNumberFormat="1" applyFill="1"/>
    <xf numFmtId="43" fontId="0" fillId="12" borderId="1" xfId="0" applyNumberFormat="1" applyFill="1" applyBorder="1"/>
    <xf numFmtId="1" fontId="0" fillId="12" borderId="1" xfId="1" applyNumberFormat="1" applyFont="1" applyFill="1" applyBorder="1" applyAlignment="1">
      <alignment vertical="center"/>
    </xf>
    <xf numFmtId="42" fontId="0" fillId="12" borderId="1" xfId="5" applyFont="1" applyFill="1" applyBorder="1" applyAlignment="1">
      <alignment vertical="center"/>
    </xf>
    <xf numFmtId="0" fontId="0" fillId="9" borderId="1" xfId="0" applyFill="1" applyBorder="1" applyAlignment="1">
      <alignment horizontal="left" vertical="top" wrapText="1"/>
    </xf>
    <xf numFmtId="41" fontId="0" fillId="13" borderId="1" xfId="3" applyFont="1" applyFill="1" applyBorder="1" applyAlignment="1">
      <alignment horizontal="center" vertical="center"/>
    </xf>
    <xf numFmtId="1" fontId="0" fillId="13" borderId="1" xfId="0" applyNumberFormat="1" applyFill="1" applyBorder="1" applyAlignment="1">
      <alignment horizontal="center" vertical="center"/>
    </xf>
    <xf numFmtId="1" fontId="0" fillId="13" borderId="1" xfId="1" applyNumberFormat="1" applyFont="1" applyFill="1" applyBorder="1" applyAlignment="1">
      <alignment horizontal="center" vertical="center"/>
    </xf>
    <xf numFmtId="3" fontId="0" fillId="13" borderId="1" xfId="1" applyNumberFormat="1" applyFont="1" applyFill="1" applyBorder="1" applyAlignment="1">
      <alignment horizontal="center" vertical="center"/>
    </xf>
    <xf numFmtId="0" fontId="0" fillId="13" borderId="1" xfId="0" applyFill="1" applyBorder="1" applyAlignment="1">
      <alignment horizontal="right" vertical="center"/>
    </xf>
    <xf numFmtId="9" fontId="0" fillId="13" borderId="1" xfId="0" applyNumberFormat="1" applyFill="1" applyBorder="1" applyAlignment="1">
      <alignment vertical="center"/>
    </xf>
    <xf numFmtId="0" fontId="0" fillId="13" borderId="17" xfId="0" applyFill="1" applyBorder="1" applyAlignment="1">
      <alignment horizontal="left" vertical="center" wrapText="1"/>
    </xf>
    <xf numFmtId="0" fontId="0" fillId="13" borderId="17" xfId="0" applyFill="1" applyBorder="1" applyAlignment="1">
      <alignment vertical="center" wrapText="1"/>
    </xf>
    <xf numFmtId="0" fontId="0" fillId="9" borderId="1" xfId="0" applyFill="1" applyBorder="1" applyAlignment="1">
      <alignment horizontal="left"/>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0" fillId="0" borderId="0" xfId="0" applyAlignment="1">
      <alignment horizontal="left"/>
    </xf>
    <xf numFmtId="0" fontId="0" fillId="0" borderId="1" xfId="0" applyBorder="1" applyAlignment="1">
      <alignment vertical="center"/>
    </xf>
    <xf numFmtId="0" fontId="0" fillId="0" borderId="1" xfId="0" applyBorder="1" applyAlignment="1">
      <alignment vertical="center" wrapText="1"/>
    </xf>
    <xf numFmtId="0" fontId="0" fillId="0" borderId="23" xfId="0" applyBorder="1"/>
    <xf numFmtId="41" fontId="0" fillId="0" borderId="0" xfId="3" applyFont="1" applyBorder="1"/>
    <xf numFmtId="41" fontId="0" fillId="0" borderId="19" xfId="0" applyNumberFormat="1" applyBorder="1"/>
    <xf numFmtId="41" fontId="0" fillId="0" borderId="24" xfId="0" applyNumberFormat="1" applyBorder="1"/>
    <xf numFmtId="41" fontId="0" fillId="0" borderId="25" xfId="0" applyNumberFormat="1" applyBorder="1"/>
    <xf numFmtId="41" fontId="0" fillId="0" borderId="26" xfId="0" applyNumberFormat="1" applyBorder="1"/>
    <xf numFmtId="0" fontId="0" fillId="0" borderId="2" xfId="0" applyBorder="1"/>
    <xf numFmtId="41" fontId="0" fillId="0" borderId="3" xfId="3" applyFont="1" applyBorder="1"/>
    <xf numFmtId="41" fontId="0" fillId="0" borderId="27" xfId="0" applyNumberFormat="1" applyBorder="1"/>
    <xf numFmtId="10" fontId="0" fillId="5" borderId="1" xfId="1" applyNumberFormat="1" applyFont="1" applyFill="1" applyBorder="1" applyAlignment="1">
      <alignment vertical="center"/>
    </xf>
    <xf numFmtId="0" fontId="0" fillId="0" borderId="1" xfId="0" applyBorder="1" applyAlignment="1">
      <alignment horizontal="right" vertical="center"/>
    </xf>
    <xf numFmtId="0" fontId="0" fillId="0" borderId="1" xfId="0" applyBorder="1" applyAlignment="1">
      <alignment horizontal="center"/>
    </xf>
    <xf numFmtId="9" fontId="0" fillId="0" borderId="1" xfId="1" applyFont="1" applyBorder="1" applyAlignment="1">
      <alignment vertical="center"/>
    </xf>
    <xf numFmtId="0" fontId="0" fillId="0" borderId="1" xfId="1" applyNumberFormat="1" applyFont="1" applyBorder="1" applyAlignment="1">
      <alignment vertical="center"/>
    </xf>
    <xf numFmtId="9" fontId="0" fillId="3" borderId="1" xfId="1" applyFont="1" applyFill="1" applyBorder="1" applyAlignment="1">
      <alignment vertical="center"/>
    </xf>
    <xf numFmtId="0" fontId="0" fillId="0" borderId="0" xfId="0" applyFill="1"/>
    <xf numFmtId="41" fontId="0" fillId="0" borderId="0" xfId="0" applyNumberFormat="1" applyFill="1"/>
    <xf numFmtId="3" fontId="12" fillId="0" borderId="0" xfId="0" applyNumberFormat="1" applyFont="1" applyFill="1"/>
    <xf numFmtId="0" fontId="12" fillId="0" borderId="0" xfId="0" applyFont="1" applyFill="1"/>
    <xf numFmtId="41" fontId="12" fillId="0" borderId="0" xfId="0" applyNumberFormat="1" applyFont="1" applyFill="1"/>
    <xf numFmtId="41" fontId="20" fillId="0" borderId="0" xfId="3" applyFont="1" applyFill="1"/>
    <xf numFmtId="0" fontId="0" fillId="21" borderId="0" xfId="0" applyFill="1"/>
    <xf numFmtId="0" fontId="0" fillId="23" borderId="0" xfId="0" applyFill="1"/>
    <xf numFmtId="0" fontId="0" fillId="22" borderId="0" xfId="0" applyFill="1"/>
    <xf numFmtId="0" fontId="0" fillId="24" borderId="0" xfId="0" applyFill="1"/>
    <xf numFmtId="0" fontId="0" fillId="25" borderId="0" xfId="0" applyFill="1"/>
    <xf numFmtId="0" fontId="0" fillId="0" borderId="58" xfId="0" applyBorder="1" applyAlignment="1">
      <alignment vertical="top" wrapText="1"/>
    </xf>
    <xf numFmtId="0" fontId="0" fillId="0" borderId="57" xfId="0" applyBorder="1" applyAlignment="1">
      <alignment vertical="top" wrapText="1"/>
    </xf>
    <xf numFmtId="0" fontId="0" fillId="4" borderId="0" xfId="0" applyFill="1"/>
    <xf numFmtId="0" fontId="0" fillId="0" borderId="0" xfId="0" applyAlignment="1">
      <alignment horizontal="center"/>
    </xf>
    <xf numFmtId="0" fontId="4" fillId="0" borderId="0" xfId="0" applyFont="1" applyAlignment="1">
      <alignment horizontal="center"/>
    </xf>
    <xf numFmtId="0" fontId="0" fillId="0" borderId="10" xfId="0" applyBorder="1" applyAlignment="1">
      <alignment horizontal="center"/>
    </xf>
    <xf numFmtId="0" fontId="6" fillId="0" borderId="0" xfId="0" applyFont="1"/>
    <xf numFmtId="0" fontId="0" fillId="0" borderId="0" xfId="0" applyFont="1"/>
    <xf numFmtId="0" fontId="25" fillId="0" borderId="0" xfId="0" applyFont="1"/>
    <xf numFmtId="0" fontId="1" fillId="26" borderId="13" xfId="0" applyFont="1" applyFill="1" applyBorder="1" applyAlignment="1">
      <alignment horizontal="center" vertical="center" wrapText="1"/>
    </xf>
    <xf numFmtId="0" fontId="1" fillId="26" borderId="30" xfId="0" applyFont="1" applyFill="1" applyBorder="1" applyAlignment="1">
      <alignment horizontal="center" vertical="center" wrapText="1"/>
    </xf>
    <xf numFmtId="0" fontId="1" fillId="26" borderId="31" xfId="0" applyFont="1" applyFill="1" applyBorder="1" applyAlignment="1">
      <alignment horizontal="center" vertical="center" wrapText="1"/>
    </xf>
    <xf numFmtId="0" fontId="1" fillId="26" borderId="32" xfId="0" applyFont="1" applyFill="1" applyBorder="1" applyAlignment="1">
      <alignment horizontal="center" vertical="center" wrapText="1"/>
    </xf>
    <xf numFmtId="0" fontId="1" fillId="27" borderId="30" xfId="0" applyFont="1" applyFill="1" applyBorder="1" applyAlignment="1">
      <alignment horizontal="center" vertical="center" wrapText="1"/>
    </xf>
    <xf numFmtId="0" fontId="27" fillId="0" borderId="0" xfId="13" applyFont="1"/>
    <xf numFmtId="0" fontId="28" fillId="0" borderId="0" xfId="13" applyFont="1"/>
    <xf numFmtId="0" fontId="29" fillId="0" borderId="0" xfId="0" applyFont="1"/>
    <xf numFmtId="9" fontId="18" fillId="0" borderId="0" xfId="0" applyNumberFormat="1" applyFont="1"/>
    <xf numFmtId="0" fontId="18" fillId="0" borderId="0" xfId="0" applyFont="1"/>
    <xf numFmtId="0" fontId="33" fillId="0" borderId="0" xfId="0" applyFont="1"/>
    <xf numFmtId="9" fontId="6" fillId="0" borderId="0" xfId="0" applyNumberFormat="1" applyFont="1"/>
    <xf numFmtId="0" fontId="32" fillId="0" borderId="0" xfId="0" applyFont="1" applyAlignment="1">
      <alignment horizontal="left"/>
    </xf>
    <xf numFmtId="0" fontId="29" fillId="0" borderId="5" xfId="0" applyFont="1" applyFill="1" applyBorder="1" applyAlignment="1">
      <alignment horizontal="right" vertical="center"/>
    </xf>
    <xf numFmtId="0" fontId="29" fillId="0" borderId="28" xfId="0" applyFont="1" applyFill="1" applyBorder="1" applyAlignment="1">
      <alignment horizontal="justify" vertical="center" wrapText="1"/>
    </xf>
    <xf numFmtId="0" fontId="34" fillId="0" borderId="28" xfId="0" applyFont="1" applyFill="1" applyBorder="1" applyAlignment="1">
      <alignment horizontal="right" vertical="center"/>
    </xf>
    <xf numFmtId="0" fontId="29" fillId="0" borderId="28" xfId="0" applyFont="1" applyFill="1" applyBorder="1" applyAlignment="1">
      <alignment horizontal="right" vertical="center"/>
    </xf>
    <xf numFmtId="0" fontId="29" fillId="0" borderId="28" xfId="0" applyFont="1" applyFill="1" applyBorder="1" applyAlignment="1">
      <alignment horizontal="center" vertical="center"/>
    </xf>
    <xf numFmtId="42" fontId="29" fillId="0" borderId="28" xfId="5" applyFont="1" applyFill="1" applyBorder="1" applyAlignment="1">
      <alignment horizontal="right" vertical="center"/>
    </xf>
    <xf numFmtId="9" fontId="29" fillId="0" borderId="28" xfId="1" applyFont="1" applyFill="1" applyBorder="1" applyAlignment="1">
      <alignment horizontal="right" vertical="center"/>
    </xf>
    <xf numFmtId="42" fontId="29" fillId="0" borderId="28" xfId="0" applyNumberFormat="1" applyFont="1" applyFill="1" applyBorder="1" applyAlignment="1">
      <alignment horizontal="right" vertical="center"/>
    </xf>
    <xf numFmtId="0" fontId="29" fillId="0" borderId="28" xfId="0" applyFont="1" applyFill="1" applyBorder="1" applyAlignment="1">
      <alignment horizontal="justify" vertical="center"/>
    </xf>
    <xf numFmtId="0" fontId="29" fillId="0" borderId="28" xfId="0" applyFont="1" applyFill="1" applyBorder="1" applyAlignment="1">
      <alignment vertical="center"/>
    </xf>
    <xf numFmtId="0" fontId="29" fillId="0" borderId="28" xfId="0" applyFont="1" applyFill="1" applyBorder="1"/>
    <xf numFmtId="9" fontId="29" fillId="0" borderId="28" xfId="1" applyNumberFormat="1" applyFont="1" applyFill="1" applyBorder="1" applyAlignment="1">
      <alignment horizontal="right" vertical="center"/>
    </xf>
    <xf numFmtId="9" fontId="29" fillId="23" borderId="28" xfId="1" applyNumberFormat="1" applyFont="1" applyFill="1" applyBorder="1" applyAlignment="1">
      <alignment horizontal="right" vertical="center" wrapText="1"/>
    </xf>
    <xf numFmtId="0" fontId="29" fillId="0" borderId="60" xfId="0" applyFont="1" applyFill="1" applyBorder="1" applyAlignment="1">
      <alignment horizontal="justify" vertical="center" wrapText="1"/>
    </xf>
    <xf numFmtId="169" fontId="29" fillId="0" borderId="1" xfId="0" applyNumberFormat="1" applyFont="1" applyFill="1" applyBorder="1"/>
    <xf numFmtId="0" fontId="29" fillId="0" borderId="1" xfId="0" applyFont="1" applyFill="1" applyBorder="1" applyAlignment="1">
      <alignment horizontal="justify" vertical="center" wrapText="1"/>
    </xf>
    <xf numFmtId="42" fontId="29" fillId="0" borderId="1" xfId="5" applyFont="1" applyFill="1" applyBorder="1"/>
    <xf numFmtId="0" fontId="29" fillId="0" borderId="1" xfId="0" applyFont="1" applyFill="1" applyBorder="1"/>
    <xf numFmtId="0" fontId="29" fillId="0" borderId="7" xfId="0" applyFont="1" applyFill="1" applyBorder="1" applyAlignment="1">
      <alignment horizontal="right" vertical="center"/>
    </xf>
    <xf numFmtId="0" fontId="29" fillId="0" borderId="1" xfId="0" applyFont="1" applyFill="1" applyBorder="1" applyAlignment="1">
      <alignment horizontal="right" vertical="center"/>
    </xf>
    <xf numFmtId="0" fontId="34" fillId="0" borderId="1" xfId="0" applyFont="1" applyFill="1" applyBorder="1" applyAlignment="1">
      <alignment horizontal="center" vertical="center"/>
    </xf>
    <xf numFmtId="9" fontId="34" fillId="9" borderId="1" xfId="0" applyNumberFormat="1" applyFont="1" applyFill="1" applyBorder="1" applyAlignment="1">
      <alignment horizontal="right" vertical="center"/>
    </xf>
    <xf numFmtId="0" fontId="34" fillId="0" borderId="1" xfId="0" applyFont="1" applyFill="1" applyBorder="1" applyAlignment="1">
      <alignment horizontal="justify" vertical="center" wrapText="1"/>
    </xf>
    <xf numFmtId="9" fontId="34" fillId="9" borderId="1" xfId="1" applyFont="1" applyFill="1" applyBorder="1" applyAlignment="1">
      <alignment horizontal="right" vertical="center"/>
    </xf>
    <xf numFmtId="9" fontId="34" fillId="9" borderId="1" xfId="1" applyFont="1" applyFill="1" applyBorder="1" applyAlignment="1">
      <alignment vertical="center"/>
    </xf>
    <xf numFmtId="9" fontId="29" fillId="0" borderId="1" xfId="1" applyNumberFormat="1" applyFont="1" applyFill="1" applyBorder="1" applyAlignment="1">
      <alignment horizontal="right" vertical="center"/>
    </xf>
    <xf numFmtId="9" fontId="29" fillId="4" borderId="1" xfId="1" applyNumberFormat="1" applyFont="1" applyFill="1" applyBorder="1" applyAlignment="1">
      <alignment horizontal="right" vertical="center" wrapText="1"/>
    </xf>
    <xf numFmtId="0" fontId="29" fillId="0" borderId="59" xfId="0" applyFont="1" applyFill="1" applyBorder="1" applyAlignment="1">
      <alignment horizontal="justify" vertical="center" wrapText="1"/>
    </xf>
    <xf numFmtId="9" fontId="29" fillId="22" borderId="1" xfId="1" applyNumberFormat="1" applyFont="1" applyFill="1" applyBorder="1" applyAlignment="1">
      <alignment horizontal="right" vertical="center" wrapText="1"/>
    </xf>
    <xf numFmtId="9" fontId="29" fillId="0" borderId="1" xfId="1" applyFont="1" applyFill="1" applyBorder="1"/>
    <xf numFmtId="0" fontId="29" fillId="0" borderId="1" xfId="0" applyFont="1" applyFill="1" applyBorder="1" applyAlignment="1">
      <alignment horizontal="center" vertical="center"/>
    </xf>
    <xf numFmtId="42" fontId="29" fillId="0" borderId="1" xfId="5" applyFont="1" applyFill="1" applyBorder="1" applyAlignment="1">
      <alignment horizontal="right" vertical="center"/>
    </xf>
    <xf numFmtId="9" fontId="29" fillId="0" borderId="1" xfId="1" applyFont="1" applyFill="1" applyBorder="1" applyAlignment="1">
      <alignment horizontal="right" vertical="center"/>
    </xf>
    <xf numFmtId="9" fontId="29" fillId="0" borderId="1" xfId="1" applyFont="1" applyFill="1" applyBorder="1" applyAlignment="1">
      <alignment horizontal="justify" vertical="center" wrapText="1"/>
    </xf>
    <xf numFmtId="42" fontId="29" fillId="0" borderId="1" xfId="1" applyNumberFormat="1" applyFont="1" applyFill="1" applyBorder="1" applyAlignment="1">
      <alignment horizontal="right" vertical="center"/>
    </xf>
    <xf numFmtId="0" fontId="29" fillId="0" borderId="1" xfId="0" applyFont="1" applyFill="1" applyBorder="1" applyAlignment="1">
      <alignment horizontal="justify" vertical="center"/>
    </xf>
    <xf numFmtId="1" fontId="29" fillId="0" borderId="1" xfId="0" applyNumberFormat="1" applyFont="1" applyFill="1" applyBorder="1" applyAlignment="1">
      <alignment horizontal="right" vertical="center"/>
    </xf>
    <xf numFmtId="9" fontId="29" fillId="0" borderId="1" xfId="0" applyNumberFormat="1" applyFont="1" applyFill="1" applyBorder="1" applyAlignment="1">
      <alignment horizontal="right" vertical="center"/>
    </xf>
    <xf numFmtId="9" fontId="29" fillId="23" borderId="1" xfId="1" applyNumberFormat="1" applyFont="1" applyFill="1" applyBorder="1" applyAlignment="1">
      <alignment horizontal="right" vertical="center" wrapText="1"/>
    </xf>
    <xf numFmtId="1" fontId="29" fillId="0" borderId="1" xfId="1" applyNumberFormat="1" applyFont="1" applyFill="1" applyBorder="1"/>
    <xf numFmtId="9" fontId="29" fillId="0" borderId="1" xfId="0" applyNumberFormat="1" applyFont="1" applyFill="1" applyBorder="1" applyAlignment="1">
      <alignment horizontal="justify" vertical="center" wrapText="1"/>
    </xf>
    <xf numFmtId="10" fontId="29" fillId="0" borderId="1" xfId="1" applyNumberFormat="1" applyFont="1" applyFill="1" applyBorder="1" applyAlignment="1">
      <alignment horizontal="right" vertical="center"/>
    </xf>
    <xf numFmtId="41" fontId="29" fillId="0" borderId="1" xfId="3" applyFont="1" applyFill="1" applyBorder="1" applyAlignment="1">
      <alignment horizontal="right" vertical="center"/>
    </xf>
    <xf numFmtId="0" fontId="34" fillId="0" borderId="1" xfId="0" applyFont="1" applyFill="1" applyBorder="1" applyAlignment="1">
      <alignment horizontal="justify" vertical="center"/>
    </xf>
    <xf numFmtId="9" fontId="29" fillId="25" borderId="1" xfId="1" applyNumberFormat="1" applyFont="1" applyFill="1" applyBorder="1" applyAlignment="1">
      <alignment horizontal="right" vertical="center" wrapText="1"/>
    </xf>
    <xf numFmtId="1" fontId="34" fillId="0" borderId="1" xfId="1" applyNumberFormat="1" applyFont="1" applyFill="1" applyBorder="1" applyAlignment="1">
      <alignment horizontal="right" vertical="center"/>
    </xf>
    <xf numFmtId="9" fontId="29" fillId="0" borderId="1" xfId="3" applyNumberFormat="1" applyFont="1" applyFill="1" applyBorder="1" applyAlignment="1">
      <alignment horizontal="right" vertical="center"/>
    </xf>
    <xf numFmtId="9" fontId="34" fillId="0" borderId="1" xfId="0" applyNumberFormat="1" applyFont="1" applyFill="1" applyBorder="1" applyAlignment="1">
      <alignment horizontal="right" vertical="center"/>
    </xf>
    <xf numFmtId="1" fontId="29" fillId="0" borderId="1" xfId="1" applyNumberFormat="1" applyFont="1" applyFill="1" applyBorder="1" applyAlignment="1">
      <alignment horizontal="right" vertical="center"/>
    </xf>
    <xf numFmtId="9" fontId="29" fillId="24" borderId="1" xfId="1" applyNumberFormat="1" applyFont="1" applyFill="1" applyBorder="1" applyAlignment="1">
      <alignment horizontal="right" vertical="center" wrapText="1"/>
    </xf>
    <xf numFmtId="0" fontId="29" fillId="0" borderId="1" xfId="0" applyNumberFormat="1" applyFont="1" applyFill="1" applyBorder="1" applyAlignment="1">
      <alignment horizontal="right" vertical="center"/>
    </xf>
    <xf numFmtId="41" fontId="34" fillId="0" borderId="1" xfId="3" applyFont="1" applyFill="1" applyBorder="1" applyAlignment="1">
      <alignment horizontal="right" vertical="center"/>
    </xf>
    <xf numFmtId="0" fontId="29" fillId="0" borderId="18" xfId="0" applyFont="1" applyFill="1" applyBorder="1" applyAlignment="1">
      <alignment horizontal="justify" vertical="center" wrapText="1"/>
    </xf>
    <xf numFmtId="0" fontId="29" fillId="0" borderId="18" xfId="0" applyFont="1" applyFill="1" applyBorder="1" applyAlignment="1">
      <alignment horizontal="right" vertical="center"/>
    </xf>
    <xf numFmtId="0" fontId="29" fillId="0" borderId="18" xfId="0" applyFont="1" applyFill="1" applyBorder="1" applyAlignment="1">
      <alignment horizontal="center" vertical="center"/>
    </xf>
    <xf numFmtId="42" fontId="29" fillId="0" borderId="18" xfId="5" applyFont="1" applyFill="1" applyBorder="1" applyAlignment="1">
      <alignment horizontal="right" vertical="center"/>
    </xf>
    <xf numFmtId="9" fontId="29" fillId="0" borderId="18" xfId="1" applyFont="1" applyFill="1" applyBorder="1" applyAlignment="1">
      <alignment horizontal="right" vertical="center"/>
    </xf>
    <xf numFmtId="42" fontId="29" fillId="0" borderId="18" xfId="0" applyNumberFormat="1" applyFont="1" applyFill="1" applyBorder="1" applyAlignment="1">
      <alignment horizontal="right" vertical="center"/>
    </xf>
    <xf numFmtId="0" fontId="29" fillId="0" borderId="18" xfId="0" applyFont="1" applyFill="1" applyBorder="1" applyAlignment="1">
      <alignment horizontal="justify" vertical="center"/>
    </xf>
    <xf numFmtId="0" fontId="29" fillId="0" borderId="18" xfId="0" applyFont="1" applyFill="1" applyBorder="1" applyAlignment="1">
      <alignment vertical="center"/>
    </xf>
    <xf numFmtId="0" fontId="29" fillId="0" borderId="18" xfId="0" applyFont="1" applyFill="1" applyBorder="1"/>
    <xf numFmtId="9" fontId="29" fillId="0" borderId="18" xfId="1" applyNumberFormat="1" applyFont="1" applyFill="1" applyBorder="1" applyAlignment="1">
      <alignment horizontal="right" vertical="center"/>
    </xf>
    <xf numFmtId="9" fontId="29" fillId="23" borderId="18" xfId="1" applyNumberFormat="1" applyFont="1" applyFill="1" applyBorder="1" applyAlignment="1">
      <alignment horizontal="right" vertical="center" wrapText="1"/>
    </xf>
    <xf numFmtId="0" fontId="29" fillId="0" borderId="2" xfId="0" applyFont="1" applyFill="1" applyBorder="1" applyAlignment="1">
      <alignment horizontal="justify" vertical="center" wrapText="1"/>
    </xf>
    <xf numFmtId="9" fontId="29" fillId="21" borderId="1" xfId="1" applyNumberFormat="1" applyFont="1" applyFill="1" applyBorder="1" applyAlignment="1">
      <alignment horizontal="right" vertical="center" wrapText="1"/>
    </xf>
    <xf numFmtId="9" fontId="24" fillId="0" borderId="1" xfId="0" applyNumberFormat="1" applyFont="1" applyFill="1" applyBorder="1" applyAlignment="1">
      <alignment horizontal="right" vertical="center"/>
    </xf>
    <xf numFmtId="0" fontId="34" fillId="0" borderId="1" xfId="0" applyFont="1" applyFill="1" applyBorder="1" applyAlignment="1">
      <alignment horizontal="right" vertical="center"/>
    </xf>
    <xf numFmtId="9" fontId="29" fillId="0" borderId="1" xfId="0" applyNumberFormat="1" applyFont="1" applyFill="1" applyBorder="1" applyAlignment="1">
      <alignment horizontal="right" vertical="center" wrapText="1"/>
    </xf>
    <xf numFmtId="1" fontId="29" fillId="0" borderId="1" xfId="0" applyNumberFormat="1" applyFont="1" applyFill="1" applyBorder="1" applyAlignment="1">
      <alignment horizontal="justify" vertical="center"/>
    </xf>
    <xf numFmtId="9" fontId="29" fillId="0" borderId="1" xfId="1" applyFont="1" applyFill="1" applyBorder="1" applyAlignment="1">
      <alignment vertical="center"/>
    </xf>
    <xf numFmtId="0" fontId="29" fillId="0" borderId="9" xfId="0" applyFont="1" applyFill="1" applyBorder="1" applyAlignment="1">
      <alignment horizontal="right" vertical="center"/>
    </xf>
    <xf numFmtId="0" fontId="29" fillId="0" borderId="29" xfId="0" applyFont="1" applyFill="1" applyBorder="1" applyAlignment="1">
      <alignment horizontal="justify" vertical="center" wrapText="1"/>
    </xf>
    <xf numFmtId="0" fontId="29" fillId="0" borderId="29" xfId="0" applyFont="1" applyFill="1" applyBorder="1" applyAlignment="1">
      <alignment horizontal="right" vertical="center"/>
    </xf>
    <xf numFmtId="0" fontId="29" fillId="0" borderId="29" xfId="0" applyFont="1" applyFill="1" applyBorder="1" applyAlignment="1">
      <alignment horizontal="center" vertical="center"/>
    </xf>
    <xf numFmtId="9" fontId="29" fillId="0" borderId="29" xfId="0" applyNumberFormat="1" applyFont="1" applyFill="1" applyBorder="1" applyAlignment="1">
      <alignment horizontal="right" vertical="center"/>
    </xf>
    <xf numFmtId="42" fontId="29" fillId="0" borderId="29" xfId="5" applyFont="1" applyFill="1" applyBorder="1" applyAlignment="1">
      <alignment horizontal="right" vertical="center"/>
    </xf>
    <xf numFmtId="9" fontId="29" fillId="0" borderId="29" xfId="1" applyFont="1" applyFill="1" applyBorder="1" applyAlignment="1">
      <alignment horizontal="right" vertical="center"/>
    </xf>
    <xf numFmtId="9" fontId="29" fillId="0" borderId="29" xfId="1" applyFont="1" applyFill="1" applyBorder="1" applyAlignment="1">
      <alignment horizontal="justify" vertical="center" wrapText="1"/>
    </xf>
    <xf numFmtId="42" fontId="29" fillId="0" borderId="29" xfId="1" applyNumberFormat="1" applyFont="1" applyFill="1" applyBorder="1" applyAlignment="1">
      <alignment horizontal="right" vertical="center"/>
    </xf>
    <xf numFmtId="0" fontId="29" fillId="0" borderId="29" xfId="0" applyFont="1" applyFill="1" applyBorder="1" applyAlignment="1">
      <alignment horizontal="justify" vertical="center"/>
    </xf>
    <xf numFmtId="0" fontId="29" fillId="0" borderId="29" xfId="0" applyFont="1" applyFill="1" applyBorder="1"/>
    <xf numFmtId="9" fontId="29" fillId="0" borderId="29" xfId="1" applyNumberFormat="1" applyFont="1" applyFill="1" applyBorder="1" applyAlignment="1">
      <alignment horizontal="right" vertical="center"/>
    </xf>
    <xf numFmtId="9" fontId="29" fillId="24" borderId="29" xfId="1" applyNumberFormat="1" applyFont="1" applyFill="1" applyBorder="1" applyAlignment="1">
      <alignment horizontal="right" vertical="center" wrapText="1"/>
    </xf>
    <xf numFmtId="0" fontId="29" fillId="0" borderId="61" xfId="0" applyFont="1" applyFill="1" applyBorder="1" applyAlignment="1">
      <alignment horizontal="justify" vertical="center" wrapText="1"/>
    </xf>
    <xf numFmtId="0" fontId="29" fillId="0" borderId="0" xfId="0" applyFont="1" applyAlignment="1">
      <alignment horizontal="center"/>
    </xf>
    <xf numFmtId="41" fontId="29" fillId="0" borderId="0" xfId="0" applyNumberFormat="1" applyFont="1"/>
    <xf numFmtId="0" fontId="29" fillId="0" borderId="0" xfId="0" applyFont="1" applyFill="1"/>
    <xf numFmtId="0" fontId="31" fillId="0" borderId="1" xfId="0" applyFont="1" applyBorder="1" applyAlignment="1">
      <alignment horizontal="center" vertical="center" wrapText="1"/>
    </xf>
    <xf numFmtId="0" fontId="29" fillId="0" borderId="1" xfId="0" applyFont="1" applyBorder="1"/>
    <xf numFmtId="166" fontId="29" fillId="0" borderId="1" xfId="3" applyNumberFormat="1" applyFont="1" applyBorder="1"/>
    <xf numFmtId="166" fontId="29" fillId="0" borderId="1" xfId="0" applyNumberFormat="1" applyFont="1" applyBorder="1"/>
    <xf numFmtId="170" fontId="29" fillId="0" borderId="1" xfId="0" applyNumberFormat="1" applyFont="1" applyBorder="1"/>
    <xf numFmtId="0" fontId="29" fillId="0" borderId="16" xfId="0" applyFont="1" applyBorder="1" applyAlignment="1">
      <alignment horizontal="center"/>
    </xf>
    <xf numFmtId="0" fontId="29" fillId="0" borderId="8" xfId="0" applyFont="1" applyBorder="1" applyAlignment="1">
      <alignment horizontal="center"/>
    </xf>
    <xf numFmtId="0" fontId="29" fillId="0" borderId="10" xfId="0" applyFont="1" applyBorder="1" applyAlignment="1">
      <alignment horizontal="center"/>
    </xf>
    <xf numFmtId="0" fontId="33" fillId="27" borderId="40" xfId="0" applyFont="1" applyFill="1" applyBorder="1" applyAlignment="1">
      <alignment horizontal="center"/>
    </xf>
    <xf numFmtId="0" fontId="30" fillId="0" borderId="0" xfId="0" applyFont="1"/>
    <xf numFmtId="0" fontId="30" fillId="0" borderId="0" xfId="0" applyFont="1" applyAlignment="1">
      <alignment horizontal="center"/>
    </xf>
    <xf numFmtId="0" fontId="29" fillId="0" borderId="1" xfId="0" applyFont="1" applyBorder="1" applyAlignment="1">
      <alignment horizontal="center" vertical="center"/>
    </xf>
    <xf numFmtId="9" fontId="34" fillId="4" borderId="1" xfId="1" applyFont="1" applyFill="1" applyBorder="1" applyAlignment="1">
      <alignment vertical="center"/>
    </xf>
    <xf numFmtId="0" fontId="29" fillId="4" borderId="1" xfId="0" applyFont="1" applyFill="1" applyBorder="1"/>
    <xf numFmtId="9" fontId="29" fillId="4" borderId="1" xfId="1" applyNumberFormat="1" applyFont="1" applyFill="1" applyBorder="1" applyAlignment="1">
      <alignment horizontal="right" vertical="center"/>
    </xf>
    <xf numFmtId="9" fontId="29" fillId="4" borderId="1" xfId="0" applyNumberFormat="1" applyFont="1" applyFill="1" applyBorder="1" applyAlignment="1">
      <alignment horizontal="right" vertical="center"/>
    </xf>
    <xf numFmtId="0" fontId="29" fillId="4" borderId="1" xfId="0" applyFont="1" applyFill="1" applyBorder="1" applyAlignment="1">
      <alignment horizontal="justify" vertical="center"/>
    </xf>
    <xf numFmtId="42" fontId="29" fillId="4" borderId="1" xfId="5" applyFont="1" applyFill="1" applyBorder="1" applyAlignment="1">
      <alignment horizontal="right" vertical="center"/>
    </xf>
    <xf numFmtId="1" fontId="29" fillId="4" borderId="1" xfId="0" applyNumberFormat="1" applyFont="1" applyFill="1" applyBorder="1" applyAlignment="1">
      <alignment horizontal="right" vertical="center"/>
    </xf>
    <xf numFmtId="42" fontId="29" fillId="4" borderId="1" xfId="0" applyNumberFormat="1" applyFont="1" applyFill="1" applyBorder="1"/>
    <xf numFmtId="9" fontId="34" fillId="4" borderId="1" xfId="0" applyNumberFormat="1" applyFont="1" applyFill="1" applyBorder="1" applyAlignment="1">
      <alignment horizontal="right" vertical="center"/>
    </xf>
    <xf numFmtId="9" fontId="24" fillId="4" borderId="1" xfId="1" applyNumberFormat="1" applyFont="1" applyFill="1" applyBorder="1" applyAlignment="1">
      <alignment horizontal="right" vertical="center"/>
    </xf>
    <xf numFmtId="0" fontId="29" fillId="0" borderId="0" xfId="0" applyFont="1" applyFill="1" applyAlignment="1">
      <alignment horizontal="justify" vertical="center"/>
    </xf>
    <xf numFmtId="3" fontId="41" fillId="26" borderId="49" xfId="0" applyNumberFormat="1" applyFont="1" applyFill="1" applyBorder="1" applyAlignment="1">
      <alignment horizontal="center" vertical="center" wrapText="1"/>
    </xf>
    <xf numFmtId="0" fontId="42" fillId="0" borderId="0" xfId="0" applyFont="1" applyAlignment="1">
      <alignment horizontal="justify" vertical="center" wrapText="1"/>
    </xf>
    <xf numFmtId="0" fontId="42" fillId="0" borderId="56" xfId="0" applyFont="1" applyBorder="1" applyAlignment="1">
      <alignment horizontal="justify" vertical="center" wrapText="1"/>
    </xf>
    <xf numFmtId="0" fontId="42" fillId="0" borderId="52" xfId="0" applyFont="1" applyBorder="1" applyAlignment="1">
      <alignment horizontal="justify" vertical="center" wrapText="1"/>
    </xf>
    <xf numFmtId="0" fontId="42" fillId="0" borderId="53" xfId="0" applyFont="1" applyBorder="1" applyAlignment="1">
      <alignment horizontal="justify" vertical="center" wrapText="1"/>
    </xf>
    <xf numFmtId="0" fontId="42" fillId="0" borderId="0" xfId="0" applyFont="1"/>
    <xf numFmtId="0" fontId="42" fillId="0" borderId="54" xfId="0" applyFont="1" applyBorder="1" applyAlignment="1">
      <alignment horizontal="justify" vertical="center" wrapText="1"/>
    </xf>
    <xf numFmtId="0" fontId="42" fillId="0" borderId="55" xfId="0" applyFont="1" applyBorder="1" applyAlignment="1">
      <alignment horizontal="justify" vertical="center" wrapText="1"/>
    </xf>
    <xf numFmtId="0" fontId="46" fillId="0" borderId="0" xfId="0" applyFont="1"/>
    <xf numFmtId="0" fontId="46" fillId="0" borderId="0" xfId="0" applyFont="1" applyFill="1" applyBorder="1"/>
    <xf numFmtId="0" fontId="46" fillId="0" borderId="0" xfId="0" applyFont="1" applyFill="1"/>
    <xf numFmtId="0" fontId="46" fillId="0" borderId="0" xfId="0" applyFont="1" applyBorder="1"/>
    <xf numFmtId="0" fontId="49" fillId="0" borderId="16" xfId="0" applyFont="1" applyBorder="1" applyAlignment="1">
      <alignment vertical="center"/>
    </xf>
    <xf numFmtId="0" fontId="49" fillId="0" borderId="8" xfId="0" applyFont="1" applyBorder="1" applyAlignment="1">
      <alignment vertical="center"/>
    </xf>
    <xf numFmtId="9" fontId="46" fillId="0" borderId="0" xfId="0" applyNumberFormat="1" applyFont="1"/>
    <xf numFmtId="9" fontId="46" fillId="0" borderId="0" xfId="0" applyNumberFormat="1" applyFont="1" applyFill="1" applyBorder="1"/>
    <xf numFmtId="9" fontId="46" fillId="0" borderId="0" xfId="1" applyFont="1" applyFill="1" applyBorder="1"/>
    <xf numFmtId="10" fontId="46" fillId="0" borderId="0" xfId="0" applyNumberFormat="1" applyFont="1" applyFill="1" applyBorder="1"/>
    <xf numFmtId="0" fontId="51" fillId="0" borderId="0" xfId="0" applyFont="1" applyBorder="1"/>
    <xf numFmtId="0" fontId="52" fillId="0" borderId="0" xfId="0" applyFont="1" applyBorder="1" applyAlignment="1"/>
    <xf numFmtId="0" fontId="49" fillId="0" borderId="10" xfId="0" applyFont="1" applyBorder="1" applyAlignment="1">
      <alignment vertical="center"/>
    </xf>
    <xf numFmtId="0" fontId="53" fillId="0" borderId="0" xfId="0" applyFont="1" applyBorder="1" applyAlignment="1">
      <alignment vertical="center"/>
    </xf>
    <xf numFmtId="0" fontId="46" fillId="0" borderId="0" xfId="0" applyFont="1" applyFill="1" applyBorder="1" applyAlignment="1">
      <alignment horizontal="centerContinuous" vertical="center"/>
    </xf>
    <xf numFmtId="3" fontId="55" fillId="26" borderId="13" xfId="0" applyNumberFormat="1" applyFont="1" applyFill="1" applyBorder="1" applyAlignment="1">
      <alignment horizontal="center" vertical="center" wrapText="1"/>
    </xf>
    <xf numFmtId="3" fontId="55" fillId="26" borderId="24" xfId="0" applyNumberFormat="1" applyFont="1" applyFill="1" applyBorder="1" applyAlignment="1">
      <alignment horizontal="center" vertical="center" wrapText="1"/>
    </xf>
    <xf numFmtId="3" fontId="51" fillId="0" borderId="0" xfId="0" applyNumberFormat="1" applyFont="1" applyFill="1" applyBorder="1" applyAlignment="1">
      <alignment horizontal="center" vertical="center" wrapText="1"/>
    </xf>
    <xf numFmtId="49" fontId="55" fillId="26" borderId="39" xfId="0" applyNumberFormat="1" applyFont="1" applyFill="1" applyBorder="1" applyAlignment="1">
      <alignment horizontal="center" vertical="center" wrapText="1"/>
    </xf>
    <xf numFmtId="3" fontId="55" fillId="0" borderId="0" xfId="0" applyNumberFormat="1" applyFont="1" applyFill="1" applyBorder="1" applyAlignment="1">
      <alignment horizontal="center" vertical="center" wrapText="1"/>
    </xf>
    <xf numFmtId="49" fontId="55" fillId="18" borderId="0" xfId="0" applyNumberFormat="1" applyFont="1" applyFill="1" applyBorder="1" applyAlignment="1">
      <alignment horizontal="center" vertical="center" wrapText="1"/>
    </xf>
    <xf numFmtId="0" fontId="46" fillId="0" borderId="0" xfId="0" applyFont="1" applyAlignment="1">
      <alignment horizontal="center" vertical="center" wrapText="1"/>
    </xf>
    <xf numFmtId="49" fontId="55" fillId="18" borderId="36" xfId="0" applyNumberFormat="1" applyFont="1" applyFill="1" applyBorder="1" applyAlignment="1">
      <alignment horizontal="center" vertical="center" wrapText="1"/>
    </xf>
    <xf numFmtId="0" fontId="58" fillId="0" borderId="6" xfId="0" applyFont="1" applyFill="1" applyBorder="1" applyAlignment="1">
      <alignment horizontal="justify" vertical="center" wrapText="1"/>
    </xf>
    <xf numFmtId="0" fontId="46" fillId="0" borderId="0" xfId="0" applyFont="1" applyFill="1" applyBorder="1" applyAlignment="1">
      <alignment horizontal="center"/>
    </xf>
    <xf numFmtId="0" fontId="46" fillId="0" borderId="43" xfId="0" applyFont="1" applyFill="1" applyBorder="1" applyAlignment="1">
      <alignment horizontal="right"/>
    </xf>
    <xf numFmtId="0" fontId="61" fillId="0" borderId="44" xfId="0" applyFont="1" applyBorder="1" applyAlignment="1">
      <alignment horizontal="center" vertical="center" wrapText="1"/>
    </xf>
    <xf numFmtId="9" fontId="62" fillId="19" borderId="24" xfId="1" applyFont="1" applyFill="1" applyBorder="1" applyAlignment="1">
      <alignment horizontal="center" vertical="center"/>
    </xf>
    <xf numFmtId="9" fontId="62" fillId="19" borderId="24" xfId="0" applyNumberFormat="1" applyFont="1" applyFill="1" applyBorder="1" applyAlignment="1">
      <alignment horizontal="center" vertical="center"/>
    </xf>
    <xf numFmtId="9" fontId="62" fillId="19" borderId="0" xfId="0" applyNumberFormat="1" applyFont="1" applyFill="1" applyBorder="1" applyAlignment="1">
      <alignment horizontal="center" vertical="center"/>
    </xf>
    <xf numFmtId="0" fontId="61" fillId="0" borderId="24" xfId="0" applyFont="1" applyBorder="1" applyAlignment="1">
      <alignment horizontal="center" vertical="center" wrapText="1"/>
    </xf>
    <xf numFmtId="0" fontId="64" fillId="0" borderId="0" xfId="0" applyFont="1" applyFill="1" applyBorder="1" applyAlignment="1">
      <alignment horizontal="center"/>
    </xf>
    <xf numFmtId="0" fontId="46" fillId="0" borderId="0" xfId="0" applyFont="1" applyFill="1" applyBorder="1" applyAlignment="1">
      <alignment horizontal="right"/>
    </xf>
    <xf numFmtId="0" fontId="57" fillId="0" borderId="0" xfId="0" applyFont="1" applyFill="1" applyBorder="1" applyAlignment="1">
      <alignment horizontal="center"/>
    </xf>
    <xf numFmtId="1" fontId="62" fillId="27" borderId="39" xfId="0" applyNumberFormat="1" applyFont="1" applyFill="1" applyBorder="1" applyAlignment="1">
      <alignment horizontal="right" vertical="center"/>
    </xf>
    <xf numFmtId="9" fontId="39" fillId="19" borderId="46" xfId="1" applyFont="1" applyFill="1" applyBorder="1" applyAlignment="1">
      <alignment horizontal="right" vertical="center"/>
    </xf>
    <xf numFmtId="0" fontId="57" fillId="0" borderId="42" xfId="0" applyFont="1" applyFill="1" applyBorder="1" applyAlignment="1">
      <alignment horizontal="right"/>
    </xf>
    <xf numFmtId="9" fontId="39" fillId="19" borderId="40" xfId="1" applyFont="1" applyFill="1" applyBorder="1" applyAlignment="1">
      <alignment horizontal="right" vertical="center"/>
    </xf>
    <xf numFmtId="0" fontId="61" fillId="0" borderId="44" xfId="0" applyNumberFormat="1" applyFont="1" applyBorder="1" applyAlignment="1">
      <alignment horizontal="center" vertical="center" wrapText="1"/>
    </xf>
    <xf numFmtId="0" fontId="61" fillId="0" borderId="24" xfId="0" applyNumberFormat="1" applyFont="1" applyBorder="1" applyAlignment="1">
      <alignment horizontal="center" vertical="center" wrapText="1"/>
    </xf>
    <xf numFmtId="0" fontId="61" fillId="0" borderId="45" xfId="0" applyNumberFormat="1" applyFont="1" applyBorder="1" applyAlignment="1">
      <alignment horizontal="center" vertical="center" wrapText="1"/>
    </xf>
    <xf numFmtId="0" fontId="61" fillId="0" borderId="25" xfId="0" applyNumberFormat="1" applyFont="1" applyBorder="1" applyAlignment="1">
      <alignment horizontal="center" vertical="center" wrapText="1"/>
    </xf>
    <xf numFmtId="0" fontId="61" fillId="0" borderId="48" xfId="0" applyNumberFormat="1" applyFont="1" applyBorder="1" applyAlignment="1">
      <alignment horizontal="center" vertical="center" wrapText="1"/>
    </xf>
    <xf numFmtId="0" fontId="61" fillId="0" borderId="26" xfId="0" applyNumberFormat="1" applyFont="1" applyBorder="1" applyAlignment="1">
      <alignment horizontal="center" vertical="center" wrapText="1"/>
    </xf>
    <xf numFmtId="9" fontId="62" fillId="19" borderId="25" xfId="0" applyNumberFormat="1" applyFont="1" applyFill="1" applyBorder="1" applyAlignment="1">
      <alignment horizontal="center" vertical="center"/>
    </xf>
    <xf numFmtId="9" fontId="62" fillId="19" borderId="36" xfId="0" applyNumberFormat="1" applyFont="1" applyFill="1" applyBorder="1" applyAlignment="1">
      <alignment horizontal="center" vertical="center"/>
    </xf>
    <xf numFmtId="9" fontId="62" fillId="19" borderId="45" xfId="0" applyNumberFormat="1" applyFont="1" applyFill="1" applyBorder="1" applyAlignment="1">
      <alignment horizontal="center" vertical="center"/>
    </xf>
    <xf numFmtId="0" fontId="58" fillId="0" borderId="8" xfId="0" applyFont="1" applyFill="1" applyBorder="1" applyAlignment="1">
      <alignment horizontal="justify" vertical="center" wrapText="1"/>
    </xf>
    <xf numFmtId="0" fontId="65" fillId="19" borderId="0" xfId="0" applyFont="1" applyFill="1" applyBorder="1" applyAlignment="1">
      <alignment horizontal="center"/>
    </xf>
    <xf numFmtId="168" fontId="62" fillId="27" borderId="39" xfId="1" applyNumberFormat="1" applyFont="1" applyFill="1" applyBorder="1" applyAlignment="1">
      <alignment horizontal="right" vertical="center"/>
    </xf>
    <xf numFmtId="0" fontId="57" fillId="0" borderId="43" xfId="0" applyFont="1" applyFill="1" applyBorder="1" applyAlignment="1">
      <alignment horizontal="right"/>
    </xf>
    <xf numFmtId="168" fontId="65" fillId="19" borderId="44" xfId="1" applyNumberFormat="1" applyFont="1" applyFill="1" applyBorder="1" applyAlignment="1">
      <alignment horizontal="center" vertical="center"/>
    </xf>
    <xf numFmtId="168" fontId="65" fillId="20" borderId="37" xfId="1" applyNumberFormat="1" applyFont="1" applyFill="1" applyBorder="1" applyAlignment="1">
      <alignment horizontal="center" vertical="center"/>
    </xf>
    <xf numFmtId="9" fontId="65" fillId="20" borderId="44" xfId="1" applyFont="1" applyFill="1" applyBorder="1" applyAlignment="1">
      <alignment horizontal="center" vertical="center"/>
    </xf>
    <xf numFmtId="168" fontId="65" fillId="20" borderId="0" xfId="1" applyNumberFormat="1" applyFont="1" applyFill="1" applyBorder="1" applyAlignment="1">
      <alignment horizontal="center" vertical="center"/>
    </xf>
    <xf numFmtId="168" fontId="65" fillId="19" borderId="0" xfId="1" applyNumberFormat="1" applyFont="1" applyFill="1" applyBorder="1" applyAlignment="1">
      <alignment horizontal="center" vertical="center"/>
    </xf>
    <xf numFmtId="168" fontId="65" fillId="19" borderId="24" xfId="1" applyNumberFormat="1" applyFont="1" applyFill="1" applyBorder="1" applyAlignment="1">
      <alignment horizontal="center" vertical="center"/>
    </xf>
    <xf numFmtId="0" fontId="57" fillId="0" borderId="0" xfId="0" applyFont="1" applyFill="1" applyBorder="1" applyAlignment="1">
      <alignment horizontal="right"/>
    </xf>
    <xf numFmtId="0" fontId="46" fillId="0" borderId="43" xfId="0" applyFont="1" applyFill="1" applyBorder="1" applyAlignment="1"/>
    <xf numFmtId="0" fontId="46" fillId="0" borderId="0" xfId="0" applyFont="1" applyFill="1" applyBorder="1" applyAlignment="1"/>
    <xf numFmtId="168" fontId="65" fillId="0" borderId="44" xfId="1" applyNumberFormat="1" applyFont="1" applyFill="1" applyBorder="1" applyAlignment="1">
      <alignment horizontal="center" vertical="center"/>
    </xf>
    <xf numFmtId="168" fontId="65" fillId="0" borderId="37" xfId="1" applyNumberFormat="1" applyFont="1" applyFill="1" applyBorder="1" applyAlignment="1">
      <alignment horizontal="center" vertical="center"/>
    </xf>
    <xf numFmtId="9" fontId="65" fillId="0" borderId="44" xfId="1" applyFont="1" applyFill="1" applyBorder="1" applyAlignment="1">
      <alignment horizontal="center" vertical="center"/>
    </xf>
    <xf numFmtId="168" fontId="65" fillId="0" borderId="0" xfId="1" applyNumberFormat="1" applyFont="1" applyFill="1" applyBorder="1" applyAlignment="1">
      <alignment horizontal="center" vertical="center"/>
    </xf>
    <xf numFmtId="168" fontId="65" fillId="0" borderId="24" xfId="1" applyNumberFormat="1" applyFont="1" applyFill="1" applyBorder="1" applyAlignment="1">
      <alignment horizontal="center" vertical="center"/>
    </xf>
    <xf numFmtId="0" fontId="64" fillId="19" borderId="0" xfId="0" applyFont="1" applyFill="1" applyBorder="1" applyAlignment="1">
      <alignment horizontal="center"/>
    </xf>
    <xf numFmtId="168" fontId="65" fillId="27" borderId="15" xfId="1" applyNumberFormat="1" applyFont="1" applyFill="1" applyBorder="1" applyAlignment="1">
      <alignment horizontal="right" vertical="center"/>
    </xf>
    <xf numFmtId="0" fontId="65" fillId="0" borderId="0" xfId="0" applyFont="1" applyFill="1" applyBorder="1" applyAlignment="1">
      <alignment horizontal="right"/>
    </xf>
    <xf numFmtId="168" fontId="65" fillId="27" borderId="39" xfId="1" applyNumberFormat="1" applyFont="1" applyFill="1" applyBorder="1" applyAlignment="1">
      <alignment horizontal="right" vertical="center"/>
    </xf>
    <xf numFmtId="9" fontId="67" fillId="19" borderId="46" xfId="1" applyFont="1" applyFill="1" applyBorder="1" applyAlignment="1">
      <alignment horizontal="right" vertical="center"/>
    </xf>
    <xf numFmtId="9" fontId="67" fillId="19" borderId="40" xfId="1" applyFont="1" applyFill="1" applyBorder="1" applyAlignment="1">
      <alignment horizontal="right" vertical="center"/>
    </xf>
    <xf numFmtId="0" fontId="61" fillId="0" borderId="45" xfId="0" applyFont="1" applyBorder="1" applyAlignment="1">
      <alignment horizontal="center" vertical="center" wrapText="1"/>
    </xf>
    <xf numFmtId="1" fontId="62" fillId="19" borderId="25" xfId="1" applyNumberFormat="1" applyFont="1" applyFill="1" applyBorder="1" applyAlignment="1">
      <alignment horizontal="center" vertical="center"/>
    </xf>
    <xf numFmtId="1" fontId="62" fillId="19" borderId="36" xfId="1" applyNumberFormat="1" applyFont="1" applyFill="1" applyBorder="1" applyAlignment="1">
      <alignment horizontal="center" vertical="center"/>
    </xf>
    <xf numFmtId="0" fontId="61" fillId="0" borderId="25" xfId="0" applyFont="1" applyBorder="1" applyAlignment="1">
      <alignment horizontal="center" vertical="center" wrapText="1"/>
    </xf>
    <xf numFmtId="9" fontId="52" fillId="19" borderId="7" xfId="1" applyNumberFormat="1" applyFont="1" applyFill="1" applyBorder="1" applyAlignment="1">
      <alignment horizontal="right" vertical="center"/>
    </xf>
    <xf numFmtId="9" fontId="40" fillId="19" borderId="1" xfId="1" applyFont="1" applyFill="1" applyBorder="1" applyAlignment="1">
      <alignment horizontal="right" vertical="center"/>
    </xf>
    <xf numFmtId="0" fontId="61" fillId="0" borderId="0" xfId="0" applyNumberFormat="1" applyFont="1" applyBorder="1" applyAlignment="1">
      <alignment horizontal="center" vertical="center" wrapText="1"/>
    </xf>
    <xf numFmtId="0" fontId="52" fillId="19" borderId="7" xfId="1" applyNumberFormat="1" applyFont="1" applyFill="1" applyBorder="1" applyAlignment="1">
      <alignment horizontal="right" vertical="center"/>
    </xf>
    <xf numFmtId="0" fontId="61" fillId="0" borderId="0" xfId="0" applyNumberFormat="1" applyFont="1" applyFill="1" applyBorder="1" applyAlignment="1">
      <alignment horizontal="center" vertical="center" wrapText="1"/>
    </xf>
    <xf numFmtId="9" fontId="62" fillId="0" borderId="36" xfId="0" applyNumberFormat="1" applyFont="1" applyFill="1" applyBorder="1" applyAlignment="1">
      <alignment horizontal="center" vertical="center"/>
    </xf>
    <xf numFmtId="9" fontId="62" fillId="0" borderId="45" xfId="0" applyNumberFormat="1" applyFont="1" applyFill="1" applyBorder="1" applyAlignment="1">
      <alignment horizontal="center" vertical="center"/>
    </xf>
    <xf numFmtId="9" fontId="62" fillId="0" borderId="0" xfId="0" applyNumberFormat="1" applyFont="1" applyFill="1" applyBorder="1" applyAlignment="1">
      <alignment horizontal="center" vertical="center"/>
    </xf>
    <xf numFmtId="0" fontId="58" fillId="0" borderId="10" xfId="0" applyFont="1" applyFill="1" applyBorder="1" applyAlignment="1">
      <alignment horizontal="justify" vertical="center" wrapText="1"/>
    </xf>
    <xf numFmtId="0" fontId="57" fillId="0" borderId="0" xfId="0" applyFont="1" applyFill="1" applyAlignment="1">
      <alignment horizontal="right"/>
    </xf>
    <xf numFmtId="0" fontId="58" fillId="0" borderId="16" xfId="0" applyFont="1" applyBorder="1" applyAlignment="1">
      <alignment horizontal="justify" vertical="center" wrapText="1"/>
    </xf>
    <xf numFmtId="168" fontId="65" fillId="20" borderId="39" xfId="1" applyNumberFormat="1" applyFont="1" applyFill="1" applyBorder="1" applyAlignment="1">
      <alignment horizontal="center" vertical="center"/>
    </xf>
    <xf numFmtId="9" fontId="65" fillId="20" borderId="40" xfId="1" applyFont="1" applyFill="1" applyBorder="1" applyAlignment="1">
      <alignment horizontal="center" vertical="center"/>
    </xf>
    <xf numFmtId="168" fontId="65" fillId="20" borderId="34" xfId="1" applyNumberFormat="1" applyFont="1" applyFill="1" applyBorder="1" applyAlignment="1">
      <alignment horizontal="center" vertical="center"/>
    </xf>
    <xf numFmtId="0" fontId="61" fillId="0" borderId="48" xfId="0" applyFont="1" applyBorder="1" applyAlignment="1">
      <alignment horizontal="center" vertical="center" wrapText="1"/>
    </xf>
    <xf numFmtId="0" fontId="61" fillId="0" borderId="26" xfId="0" applyFont="1" applyBorder="1" applyAlignment="1">
      <alignment horizontal="center" vertical="center" wrapText="1"/>
    </xf>
    <xf numFmtId="0" fontId="61" fillId="0" borderId="0" xfId="0" applyFont="1" applyBorder="1" applyAlignment="1">
      <alignment horizontal="center" vertical="center" wrapText="1"/>
    </xf>
    <xf numFmtId="9" fontId="62" fillId="19" borderId="38" xfId="0" applyNumberFormat="1" applyFont="1" applyFill="1" applyBorder="1" applyAlignment="1">
      <alignment horizontal="center" vertical="center"/>
    </xf>
    <xf numFmtId="9" fontId="62" fillId="19" borderId="48" xfId="0" applyNumberFormat="1" applyFont="1" applyFill="1" applyBorder="1" applyAlignment="1">
      <alignment horizontal="center" vertical="center"/>
    </xf>
    <xf numFmtId="168" fontId="65" fillId="27" borderId="41" xfId="1" applyNumberFormat="1" applyFont="1" applyFill="1" applyBorder="1" applyAlignment="1">
      <alignment horizontal="right" vertical="center"/>
    </xf>
    <xf numFmtId="0" fontId="65" fillId="20" borderId="40" xfId="1" applyNumberFormat="1" applyFont="1" applyFill="1" applyBorder="1" applyAlignment="1">
      <alignment horizontal="center" vertical="center"/>
    </xf>
    <xf numFmtId="9" fontId="62" fillId="19" borderId="37" xfId="0" applyNumberFormat="1" applyFont="1" applyFill="1" applyBorder="1" applyAlignment="1">
      <alignment horizontal="center" vertical="center"/>
    </xf>
    <xf numFmtId="0" fontId="69" fillId="19" borderId="0" xfId="0" applyFont="1" applyFill="1"/>
    <xf numFmtId="0" fontId="44" fillId="19" borderId="0" xfId="0" applyFont="1" applyFill="1"/>
    <xf numFmtId="0" fontId="70" fillId="0" borderId="0" xfId="0" applyFont="1" applyBorder="1" applyAlignment="1">
      <alignment horizontal="left"/>
    </xf>
    <xf numFmtId="168" fontId="71" fillId="27" borderId="39" xfId="1" applyNumberFormat="1" applyFont="1" applyFill="1" applyBorder="1" applyAlignment="1">
      <alignment horizontal="right" vertical="center"/>
    </xf>
    <xf numFmtId="9" fontId="72" fillId="19" borderId="46" xfId="1" applyNumberFormat="1" applyFont="1" applyFill="1" applyBorder="1" applyAlignment="1">
      <alignment horizontal="right" vertical="center"/>
    </xf>
    <xf numFmtId="9" fontId="72" fillId="19" borderId="40" xfId="1" applyFont="1" applyFill="1" applyBorder="1" applyAlignment="1">
      <alignment horizontal="right" vertical="center"/>
    </xf>
    <xf numFmtId="9" fontId="39" fillId="19" borderId="40" xfId="1" applyNumberFormat="1" applyFont="1" applyFill="1" applyBorder="1" applyAlignment="1">
      <alignment horizontal="right" vertical="center"/>
    </xf>
    <xf numFmtId="0" fontId="42" fillId="0" borderId="26" xfId="0" applyFont="1" applyBorder="1" applyAlignment="1">
      <alignment horizontal="justify" vertical="center" wrapText="1"/>
    </xf>
    <xf numFmtId="9" fontId="62" fillId="19" borderId="36" xfId="0" applyNumberFormat="1" applyFont="1" applyFill="1" applyBorder="1" applyAlignment="1">
      <alignment horizontal="center" vertical="center"/>
    </xf>
    <xf numFmtId="9" fontId="62" fillId="19" borderId="38" xfId="0" applyNumberFormat="1" applyFont="1" applyFill="1" applyBorder="1" applyAlignment="1">
      <alignment horizontal="center" vertical="center"/>
    </xf>
    <xf numFmtId="0" fontId="9" fillId="0" borderId="0" xfId="0" applyFont="1" applyFill="1"/>
    <xf numFmtId="0" fontId="48" fillId="0" borderId="41" xfId="0" applyFont="1" applyBorder="1" applyAlignment="1">
      <alignment horizontal="center" vertical="center"/>
    </xf>
    <xf numFmtId="0" fontId="50" fillId="17" borderId="7" xfId="0" applyFont="1" applyFill="1" applyBorder="1" applyAlignment="1">
      <alignment horizontal="center" vertical="center" wrapText="1" readingOrder="1"/>
    </xf>
    <xf numFmtId="0" fontId="50" fillId="8" borderId="7" xfId="0" applyFont="1" applyFill="1" applyBorder="1" applyAlignment="1">
      <alignment horizontal="center" vertical="center" wrapText="1" readingOrder="1"/>
    </xf>
    <xf numFmtId="0" fontId="50" fillId="9" borderId="7" xfId="0" applyFont="1" applyFill="1" applyBorder="1" applyAlignment="1">
      <alignment horizontal="center" vertical="center" wrapText="1" readingOrder="1"/>
    </xf>
    <xf numFmtId="9" fontId="50" fillId="10" borderId="7" xfId="0" applyNumberFormat="1" applyFont="1" applyFill="1" applyBorder="1" applyAlignment="1">
      <alignment horizontal="center" vertical="center" wrapText="1" readingOrder="1"/>
    </xf>
    <xf numFmtId="0" fontId="50" fillId="16" borderId="9" xfId="0" applyFont="1" applyFill="1" applyBorder="1" applyAlignment="1">
      <alignment horizontal="center" vertical="center" wrapText="1" readingOrder="1"/>
    </xf>
    <xf numFmtId="9" fontId="50" fillId="16" borderId="9" xfId="0" applyNumberFormat="1" applyFont="1" applyFill="1" applyBorder="1" applyAlignment="1">
      <alignment horizontal="center" vertical="center" wrapText="1" readingOrder="1"/>
    </xf>
    <xf numFmtId="0" fontId="42" fillId="0" borderId="62" xfId="0" applyFont="1" applyBorder="1"/>
    <xf numFmtId="0" fontId="42" fillId="0" borderId="0" xfId="0" applyFont="1" applyBorder="1" applyAlignment="1">
      <alignment horizontal="justify" vertical="center" wrapText="1"/>
    </xf>
    <xf numFmtId="0" fontId="42" fillId="0" borderId="66" xfId="0" applyFont="1" applyBorder="1" applyAlignment="1">
      <alignment horizontal="justify" vertical="center" wrapText="1"/>
    </xf>
    <xf numFmtId="0" fontId="32" fillId="0" borderId="0" xfId="0" applyFont="1" applyAlignment="1">
      <alignment horizontal="left"/>
    </xf>
    <xf numFmtId="0" fontId="45" fillId="0" borderId="0" xfId="0" applyFont="1" applyAlignment="1">
      <alignment horizontal="center" vertical="center"/>
    </xf>
    <xf numFmtId="0" fontId="7" fillId="3" borderId="29" xfId="0" applyFont="1" applyFill="1" applyBorder="1" applyAlignment="1">
      <alignment vertical="center"/>
    </xf>
    <xf numFmtId="0" fontId="7" fillId="3" borderId="10" xfId="0" applyFont="1" applyFill="1" applyBorder="1" applyAlignment="1">
      <alignment horizontal="center" vertical="center"/>
    </xf>
    <xf numFmtId="0" fontId="73" fillId="0" borderId="0" xfId="0" applyFont="1"/>
    <xf numFmtId="0" fontId="7" fillId="0" borderId="29" xfId="0" applyFont="1" applyFill="1" applyBorder="1" applyAlignment="1">
      <alignment horizontal="center" vertical="center" wrapText="1"/>
    </xf>
    <xf numFmtId="0" fontId="7" fillId="0" borderId="61" xfId="0" applyFont="1" applyFill="1" applyBorder="1" applyAlignment="1">
      <alignment horizontal="center" vertical="center" wrapText="1"/>
    </xf>
    <xf numFmtId="0" fontId="7" fillId="0" borderId="0" xfId="0" applyFont="1" applyFill="1" applyBorder="1" applyAlignment="1">
      <alignment vertical="center" wrapText="1"/>
    </xf>
    <xf numFmtId="0" fontId="74" fillId="0" borderId="29" xfId="0" applyFont="1" applyBorder="1" applyAlignment="1">
      <alignment horizontal="center"/>
    </xf>
    <xf numFmtId="0" fontId="7" fillId="0" borderId="67" xfId="0" applyFont="1" applyBorder="1" applyAlignment="1">
      <alignment horizontal="center" vertical="center" wrapText="1"/>
    </xf>
    <xf numFmtId="0" fontId="7" fillId="0" borderId="43" xfId="0" applyFont="1" applyBorder="1" applyAlignment="1">
      <alignment horizontal="center" vertical="center" wrapText="1"/>
    </xf>
    <xf numFmtId="0" fontId="78" fillId="0" borderId="68" xfId="0" applyFont="1" applyBorder="1" applyAlignment="1">
      <alignment horizontal="center" vertical="center" wrapText="1"/>
    </xf>
    <xf numFmtId="0" fontId="78" fillId="0" borderId="29" xfId="0" applyFont="1" applyBorder="1" applyAlignment="1">
      <alignment horizontal="center" vertical="center" wrapText="1"/>
    </xf>
    <xf numFmtId="0" fontId="49" fillId="0" borderId="0" xfId="0" applyFont="1"/>
    <xf numFmtId="0" fontId="7" fillId="0" borderId="1" xfId="0" applyFont="1" applyBorder="1" applyAlignment="1">
      <alignment horizontal="center"/>
    </xf>
    <xf numFmtId="0" fontId="49" fillId="0" borderId="1" xfId="0" applyFont="1" applyBorder="1" applyAlignment="1">
      <alignment horizontal="justify" vertical="center"/>
    </xf>
    <xf numFmtId="14" fontId="49" fillId="0" borderId="1" xfId="0" applyNumberFormat="1" applyFont="1" applyBorder="1" applyAlignment="1">
      <alignment horizontal="justify" vertical="center"/>
    </xf>
    <xf numFmtId="0" fontId="49" fillId="0" borderId="1" xfId="0" applyFont="1" applyBorder="1" applyAlignment="1">
      <alignment horizontal="justify" vertical="center" wrapText="1"/>
    </xf>
    <xf numFmtId="0" fontId="49" fillId="0" borderId="1" xfId="0" applyFont="1" applyBorder="1" applyAlignment="1">
      <alignment horizontal="center" vertical="center"/>
    </xf>
    <xf numFmtId="0" fontId="79" fillId="0" borderId="0" xfId="0" applyFont="1"/>
    <xf numFmtId="0" fontId="80" fillId="26" borderId="13" xfId="0" applyFont="1" applyFill="1" applyBorder="1" applyAlignment="1">
      <alignment horizontal="center" vertical="center" wrapText="1"/>
    </xf>
    <xf numFmtId="0" fontId="80" fillId="26" borderId="30" xfId="0" applyFont="1" applyFill="1" applyBorder="1" applyAlignment="1">
      <alignment horizontal="center" vertical="center" wrapText="1"/>
    </xf>
    <xf numFmtId="0" fontId="80" fillId="26" borderId="31" xfId="0" applyFont="1" applyFill="1" applyBorder="1" applyAlignment="1">
      <alignment horizontal="center" vertical="center" wrapText="1"/>
    </xf>
    <xf numFmtId="0" fontId="80" fillId="26" borderId="32" xfId="0" applyFont="1" applyFill="1" applyBorder="1" applyAlignment="1">
      <alignment horizontal="center" vertical="center" wrapText="1"/>
    </xf>
    <xf numFmtId="0" fontId="80" fillId="27" borderId="30" xfId="0" applyFont="1" applyFill="1" applyBorder="1" applyAlignment="1">
      <alignment horizontal="center" vertical="center" wrapText="1"/>
    </xf>
    <xf numFmtId="0" fontId="80" fillId="8" borderId="30" xfId="0" applyFont="1" applyFill="1" applyBorder="1" applyAlignment="1">
      <alignment horizontal="center" vertical="center" wrapText="1"/>
    </xf>
    <xf numFmtId="0" fontId="6" fillId="0" borderId="0" xfId="0" applyFont="1" applyFill="1"/>
    <xf numFmtId="0" fontId="6" fillId="0" borderId="0" xfId="0" applyFont="1" applyAlignment="1">
      <alignment horizontal="center"/>
    </xf>
    <xf numFmtId="42" fontId="81" fillId="0" borderId="1" xfId="5" applyFont="1" applyFill="1" applyBorder="1" applyAlignment="1">
      <alignment horizontal="right" vertical="center"/>
    </xf>
    <xf numFmtId="9" fontId="81" fillId="0" borderId="1" xfId="1" applyFont="1" applyFill="1" applyBorder="1" applyAlignment="1">
      <alignment horizontal="right" vertical="center"/>
    </xf>
    <xf numFmtId="42" fontId="81" fillId="0" borderId="1" xfId="1" applyNumberFormat="1" applyFont="1" applyFill="1" applyBorder="1" applyAlignment="1">
      <alignment horizontal="right" vertical="center"/>
    </xf>
    <xf numFmtId="0" fontId="81" fillId="0" borderId="1" xfId="0" applyFont="1" applyFill="1" applyBorder="1"/>
    <xf numFmtId="9" fontId="81" fillId="0" borderId="1" xfId="1" applyFont="1" applyFill="1" applyBorder="1"/>
    <xf numFmtId="42" fontId="81" fillId="0" borderId="1" xfId="5" applyFont="1" applyFill="1" applyBorder="1"/>
    <xf numFmtId="0" fontId="0" fillId="0" borderId="0" xfId="0" applyBorder="1" applyAlignment="1">
      <alignment horizontal="center"/>
    </xf>
    <xf numFmtId="0" fontId="74" fillId="0" borderId="29" xfId="0" applyFont="1" applyBorder="1" applyAlignment="1">
      <alignment horizontal="center"/>
    </xf>
    <xf numFmtId="0" fontId="0" fillId="0" borderId="0" xfId="0" applyAlignment="1">
      <alignment horizontal="center"/>
    </xf>
    <xf numFmtId="0" fontId="81" fillId="0" borderId="5" xfId="0" applyFont="1" applyFill="1" applyBorder="1" applyAlignment="1">
      <alignment horizontal="right" vertical="center"/>
    </xf>
    <xf numFmtId="0" fontId="81" fillId="0" borderId="28" xfId="0" applyFont="1" applyFill="1" applyBorder="1" applyAlignment="1">
      <alignment horizontal="justify" vertical="center" wrapText="1"/>
    </xf>
    <xf numFmtId="0" fontId="81" fillId="0" borderId="28" xfId="0" applyFont="1" applyFill="1" applyBorder="1" applyAlignment="1">
      <alignment horizontal="right" vertical="center"/>
    </xf>
    <xf numFmtId="0" fontId="81" fillId="0" borderId="28" xfId="0" applyFont="1" applyFill="1" applyBorder="1" applyAlignment="1">
      <alignment horizontal="center" vertical="center"/>
    </xf>
    <xf numFmtId="42" fontId="81" fillId="0" borderId="28" xfId="5" applyFont="1" applyFill="1" applyBorder="1" applyAlignment="1">
      <alignment horizontal="right" vertical="center"/>
    </xf>
    <xf numFmtId="9" fontId="81" fillId="0" borderId="28" xfId="1" applyFont="1" applyFill="1" applyBorder="1" applyAlignment="1">
      <alignment horizontal="right" vertical="center"/>
    </xf>
    <xf numFmtId="42" fontId="81" fillId="0" borderId="28" xfId="0" applyNumberFormat="1" applyFont="1" applyFill="1" applyBorder="1" applyAlignment="1">
      <alignment horizontal="right" vertical="center"/>
    </xf>
    <xf numFmtId="0" fontId="81" fillId="0" borderId="28" xfId="0" applyFont="1" applyFill="1" applyBorder="1" applyAlignment="1">
      <alignment horizontal="justify" vertical="center"/>
    </xf>
    <xf numFmtId="0" fontId="81" fillId="0" borderId="28" xfId="0" applyFont="1" applyFill="1" applyBorder="1" applyAlignment="1">
      <alignment vertical="center"/>
    </xf>
    <xf numFmtId="9" fontId="81" fillId="0" borderId="28" xfId="1" applyNumberFormat="1" applyFont="1" applyFill="1" applyBorder="1" applyAlignment="1">
      <alignment horizontal="right" vertical="center"/>
    </xf>
    <xf numFmtId="0" fontId="81" fillId="0" borderId="28" xfId="0" applyFont="1" applyFill="1" applyBorder="1"/>
    <xf numFmtId="1" fontId="81" fillId="0" borderId="1" xfId="0" applyNumberFormat="1" applyFont="1" applyFill="1" applyBorder="1" applyAlignment="1">
      <alignment horizontal="right" vertical="center"/>
    </xf>
    <xf numFmtId="1" fontId="81" fillId="0" borderId="1" xfId="1" applyNumberFormat="1" applyFont="1" applyFill="1" applyBorder="1" applyAlignment="1">
      <alignment horizontal="right" vertical="center"/>
    </xf>
    <xf numFmtId="1" fontId="81" fillId="0" borderId="1" xfId="1" applyNumberFormat="1" applyFont="1" applyFill="1" applyBorder="1" applyAlignment="1">
      <alignment vertical="center"/>
    </xf>
    <xf numFmtId="10" fontId="81" fillId="0" borderId="1" xfId="1" applyNumberFormat="1" applyFont="1" applyFill="1" applyBorder="1" applyAlignment="1">
      <alignment horizontal="right" vertical="center"/>
    </xf>
    <xf numFmtId="41" fontId="81" fillId="0" borderId="1" xfId="3" applyFont="1" applyFill="1" applyBorder="1" applyAlignment="1">
      <alignment horizontal="right" vertical="center"/>
    </xf>
    <xf numFmtId="9" fontId="81" fillId="0" borderId="1" xfId="3" applyNumberFormat="1" applyFont="1" applyFill="1" applyBorder="1" applyAlignment="1">
      <alignment horizontal="right" vertical="center"/>
    </xf>
    <xf numFmtId="0" fontId="81" fillId="0" borderId="1" xfId="1" applyNumberFormat="1" applyFont="1" applyFill="1" applyBorder="1" applyAlignment="1">
      <alignment horizontal="right" vertical="center"/>
    </xf>
    <xf numFmtId="0" fontId="81" fillId="0" borderId="1" xfId="0" applyNumberFormat="1" applyFont="1" applyFill="1" applyBorder="1" applyAlignment="1">
      <alignment horizontal="right" vertical="center"/>
    </xf>
    <xf numFmtId="1" fontId="81" fillId="0" borderId="1" xfId="0" applyNumberFormat="1" applyFont="1" applyFill="1" applyBorder="1" applyAlignment="1">
      <alignment horizontal="center" vertical="center" wrapText="1"/>
    </xf>
    <xf numFmtId="10" fontId="81" fillId="0" borderId="1" xfId="0" applyNumberFormat="1" applyFont="1" applyFill="1" applyBorder="1" applyAlignment="1">
      <alignment horizontal="right" vertical="center"/>
    </xf>
    <xf numFmtId="9" fontId="81" fillId="0" borderId="1" xfId="0" applyNumberFormat="1" applyFont="1" applyFill="1" applyBorder="1" applyAlignment="1">
      <alignment horizontal="right" vertical="center" wrapText="1"/>
    </xf>
    <xf numFmtId="1" fontId="81" fillId="0" borderId="1" xfId="0" applyNumberFormat="1" applyFont="1" applyFill="1" applyBorder="1" applyAlignment="1">
      <alignment horizontal="justify" vertical="center"/>
    </xf>
    <xf numFmtId="42" fontId="81" fillId="0" borderId="1" xfId="5" applyFont="1" applyFill="1" applyBorder="1" applyAlignment="1">
      <alignment vertical="center"/>
    </xf>
    <xf numFmtId="9" fontId="81" fillId="0" borderId="1" xfId="1" applyFont="1" applyFill="1" applyBorder="1" applyAlignment="1">
      <alignment vertical="center"/>
    </xf>
    <xf numFmtId="9" fontId="81" fillId="0" borderId="1" xfId="1" applyNumberFormat="1" applyFont="1" applyFill="1" applyBorder="1" applyAlignment="1">
      <alignment horizontal="right" vertical="center" wrapText="1"/>
    </xf>
    <xf numFmtId="9" fontId="81" fillId="0" borderId="1" xfId="0" applyNumberFormat="1" applyFont="1" applyFill="1" applyBorder="1"/>
    <xf numFmtId="42" fontId="81" fillId="0" borderId="28" xfId="5" applyFont="1" applyFill="1" applyBorder="1" applyAlignment="1">
      <alignment horizontal="justify" vertical="center"/>
    </xf>
    <xf numFmtId="9" fontId="81" fillId="0" borderId="28" xfId="1" applyNumberFormat="1" applyFont="1" applyFill="1" applyBorder="1" applyAlignment="1">
      <alignment horizontal="right" vertical="center" wrapText="1"/>
    </xf>
    <xf numFmtId="10" fontId="81" fillId="0" borderId="1" xfId="0" applyNumberFormat="1" applyFont="1" applyFill="1" applyBorder="1"/>
    <xf numFmtId="3" fontId="81" fillId="0" borderId="1" xfId="0" applyNumberFormat="1" applyFont="1" applyFill="1" applyBorder="1"/>
    <xf numFmtId="1" fontId="81" fillId="0" borderId="1" xfId="0" applyNumberFormat="1" applyFont="1" applyFill="1" applyBorder="1" applyAlignment="1">
      <alignment horizontal="center" vertical="center"/>
    </xf>
    <xf numFmtId="172" fontId="81" fillId="0" borderId="1" xfId="0" applyNumberFormat="1" applyFont="1" applyFill="1" applyBorder="1" applyAlignment="1">
      <alignment vertical="center"/>
    </xf>
    <xf numFmtId="42" fontId="81" fillId="0" borderId="1" xfId="5" applyFont="1" applyFill="1" applyBorder="1" applyAlignment="1">
      <alignment horizontal="right" vertical="center" wrapText="1"/>
    </xf>
    <xf numFmtId="10" fontId="81" fillId="0" borderId="1" xfId="0" applyNumberFormat="1" applyFont="1" applyFill="1" applyBorder="1" applyAlignment="1">
      <alignment horizontal="center" vertical="center" wrapText="1"/>
    </xf>
    <xf numFmtId="10" fontId="81" fillId="0" borderId="1" xfId="0" applyNumberFormat="1" applyFont="1" applyFill="1" applyBorder="1" applyAlignment="1">
      <alignment horizontal="center" vertical="center"/>
    </xf>
    <xf numFmtId="9" fontId="81" fillId="0" borderId="1" xfId="0" applyNumberFormat="1" applyFont="1" applyFill="1" applyBorder="1" applyAlignment="1">
      <alignment vertical="center"/>
    </xf>
    <xf numFmtId="10" fontId="81" fillId="0" borderId="1" xfId="0" applyNumberFormat="1" applyFont="1" applyFill="1" applyBorder="1" applyAlignment="1">
      <alignment vertical="center"/>
    </xf>
    <xf numFmtId="10" fontId="81" fillId="0" borderId="1" xfId="1" applyNumberFormat="1" applyFont="1" applyFill="1" applyBorder="1"/>
    <xf numFmtId="41" fontId="81" fillId="0" borderId="1" xfId="3" applyFont="1" applyFill="1" applyBorder="1"/>
    <xf numFmtId="171" fontId="81" fillId="0" borderId="1" xfId="0" applyNumberFormat="1" applyFont="1" applyFill="1" applyBorder="1" applyAlignment="1">
      <alignment horizontal="center" vertical="center"/>
    </xf>
    <xf numFmtId="0" fontId="81" fillId="0" borderId="1" xfId="0" applyFont="1" applyFill="1" applyBorder="1" applyAlignment="1">
      <alignment vertical="center"/>
    </xf>
    <xf numFmtId="9" fontId="81" fillId="0" borderId="1" xfId="1" applyFont="1" applyFill="1" applyBorder="1" applyAlignment="1">
      <alignment horizontal="right" vertical="center" wrapText="1"/>
    </xf>
    <xf numFmtId="0" fontId="7" fillId="0" borderId="29" xfId="0" applyFont="1" applyFill="1" applyBorder="1" applyAlignment="1">
      <alignment horizontal="center" vertical="center" wrapText="1"/>
    </xf>
    <xf numFmtId="0" fontId="7" fillId="0" borderId="61" xfId="0" applyFont="1" applyFill="1" applyBorder="1" applyAlignment="1">
      <alignment horizontal="center" vertical="center" wrapText="1"/>
    </xf>
    <xf numFmtId="9" fontId="84" fillId="19" borderId="6" xfId="1" applyFont="1" applyFill="1" applyBorder="1" applyAlignment="1">
      <alignment horizontal="center" vertical="center"/>
    </xf>
    <xf numFmtId="9" fontId="84" fillId="19" borderId="8" xfId="1" applyFont="1" applyFill="1" applyBorder="1" applyAlignment="1">
      <alignment horizontal="center" vertical="center"/>
    </xf>
    <xf numFmtId="9" fontId="84" fillId="19" borderId="10" xfId="1" applyFont="1" applyFill="1" applyBorder="1" applyAlignment="1">
      <alignment horizontal="center" vertical="center"/>
    </xf>
    <xf numFmtId="9" fontId="84" fillId="19" borderId="40" xfId="1" applyFont="1" applyFill="1" applyBorder="1" applyAlignment="1">
      <alignment horizontal="center" vertical="center"/>
    </xf>
    <xf numFmtId="9" fontId="85" fillId="19" borderId="56" xfId="1" applyFont="1" applyFill="1" applyBorder="1" applyAlignment="1">
      <alignment horizontal="center" vertical="center"/>
    </xf>
    <xf numFmtId="0" fontId="42" fillId="0" borderId="0" xfId="0" applyFont="1" applyAlignment="1">
      <alignment horizontal="center"/>
    </xf>
    <xf numFmtId="9" fontId="85" fillId="19" borderId="52" xfId="1" applyFont="1" applyFill="1" applyBorder="1" applyAlignment="1">
      <alignment horizontal="center" vertical="center"/>
    </xf>
    <xf numFmtId="9" fontId="85" fillId="19" borderId="53" xfId="1" applyFont="1" applyFill="1" applyBorder="1" applyAlignment="1">
      <alignment horizontal="center" vertical="center"/>
    </xf>
    <xf numFmtId="0" fontId="45" fillId="0" borderId="0" xfId="0" applyFont="1" applyAlignment="1">
      <alignment horizontal="center"/>
    </xf>
    <xf numFmtId="10" fontId="0" fillId="0" borderId="0" xfId="0" applyNumberFormat="1"/>
    <xf numFmtId="9" fontId="84" fillId="19" borderId="6" xfId="1" applyNumberFormat="1" applyFont="1" applyFill="1" applyBorder="1" applyAlignment="1">
      <alignment horizontal="center" vertical="center"/>
    </xf>
    <xf numFmtId="9" fontId="84" fillId="19" borderId="8" xfId="1" applyNumberFormat="1" applyFont="1" applyFill="1" applyBorder="1" applyAlignment="1">
      <alignment horizontal="center" vertical="center"/>
    </xf>
    <xf numFmtId="9" fontId="84" fillId="19" borderId="10" xfId="1" applyNumberFormat="1" applyFont="1" applyFill="1" applyBorder="1" applyAlignment="1">
      <alignment horizontal="center" vertical="center"/>
    </xf>
    <xf numFmtId="9" fontId="84" fillId="19" borderId="40" xfId="1" applyNumberFormat="1" applyFont="1" applyFill="1" applyBorder="1" applyAlignment="1">
      <alignment horizontal="center" vertical="center"/>
    </xf>
    <xf numFmtId="0" fontId="3" fillId="0" borderId="0" xfId="0" applyFont="1" applyBorder="1" applyAlignment="1">
      <alignment horizontal="center"/>
    </xf>
    <xf numFmtId="9" fontId="43" fillId="19" borderId="69" xfId="1" applyFont="1" applyFill="1" applyBorder="1" applyAlignment="1">
      <alignment horizontal="center" vertical="center"/>
    </xf>
    <xf numFmtId="9" fontId="43" fillId="19" borderId="50" xfId="1" applyFont="1" applyFill="1" applyBorder="1" applyAlignment="1">
      <alignment horizontal="center" vertical="center"/>
    </xf>
    <xf numFmtId="9" fontId="43" fillId="19" borderId="72" xfId="1" applyFont="1" applyFill="1" applyBorder="1" applyAlignment="1">
      <alignment horizontal="center" vertical="center"/>
    </xf>
    <xf numFmtId="9" fontId="42" fillId="0" borderId="0" xfId="0" applyNumberFormat="1" applyFont="1" applyAlignment="1">
      <alignment horizontal="center"/>
    </xf>
    <xf numFmtId="42" fontId="81" fillId="0" borderId="1" xfId="0" applyNumberFormat="1" applyFont="1" applyFill="1" applyBorder="1" applyAlignment="1">
      <alignment vertical="center"/>
    </xf>
    <xf numFmtId="9" fontId="52" fillId="19" borderId="41" xfId="1" applyNumberFormat="1" applyFont="1" applyFill="1" applyBorder="1" applyAlignment="1">
      <alignment horizontal="right" vertical="center"/>
    </xf>
    <xf numFmtId="9" fontId="52" fillId="19" borderId="11" xfId="1" applyNumberFormat="1" applyFont="1" applyFill="1" applyBorder="1" applyAlignment="1">
      <alignment horizontal="right" vertical="center"/>
    </xf>
    <xf numFmtId="0" fontId="66" fillId="19" borderId="0" xfId="0" applyFont="1" applyFill="1"/>
    <xf numFmtId="0" fontId="64" fillId="0" borderId="0" xfId="0" applyFont="1"/>
    <xf numFmtId="9" fontId="65" fillId="8" borderId="49" xfId="1" applyNumberFormat="1" applyFont="1" applyFill="1" applyBorder="1"/>
    <xf numFmtId="0" fontId="70" fillId="0" borderId="0" xfId="0" applyFont="1"/>
    <xf numFmtId="42" fontId="70" fillId="0" borderId="0" xfId="0" applyNumberFormat="1" applyFont="1" applyBorder="1" applyAlignment="1">
      <alignment horizontal="left"/>
    </xf>
    <xf numFmtId="42" fontId="70" fillId="0" borderId="0" xfId="0" applyNumberFormat="1" applyFont="1"/>
    <xf numFmtId="9" fontId="65" fillId="10" borderId="49" xfId="1" applyFont="1" applyFill="1" applyBorder="1"/>
    <xf numFmtId="9" fontId="49" fillId="0" borderId="1" xfId="1" applyNumberFormat="1" applyFont="1" applyFill="1" applyBorder="1" applyAlignment="1">
      <alignment horizontal="justify" vertical="center" wrapText="1"/>
    </xf>
    <xf numFmtId="9" fontId="81" fillId="0" borderId="1" xfId="1" applyNumberFormat="1" applyFont="1" applyFill="1" applyBorder="1" applyAlignment="1">
      <alignment horizontal="justify" vertical="center"/>
    </xf>
    <xf numFmtId="42" fontId="88" fillId="0" borderId="1" xfId="5" applyFont="1" applyFill="1" applyBorder="1" applyAlignment="1">
      <alignment horizontal="right" vertical="center"/>
    </xf>
    <xf numFmtId="42" fontId="49" fillId="0" borderId="1" xfId="5" applyFont="1" applyFill="1" applyBorder="1" applyAlignment="1">
      <alignment horizontal="right" vertical="center"/>
    </xf>
    <xf numFmtId="42" fontId="0" fillId="0" borderId="0" xfId="5" applyFont="1"/>
    <xf numFmtId="42" fontId="0" fillId="0" borderId="0" xfId="0" applyNumberFormat="1"/>
    <xf numFmtId="1" fontId="88" fillId="0" borderId="1" xfId="1" applyNumberFormat="1" applyFont="1" applyFill="1" applyBorder="1" applyAlignment="1">
      <alignment horizontal="right" vertical="center"/>
    </xf>
    <xf numFmtId="1" fontId="88" fillId="0" borderId="1" xfId="0" applyNumberFormat="1" applyFont="1" applyFill="1" applyBorder="1" applyAlignment="1">
      <alignment horizontal="right" vertical="center"/>
    </xf>
    <xf numFmtId="42" fontId="0" fillId="0" borderId="0" xfId="0" applyNumberFormat="1" applyFill="1"/>
    <xf numFmtId="0" fontId="58" fillId="0" borderId="12" xfId="0" applyFont="1" applyBorder="1" applyAlignment="1">
      <alignment horizontal="justify" vertical="center" wrapText="1"/>
    </xf>
    <xf numFmtId="0" fontId="0" fillId="0" borderId="0" xfId="0" applyAlignment="1">
      <alignment horizontal="center"/>
    </xf>
    <xf numFmtId="9" fontId="65" fillId="0" borderId="0" xfId="1" applyNumberFormat="1" applyFont="1" applyFill="1" applyBorder="1"/>
    <xf numFmtId="9" fontId="65" fillId="0" borderId="0" xfId="1" applyFont="1" applyFill="1" applyBorder="1"/>
    <xf numFmtId="0" fontId="53" fillId="0" borderId="0" xfId="0" applyFont="1" applyFill="1"/>
    <xf numFmtId="42" fontId="53" fillId="0" borderId="0" xfId="0" applyNumberFormat="1" applyFont="1" applyFill="1"/>
    <xf numFmtId="0" fontId="0" fillId="0" borderId="0" xfId="0" applyAlignment="1">
      <alignment horizontal="center"/>
    </xf>
    <xf numFmtId="0" fontId="46" fillId="0" borderId="0" xfId="0" applyFont="1"/>
    <xf numFmtId="9" fontId="52" fillId="19" borderId="7" xfId="1" applyFont="1" applyFill="1" applyBorder="1" applyAlignment="1">
      <alignment horizontal="right" vertical="center"/>
    </xf>
    <xf numFmtId="0" fontId="58" fillId="0" borderId="8" xfId="0" applyFont="1" applyBorder="1" applyAlignment="1">
      <alignment horizontal="justify" vertical="center" wrapText="1"/>
    </xf>
    <xf numFmtId="1" fontId="52" fillId="19" borderId="7" xfId="1" applyNumberFormat="1" applyFont="1" applyFill="1" applyBorder="1" applyAlignment="1">
      <alignment horizontal="right" vertical="center"/>
    </xf>
    <xf numFmtId="1" fontId="52" fillId="19" borderId="11" xfId="1" applyNumberFormat="1" applyFont="1" applyFill="1" applyBorder="1" applyAlignment="1">
      <alignment horizontal="right" vertical="center"/>
    </xf>
    <xf numFmtId="1" fontId="52" fillId="19" borderId="41" xfId="1" applyNumberFormat="1" applyFont="1" applyFill="1" applyBorder="1" applyAlignment="1">
      <alignment horizontal="right" vertical="center"/>
    </xf>
    <xf numFmtId="9" fontId="62" fillId="19" borderId="38" xfId="0" applyNumberFormat="1" applyFont="1" applyFill="1" applyBorder="1" applyAlignment="1">
      <alignment horizontal="center" vertical="center"/>
    </xf>
    <xf numFmtId="9" fontId="62" fillId="19" borderId="48" xfId="0" applyNumberFormat="1" applyFont="1" applyFill="1" applyBorder="1" applyAlignment="1">
      <alignment horizontal="center" vertical="center"/>
    </xf>
    <xf numFmtId="173" fontId="0" fillId="0" borderId="0" xfId="0" applyNumberFormat="1" applyFill="1"/>
    <xf numFmtId="42" fontId="0" fillId="0" borderId="0" xfId="5" applyFont="1" applyFill="1"/>
    <xf numFmtId="42" fontId="6" fillId="0" borderId="0" xfId="0" applyNumberFormat="1" applyFont="1" applyFill="1"/>
    <xf numFmtId="3" fontId="6" fillId="0" borderId="0" xfId="0" applyNumberFormat="1" applyFont="1" applyFill="1"/>
    <xf numFmtId="3" fontId="0" fillId="0" borderId="0" xfId="0" applyNumberFormat="1" applyFill="1"/>
    <xf numFmtId="3" fontId="52" fillId="19" borderId="7" xfId="1" applyNumberFormat="1" applyFont="1" applyFill="1" applyBorder="1" applyAlignment="1">
      <alignment horizontal="right" vertical="center"/>
    </xf>
    <xf numFmtId="9" fontId="84" fillId="19" borderId="1" xfId="1" applyFont="1" applyFill="1" applyBorder="1" applyAlignment="1">
      <alignment horizontal="center" vertical="center"/>
    </xf>
    <xf numFmtId="9" fontId="84" fillId="19" borderId="28" xfId="1" applyFont="1" applyFill="1" applyBorder="1" applyAlignment="1">
      <alignment horizontal="center" vertical="center"/>
    </xf>
    <xf numFmtId="9" fontId="84" fillId="19" borderId="29" xfId="1" applyFont="1" applyFill="1" applyBorder="1" applyAlignment="1">
      <alignment horizontal="center" vertical="center"/>
    </xf>
    <xf numFmtId="9" fontId="84" fillId="19" borderId="46" xfId="1" applyFont="1" applyFill="1" applyBorder="1" applyAlignment="1">
      <alignment horizontal="center" vertical="center"/>
    </xf>
    <xf numFmtId="9" fontId="84" fillId="19" borderId="67" xfId="1" applyFont="1" applyFill="1" applyBorder="1" applyAlignment="1">
      <alignment horizontal="center" vertical="center"/>
    </xf>
    <xf numFmtId="9" fontId="84" fillId="19" borderId="43" xfId="1" applyFont="1" applyFill="1" applyBorder="1" applyAlignment="1">
      <alignment horizontal="center" vertical="center"/>
    </xf>
    <xf numFmtId="9" fontId="84" fillId="19" borderId="68" xfId="1" applyFont="1" applyFill="1" applyBorder="1" applyAlignment="1">
      <alignment horizontal="center" vertical="center"/>
    </xf>
    <xf numFmtId="9" fontId="84" fillId="19" borderId="65" xfId="1" applyFont="1" applyFill="1" applyBorder="1" applyAlignment="1">
      <alignment horizontal="center" vertical="center"/>
    </xf>
    <xf numFmtId="9" fontId="43" fillId="19" borderId="49" xfId="1" applyFont="1" applyFill="1" applyBorder="1" applyAlignment="1">
      <alignment horizontal="center" vertical="center"/>
    </xf>
    <xf numFmtId="9" fontId="85" fillId="19" borderId="70" xfId="1" applyNumberFormat="1" applyFont="1" applyFill="1" applyBorder="1" applyAlignment="1">
      <alignment horizontal="center" vertical="center"/>
    </xf>
    <xf numFmtId="9" fontId="85" fillId="19" borderId="3" xfId="1" applyNumberFormat="1" applyFont="1" applyFill="1" applyBorder="1" applyAlignment="1">
      <alignment horizontal="center" vertical="center"/>
    </xf>
    <xf numFmtId="9" fontId="85" fillId="19" borderId="66" xfId="1" applyFont="1" applyFill="1" applyBorder="1" applyAlignment="1">
      <alignment horizontal="center" vertical="center"/>
    </xf>
    <xf numFmtId="9" fontId="84" fillId="19" borderId="1" xfId="1" applyNumberFormat="1" applyFont="1" applyFill="1" applyBorder="1" applyAlignment="1">
      <alignment horizontal="center" vertical="center"/>
    </xf>
    <xf numFmtId="9" fontId="84" fillId="19" borderId="5" xfId="1" applyNumberFormat="1" applyFont="1" applyFill="1" applyBorder="1" applyAlignment="1">
      <alignment horizontal="center" vertical="center"/>
    </xf>
    <xf numFmtId="9" fontId="84" fillId="19" borderId="28" xfId="1" applyNumberFormat="1" applyFont="1" applyFill="1" applyBorder="1" applyAlignment="1">
      <alignment horizontal="center" vertical="center"/>
    </xf>
    <xf numFmtId="9" fontId="84" fillId="19" borderId="7" xfId="1" applyNumberFormat="1" applyFont="1" applyFill="1" applyBorder="1" applyAlignment="1">
      <alignment horizontal="center" vertical="center"/>
    </xf>
    <xf numFmtId="9" fontId="84" fillId="19" borderId="9" xfId="1" applyNumberFormat="1" applyFont="1" applyFill="1" applyBorder="1" applyAlignment="1">
      <alignment horizontal="center" vertical="center"/>
    </xf>
    <xf numFmtId="9" fontId="84" fillId="19" borderId="29" xfId="1" applyNumberFormat="1" applyFont="1" applyFill="1" applyBorder="1" applyAlignment="1">
      <alignment horizontal="center" vertical="center"/>
    </xf>
    <xf numFmtId="9" fontId="43" fillId="19" borderId="34" xfId="1" applyNumberFormat="1" applyFont="1" applyFill="1" applyBorder="1" applyAlignment="1">
      <alignment horizontal="center" vertical="center"/>
    </xf>
    <xf numFmtId="9" fontId="84" fillId="19" borderId="39" xfId="1" applyNumberFormat="1" applyFont="1" applyFill="1" applyBorder="1" applyAlignment="1">
      <alignment horizontal="center" vertical="center"/>
    </xf>
    <xf numFmtId="9" fontId="84" fillId="19" borderId="46" xfId="1" applyNumberFormat="1" applyFont="1" applyFill="1" applyBorder="1" applyAlignment="1">
      <alignment horizontal="center" vertical="center"/>
    </xf>
    <xf numFmtId="9" fontId="85" fillId="19" borderId="69" xfId="1" applyFont="1" applyFill="1" applyBorder="1" applyAlignment="1">
      <alignment horizontal="center" vertical="center"/>
    </xf>
    <xf numFmtId="9" fontId="85" fillId="19" borderId="50" xfId="1" applyFont="1" applyFill="1" applyBorder="1" applyAlignment="1">
      <alignment horizontal="center" vertical="center"/>
    </xf>
    <xf numFmtId="9" fontId="85" fillId="19" borderId="72" xfId="1" applyFont="1" applyFill="1" applyBorder="1" applyAlignment="1">
      <alignment horizontal="center" vertical="center"/>
    </xf>
    <xf numFmtId="9" fontId="43" fillId="19" borderId="33" xfId="1" applyFont="1" applyFill="1" applyBorder="1" applyAlignment="1">
      <alignment horizontal="center" vertical="center"/>
    </xf>
    <xf numFmtId="9" fontId="84" fillId="19" borderId="5" xfId="1" applyFont="1" applyFill="1" applyBorder="1" applyAlignment="1">
      <alignment horizontal="center" vertical="center"/>
    </xf>
    <xf numFmtId="9" fontId="84" fillId="19" borderId="7" xfId="1" applyFont="1" applyFill="1" applyBorder="1" applyAlignment="1">
      <alignment horizontal="center" vertical="center"/>
    </xf>
    <xf numFmtId="9" fontId="84" fillId="19" borderId="9" xfId="1" applyFont="1" applyFill="1" applyBorder="1" applyAlignment="1">
      <alignment horizontal="center" vertical="center"/>
    </xf>
    <xf numFmtId="9" fontId="84" fillId="19" borderId="39" xfId="1" applyFont="1" applyFill="1" applyBorder="1" applyAlignment="1">
      <alignment horizontal="center" vertical="center"/>
    </xf>
    <xf numFmtId="9" fontId="43" fillId="19" borderId="70" xfId="1" applyFont="1" applyFill="1" applyBorder="1" applyAlignment="1">
      <alignment horizontal="center" vertical="center"/>
    </xf>
    <xf numFmtId="9" fontId="43" fillId="19" borderId="42" xfId="1" applyFont="1" applyFill="1" applyBorder="1" applyAlignment="1">
      <alignment horizontal="center" vertical="center"/>
    </xf>
    <xf numFmtId="9" fontId="43" fillId="19" borderId="73" xfId="1" applyFont="1" applyFill="1" applyBorder="1" applyAlignment="1">
      <alignment horizontal="center" vertical="center"/>
    </xf>
    <xf numFmtId="9" fontId="43" fillId="19" borderId="56" xfId="1" applyFont="1" applyFill="1" applyBorder="1" applyAlignment="1">
      <alignment horizontal="center" vertical="center"/>
    </xf>
    <xf numFmtId="9" fontId="43" fillId="19" borderId="52" xfId="1" applyFont="1" applyFill="1" applyBorder="1" applyAlignment="1">
      <alignment horizontal="center" vertical="center"/>
    </xf>
    <xf numFmtId="9" fontId="43" fillId="0" borderId="52" xfId="1" applyFont="1" applyFill="1" applyBorder="1" applyAlignment="1">
      <alignment horizontal="center" vertical="center"/>
    </xf>
    <xf numFmtId="9" fontId="43" fillId="19" borderId="53" xfId="1" applyFont="1" applyFill="1" applyBorder="1" applyAlignment="1">
      <alignment horizontal="center" vertical="center"/>
    </xf>
    <xf numFmtId="9" fontId="43" fillId="19" borderId="70" xfId="1" applyNumberFormat="1" applyFont="1" applyFill="1" applyBorder="1" applyAlignment="1">
      <alignment horizontal="center" vertical="center"/>
    </xf>
    <xf numFmtId="0" fontId="65" fillId="0" borderId="0" xfId="0" applyFont="1" applyAlignment="1">
      <alignment horizontal="center"/>
    </xf>
    <xf numFmtId="9" fontId="43" fillId="19" borderId="3" xfId="1" applyFont="1" applyFill="1" applyBorder="1" applyAlignment="1">
      <alignment horizontal="center" vertical="center"/>
    </xf>
    <xf numFmtId="9" fontId="43" fillId="0" borderId="69" xfId="1" applyFont="1" applyFill="1" applyBorder="1" applyAlignment="1">
      <alignment horizontal="center" vertical="center"/>
    </xf>
    <xf numFmtId="9" fontId="43" fillId="0" borderId="50" xfId="1" applyFont="1" applyFill="1" applyBorder="1" applyAlignment="1">
      <alignment horizontal="center" vertical="center"/>
    </xf>
    <xf numFmtId="9" fontId="43" fillId="0" borderId="72" xfId="1" applyFont="1" applyFill="1" applyBorder="1" applyAlignment="1">
      <alignment horizontal="center" vertical="center"/>
    </xf>
    <xf numFmtId="9" fontId="43" fillId="19" borderId="76" xfId="1" applyFont="1" applyFill="1" applyBorder="1" applyAlignment="1">
      <alignment horizontal="center" vertical="center"/>
    </xf>
    <xf numFmtId="0" fontId="49" fillId="0" borderId="1" xfId="0" applyFont="1" applyBorder="1" applyAlignment="1">
      <alignment wrapText="1"/>
    </xf>
    <xf numFmtId="0" fontId="49" fillId="0" borderId="1" xfId="0" applyFont="1" applyFill="1" applyBorder="1" applyAlignment="1">
      <alignment horizontal="justify" vertical="center" wrapText="1"/>
    </xf>
    <xf numFmtId="0" fontId="49" fillId="0" borderId="1" xfId="0" applyFont="1" applyFill="1" applyBorder="1" applyAlignment="1">
      <alignment horizontal="justify" vertical="center"/>
    </xf>
    <xf numFmtId="14" fontId="0" fillId="0" borderId="1" xfId="0" applyNumberFormat="1" applyBorder="1" applyAlignment="1">
      <alignment vertical="center"/>
    </xf>
    <xf numFmtId="10" fontId="60" fillId="19" borderId="1" xfId="1" applyNumberFormat="1" applyFont="1" applyFill="1" applyBorder="1" applyAlignment="1">
      <alignment horizontal="right" vertical="center"/>
    </xf>
    <xf numFmtId="9" fontId="43" fillId="19" borderId="42" xfId="1" applyNumberFormat="1" applyFont="1" applyFill="1" applyBorder="1" applyAlignment="1">
      <alignment horizontal="center" vertical="center"/>
    </xf>
    <xf numFmtId="9" fontId="84" fillId="19" borderId="57" xfId="1" applyNumberFormat="1" applyFont="1" applyFill="1" applyBorder="1" applyAlignment="1">
      <alignment horizontal="center" vertical="center"/>
    </xf>
    <xf numFmtId="0" fontId="59" fillId="0" borderId="18" xfId="0" applyFont="1" applyFill="1" applyBorder="1" applyAlignment="1">
      <alignment horizontal="justify" vertical="center" wrapText="1"/>
    </xf>
    <xf numFmtId="0" fontId="59" fillId="0" borderId="4" xfId="0" applyFont="1" applyFill="1" applyBorder="1" applyAlignment="1">
      <alignment horizontal="justify" vertical="center" wrapText="1"/>
    </xf>
    <xf numFmtId="0" fontId="4" fillId="0" borderId="0" xfId="0" applyFont="1"/>
    <xf numFmtId="0" fontId="4" fillId="0" borderId="1" xfId="0" applyFont="1" applyBorder="1" applyAlignment="1">
      <alignment horizontal="center"/>
    </xf>
    <xf numFmtId="0" fontId="0" fillId="0" borderId="59" xfId="0" applyBorder="1" applyAlignment="1">
      <alignment horizontal="center" vertical="center"/>
    </xf>
    <xf numFmtId="9" fontId="0" fillId="0" borderId="0" xfId="1" applyFont="1" applyFill="1"/>
    <xf numFmtId="0" fontId="71" fillId="0" borderId="0" xfId="0" applyFont="1" applyFill="1" applyBorder="1" applyAlignment="1">
      <alignment horizontal="right"/>
    </xf>
    <xf numFmtId="168" fontId="71" fillId="27" borderId="15" xfId="1" applyNumberFormat="1" applyFont="1" applyFill="1" applyBorder="1" applyAlignment="1">
      <alignment horizontal="right" vertical="center"/>
    </xf>
    <xf numFmtId="9" fontId="72" fillId="19" borderId="47" xfId="1" applyNumberFormat="1" applyFont="1" applyFill="1" applyBorder="1" applyAlignment="1">
      <alignment horizontal="right" vertical="center"/>
    </xf>
    <xf numFmtId="9" fontId="72" fillId="19" borderId="47" xfId="1" applyFont="1" applyFill="1" applyBorder="1" applyAlignment="1">
      <alignment horizontal="right" vertical="center"/>
    </xf>
    <xf numFmtId="0" fontId="70" fillId="19" borderId="0" xfId="0" applyFont="1" applyFill="1"/>
    <xf numFmtId="9" fontId="39" fillId="28" borderId="40" xfId="1" applyFont="1" applyFill="1" applyBorder="1" applyAlignment="1">
      <alignment horizontal="right" vertical="center"/>
    </xf>
    <xf numFmtId="9" fontId="67" fillId="28" borderId="40" xfId="1" applyFont="1" applyFill="1" applyBorder="1" applyAlignment="1">
      <alignment horizontal="right" vertical="center"/>
    </xf>
    <xf numFmtId="9" fontId="39" fillId="17" borderId="40" xfId="1" applyFont="1" applyFill="1" applyBorder="1" applyAlignment="1">
      <alignment horizontal="right" vertical="center"/>
    </xf>
    <xf numFmtId="9" fontId="67" fillId="17" borderId="40" xfId="1" applyFont="1" applyFill="1" applyBorder="1" applyAlignment="1">
      <alignment horizontal="right" vertical="center"/>
    </xf>
    <xf numFmtId="3" fontId="55" fillId="26" borderId="49" xfId="0" applyNumberFormat="1" applyFont="1" applyFill="1" applyBorder="1" applyAlignment="1">
      <alignment horizontal="center" vertical="center" wrapText="1"/>
    </xf>
    <xf numFmtId="0" fontId="66" fillId="0" borderId="0" xfId="0" applyFont="1" applyFill="1" applyBorder="1" applyAlignment="1">
      <alignment horizontal="center" vertical="center"/>
    </xf>
    <xf numFmtId="168" fontId="71" fillId="0" borderId="0" xfId="1" applyNumberFormat="1" applyFont="1" applyFill="1" applyBorder="1" applyAlignment="1">
      <alignment horizontal="right" vertical="center"/>
    </xf>
    <xf numFmtId="9" fontId="43" fillId="19" borderId="33" xfId="1" applyNumberFormat="1" applyFont="1" applyFill="1" applyBorder="1" applyAlignment="1">
      <alignment horizontal="center" vertical="center"/>
    </xf>
    <xf numFmtId="0" fontId="0" fillId="0" borderId="0" xfId="0" applyBorder="1" applyAlignment="1">
      <alignment horizontal="center"/>
    </xf>
    <xf numFmtId="0" fontId="74" fillId="0" borderId="29" xfId="0" applyFont="1" applyBorder="1" applyAlignment="1">
      <alignment horizontal="center"/>
    </xf>
    <xf numFmtId="0" fontId="0" fillId="0" borderId="0" xfId="0" applyAlignment="1">
      <alignment horizontal="center"/>
    </xf>
    <xf numFmtId="0" fontId="74" fillId="0" borderId="61" xfId="0" applyFont="1" applyBorder="1" applyAlignment="1">
      <alignment horizontal="center"/>
    </xf>
    <xf numFmtId="9" fontId="60" fillId="19" borderId="2" xfId="1" applyFont="1" applyFill="1" applyBorder="1" applyAlignment="1">
      <alignment horizontal="right" vertical="center"/>
    </xf>
    <xf numFmtId="10" fontId="60" fillId="19" borderId="2" xfId="1" applyNumberFormat="1" applyFont="1" applyFill="1" applyBorder="1" applyAlignment="1">
      <alignment horizontal="right" vertical="center"/>
    </xf>
    <xf numFmtId="9" fontId="60" fillId="19" borderId="23" xfId="1" applyFont="1" applyFill="1" applyBorder="1" applyAlignment="1">
      <alignment horizontal="right" vertical="center"/>
    </xf>
    <xf numFmtId="9" fontId="67" fillId="19" borderId="77" xfId="1" applyFont="1" applyFill="1" applyBorder="1" applyAlignment="1">
      <alignment horizontal="right" vertical="center"/>
    </xf>
    <xf numFmtId="9" fontId="67" fillId="19" borderId="78" xfId="1" applyFont="1" applyFill="1" applyBorder="1" applyAlignment="1">
      <alignment horizontal="right" vertical="center"/>
    </xf>
    <xf numFmtId="9" fontId="72" fillId="19" borderId="78" xfId="1" applyNumberFormat="1" applyFont="1" applyFill="1" applyBorder="1" applyAlignment="1">
      <alignment horizontal="right" vertical="center"/>
    </xf>
    <xf numFmtId="9" fontId="39" fillId="19" borderId="77" xfId="1" applyFont="1" applyFill="1" applyBorder="1" applyAlignment="1">
      <alignment horizontal="right" vertical="center"/>
    </xf>
    <xf numFmtId="9" fontId="67" fillId="19" borderId="2" xfId="1" applyFont="1" applyFill="1" applyBorder="1" applyAlignment="1">
      <alignment horizontal="right" vertical="center"/>
    </xf>
    <xf numFmtId="9" fontId="60" fillId="19" borderId="58" xfId="1" applyFont="1" applyFill="1" applyBorder="1" applyAlignment="1">
      <alignment horizontal="right" vertical="center"/>
    </xf>
    <xf numFmtId="9" fontId="60" fillId="19" borderId="18" xfId="1" applyNumberFormat="1" applyFont="1" applyFill="1" applyBorder="1" applyAlignment="1">
      <alignment horizontal="right" vertical="center"/>
    </xf>
    <xf numFmtId="9" fontId="39" fillId="29" borderId="77" xfId="1" applyFont="1" applyFill="1" applyBorder="1" applyAlignment="1">
      <alignment horizontal="right" vertical="center"/>
    </xf>
    <xf numFmtId="9" fontId="72" fillId="19" borderId="78" xfId="1" applyFont="1" applyFill="1" applyBorder="1" applyAlignment="1">
      <alignment horizontal="right" vertical="center"/>
    </xf>
    <xf numFmtId="9" fontId="72" fillId="19" borderId="40" xfId="1" applyNumberFormat="1" applyFont="1" applyFill="1" applyBorder="1" applyAlignment="1">
      <alignment horizontal="right" vertical="center"/>
    </xf>
    <xf numFmtId="0" fontId="93" fillId="0" borderId="43" xfId="0" applyFont="1" applyFill="1" applyBorder="1" applyAlignment="1">
      <alignment horizontal="right"/>
    </xf>
    <xf numFmtId="9" fontId="60" fillId="19" borderId="1" xfId="1" applyNumberFormat="1" applyFont="1" applyFill="1" applyBorder="1" applyAlignment="1">
      <alignment horizontal="right" vertical="center"/>
    </xf>
    <xf numFmtId="0" fontId="93" fillId="0" borderId="0" xfId="0" applyFont="1" applyFill="1" applyBorder="1" applyAlignment="1">
      <alignment horizontal="right"/>
    </xf>
    <xf numFmtId="9" fontId="39" fillId="29" borderId="40" xfId="1" applyFont="1" applyFill="1" applyBorder="1" applyAlignment="1">
      <alignment horizontal="right" vertical="center"/>
    </xf>
    <xf numFmtId="0" fontId="0" fillId="0" borderId="0" xfId="0" applyBorder="1" applyAlignment="1">
      <alignment horizontal="center"/>
    </xf>
    <xf numFmtId="0" fontId="0" fillId="0" borderId="0" xfId="0" applyAlignment="1">
      <alignment horizontal="center"/>
    </xf>
    <xf numFmtId="9" fontId="67" fillId="29" borderId="77" xfId="1" applyFont="1" applyFill="1" applyBorder="1" applyAlignment="1">
      <alignment horizontal="right" vertical="center"/>
    </xf>
    <xf numFmtId="9" fontId="67" fillId="29" borderId="40" xfId="1" applyFont="1" applyFill="1" applyBorder="1" applyAlignment="1">
      <alignment horizontal="right" vertical="center"/>
    </xf>
    <xf numFmtId="9" fontId="39" fillId="29" borderId="34" xfId="1" applyFont="1" applyFill="1" applyBorder="1" applyAlignment="1">
      <alignment horizontal="right" vertical="center"/>
    </xf>
    <xf numFmtId="9" fontId="39" fillId="28" borderId="77" xfId="1" applyFont="1" applyFill="1" applyBorder="1" applyAlignment="1">
      <alignment horizontal="right" vertical="center"/>
    </xf>
    <xf numFmtId="9" fontId="67" fillId="28" borderId="77" xfId="1" applyFont="1" applyFill="1" applyBorder="1" applyAlignment="1">
      <alignment horizontal="right" vertical="center"/>
    </xf>
    <xf numFmtId="9" fontId="39" fillId="17" borderId="77" xfId="1" applyFont="1" applyFill="1" applyBorder="1" applyAlignment="1">
      <alignment horizontal="right" vertical="center"/>
    </xf>
    <xf numFmtId="9" fontId="67" fillId="17" borderId="77" xfId="1" applyFont="1" applyFill="1" applyBorder="1" applyAlignment="1">
      <alignment horizontal="right" vertical="center"/>
    </xf>
    <xf numFmtId="9" fontId="84" fillId="19" borderId="0" xfId="1" applyNumberFormat="1" applyFont="1" applyFill="1" applyBorder="1" applyAlignment="1">
      <alignment horizontal="center" vertical="center"/>
    </xf>
    <xf numFmtId="9" fontId="43" fillId="19" borderId="0" xfId="1" applyNumberFormat="1" applyFont="1" applyFill="1" applyBorder="1" applyAlignment="1">
      <alignment horizontal="center" vertical="center"/>
    </xf>
    <xf numFmtId="0" fontId="9" fillId="0" borderId="0" xfId="0" applyFont="1"/>
    <xf numFmtId="9" fontId="84" fillId="19" borderId="60" xfId="1" applyNumberFormat="1" applyFont="1" applyFill="1" applyBorder="1" applyAlignment="1">
      <alignment horizontal="center" vertical="center"/>
    </xf>
    <xf numFmtId="9" fontId="84" fillId="19" borderId="59" xfId="1" applyNumberFormat="1" applyFont="1" applyFill="1" applyBorder="1" applyAlignment="1">
      <alignment horizontal="center" vertical="center"/>
    </xf>
    <xf numFmtId="9" fontId="84" fillId="19" borderId="61" xfId="1" applyNumberFormat="1" applyFont="1" applyFill="1" applyBorder="1" applyAlignment="1">
      <alignment horizontal="center" vertical="center"/>
    </xf>
    <xf numFmtId="9" fontId="41" fillId="26" borderId="24" xfId="1" applyFont="1" applyFill="1" applyBorder="1" applyAlignment="1">
      <alignment horizontal="center" vertical="center" wrapText="1"/>
    </xf>
    <xf numFmtId="9" fontId="43" fillId="19" borderId="52" xfId="1" applyNumberFormat="1" applyFont="1" applyFill="1" applyBorder="1" applyAlignment="1">
      <alignment horizontal="center" vertical="center"/>
    </xf>
    <xf numFmtId="9" fontId="43" fillId="19" borderId="53" xfId="1" applyNumberFormat="1" applyFont="1" applyFill="1" applyBorder="1" applyAlignment="1">
      <alignment horizontal="center" vertical="center"/>
    </xf>
    <xf numFmtId="9" fontId="43" fillId="19" borderId="49" xfId="1" applyNumberFormat="1" applyFont="1" applyFill="1" applyBorder="1" applyAlignment="1">
      <alignment horizontal="center" vertical="center"/>
    </xf>
    <xf numFmtId="9" fontId="43" fillId="19" borderId="56" xfId="1" applyNumberFormat="1" applyFont="1" applyFill="1" applyBorder="1" applyAlignment="1">
      <alignment horizontal="center" vertical="center"/>
    </xf>
    <xf numFmtId="9" fontId="52" fillId="19" borderId="5" xfId="1" applyFont="1" applyFill="1" applyBorder="1" applyAlignment="1">
      <alignment horizontal="right" vertical="center"/>
    </xf>
    <xf numFmtId="9" fontId="60" fillId="19" borderId="28" xfId="1" applyFont="1" applyFill="1" applyBorder="1" applyAlignment="1">
      <alignment horizontal="right" vertical="center"/>
    </xf>
    <xf numFmtId="9" fontId="60" fillId="19" borderId="60" xfId="1" applyFont="1" applyFill="1" applyBorder="1" applyAlignment="1">
      <alignment horizontal="right" vertical="center"/>
    </xf>
    <xf numFmtId="9" fontId="60" fillId="19" borderId="71" xfId="1" applyFont="1" applyFill="1" applyBorder="1" applyAlignment="1">
      <alignment horizontal="right" vertical="center"/>
    </xf>
    <xf numFmtId="9" fontId="39" fillId="29" borderId="46" xfId="1" applyFont="1" applyFill="1" applyBorder="1" applyAlignment="1">
      <alignment horizontal="right" vertical="center"/>
    </xf>
    <xf numFmtId="9" fontId="67" fillId="29" borderId="46" xfId="1" applyFont="1" applyFill="1" applyBorder="1" applyAlignment="1">
      <alignment horizontal="right" vertical="center"/>
    </xf>
    <xf numFmtId="9" fontId="72" fillId="19" borderId="46" xfId="1" applyFont="1" applyFill="1" applyBorder="1" applyAlignment="1">
      <alignment horizontal="right" vertical="center"/>
    </xf>
    <xf numFmtId="0" fontId="58" fillId="0" borderId="12" xfId="0" applyFont="1" applyBorder="1" applyAlignment="1">
      <alignment vertical="center" wrapText="1"/>
    </xf>
    <xf numFmtId="10" fontId="52" fillId="19" borderId="7" xfId="1" applyNumberFormat="1" applyFont="1" applyFill="1" applyBorder="1" applyAlignment="1">
      <alignment horizontal="right" vertical="center"/>
    </xf>
    <xf numFmtId="10" fontId="60" fillId="19" borderId="18" xfId="1" applyNumberFormat="1" applyFont="1" applyFill="1" applyBorder="1" applyAlignment="1">
      <alignment horizontal="right" vertical="center"/>
    </xf>
    <xf numFmtId="10" fontId="60" fillId="19" borderId="58" xfId="1" applyNumberFormat="1" applyFont="1" applyFill="1" applyBorder="1" applyAlignment="1">
      <alignment horizontal="right" vertical="center"/>
    </xf>
    <xf numFmtId="0" fontId="7" fillId="0" borderId="73" xfId="0" applyFont="1" applyFill="1" applyBorder="1" applyAlignment="1">
      <alignment horizontal="center" vertical="center" wrapText="1"/>
    </xf>
    <xf numFmtId="49" fontId="55" fillId="26" borderId="33" xfId="0" applyNumberFormat="1" applyFont="1" applyFill="1" applyBorder="1" applyAlignment="1">
      <alignment horizontal="center" vertical="center" wrapText="1"/>
    </xf>
    <xf numFmtId="9" fontId="39" fillId="19" borderId="46" xfId="1" applyNumberFormat="1" applyFont="1" applyFill="1" applyBorder="1" applyAlignment="1">
      <alignment horizontal="right" vertical="center"/>
    </xf>
    <xf numFmtId="49" fontId="55" fillId="26" borderId="13" xfId="0" applyNumberFormat="1" applyFont="1" applyFill="1" applyBorder="1" applyAlignment="1">
      <alignment horizontal="center" vertical="center" wrapText="1"/>
    </xf>
    <xf numFmtId="9" fontId="60" fillId="19" borderId="6" xfId="1" applyFont="1" applyFill="1" applyBorder="1" applyAlignment="1">
      <alignment horizontal="right" vertical="center"/>
    </xf>
    <xf numFmtId="9" fontId="60" fillId="19" borderId="8" xfId="1" applyFont="1" applyFill="1" applyBorder="1" applyAlignment="1">
      <alignment horizontal="right" vertical="center"/>
    </xf>
    <xf numFmtId="9" fontId="72" fillId="19" borderId="77" xfId="1" applyFont="1" applyFill="1" applyBorder="1" applyAlignment="1">
      <alignment horizontal="right" vertical="center"/>
    </xf>
    <xf numFmtId="9" fontId="85" fillId="19" borderId="5" xfId="1" applyNumberFormat="1" applyFont="1" applyFill="1" applyBorder="1" applyAlignment="1">
      <alignment horizontal="center" vertical="center"/>
    </xf>
    <xf numFmtId="9" fontId="85" fillId="19" borderId="41" xfId="1" applyNumberFormat="1" applyFont="1" applyFill="1" applyBorder="1" applyAlignment="1">
      <alignment horizontal="center" vertical="center"/>
    </xf>
    <xf numFmtId="9" fontId="85" fillId="19" borderId="15" xfId="1" applyFont="1" applyFill="1" applyBorder="1" applyAlignment="1">
      <alignment horizontal="center" vertical="center"/>
    </xf>
    <xf numFmtId="0" fontId="84" fillId="0" borderId="0" xfId="0" applyFont="1" applyAlignment="1">
      <alignment horizontal="center" vertical="center"/>
    </xf>
    <xf numFmtId="0" fontId="93" fillId="0" borderId="0" xfId="0" applyFont="1" applyFill="1"/>
    <xf numFmtId="3" fontId="94" fillId="0" borderId="0" xfId="0" applyNumberFormat="1" applyFont="1" applyFill="1" applyBorder="1" applyAlignment="1">
      <alignment horizontal="center" vertical="center" wrapText="1"/>
    </xf>
    <xf numFmtId="0" fontId="95" fillId="0" borderId="42" xfId="0" applyFont="1" applyFill="1" applyBorder="1" applyAlignment="1">
      <alignment horizontal="right"/>
    </xf>
    <xf numFmtId="0" fontId="95" fillId="0" borderId="43" xfId="0" applyFont="1" applyFill="1" applyBorder="1" applyAlignment="1">
      <alignment horizontal="right"/>
    </xf>
    <xf numFmtId="0" fontId="95" fillId="0" borderId="0" xfId="0" applyFont="1" applyFill="1" applyBorder="1" applyAlignment="1">
      <alignment horizontal="right"/>
    </xf>
    <xf numFmtId="0" fontId="93" fillId="0" borderId="43" xfId="0" applyFont="1" applyFill="1" applyBorder="1" applyAlignment="1"/>
    <xf numFmtId="0" fontId="93" fillId="0" borderId="0" xfId="0" applyFont="1" applyFill="1" applyBorder="1" applyAlignment="1"/>
    <xf numFmtId="0" fontId="96" fillId="0" borderId="0" xfId="0" applyFont="1" applyFill="1" applyBorder="1" applyAlignment="1">
      <alignment horizontal="right"/>
    </xf>
    <xf numFmtId="0" fontId="95" fillId="0" borderId="0" xfId="0" applyFont="1" applyFill="1" applyAlignment="1">
      <alignment horizontal="right"/>
    </xf>
    <xf numFmtId="0" fontId="97" fillId="0" borderId="0" xfId="0" applyFont="1" applyFill="1" applyBorder="1" applyAlignment="1">
      <alignment horizontal="right"/>
    </xf>
    <xf numFmtId="0" fontId="93" fillId="0" borderId="0" xfId="0" applyFont="1"/>
    <xf numFmtId="42" fontId="49" fillId="0" borderId="1" xfId="1" applyNumberFormat="1" applyFont="1" applyFill="1" applyBorder="1" applyAlignment="1">
      <alignment horizontal="right" vertical="center"/>
    </xf>
    <xf numFmtId="0" fontId="49" fillId="0" borderId="1" xfId="0" applyFont="1" applyFill="1" applyBorder="1"/>
    <xf numFmtId="9" fontId="49" fillId="0" borderId="1" xfId="1" applyFont="1" applyFill="1" applyBorder="1"/>
    <xf numFmtId="42" fontId="49" fillId="0" borderId="1" xfId="5" applyFont="1" applyFill="1" applyBorder="1"/>
    <xf numFmtId="0" fontId="49" fillId="0" borderId="70" xfId="0" applyFont="1" applyFill="1" applyBorder="1" applyAlignment="1">
      <alignment horizontal="center" wrapText="1"/>
    </xf>
    <xf numFmtId="0" fontId="49" fillId="0" borderId="42" xfId="0" applyFont="1" applyFill="1" applyBorder="1" applyAlignment="1">
      <alignment horizontal="center" wrapText="1"/>
    </xf>
    <xf numFmtId="0" fontId="49" fillId="0" borderId="73" xfId="0" applyFont="1" applyFill="1" applyBorder="1" applyAlignment="1">
      <alignment horizontal="center" wrapText="1"/>
    </xf>
    <xf numFmtId="0" fontId="98" fillId="26" borderId="30" xfId="0" applyFont="1" applyFill="1" applyBorder="1" applyAlignment="1">
      <alignment horizontal="center" vertical="center" wrapText="1"/>
    </xf>
    <xf numFmtId="9" fontId="86" fillId="0" borderId="1" xfId="1" applyFont="1" applyFill="1" applyBorder="1" applyAlignment="1">
      <alignment horizontal="right" vertical="center"/>
    </xf>
    <xf numFmtId="9" fontId="49" fillId="0" borderId="1" xfId="1" applyNumberFormat="1" applyFont="1" applyFill="1" applyBorder="1" applyAlignment="1">
      <alignment horizontal="right" vertical="center" wrapText="1"/>
    </xf>
    <xf numFmtId="0" fontId="49" fillId="0" borderId="0" xfId="0" applyFont="1" applyFill="1" applyBorder="1" applyAlignment="1">
      <alignment horizontal="justify" vertical="center" wrapText="1"/>
    </xf>
    <xf numFmtId="0" fontId="0" fillId="0" borderId="0" xfId="0" applyAlignment="1">
      <alignment horizontal="center"/>
    </xf>
    <xf numFmtId="9" fontId="62" fillId="19" borderId="25" xfId="0" applyNumberFormat="1" applyFont="1" applyFill="1" applyBorder="1" applyAlignment="1">
      <alignment horizontal="center" vertical="center"/>
    </xf>
    <xf numFmtId="0" fontId="61" fillId="0" borderId="25" xfId="0" applyFont="1" applyBorder="1" applyAlignment="1">
      <alignment horizontal="center" vertical="center" wrapText="1"/>
    </xf>
    <xf numFmtId="0" fontId="61" fillId="0" borderId="45" xfId="0" applyFont="1" applyBorder="1" applyAlignment="1">
      <alignment horizontal="center" vertical="center" wrapText="1"/>
    </xf>
    <xf numFmtId="1" fontId="62" fillId="19" borderId="25" xfId="1" applyNumberFormat="1" applyFont="1" applyFill="1" applyBorder="1" applyAlignment="1">
      <alignment horizontal="center" vertical="center"/>
    </xf>
    <xf numFmtId="0" fontId="0" fillId="0" borderId="0" xfId="0" applyAlignment="1">
      <alignment horizontal="center"/>
    </xf>
    <xf numFmtId="9" fontId="49" fillId="0" borderId="0" xfId="1" applyFont="1" applyFill="1" applyBorder="1" applyAlignment="1">
      <alignment horizontal="justify" vertical="center" wrapText="1"/>
    </xf>
    <xf numFmtId="9" fontId="62" fillId="19" borderId="25" xfId="0" applyNumberFormat="1" applyFont="1" applyFill="1" applyBorder="1" applyAlignment="1">
      <alignment horizontal="center" vertical="center"/>
    </xf>
    <xf numFmtId="9" fontId="62" fillId="19" borderId="38" xfId="0" applyNumberFormat="1" applyFont="1" applyFill="1" applyBorder="1" applyAlignment="1">
      <alignment horizontal="center" vertical="center"/>
    </xf>
    <xf numFmtId="0" fontId="61" fillId="0" borderId="25" xfId="0" applyFont="1" applyBorder="1" applyAlignment="1">
      <alignment horizontal="center" vertical="center" wrapText="1"/>
    </xf>
    <xf numFmtId="0" fontId="61" fillId="0" borderId="45" xfId="0" applyFont="1" applyBorder="1" applyAlignment="1">
      <alignment horizontal="center" vertical="center" wrapText="1"/>
    </xf>
    <xf numFmtId="1" fontId="62" fillId="19" borderId="25" xfId="1" applyNumberFormat="1" applyFont="1" applyFill="1" applyBorder="1" applyAlignment="1">
      <alignment horizontal="center" vertical="center"/>
    </xf>
    <xf numFmtId="1" fontId="49" fillId="0" borderId="1" xfId="1" applyNumberFormat="1" applyFont="1" applyFill="1" applyBorder="1" applyAlignment="1">
      <alignment horizontal="right" vertical="center"/>
    </xf>
    <xf numFmtId="0" fontId="82" fillId="0" borderId="1" xfId="0" applyFont="1" applyFill="1" applyBorder="1" applyAlignment="1">
      <alignment horizontal="center" vertical="center"/>
    </xf>
    <xf numFmtId="9" fontId="82" fillId="0" borderId="1" xfId="0" applyNumberFormat="1" applyFont="1" applyFill="1" applyBorder="1" applyAlignment="1">
      <alignment horizontal="right" vertical="center"/>
    </xf>
    <xf numFmtId="42" fontId="82" fillId="0" borderId="1" xfId="5" applyFont="1" applyFill="1" applyBorder="1" applyAlignment="1">
      <alignment horizontal="right" vertical="center"/>
    </xf>
    <xf numFmtId="0" fontId="82" fillId="0" borderId="1" xfId="0" applyFont="1" applyFill="1" applyBorder="1" applyAlignment="1">
      <alignment horizontal="justify" vertical="center" wrapText="1"/>
    </xf>
    <xf numFmtId="9" fontId="82" fillId="0" borderId="1" xfId="1" applyFont="1" applyFill="1" applyBorder="1" applyAlignment="1">
      <alignment horizontal="right" vertical="center"/>
    </xf>
    <xf numFmtId="9" fontId="62" fillId="19" borderId="25" xfId="0" applyNumberFormat="1" applyFont="1" applyFill="1" applyBorder="1" applyAlignment="1">
      <alignment horizontal="center" vertical="center"/>
    </xf>
    <xf numFmtId="0" fontId="61" fillId="0" borderId="25" xfId="0" applyFont="1" applyBorder="1" applyAlignment="1">
      <alignment horizontal="center" vertical="center" wrapText="1"/>
    </xf>
    <xf numFmtId="0" fontId="61" fillId="0" borderId="45" xfId="0" applyFont="1" applyBorder="1" applyAlignment="1">
      <alignment horizontal="center" vertical="center" wrapText="1"/>
    </xf>
    <xf numFmtId="9" fontId="62" fillId="19" borderId="36" xfId="0" applyNumberFormat="1" applyFont="1" applyFill="1" applyBorder="1" applyAlignment="1">
      <alignment horizontal="center" vertical="center"/>
    </xf>
    <xf numFmtId="9" fontId="62" fillId="19" borderId="38" xfId="0" applyNumberFormat="1" applyFont="1" applyFill="1" applyBorder="1" applyAlignment="1">
      <alignment horizontal="center" vertical="center"/>
    </xf>
    <xf numFmtId="9" fontId="62" fillId="19" borderId="25" xfId="1" applyFont="1" applyFill="1" applyBorder="1" applyAlignment="1">
      <alignment horizontal="center" vertical="center"/>
    </xf>
    <xf numFmtId="0" fontId="49" fillId="0" borderId="4" xfId="0" applyFont="1" applyFill="1" applyBorder="1"/>
    <xf numFmtId="42" fontId="49" fillId="0" borderId="1" xfId="5" applyFont="1" applyFill="1" applyBorder="1" applyAlignment="1">
      <alignment vertical="center"/>
    </xf>
    <xf numFmtId="42" fontId="49" fillId="0" borderId="1" xfId="0" applyNumberFormat="1" applyFont="1" applyFill="1" applyBorder="1" applyAlignment="1">
      <alignment vertical="center"/>
    </xf>
    <xf numFmtId="41" fontId="49" fillId="0" borderId="1" xfId="3" applyFont="1" applyFill="1" applyBorder="1" applyAlignment="1">
      <alignment horizontal="right" vertical="center"/>
    </xf>
    <xf numFmtId="10" fontId="49" fillId="0" borderId="1" xfId="0" applyNumberFormat="1" applyFont="1" applyFill="1" applyBorder="1" applyAlignment="1">
      <alignment horizontal="center" vertical="center" wrapText="1"/>
    </xf>
    <xf numFmtId="42" fontId="49" fillId="0" borderId="1" xfId="5" applyFont="1" applyFill="1" applyBorder="1" applyAlignment="1">
      <alignment horizontal="right" vertical="center" wrapText="1"/>
    </xf>
    <xf numFmtId="169" fontId="49" fillId="0" borderId="1" xfId="3" applyNumberFormat="1" applyFont="1" applyFill="1" applyBorder="1" applyAlignment="1">
      <alignment horizontal="right" vertical="center"/>
    </xf>
    <xf numFmtId="9" fontId="49" fillId="0" borderId="1" xfId="3" applyNumberFormat="1" applyFont="1" applyFill="1" applyBorder="1" applyAlignment="1">
      <alignment horizontal="right" vertical="center"/>
    </xf>
    <xf numFmtId="9" fontId="87" fillId="0" borderId="1" xfId="1" applyNumberFormat="1" applyFont="1" applyFill="1" applyBorder="1" applyAlignment="1">
      <alignment horizontal="right" vertical="center" wrapText="1"/>
    </xf>
    <xf numFmtId="0" fontId="90" fillId="0" borderId="1" xfId="0" applyFont="1" applyFill="1" applyBorder="1" applyAlignment="1">
      <alignment vertical="center" wrapText="1"/>
    </xf>
    <xf numFmtId="42" fontId="49" fillId="0" borderId="1" xfId="5" applyFont="1" applyFill="1" applyBorder="1" applyAlignment="1">
      <alignment horizontal="center" vertical="center" wrapText="1"/>
    </xf>
    <xf numFmtId="9" fontId="49" fillId="0" borderId="1" xfId="1" applyFont="1" applyFill="1" applyBorder="1" applyAlignment="1">
      <alignment vertical="center"/>
    </xf>
    <xf numFmtId="1" fontId="49" fillId="0" borderId="1" xfId="1" applyNumberFormat="1" applyFont="1" applyFill="1" applyBorder="1" applyAlignment="1">
      <alignment vertical="center"/>
    </xf>
    <xf numFmtId="10" fontId="49" fillId="0" borderId="1" xfId="0" applyNumberFormat="1" applyFont="1" applyFill="1" applyBorder="1" applyAlignment="1">
      <alignment vertical="center"/>
    </xf>
    <xf numFmtId="9" fontId="52" fillId="19" borderId="11" xfId="1" applyFont="1" applyFill="1" applyBorder="1" applyAlignment="1">
      <alignment horizontal="right" vertical="center"/>
    </xf>
    <xf numFmtId="9" fontId="52" fillId="19" borderId="41" xfId="1" applyFont="1" applyFill="1" applyBorder="1" applyAlignment="1">
      <alignment horizontal="right" vertical="center"/>
    </xf>
    <xf numFmtId="9" fontId="60" fillId="19" borderId="4" xfId="1" applyFont="1" applyFill="1" applyBorder="1" applyAlignment="1">
      <alignment horizontal="right" vertical="center"/>
    </xf>
    <xf numFmtId="9" fontId="60" fillId="19" borderId="18" xfId="1" applyFont="1" applyFill="1" applyBorder="1" applyAlignment="1">
      <alignment horizontal="right" vertical="center"/>
    </xf>
    <xf numFmtId="9" fontId="60" fillId="19" borderId="12" xfId="1" applyFont="1" applyFill="1" applyBorder="1" applyAlignment="1">
      <alignment horizontal="right" vertical="center"/>
    </xf>
    <xf numFmtId="9" fontId="60" fillId="19" borderId="16" xfId="1" applyFont="1" applyFill="1" applyBorder="1" applyAlignment="1">
      <alignment horizontal="right" vertical="center"/>
    </xf>
    <xf numFmtId="0" fontId="46" fillId="0" borderId="1" xfId="0" applyFont="1" applyFill="1" applyBorder="1" applyAlignment="1">
      <alignment horizontal="justify" vertical="center" wrapText="1"/>
    </xf>
    <xf numFmtId="0" fontId="46" fillId="0" borderId="4" xfId="0" applyFont="1" applyFill="1" applyBorder="1" applyAlignment="1">
      <alignment horizontal="justify" vertical="center" wrapText="1"/>
    </xf>
    <xf numFmtId="0" fontId="46" fillId="0" borderId="17" xfId="0" applyFont="1" applyFill="1" applyBorder="1" applyAlignment="1">
      <alignment horizontal="justify" vertical="center" wrapText="1"/>
    </xf>
    <xf numFmtId="0" fontId="46" fillId="0" borderId="17" xfId="0" applyFont="1" applyBorder="1" applyAlignment="1">
      <alignment horizontal="justify" vertical="center" wrapText="1"/>
    </xf>
    <xf numFmtId="0" fontId="46" fillId="0" borderId="18" xfId="0" applyFont="1" applyBorder="1" applyAlignment="1">
      <alignment horizontal="justify" vertical="center" wrapText="1"/>
    </xf>
    <xf numFmtId="0" fontId="46" fillId="0" borderId="18" xfId="0" applyFont="1" applyFill="1" applyBorder="1" applyAlignment="1">
      <alignment horizontal="justify" vertical="center" wrapText="1"/>
    </xf>
    <xf numFmtId="9" fontId="60" fillId="19" borderId="17" xfId="1" applyFont="1" applyFill="1" applyBorder="1" applyAlignment="1">
      <alignment horizontal="right" vertical="center"/>
    </xf>
    <xf numFmtId="9" fontId="62" fillId="19" borderId="25" xfId="0" applyNumberFormat="1" applyFont="1" applyFill="1" applyBorder="1" applyAlignment="1">
      <alignment horizontal="center" vertical="center"/>
    </xf>
    <xf numFmtId="9" fontId="62" fillId="19" borderId="36" xfId="0" applyNumberFormat="1" applyFont="1" applyFill="1" applyBorder="1" applyAlignment="1">
      <alignment horizontal="center" vertical="center"/>
    </xf>
    <xf numFmtId="9" fontId="62" fillId="19" borderId="38" xfId="0" applyNumberFormat="1" applyFont="1" applyFill="1" applyBorder="1" applyAlignment="1">
      <alignment horizontal="center" vertical="center"/>
    </xf>
    <xf numFmtId="0" fontId="61" fillId="0" borderId="25" xfId="0" applyFont="1" applyBorder="1" applyAlignment="1">
      <alignment horizontal="center" vertical="center" wrapText="1"/>
    </xf>
    <xf numFmtId="0" fontId="61" fillId="0" borderId="45" xfId="0" applyFont="1" applyBorder="1" applyAlignment="1">
      <alignment horizontal="center" vertical="center" wrapText="1"/>
    </xf>
    <xf numFmtId="1" fontId="62" fillId="19" borderId="25" xfId="1" applyNumberFormat="1" applyFont="1" applyFill="1" applyBorder="1" applyAlignment="1">
      <alignment horizontal="center" vertical="center"/>
    </xf>
    <xf numFmtId="9" fontId="60" fillId="19" borderId="1" xfId="1" applyFont="1" applyFill="1" applyBorder="1" applyAlignment="1">
      <alignment horizontal="right" vertical="center"/>
    </xf>
    <xf numFmtId="0" fontId="46" fillId="0" borderId="1" xfId="0" applyFont="1" applyBorder="1" applyAlignment="1">
      <alignment horizontal="justify" vertical="center" wrapText="1"/>
    </xf>
    <xf numFmtId="0" fontId="58" fillId="0" borderId="16" xfId="0" applyFont="1" applyFill="1" applyBorder="1" applyAlignment="1">
      <alignment horizontal="justify" vertical="center" wrapText="1"/>
    </xf>
    <xf numFmtId="0" fontId="59" fillId="0" borderId="1" xfId="0" applyFont="1" applyFill="1" applyBorder="1" applyAlignment="1">
      <alignment horizontal="justify" vertical="center" wrapText="1"/>
    </xf>
    <xf numFmtId="0" fontId="46" fillId="0" borderId="4" xfId="0" applyFont="1" applyFill="1" applyBorder="1" applyAlignment="1">
      <alignment horizontal="center" vertical="center" wrapText="1"/>
    </xf>
    <xf numFmtId="0" fontId="46" fillId="0" borderId="4" xfId="0" applyFont="1" applyBorder="1" applyAlignment="1">
      <alignment horizontal="justify" vertical="center" wrapText="1"/>
    </xf>
    <xf numFmtId="0" fontId="58" fillId="0" borderId="12" xfId="0" applyFont="1" applyFill="1" applyBorder="1" applyAlignment="1">
      <alignment horizontal="justify" vertical="center" wrapText="1"/>
    </xf>
    <xf numFmtId="0" fontId="58" fillId="0" borderId="64" xfId="0" applyFont="1" applyBorder="1" applyAlignment="1">
      <alignment horizontal="justify" vertical="center" wrapText="1"/>
    </xf>
    <xf numFmtId="9" fontId="52" fillId="19" borderId="14" xfId="1" applyFont="1" applyFill="1" applyBorder="1" applyAlignment="1">
      <alignment horizontal="right" vertical="center"/>
    </xf>
    <xf numFmtId="0" fontId="49" fillId="0" borderId="1" xfId="0" applyFont="1" applyFill="1" applyBorder="1" applyAlignment="1">
      <alignment vertical="center"/>
    </xf>
    <xf numFmtId="1" fontId="49" fillId="0" borderId="1" xfId="3" applyNumberFormat="1" applyFont="1" applyFill="1" applyBorder="1" applyAlignment="1">
      <alignment horizontal="right" vertical="center"/>
    </xf>
    <xf numFmtId="10" fontId="49" fillId="0" borderId="1" xfId="1" applyNumberFormat="1" applyFont="1" applyFill="1" applyBorder="1" applyAlignment="1">
      <alignment horizontal="right" vertical="center"/>
    </xf>
    <xf numFmtId="10" fontId="49" fillId="0" borderId="1" xfId="0" applyNumberFormat="1" applyFont="1" applyFill="1" applyBorder="1" applyAlignment="1">
      <alignment horizontal="right" vertical="center"/>
    </xf>
    <xf numFmtId="42" fontId="81" fillId="0" borderId="1" xfId="0" applyNumberFormat="1" applyFont="1" applyFill="1" applyBorder="1" applyAlignment="1">
      <alignment horizontal="justify" vertical="center"/>
    </xf>
    <xf numFmtId="0" fontId="46" fillId="0" borderId="1" xfId="0" applyFont="1" applyBorder="1"/>
    <xf numFmtId="42" fontId="88" fillId="0" borderId="1" xfId="5" applyFont="1" applyFill="1" applyBorder="1" applyAlignment="1">
      <alignment vertical="center"/>
    </xf>
    <xf numFmtId="169" fontId="49" fillId="0" borderId="1" xfId="5" applyNumberFormat="1" applyFont="1" applyFill="1" applyBorder="1" applyAlignment="1">
      <alignment horizontal="right" vertical="center"/>
    </xf>
    <xf numFmtId="1" fontId="49" fillId="0" borderId="1" xfId="0" applyNumberFormat="1" applyFont="1" applyFill="1" applyBorder="1" applyAlignment="1">
      <alignment vertical="center"/>
    </xf>
    <xf numFmtId="42" fontId="49" fillId="0" borderId="4" xfId="5" applyFont="1" applyFill="1" applyBorder="1"/>
    <xf numFmtId="9" fontId="39" fillId="29" borderId="77" xfId="1" applyNumberFormat="1" applyFont="1" applyFill="1" applyBorder="1" applyAlignment="1">
      <alignment horizontal="right" vertical="center"/>
    </xf>
    <xf numFmtId="9" fontId="39" fillId="19" borderId="77" xfId="1" applyNumberFormat="1" applyFont="1" applyFill="1" applyBorder="1" applyAlignment="1">
      <alignment horizontal="right" vertical="center"/>
    </xf>
    <xf numFmtId="14" fontId="0" fillId="0" borderId="1" xfId="0" applyNumberFormat="1" applyBorder="1"/>
    <xf numFmtId="14" fontId="0" fillId="0" borderId="1" xfId="0" applyNumberFormat="1" applyBorder="1" applyAlignment="1">
      <alignment horizontal="center" vertical="center"/>
    </xf>
    <xf numFmtId="9" fontId="58" fillId="0" borderId="8" xfId="0" applyNumberFormat="1" applyFont="1" applyBorder="1" applyAlignment="1">
      <alignment horizontal="justify" vertical="center" wrapText="1"/>
    </xf>
    <xf numFmtId="173" fontId="29" fillId="0" borderId="28" xfId="0" applyNumberFormat="1" applyFont="1" applyFill="1" applyBorder="1" applyAlignment="1"/>
    <xf numFmtId="9" fontId="49" fillId="0" borderId="1" xfId="0" applyNumberFormat="1" applyFont="1" applyFill="1" applyBorder="1"/>
    <xf numFmtId="10" fontId="49" fillId="0" borderId="1" xfId="0" applyNumberFormat="1" applyFont="1" applyFill="1" applyBorder="1"/>
    <xf numFmtId="42" fontId="90" fillId="0" borderId="1" xfId="5" applyFont="1" applyFill="1" applyBorder="1" applyAlignment="1">
      <alignment horizontal="right" vertical="center"/>
    </xf>
    <xf numFmtId="3" fontId="49" fillId="0" borderId="1" xfId="0" applyNumberFormat="1" applyFont="1" applyFill="1" applyBorder="1"/>
    <xf numFmtId="42" fontId="49" fillId="0" borderId="1" xfId="15" applyFont="1" applyFill="1" applyBorder="1"/>
    <xf numFmtId="172" fontId="49" fillId="0" borderId="1" xfId="0" applyNumberFormat="1" applyFont="1" applyFill="1" applyBorder="1" applyAlignment="1">
      <alignment horizontal="right" vertical="center"/>
    </xf>
    <xf numFmtId="42" fontId="49" fillId="0" borderId="1" xfId="15" applyFont="1" applyFill="1" applyBorder="1" applyAlignment="1">
      <alignment horizontal="right" vertical="center"/>
    </xf>
    <xf numFmtId="172" fontId="81" fillId="0" borderId="1" xfId="0" applyNumberFormat="1" applyFont="1" applyFill="1" applyBorder="1" applyAlignment="1">
      <alignment horizontal="right" vertical="center"/>
    </xf>
    <xf numFmtId="42" fontId="81" fillId="0" borderId="1" xfId="15" applyFont="1" applyFill="1" applyBorder="1" applyAlignment="1">
      <alignment horizontal="right" vertical="center"/>
    </xf>
    <xf numFmtId="9" fontId="81" fillId="0" borderId="1" xfId="0" applyNumberFormat="1" applyFont="1" applyFill="1" applyBorder="1" applyAlignment="1">
      <alignment vertical="center" wrapText="1"/>
    </xf>
    <xf numFmtId="9" fontId="49" fillId="0" borderId="1" xfId="0" applyNumberFormat="1" applyFont="1" applyFill="1" applyBorder="1" applyAlignment="1">
      <alignment vertical="center"/>
    </xf>
    <xf numFmtId="9" fontId="49" fillId="0" borderId="1" xfId="0" applyNumberFormat="1" applyFont="1" applyFill="1" applyBorder="1" applyAlignment="1">
      <alignment vertical="center" wrapText="1"/>
    </xf>
    <xf numFmtId="9" fontId="49" fillId="0" borderId="1" xfId="1" applyFont="1" applyFill="1" applyBorder="1" applyAlignment="1">
      <alignment horizontal="justify" vertical="center"/>
    </xf>
    <xf numFmtId="175" fontId="49" fillId="0" borderId="1" xfId="0" applyNumberFormat="1" applyFont="1" applyFill="1" applyBorder="1" applyAlignment="1">
      <alignment vertical="center"/>
    </xf>
    <xf numFmtId="1" fontId="49" fillId="0" borderId="1" xfId="0" applyNumberFormat="1" applyFont="1" applyFill="1" applyBorder="1" applyAlignment="1">
      <alignment horizontal="center" vertical="center" wrapText="1"/>
    </xf>
    <xf numFmtId="10" fontId="49" fillId="0" borderId="1" xfId="1" applyNumberFormat="1" applyFont="1" applyFill="1" applyBorder="1" applyAlignment="1">
      <alignment horizontal="center" vertical="center" wrapText="1"/>
    </xf>
    <xf numFmtId="10" fontId="88" fillId="0" borderId="1" xfId="0" applyNumberFormat="1" applyFont="1" applyFill="1" applyBorder="1" applyAlignment="1">
      <alignment horizontal="right" vertical="center"/>
    </xf>
    <xf numFmtId="10" fontId="88" fillId="0" borderId="1" xfId="1" applyNumberFormat="1" applyFont="1" applyFill="1" applyBorder="1" applyAlignment="1">
      <alignment horizontal="right" vertical="center"/>
    </xf>
    <xf numFmtId="9" fontId="49" fillId="0" borderId="1" xfId="1" applyFont="1" applyFill="1" applyBorder="1" applyAlignment="1">
      <alignment horizontal="right" vertical="center" wrapText="1"/>
    </xf>
    <xf numFmtId="42" fontId="49" fillId="0" borderId="1" xfId="0" applyNumberFormat="1" applyFont="1" applyFill="1" applyBorder="1"/>
    <xf numFmtId="174" fontId="49" fillId="0" borderId="1" xfId="0" applyNumberFormat="1" applyFont="1" applyFill="1" applyBorder="1"/>
    <xf numFmtId="1" fontId="49" fillId="0" borderId="1" xfId="0" applyNumberFormat="1" applyFont="1" applyFill="1" applyBorder="1"/>
    <xf numFmtId="10" fontId="49" fillId="0" borderId="1" xfId="1" applyNumberFormat="1" applyFont="1" applyFill="1" applyBorder="1"/>
    <xf numFmtId="0" fontId="81" fillId="0" borderId="1" xfId="0" applyFont="1" applyFill="1" applyBorder="1" applyAlignment="1">
      <alignment horizontal="right"/>
    </xf>
    <xf numFmtId="0" fontId="81" fillId="0" borderId="1" xfId="0" applyFont="1" applyFill="1" applyBorder="1" applyAlignment="1">
      <alignment horizontal="justify"/>
    </xf>
    <xf numFmtId="42" fontId="81" fillId="0" borderId="1" xfId="0" applyNumberFormat="1" applyFont="1" applyFill="1" applyBorder="1"/>
    <xf numFmtId="42" fontId="88" fillId="0" borderId="1" xfId="5" applyFont="1" applyFill="1" applyBorder="1"/>
    <xf numFmtId="42" fontId="81" fillId="0" borderId="1" xfId="0" applyNumberFormat="1" applyFont="1" applyFill="1" applyBorder="1" applyAlignment="1">
      <alignment horizontal="right" vertical="center"/>
    </xf>
    <xf numFmtId="9" fontId="29" fillId="0" borderId="1" xfId="1" applyNumberFormat="1" applyFont="1" applyFill="1" applyBorder="1" applyAlignment="1">
      <alignment horizontal="justify" vertical="center" wrapText="1"/>
    </xf>
    <xf numFmtId="10" fontId="88" fillId="0" borderId="1" xfId="1" applyNumberFormat="1" applyFont="1" applyFill="1" applyBorder="1" applyAlignment="1">
      <alignment vertical="center"/>
    </xf>
    <xf numFmtId="0" fontId="81" fillId="0" borderId="1" xfId="0" applyFont="1" applyFill="1" applyBorder="1" applyAlignment="1">
      <alignment vertical="center" wrapText="1"/>
    </xf>
    <xf numFmtId="9" fontId="81" fillId="0" borderId="1" xfId="1" applyNumberFormat="1" applyFont="1" applyFill="1" applyBorder="1" applyAlignment="1">
      <alignment vertical="center"/>
    </xf>
    <xf numFmtId="42" fontId="81" fillId="0" borderId="1" xfId="1" applyNumberFormat="1" applyFont="1" applyFill="1" applyBorder="1" applyAlignment="1">
      <alignment vertical="center"/>
    </xf>
    <xf numFmtId="0" fontId="49" fillId="0" borderId="1" xfId="0" applyFont="1" applyFill="1" applyBorder="1" applyAlignment="1">
      <alignment vertical="center" wrapText="1"/>
    </xf>
    <xf numFmtId="0" fontId="49" fillId="0" borderId="28" xfId="0" applyFont="1" applyFill="1" applyBorder="1" applyAlignment="1">
      <alignment horizontal="justify" vertical="center" wrapText="1"/>
    </xf>
    <xf numFmtId="9" fontId="81" fillId="0" borderId="6" xfId="1" applyNumberFormat="1" applyFont="1" applyFill="1" applyBorder="1" applyAlignment="1">
      <alignment horizontal="right" vertical="center" wrapText="1"/>
    </xf>
    <xf numFmtId="9" fontId="81" fillId="0" borderId="8" xfId="1" applyNumberFormat="1" applyFont="1" applyFill="1" applyBorder="1" applyAlignment="1">
      <alignment horizontal="right" vertical="center" wrapText="1"/>
    </xf>
    <xf numFmtId="9" fontId="49" fillId="0" borderId="8" xfId="1" applyNumberFormat="1" applyFont="1" applyFill="1" applyBorder="1" applyAlignment="1">
      <alignment horizontal="right" vertical="center" wrapText="1"/>
    </xf>
    <xf numFmtId="9" fontId="87" fillId="0" borderId="8" xfId="1" applyNumberFormat="1" applyFont="1" applyFill="1" applyBorder="1" applyAlignment="1">
      <alignment horizontal="right" vertical="center" wrapText="1"/>
    </xf>
    <xf numFmtId="9" fontId="49" fillId="0" borderId="8" xfId="1" applyFont="1" applyFill="1" applyBorder="1" applyAlignment="1">
      <alignment horizontal="right" vertical="center" wrapText="1"/>
    </xf>
    <xf numFmtId="9" fontId="81" fillId="0" borderId="8" xfId="1" applyFont="1" applyFill="1" applyBorder="1" applyAlignment="1">
      <alignment horizontal="right" vertical="center" wrapText="1"/>
    </xf>
    <xf numFmtId="0" fontId="0" fillId="0" borderId="1" xfId="0" applyBorder="1" applyAlignment="1">
      <alignment wrapText="1"/>
    </xf>
    <xf numFmtId="9" fontId="60" fillId="19" borderId="4" xfId="1" applyFont="1" applyFill="1" applyBorder="1" applyAlignment="1">
      <alignment horizontal="right" vertical="center"/>
    </xf>
    <xf numFmtId="9" fontId="60" fillId="19" borderId="18" xfId="1" applyFont="1" applyFill="1" applyBorder="1" applyAlignment="1">
      <alignment horizontal="right" vertical="center"/>
    </xf>
    <xf numFmtId="9" fontId="52" fillId="19" borderId="11" xfId="1" applyFont="1" applyFill="1" applyBorder="1" applyAlignment="1">
      <alignment horizontal="right" vertical="center"/>
    </xf>
    <xf numFmtId="0" fontId="46" fillId="0" borderId="1" xfId="0" applyFont="1" applyFill="1" applyBorder="1" applyAlignment="1">
      <alignment horizontal="justify" vertical="center" wrapText="1"/>
    </xf>
    <xf numFmtId="0" fontId="46" fillId="0" borderId="4" xfId="0" applyFont="1" applyBorder="1" applyAlignment="1">
      <alignment horizontal="justify" vertical="center" wrapText="1"/>
    </xf>
    <xf numFmtId="9" fontId="62" fillId="19" borderId="25" xfId="0" applyNumberFormat="1" applyFont="1" applyFill="1" applyBorder="1" applyAlignment="1">
      <alignment horizontal="center" vertical="center"/>
    </xf>
    <xf numFmtId="0" fontId="61" fillId="0" borderId="25" xfId="0" applyFont="1" applyBorder="1" applyAlignment="1">
      <alignment horizontal="center" vertical="center" wrapText="1"/>
    </xf>
    <xf numFmtId="0" fontId="61" fillId="0" borderId="45" xfId="0" applyFont="1" applyBorder="1" applyAlignment="1">
      <alignment horizontal="center" vertical="center" wrapText="1"/>
    </xf>
    <xf numFmtId="9" fontId="62" fillId="19" borderId="36" xfId="0" applyNumberFormat="1" applyFont="1" applyFill="1" applyBorder="1" applyAlignment="1">
      <alignment horizontal="center" vertical="center"/>
    </xf>
    <xf numFmtId="9" fontId="62" fillId="19" borderId="25" xfId="1" applyFont="1" applyFill="1" applyBorder="1" applyAlignment="1">
      <alignment horizontal="center" vertical="center"/>
    </xf>
    <xf numFmtId="9" fontId="60" fillId="19" borderId="1" xfId="1" applyFont="1" applyFill="1" applyBorder="1" applyAlignment="1">
      <alignment horizontal="right" vertical="center"/>
    </xf>
    <xf numFmtId="9" fontId="49" fillId="0" borderId="1" xfId="1" applyNumberFormat="1" applyFont="1" applyFill="1" applyBorder="1" applyAlignment="1">
      <alignment horizontal="justify" vertical="center"/>
    </xf>
    <xf numFmtId="0" fontId="49" fillId="0" borderId="18" xfId="0" applyFont="1" applyFill="1" applyBorder="1" applyAlignment="1">
      <alignment horizontal="justify" vertical="center" wrapText="1"/>
    </xf>
    <xf numFmtId="0" fontId="46" fillId="0" borderId="1" xfId="0" applyFont="1" applyFill="1" applyBorder="1" applyAlignment="1">
      <alignment horizontal="justify" vertical="center" wrapText="1"/>
    </xf>
    <xf numFmtId="0" fontId="46" fillId="0" borderId="1" xfId="0" applyFont="1" applyBorder="1" applyAlignment="1">
      <alignment horizontal="justify" vertical="center" wrapText="1"/>
    </xf>
    <xf numFmtId="9" fontId="60" fillId="19" borderId="12" xfId="1" applyFont="1" applyFill="1" applyBorder="1" applyAlignment="1">
      <alignment horizontal="right" vertical="center"/>
    </xf>
    <xf numFmtId="9" fontId="60" fillId="19" borderId="16" xfId="1" applyFont="1" applyFill="1" applyBorder="1" applyAlignment="1">
      <alignment horizontal="right" vertical="center"/>
    </xf>
    <xf numFmtId="9" fontId="60" fillId="19" borderId="1" xfId="1" applyFont="1" applyFill="1" applyBorder="1" applyAlignment="1">
      <alignment horizontal="right" vertical="center"/>
    </xf>
    <xf numFmtId="0" fontId="46" fillId="4" borderId="1" xfId="0" applyFont="1" applyFill="1" applyBorder="1" applyAlignment="1">
      <alignment horizontal="justify" vertical="center" wrapText="1"/>
    </xf>
    <xf numFmtId="0" fontId="3" fillId="0" borderId="0" xfId="0" applyFont="1" applyFill="1" applyBorder="1" applyAlignment="1">
      <alignment horizontal="center"/>
    </xf>
    <xf numFmtId="9" fontId="43" fillId="19" borderId="72" xfId="1" applyNumberFormat="1" applyFont="1" applyFill="1" applyBorder="1" applyAlignment="1">
      <alignment horizontal="center" vertical="center"/>
    </xf>
    <xf numFmtId="42" fontId="49" fillId="0" borderId="1" xfId="5" applyFont="1" applyFill="1" applyBorder="1" applyAlignment="1">
      <alignment horizontal="justify" vertical="center" wrapText="1"/>
    </xf>
    <xf numFmtId="9" fontId="49" fillId="0" borderId="4" xfId="1" applyNumberFormat="1" applyFont="1" applyFill="1" applyBorder="1" applyAlignment="1">
      <alignment horizontal="justify" vertical="center"/>
    </xf>
    <xf numFmtId="9" fontId="49" fillId="0" borderId="18" xfId="1" applyNumberFormat="1" applyFont="1" applyFill="1" applyBorder="1" applyAlignment="1">
      <alignment horizontal="justify" vertical="center"/>
    </xf>
    <xf numFmtId="9" fontId="81" fillId="0" borderId="1" xfId="1" applyFont="1" applyFill="1" applyBorder="1" applyAlignment="1">
      <alignment horizontal="justify" vertical="center"/>
    </xf>
    <xf numFmtId="4" fontId="52" fillId="19" borderId="7" xfId="1" applyNumberFormat="1" applyFont="1" applyFill="1" applyBorder="1" applyAlignment="1">
      <alignment horizontal="right" vertical="center"/>
    </xf>
    <xf numFmtId="10" fontId="52" fillId="19" borderId="41" xfId="1" applyNumberFormat="1" applyFont="1" applyFill="1" applyBorder="1" applyAlignment="1">
      <alignment horizontal="right" vertical="center"/>
    </xf>
    <xf numFmtId="42" fontId="6" fillId="0" borderId="0" xfId="5" applyFont="1" applyFill="1"/>
    <xf numFmtId="0" fontId="49" fillId="0" borderId="1" xfId="0" applyFont="1" applyFill="1" applyBorder="1" applyAlignment="1">
      <alignment horizontal="justify" vertical="center" wrapText="1"/>
    </xf>
    <xf numFmtId="9" fontId="60" fillId="19" borderId="1" xfId="1" applyFont="1" applyFill="1" applyBorder="1" applyAlignment="1">
      <alignment horizontal="right" vertical="center"/>
    </xf>
    <xf numFmtId="0" fontId="46" fillId="0" borderId="4" xfId="0" applyFont="1" applyFill="1" applyBorder="1" applyAlignment="1">
      <alignment vertical="center" wrapText="1"/>
    </xf>
    <xf numFmtId="165" fontId="4" fillId="0" borderId="0" xfId="3" applyNumberFormat="1" applyFont="1" applyFill="1" applyBorder="1"/>
    <xf numFmtId="42" fontId="6" fillId="0" borderId="0" xfId="0" applyNumberFormat="1" applyFont="1"/>
    <xf numFmtId="9" fontId="39" fillId="29" borderId="40" xfId="1" applyNumberFormat="1" applyFont="1" applyFill="1" applyBorder="1" applyAlignment="1">
      <alignment horizontal="right" vertical="center"/>
    </xf>
    <xf numFmtId="9" fontId="43" fillId="0" borderId="56" xfId="1" applyFont="1" applyFill="1" applyBorder="1" applyAlignment="1">
      <alignment horizontal="center" vertical="center"/>
    </xf>
    <xf numFmtId="9" fontId="43" fillId="0" borderId="52" xfId="1" applyNumberFormat="1" applyFont="1" applyFill="1" applyBorder="1" applyAlignment="1">
      <alignment horizontal="center" vertical="center"/>
    </xf>
    <xf numFmtId="9" fontId="43" fillId="0" borderId="53" xfId="1" applyNumberFormat="1" applyFont="1" applyFill="1" applyBorder="1" applyAlignment="1">
      <alignment horizontal="center" vertical="center"/>
    </xf>
    <xf numFmtId="9" fontId="43" fillId="0" borderId="49" xfId="1" applyNumberFormat="1" applyFont="1" applyFill="1" applyBorder="1" applyAlignment="1">
      <alignment horizontal="center" vertical="center"/>
    </xf>
    <xf numFmtId="14" fontId="0" fillId="0" borderId="1" xfId="0" applyNumberFormat="1" applyBorder="1" applyAlignment="1">
      <alignment vertical="center" wrapText="1"/>
    </xf>
    <xf numFmtId="9" fontId="60" fillId="19" borderId="18" xfId="1" applyFont="1" applyFill="1" applyBorder="1" applyAlignment="1">
      <alignment horizontal="right" vertical="center"/>
    </xf>
    <xf numFmtId="9" fontId="60" fillId="19" borderId="17" xfId="1" applyFont="1" applyFill="1" applyBorder="1" applyAlignment="1">
      <alignment horizontal="right" vertical="center"/>
    </xf>
    <xf numFmtId="9" fontId="60" fillId="19" borderId="1" xfId="1" applyFont="1" applyFill="1" applyBorder="1" applyAlignment="1">
      <alignment horizontal="right" vertical="center"/>
    </xf>
    <xf numFmtId="0" fontId="49" fillId="0" borderId="1" xfId="1" applyNumberFormat="1" applyFont="1" applyFill="1" applyBorder="1" applyAlignment="1">
      <alignment horizontal="right" vertical="center"/>
    </xf>
    <xf numFmtId="9" fontId="46" fillId="0" borderId="43" xfId="0" applyNumberFormat="1" applyFont="1" applyFill="1" applyBorder="1" applyAlignment="1">
      <alignment horizontal="right"/>
    </xf>
    <xf numFmtId="9" fontId="72" fillId="28" borderId="77" xfId="1" applyFont="1" applyFill="1" applyBorder="1" applyAlignment="1">
      <alignment horizontal="right" vertical="center"/>
    </xf>
    <xf numFmtId="9" fontId="72" fillId="28" borderId="40" xfId="1" applyFont="1" applyFill="1" applyBorder="1" applyAlignment="1">
      <alignment horizontal="right" vertical="center"/>
    </xf>
    <xf numFmtId="9" fontId="60" fillId="28" borderId="78" xfId="1" applyFont="1" applyFill="1" applyBorder="1" applyAlignment="1">
      <alignment horizontal="right" vertical="center"/>
    </xf>
    <xf numFmtId="9" fontId="60" fillId="28" borderId="63" xfId="1" applyFont="1" applyFill="1" applyBorder="1" applyAlignment="1">
      <alignment horizontal="right" vertical="center"/>
    </xf>
    <xf numFmtId="9" fontId="60" fillId="28" borderId="59" xfId="1" applyFont="1" applyFill="1" applyBorder="1" applyAlignment="1">
      <alignment horizontal="right" vertical="center"/>
    </xf>
    <xf numFmtId="9" fontId="60" fillId="28" borderId="8" xfId="1" applyFont="1" applyFill="1" applyBorder="1" applyAlignment="1">
      <alignment horizontal="right" vertical="center"/>
    </xf>
    <xf numFmtId="9" fontId="60" fillId="0" borderId="59" xfId="1" applyFont="1" applyFill="1" applyBorder="1" applyAlignment="1">
      <alignment horizontal="right" vertical="center"/>
    </xf>
    <xf numFmtId="9" fontId="60" fillId="0" borderId="8" xfId="1" applyFont="1" applyFill="1" applyBorder="1" applyAlignment="1">
      <alignment horizontal="right" vertical="center"/>
    </xf>
    <xf numFmtId="9" fontId="39" fillId="8" borderId="77" xfId="1" applyFont="1" applyFill="1" applyBorder="1" applyAlignment="1">
      <alignment horizontal="right" vertical="center"/>
    </xf>
    <xf numFmtId="9" fontId="39" fillId="8" borderId="40" xfId="1" applyFont="1" applyFill="1" applyBorder="1" applyAlignment="1">
      <alignment horizontal="right" vertical="center"/>
    </xf>
    <xf numFmtId="0" fontId="49" fillId="0" borderId="1" xfId="0" applyFont="1" applyFill="1" applyBorder="1" applyAlignment="1">
      <alignment horizontal="justify" vertical="center" wrapText="1"/>
    </xf>
    <xf numFmtId="1" fontId="88" fillId="0" borderId="1" xfId="1" applyNumberFormat="1" applyFont="1" applyFill="1" applyBorder="1" applyAlignment="1">
      <alignment vertical="center"/>
    </xf>
    <xf numFmtId="0" fontId="81" fillId="0" borderId="18" xfId="0" applyFont="1" applyFill="1" applyBorder="1" applyAlignment="1">
      <alignment vertical="center"/>
    </xf>
    <xf numFmtId="0" fontId="49" fillId="0" borderId="1" xfId="0" applyFont="1" applyFill="1" applyBorder="1" applyAlignment="1">
      <alignment horizontal="justify" vertical="center" wrapText="1"/>
    </xf>
    <xf numFmtId="1" fontId="81" fillId="0" borderId="18" xfId="0" applyNumberFormat="1" applyFont="1" applyFill="1" applyBorder="1" applyAlignment="1">
      <alignment horizontal="right" vertical="center"/>
    </xf>
    <xf numFmtId="1" fontId="81" fillId="0" borderId="18" xfId="0" applyNumberFormat="1" applyFont="1" applyFill="1" applyBorder="1" applyAlignment="1">
      <alignment vertical="center"/>
    </xf>
    <xf numFmtId="9" fontId="81" fillId="0" borderId="18" xfId="1" applyNumberFormat="1" applyFont="1" applyFill="1" applyBorder="1" applyAlignment="1">
      <alignment horizontal="right" vertical="center" wrapText="1"/>
    </xf>
    <xf numFmtId="6" fontId="88" fillId="0" borderId="1" xfId="5" applyNumberFormat="1" applyFont="1" applyFill="1" applyBorder="1" applyAlignment="1">
      <alignment horizontal="right" vertical="center"/>
    </xf>
    <xf numFmtId="9" fontId="88" fillId="0" borderId="1" xfId="0" applyNumberFormat="1" applyFont="1" applyFill="1" applyBorder="1"/>
    <xf numFmtId="6" fontId="88" fillId="0" borderId="1" xfId="1" applyNumberFormat="1" applyFont="1" applyFill="1" applyBorder="1" applyAlignment="1">
      <alignment horizontal="right" vertical="center"/>
    </xf>
    <xf numFmtId="10" fontId="88" fillId="0" borderId="1" xfId="0" applyNumberFormat="1" applyFont="1" applyFill="1" applyBorder="1" applyAlignment="1">
      <alignment horizontal="center" vertical="center" wrapText="1"/>
    </xf>
    <xf numFmtId="42" fontId="88" fillId="0" borderId="1" xfId="5" applyFont="1" applyFill="1" applyBorder="1" applyAlignment="1">
      <alignment horizontal="right" vertical="center" wrapText="1"/>
    </xf>
    <xf numFmtId="0" fontId="88" fillId="0" borderId="1" xfId="0" applyFont="1" applyFill="1" applyBorder="1" applyAlignment="1">
      <alignment horizontal="justify"/>
    </xf>
    <xf numFmtId="42" fontId="88" fillId="0" borderId="1" xfId="0" applyNumberFormat="1" applyFont="1" applyFill="1" applyBorder="1"/>
    <xf numFmtId="9" fontId="88" fillId="0" borderId="1" xfId="1" applyFont="1" applyFill="1" applyBorder="1"/>
    <xf numFmtId="9" fontId="88" fillId="0" borderId="1" xfId="1" applyFont="1" applyFill="1" applyBorder="1" applyAlignment="1">
      <alignment horizontal="right" vertical="center" wrapText="1"/>
    </xf>
    <xf numFmtId="6" fontId="49" fillId="0" borderId="0" xfId="1" applyNumberFormat="1" applyFont="1" applyFill="1" applyBorder="1" applyAlignment="1">
      <alignment horizontal="right" vertical="center"/>
    </xf>
    <xf numFmtId="0" fontId="88" fillId="0" borderId="0" xfId="0" applyFont="1" applyFill="1" applyBorder="1" applyAlignment="1">
      <alignment horizontal="right" vertical="center"/>
    </xf>
    <xf numFmtId="0" fontId="88" fillId="0" borderId="0" xfId="0" applyFont="1" applyFill="1" applyBorder="1" applyAlignment="1">
      <alignment horizontal="justify" vertical="center" wrapText="1"/>
    </xf>
    <xf numFmtId="0" fontId="88" fillId="0" borderId="0" xfId="0" applyFont="1" applyFill="1" applyBorder="1" applyAlignment="1">
      <alignment horizontal="center" vertical="center"/>
    </xf>
    <xf numFmtId="9" fontId="88" fillId="0" borderId="0" xfId="0" applyNumberFormat="1" applyFont="1" applyFill="1" applyBorder="1" applyAlignment="1">
      <alignment horizontal="right" vertical="center"/>
    </xf>
    <xf numFmtId="9" fontId="88" fillId="0" borderId="0" xfId="1" applyFont="1" applyFill="1" applyBorder="1" applyAlignment="1">
      <alignment horizontal="right" vertical="center"/>
    </xf>
    <xf numFmtId="9" fontId="88" fillId="0" borderId="0" xfId="0" applyNumberFormat="1" applyFont="1" applyFill="1" applyBorder="1"/>
    <xf numFmtId="0" fontId="88" fillId="0" borderId="0" xfId="0" applyFont="1" applyFill="1" applyBorder="1" applyAlignment="1">
      <alignment horizontal="justify" vertical="center"/>
    </xf>
    <xf numFmtId="42" fontId="88" fillId="0" borderId="0" xfId="5" applyFont="1" applyFill="1" applyBorder="1" applyAlignment="1">
      <alignment horizontal="right" vertical="center"/>
    </xf>
    <xf numFmtId="10" fontId="88" fillId="0" borderId="0" xfId="0" applyNumberFormat="1" applyFont="1" applyFill="1" applyBorder="1" applyAlignment="1">
      <alignment horizontal="center" vertical="center" wrapText="1"/>
    </xf>
    <xf numFmtId="42" fontId="88" fillId="0" borderId="0" xfId="5" applyFont="1" applyFill="1" applyBorder="1" applyAlignment="1">
      <alignment horizontal="right" vertical="center" wrapText="1"/>
    </xf>
    <xf numFmtId="0" fontId="88" fillId="0" borderId="0" xfId="0" applyFont="1" applyFill="1" applyBorder="1" applyAlignment="1">
      <alignment wrapText="1"/>
    </xf>
    <xf numFmtId="0" fontId="88" fillId="0" borderId="0" xfId="0" applyFont="1" applyFill="1" applyBorder="1" applyAlignment="1">
      <alignment horizontal="justify"/>
    </xf>
    <xf numFmtId="42" fontId="88" fillId="0" borderId="0" xfId="0" applyNumberFormat="1" applyFont="1" applyFill="1" applyBorder="1"/>
    <xf numFmtId="9" fontId="88" fillId="0" borderId="0" xfId="1" applyFont="1" applyFill="1" applyBorder="1"/>
    <xf numFmtId="42" fontId="88" fillId="0" borderId="0" xfId="5" applyFont="1" applyFill="1" applyBorder="1"/>
    <xf numFmtId="0" fontId="88" fillId="0" borderId="0" xfId="0" applyFont="1" applyFill="1" applyBorder="1" applyAlignment="1">
      <alignment horizontal="left" wrapText="1"/>
    </xf>
    <xf numFmtId="9" fontId="12" fillId="0" borderId="0" xfId="0" applyNumberFormat="1" applyFont="1" applyFill="1" applyBorder="1" applyAlignment="1">
      <alignment vertical="center" wrapText="1"/>
    </xf>
    <xf numFmtId="42" fontId="12" fillId="0" borderId="0" xfId="5" applyFont="1" applyFill="1" applyBorder="1" applyAlignment="1">
      <alignment vertical="center" wrapText="1"/>
    </xf>
    <xf numFmtId="0" fontId="12" fillId="0" borderId="0" xfId="0" applyFont="1" applyBorder="1" applyAlignment="1">
      <alignment horizontal="justify" vertical="center" wrapText="1"/>
    </xf>
    <xf numFmtId="0" fontId="88" fillId="0" borderId="0" xfId="0" applyFont="1" applyFill="1" applyBorder="1"/>
    <xf numFmtId="9" fontId="88" fillId="0" borderId="0" xfId="1" applyFont="1" applyFill="1" applyBorder="1" applyAlignment="1">
      <alignment horizontal="right" vertical="center" wrapText="1"/>
    </xf>
    <xf numFmtId="0" fontId="49" fillId="0" borderId="1" xfId="0" applyFont="1" applyFill="1" applyBorder="1" applyAlignment="1">
      <alignment horizontal="justify" vertical="center" wrapText="1"/>
    </xf>
    <xf numFmtId="0" fontId="49" fillId="0" borderId="1" xfId="0" applyFont="1" applyFill="1" applyBorder="1" applyAlignment="1">
      <alignment horizontal="justify" vertical="center" wrapText="1"/>
    </xf>
    <xf numFmtId="14" fontId="0" fillId="0" borderId="1" xfId="0" applyNumberFormat="1" applyBorder="1" applyAlignment="1">
      <alignment horizontal="center" vertical="center"/>
    </xf>
    <xf numFmtId="0" fontId="0" fillId="0" borderId="1" xfId="0" applyFill="1" applyBorder="1" applyAlignment="1">
      <alignment vertical="center" wrapText="1"/>
    </xf>
    <xf numFmtId="42" fontId="0" fillId="0" borderId="1" xfId="5" applyFont="1" applyFill="1" applyBorder="1" applyAlignment="1">
      <alignment vertical="center" wrapText="1"/>
    </xf>
    <xf numFmtId="2" fontId="0" fillId="0" borderId="1" xfId="0" applyNumberFormat="1" applyFill="1" applyBorder="1" applyAlignment="1">
      <alignment vertical="center" wrapText="1"/>
    </xf>
    <xf numFmtId="9" fontId="0" fillId="0" borderId="1" xfId="0" applyNumberFormat="1" applyFill="1" applyBorder="1" applyAlignment="1">
      <alignment vertical="center" wrapText="1"/>
    </xf>
    <xf numFmtId="10" fontId="0" fillId="0" borderId="0" xfId="0" applyNumberFormat="1" applyFill="1" applyAlignment="1">
      <alignment vertical="center" wrapText="1"/>
    </xf>
    <xf numFmtId="10" fontId="81" fillId="0" borderId="59" xfId="1" applyNumberFormat="1" applyFont="1" applyFill="1" applyBorder="1"/>
    <xf numFmtId="0" fontId="81" fillId="0" borderId="59" xfId="0" applyFont="1" applyFill="1" applyBorder="1" applyAlignment="1">
      <alignment horizontal="right" vertical="center"/>
    </xf>
    <xf numFmtId="10" fontId="0" fillId="0" borderId="1" xfId="1" applyNumberFormat="1" applyFont="1" applyFill="1" applyBorder="1" applyAlignment="1">
      <alignment vertical="center" wrapText="1"/>
    </xf>
    <xf numFmtId="10" fontId="0" fillId="0" borderId="1" xfId="0" applyNumberFormat="1" applyFill="1" applyBorder="1" applyAlignment="1">
      <alignment vertical="center" wrapText="1"/>
    </xf>
    <xf numFmtId="9" fontId="0" fillId="0" borderId="1" xfId="1" applyFont="1" applyFill="1" applyBorder="1" applyAlignment="1">
      <alignment vertical="center" wrapText="1"/>
    </xf>
    <xf numFmtId="9" fontId="9" fillId="0" borderId="1" xfId="0" applyNumberFormat="1" applyFont="1" applyFill="1" applyBorder="1" applyAlignment="1">
      <alignment vertical="center" wrapText="1"/>
    </xf>
    <xf numFmtId="1" fontId="0" fillId="0" borderId="1" xfId="0" applyNumberFormat="1" applyFill="1" applyBorder="1" applyAlignment="1">
      <alignment vertical="center" wrapText="1"/>
    </xf>
    <xf numFmtId="9" fontId="81" fillId="0" borderId="1" xfId="1" applyNumberFormat="1" applyFont="1" applyFill="1" applyBorder="1"/>
    <xf numFmtId="42" fontId="81" fillId="0" borderId="1" xfId="5" applyFont="1" applyFill="1" applyBorder="1" applyAlignment="1">
      <alignment horizontal="center" vertical="center" wrapText="1"/>
    </xf>
    <xf numFmtId="9" fontId="49" fillId="0" borderId="1" xfId="1" applyFont="1" applyFill="1" applyBorder="1" applyAlignment="1">
      <alignment horizontal="center" vertical="center"/>
    </xf>
    <xf numFmtId="1" fontId="49" fillId="0" borderId="1" xfId="1" applyNumberFormat="1" applyFont="1" applyFill="1" applyBorder="1" applyAlignment="1">
      <alignment horizontal="center" vertical="center"/>
    </xf>
    <xf numFmtId="1" fontId="49" fillId="0" borderId="1" xfId="0" applyNumberFormat="1" applyFont="1" applyFill="1" applyBorder="1" applyAlignment="1">
      <alignment horizontal="center" vertical="center"/>
    </xf>
    <xf numFmtId="9" fontId="81" fillId="0" borderId="4" xfId="1" applyFont="1" applyFill="1" applyBorder="1"/>
    <xf numFmtId="6" fontId="81" fillId="0" borderId="1" xfId="0" applyNumberFormat="1" applyFont="1" applyFill="1" applyBorder="1"/>
    <xf numFmtId="9" fontId="81" fillId="0" borderId="18" xfId="1" applyFont="1" applyFill="1" applyBorder="1"/>
    <xf numFmtId="42" fontId="81" fillId="0" borderId="18" xfId="5" applyFont="1" applyFill="1" applyBorder="1"/>
    <xf numFmtId="0" fontId="49" fillId="0" borderId="17" xfId="0" applyFont="1" applyFill="1" applyBorder="1"/>
    <xf numFmtId="0" fontId="49" fillId="0" borderId="18" xfId="0" applyFont="1" applyFill="1" applyBorder="1"/>
    <xf numFmtId="9" fontId="49" fillId="0" borderId="4" xfId="1" applyFont="1" applyFill="1" applyBorder="1"/>
    <xf numFmtId="0" fontId="81" fillId="0" borderId="18" xfId="0" applyFont="1" applyFill="1" applyBorder="1"/>
    <xf numFmtId="0" fontId="88" fillId="0" borderId="7" xfId="0" applyFont="1" applyFill="1" applyBorder="1" applyAlignment="1">
      <alignment horizontal="right" vertical="center"/>
    </xf>
    <xf numFmtId="42" fontId="88" fillId="0" borderId="1" xfId="0" applyNumberFormat="1" applyFont="1" applyFill="1" applyBorder="1" applyAlignment="1">
      <alignment vertical="center"/>
    </xf>
    <xf numFmtId="0" fontId="88" fillId="0" borderId="1" xfId="0" applyFont="1" applyFill="1" applyBorder="1" applyAlignment="1">
      <alignment vertical="center"/>
    </xf>
    <xf numFmtId="9" fontId="88" fillId="0" borderId="1" xfId="1" applyFont="1" applyFill="1" applyBorder="1" applyAlignment="1">
      <alignment vertical="center"/>
    </xf>
    <xf numFmtId="0" fontId="49" fillId="0" borderId="0" xfId="0" applyFont="1" applyFill="1"/>
    <xf numFmtId="9" fontId="81" fillId="0" borderId="28" xfId="1" applyNumberFormat="1" applyFont="1" applyFill="1" applyBorder="1" applyAlignment="1">
      <alignment horizontal="justify" vertical="center"/>
    </xf>
    <xf numFmtId="0" fontId="49" fillId="0" borderId="17" xfId="0" applyFont="1" applyFill="1" applyBorder="1" applyAlignment="1">
      <alignment horizontal="justify" vertical="center" wrapText="1"/>
    </xf>
    <xf numFmtId="42" fontId="32" fillId="0" borderId="0" xfId="5" applyFont="1" applyAlignment="1">
      <alignment horizontal="left"/>
    </xf>
    <xf numFmtId="42" fontId="29" fillId="0" borderId="0" xfId="0" applyNumberFormat="1" applyFont="1"/>
    <xf numFmtId="42" fontId="29" fillId="0" borderId="0" xfId="5" applyFont="1"/>
    <xf numFmtId="42" fontId="86" fillId="0" borderId="1" xfId="5" applyFont="1" applyFill="1" applyBorder="1" applyAlignment="1">
      <alignment horizontal="right" vertical="center"/>
    </xf>
    <xf numFmtId="42" fontId="88" fillId="0" borderId="1" xfId="5" applyFont="1" applyFill="1" applyBorder="1" applyAlignment="1">
      <alignment horizontal="center" vertical="center" wrapText="1"/>
    </xf>
    <xf numFmtId="1" fontId="88" fillId="0" borderId="1" xfId="0" applyNumberFormat="1" applyFont="1" applyFill="1" applyBorder="1" applyAlignment="1">
      <alignment vertical="center"/>
    </xf>
    <xf numFmtId="42" fontId="100" fillId="0" borderId="1" xfId="5" applyFont="1" applyFill="1" applyBorder="1" applyAlignment="1">
      <alignment horizontal="right" vertical="center"/>
    </xf>
    <xf numFmtId="0" fontId="100" fillId="0" borderId="1" xfId="0" applyFont="1" applyFill="1" applyBorder="1" applyAlignment="1">
      <alignment horizontal="right" vertical="center"/>
    </xf>
    <xf numFmtId="9" fontId="100" fillId="0" borderId="1" xfId="1" applyFont="1" applyFill="1" applyBorder="1" applyAlignment="1">
      <alignment horizontal="right" vertical="center"/>
    </xf>
    <xf numFmtId="9" fontId="100" fillId="0" borderId="1" xfId="1" applyFont="1" applyFill="1" applyBorder="1" applyAlignment="1">
      <alignment horizontal="justify" vertical="center" wrapText="1"/>
    </xf>
    <xf numFmtId="42" fontId="100" fillId="0" borderId="1" xfId="1" applyNumberFormat="1" applyFont="1" applyFill="1" applyBorder="1" applyAlignment="1">
      <alignment horizontal="right" vertical="center"/>
    </xf>
    <xf numFmtId="0" fontId="100" fillId="0" borderId="1" xfId="0" applyFont="1" applyFill="1" applyBorder="1" applyAlignment="1">
      <alignment vertical="center"/>
    </xf>
    <xf numFmtId="9" fontId="100" fillId="0" borderId="1" xfId="0" applyNumberFormat="1" applyFont="1" applyFill="1" applyBorder="1" applyAlignment="1">
      <alignment horizontal="right" vertical="center"/>
    </xf>
    <xf numFmtId="9" fontId="100" fillId="0" borderId="1" xfId="0" applyNumberFormat="1" applyFont="1" applyFill="1" applyBorder="1" applyAlignment="1">
      <alignment horizontal="justify" vertical="center"/>
    </xf>
    <xf numFmtId="9" fontId="100" fillId="0" borderId="1" xfId="1" applyFont="1" applyFill="1" applyBorder="1"/>
    <xf numFmtId="9" fontId="100" fillId="0" borderId="1" xfId="1" applyNumberFormat="1" applyFont="1" applyFill="1" applyBorder="1" applyAlignment="1">
      <alignment horizontal="right" vertical="center"/>
    </xf>
    <xf numFmtId="10" fontId="100" fillId="0" borderId="1" xfId="0" applyNumberFormat="1" applyFont="1" applyFill="1" applyBorder="1"/>
    <xf numFmtId="173" fontId="100" fillId="0" borderId="1" xfId="0" applyNumberFormat="1" applyFont="1" applyFill="1" applyBorder="1" applyAlignment="1">
      <alignment vertical="center"/>
    </xf>
    <xf numFmtId="9" fontId="100" fillId="0" borderId="1" xfId="1" applyFont="1" applyFill="1" applyBorder="1" applyAlignment="1">
      <alignment horizontal="justify" vertical="center"/>
    </xf>
    <xf numFmtId="9" fontId="101" fillId="0" borderId="1" xfId="0" applyNumberFormat="1" applyFont="1" applyFill="1" applyBorder="1" applyAlignment="1">
      <alignment vertical="center" wrapText="1"/>
    </xf>
    <xf numFmtId="42" fontId="101" fillId="0" borderId="1" xfId="5" applyFont="1" applyFill="1" applyBorder="1" applyAlignment="1">
      <alignment vertical="center" wrapText="1"/>
    </xf>
    <xf numFmtId="9" fontId="100" fillId="0" borderId="1" xfId="1" applyNumberFormat="1" applyFont="1" applyFill="1" applyBorder="1" applyAlignment="1">
      <alignment horizontal="right" vertical="center" wrapText="1"/>
    </xf>
    <xf numFmtId="9" fontId="100" fillId="0" borderId="8" xfId="1" applyNumberFormat="1" applyFont="1" applyFill="1" applyBorder="1" applyAlignment="1">
      <alignment horizontal="right" vertical="center" wrapText="1"/>
    </xf>
    <xf numFmtId="0" fontId="101" fillId="0" borderId="0" xfId="0" applyFont="1" applyFill="1"/>
    <xf numFmtId="0" fontId="46" fillId="0" borderId="1" xfId="0" applyFont="1" applyFill="1" applyBorder="1" applyAlignment="1">
      <alignment horizontal="justify" vertical="center" wrapText="1"/>
    </xf>
    <xf numFmtId="0" fontId="46" fillId="0" borderId="4" xfId="0" applyFont="1" applyFill="1" applyBorder="1" applyAlignment="1">
      <alignment horizontal="justify" vertical="center" wrapText="1"/>
    </xf>
    <xf numFmtId="9" fontId="60" fillId="19" borderId="18" xfId="1" applyFont="1" applyFill="1" applyBorder="1" applyAlignment="1">
      <alignment horizontal="right" vertical="center"/>
    </xf>
    <xf numFmtId="0" fontId="46" fillId="0" borderId="1" xfId="0" applyFont="1" applyBorder="1" applyAlignment="1">
      <alignment horizontal="justify" vertical="center" wrapText="1"/>
    </xf>
    <xf numFmtId="9" fontId="52" fillId="19" borderId="41" xfId="1" applyFont="1" applyFill="1" applyBorder="1" applyAlignment="1">
      <alignment horizontal="right" vertical="center"/>
    </xf>
    <xf numFmtId="9" fontId="62" fillId="19" borderId="38" xfId="0" applyNumberFormat="1" applyFont="1" applyFill="1" applyBorder="1" applyAlignment="1">
      <alignment horizontal="center" vertical="center"/>
    </xf>
    <xf numFmtId="9" fontId="60" fillId="19" borderId="1" xfId="1" applyFont="1" applyFill="1" applyBorder="1" applyAlignment="1">
      <alignment horizontal="right" vertical="center"/>
    </xf>
    <xf numFmtId="0" fontId="58" fillId="0" borderId="12" xfId="0" applyFont="1" applyFill="1" applyBorder="1" applyAlignment="1">
      <alignment horizontal="justify" vertical="center" wrapText="1"/>
    </xf>
    <xf numFmtId="9" fontId="88" fillId="0" borderId="1" xfId="0" applyNumberFormat="1" applyFont="1" applyFill="1" applyBorder="1" applyAlignment="1">
      <alignment horizontal="center" vertical="center"/>
    </xf>
    <xf numFmtId="42" fontId="88" fillId="0" borderId="1" xfId="5" applyFont="1" applyFill="1" applyBorder="1" applyAlignment="1">
      <alignment horizontal="justify" vertical="center"/>
    </xf>
    <xf numFmtId="42" fontId="49" fillId="0" borderId="0" xfId="5" applyNumberFormat="1" applyFont="1" applyFill="1" applyBorder="1" applyAlignment="1">
      <alignment horizontal="right" vertical="center"/>
    </xf>
    <xf numFmtId="0" fontId="88" fillId="0" borderId="1" xfId="0" applyFont="1" applyFill="1" applyBorder="1" applyAlignment="1">
      <alignment horizontal="center" vertical="center"/>
    </xf>
    <xf numFmtId="9" fontId="88" fillId="0" borderId="1" xfId="1" applyFont="1" applyFill="1" applyBorder="1" applyAlignment="1">
      <alignment horizontal="right" vertical="center"/>
    </xf>
    <xf numFmtId="0" fontId="88" fillId="0" borderId="1" xfId="0" applyFont="1" applyFill="1" applyBorder="1" applyAlignment="1">
      <alignment horizontal="justify" vertical="center"/>
    </xf>
    <xf numFmtId="9" fontId="88" fillId="0" borderId="1" xfId="1" applyNumberFormat="1" applyFont="1" applyFill="1" applyBorder="1" applyAlignment="1">
      <alignment horizontal="right" vertical="center" wrapText="1"/>
    </xf>
    <xf numFmtId="0" fontId="88" fillId="0" borderId="1" xfId="0" applyFont="1" applyFill="1" applyBorder="1"/>
    <xf numFmtId="0" fontId="0" fillId="0" borderId="1" xfId="0" applyBorder="1" applyAlignment="1">
      <alignment wrapText="1"/>
    </xf>
    <xf numFmtId="9" fontId="88" fillId="0" borderId="1" xfId="0" applyNumberFormat="1" applyFont="1" applyFill="1" applyBorder="1" applyAlignment="1">
      <alignment horizontal="right" vertical="center"/>
    </xf>
    <xf numFmtId="9" fontId="88" fillId="0" borderId="1" xfId="1" applyFont="1" applyFill="1" applyBorder="1" applyAlignment="1">
      <alignment horizontal="justify" vertical="center" wrapText="1"/>
    </xf>
    <xf numFmtId="0" fontId="88" fillId="0" borderId="1" xfId="0" applyFont="1" applyFill="1" applyBorder="1" applyAlignment="1">
      <alignment horizontal="justify" vertical="center" wrapText="1"/>
    </xf>
    <xf numFmtId="0" fontId="88" fillId="0" borderId="1" xfId="0" applyFont="1" applyFill="1" applyBorder="1" applyAlignment="1">
      <alignment horizontal="right" vertical="center"/>
    </xf>
    <xf numFmtId="9" fontId="88" fillId="0" borderId="1" xfId="1" applyNumberFormat="1" applyFont="1" applyFill="1" applyBorder="1" applyAlignment="1">
      <alignment horizontal="right" vertical="center"/>
    </xf>
    <xf numFmtId="0" fontId="49" fillId="0" borderId="1" xfId="0" applyFont="1" applyFill="1" applyBorder="1" applyAlignment="1">
      <alignment horizontal="justify" vertical="center" wrapText="1"/>
    </xf>
    <xf numFmtId="14" fontId="0" fillId="0" borderId="1" xfId="0" applyNumberFormat="1" applyBorder="1" applyAlignment="1">
      <alignment horizontal="center" vertical="center"/>
    </xf>
    <xf numFmtId="0" fontId="0" fillId="0" borderId="0" xfId="0"/>
    <xf numFmtId="0" fontId="49" fillId="0" borderId="1" xfId="0" applyNumberFormat="1" applyFont="1" applyFill="1" applyBorder="1" applyAlignment="1">
      <alignment horizontal="right" vertical="center"/>
    </xf>
    <xf numFmtId="0" fontId="99" fillId="0" borderId="1" xfId="0" applyFont="1" applyBorder="1" applyAlignment="1">
      <alignment horizontal="center" vertical="center" wrapText="1"/>
    </xf>
    <xf numFmtId="2" fontId="52" fillId="19" borderId="41" xfId="1" applyNumberFormat="1" applyFont="1" applyFill="1" applyBorder="1" applyAlignment="1">
      <alignment horizontal="right" vertical="center"/>
    </xf>
    <xf numFmtId="1" fontId="73" fillId="0" borderId="0" xfId="0" applyNumberFormat="1" applyFont="1"/>
    <xf numFmtId="1" fontId="46" fillId="0" borderId="0" xfId="0" applyNumberFormat="1" applyFont="1"/>
    <xf numFmtId="1" fontId="46" fillId="0" borderId="0" xfId="0" applyNumberFormat="1" applyFont="1" applyAlignment="1">
      <alignment horizontal="center" vertical="center" wrapText="1"/>
    </xf>
    <xf numFmtId="1" fontId="65" fillId="19" borderId="0" xfId="1" applyNumberFormat="1" applyFont="1" applyFill="1" applyBorder="1" applyAlignment="1">
      <alignment horizontal="center" vertical="center"/>
    </xf>
    <xf numFmtId="1" fontId="65" fillId="0" borderId="0" xfId="1" applyNumberFormat="1" applyFont="1" applyFill="1" applyBorder="1" applyAlignment="1">
      <alignment horizontal="center" vertical="center"/>
    </xf>
    <xf numFmtId="1" fontId="46" fillId="0" borderId="0" xfId="0" applyNumberFormat="1" applyFont="1" applyFill="1"/>
    <xf numFmtId="0" fontId="58" fillId="0" borderId="1" xfId="0" applyFont="1" applyBorder="1" applyAlignment="1">
      <alignment horizontal="center" vertical="center" wrapText="1"/>
    </xf>
    <xf numFmtId="9" fontId="43" fillId="19" borderId="50" xfId="1" applyNumberFormat="1" applyFont="1" applyFill="1" applyBorder="1" applyAlignment="1">
      <alignment horizontal="center" vertical="center"/>
    </xf>
    <xf numFmtId="42" fontId="46" fillId="0" borderId="0" xfId="0" applyNumberFormat="1" applyFont="1"/>
    <xf numFmtId="0" fontId="49" fillId="0" borderId="1" xfId="0" applyFont="1" applyFill="1" applyBorder="1" applyAlignment="1">
      <alignment horizontal="justify" vertical="center" wrapText="1"/>
    </xf>
    <xf numFmtId="0" fontId="46" fillId="0" borderId="4" xfId="0" applyFont="1" applyFill="1" applyBorder="1" applyAlignment="1">
      <alignment horizontal="justify" vertical="center" wrapText="1"/>
    </xf>
    <xf numFmtId="9" fontId="60" fillId="19" borderId="4" xfId="1" applyFont="1" applyFill="1" applyBorder="1" applyAlignment="1">
      <alignment horizontal="right" vertical="center"/>
    </xf>
    <xf numFmtId="9" fontId="60" fillId="19" borderId="18" xfId="1" applyFont="1" applyFill="1" applyBorder="1" applyAlignment="1">
      <alignment horizontal="right" vertical="center"/>
    </xf>
    <xf numFmtId="0" fontId="46" fillId="0" borderId="17" xfId="0" applyFont="1" applyBorder="1" applyAlignment="1">
      <alignment horizontal="justify" vertical="center" wrapText="1"/>
    </xf>
    <xf numFmtId="9" fontId="60" fillId="19" borderId="12" xfId="1" applyFont="1" applyFill="1" applyBorder="1" applyAlignment="1">
      <alignment horizontal="right" vertical="center"/>
    </xf>
    <xf numFmtId="9" fontId="52" fillId="19" borderId="11" xfId="1" applyFont="1" applyFill="1" applyBorder="1" applyAlignment="1">
      <alignment horizontal="right" vertical="center"/>
    </xf>
    <xf numFmtId="9" fontId="62" fillId="19" borderId="38" xfId="0" applyNumberFormat="1" applyFont="1" applyFill="1" applyBorder="1" applyAlignment="1">
      <alignment horizontal="center" vertical="center"/>
    </xf>
    <xf numFmtId="0" fontId="46" fillId="0" borderId="18" xfId="0" applyFont="1" applyFill="1" applyBorder="1" applyAlignment="1">
      <alignment horizontal="center" vertical="center" wrapText="1"/>
    </xf>
    <xf numFmtId="9" fontId="60" fillId="19" borderId="1" xfId="1" applyFont="1" applyFill="1" applyBorder="1" applyAlignment="1">
      <alignment horizontal="right" vertical="center"/>
    </xf>
    <xf numFmtId="14" fontId="0" fillId="0" borderId="1" xfId="0" applyNumberFormat="1" applyBorder="1" applyAlignment="1">
      <alignment horizontal="center" vertical="center"/>
    </xf>
    <xf numFmtId="9" fontId="88" fillId="0" borderId="0" xfId="0" applyNumberFormat="1" applyFont="1" applyFill="1" applyBorder="1" applyAlignment="1">
      <alignment horizontal="center" vertical="center"/>
    </xf>
    <xf numFmtId="6" fontId="88" fillId="0" borderId="0" xfId="5" applyNumberFormat="1" applyFont="1" applyFill="1" applyBorder="1" applyAlignment="1">
      <alignment horizontal="right" vertical="center"/>
    </xf>
    <xf numFmtId="9" fontId="88" fillId="0" borderId="0" xfId="1" applyFont="1" applyFill="1" applyBorder="1" applyAlignment="1">
      <alignment horizontal="justify" vertical="center" wrapText="1"/>
    </xf>
    <xf numFmtId="6" fontId="88" fillId="0" borderId="0" xfId="1" applyNumberFormat="1" applyFont="1" applyFill="1" applyBorder="1" applyAlignment="1">
      <alignment horizontal="right" vertical="center"/>
    </xf>
    <xf numFmtId="42" fontId="88" fillId="0" borderId="0" xfId="5" applyFont="1" applyFill="1" applyBorder="1" applyAlignment="1">
      <alignment horizontal="justify" vertical="center"/>
    </xf>
    <xf numFmtId="9" fontId="88" fillId="0" borderId="0" xfId="1" applyNumberFormat="1" applyFont="1" applyFill="1" applyBorder="1" applyAlignment="1">
      <alignment horizontal="right" vertical="center"/>
    </xf>
    <xf numFmtId="9" fontId="88" fillId="0" borderId="0" xfId="1" applyNumberFormat="1" applyFont="1" applyFill="1" applyBorder="1" applyAlignment="1">
      <alignment horizontal="right" vertical="center" wrapText="1"/>
    </xf>
    <xf numFmtId="9" fontId="88" fillId="0" borderId="0" xfId="0" applyNumberFormat="1" applyFont="1" applyFill="1" applyBorder="1" applyAlignment="1">
      <alignment horizontal="center" vertical="center" wrapText="1"/>
    </xf>
    <xf numFmtId="42" fontId="88" fillId="0" borderId="0" xfId="5" applyFont="1" applyFill="1" applyBorder="1" applyAlignment="1">
      <alignment horizontal="justify" vertical="center" wrapText="1"/>
    </xf>
    <xf numFmtId="9" fontId="88" fillId="0" borderId="1" xfId="0" applyNumberFormat="1" applyFont="1" applyFill="1" applyBorder="1" applyAlignment="1">
      <alignment horizontal="justify" vertical="center"/>
    </xf>
    <xf numFmtId="9" fontId="88" fillId="0" borderId="8" xfId="1" applyNumberFormat="1" applyFont="1" applyFill="1" applyBorder="1" applyAlignment="1">
      <alignment horizontal="right" vertical="center" wrapText="1"/>
    </xf>
    <xf numFmtId="42" fontId="81" fillId="0" borderId="0" xfId="5" applyFont="1" applyFill="1" applyBorder="1" applyAlignment="1">
      <alignment horizontal="right" vertical="center"/>
    </xf>
    <xf numFmtId="42" fontId="115" fillId="0" borderId="0" xfId="5" applyFont="1" applyFill="1" applyBorder="1"/>
    <xf numFmtId="42" fontId="116" fillId="0" borderId="0" xfId="5" applyFont="1"/>
    <xf numFmtId="42" fontId="115" fillId="0" borderId="0" xfId="0" applyNumberFormat="1" applyFont="1" applyFill="1" applyBorder="1"/>
    <xf numFmtId="0" fontId="49" fillId="0" borderId="0" xfId="0" applyFont="1" applyFill="1" applyAlignment="1">
      <alignment horizontal="justify" vertical="center" wrapText="1"/>
    </xf>
    <xf numFmtId="0" fontId="6" fillId="0" borderId="0" xfId="0" applyFont="1" applyFill="1" applyAlignment="1">
      <alignment horizontal="justify" vertical="center" wrapText="1"/>
    </xf>
    <xf numFmtId="0" fontId="6" fillId="0" borderId="1" xfId="0" applyFont="1" applyFill="1" applyBorder="1" applyAlignment="1">
      <alignment horizontal="justify" vertical="center" wrapText="1"/>
    </xf>
    <xf numFmtId="9" fontId="87" fillId="0" borderId="1" xfId="0" applyNumberFormat="1" applyFont="1" applyFill="1" applyBorder="1" applyAlignment="1">
      <alignment horizontal="justify" vertical="center"/>
    </xf>
    <xf numFmtId="0" fontId="49" fillId="0" borderId="0" xfId="0" applyFont="1" applyFill="1" applyAlignment="1">
      <alignment horizontal="justify" vertical="center"/>
    </xf>
    <xf numFmtId="9" fontId="49" fillId="0" borderId="1" xfId="0" applyNumberFormat="1" applyFont="1" applyFill="1" applyBorder="1" applyAlignment="1">
      <alignment horizontal="justify" vertical="center" wrapText="1"/>
    </xf>
    <xf numFmtId="42" fontId="49" fillId="0" borderId="1" xfId="5" applyFont="1" applyFill="1" applyBorder="1" applyAlignment="1">
      <alignment horizontal="center" vertical="center"/>
    </xf>
    <xf numFmtId="42" fontId="81" fillId="0" borderId="1" xfId="5" applyFont="1" applyFill="1" applyBorder="1" applyAlignment="1">
      <alignment horizontal="justify" vertical="center"/>
    </xf>
    <xf numFmtId="9" fontId="81" fillId="0" borderId="1" xfId="0" applyNumberFormat="1" applyFont="1" applyFill="1" applyBorder="1" applyAlignment="1">
      <alignment horizontal="right" vertical="center"/>
    </xf>
    <xf numFmtId="9" fontId="81" fillId="0" borderId="18" xfId="0" applyNumberFormat="1" applyFont="1" applyFill="1" applyBorder="1" applyAlignment="1">
      <alignment horizontal="right" vertical="center"/>
    </xf>
    <xf numFmtId="9" fontId="81" fillId="0" borderId="1" xfId="1" applyFont="1" applyFill="1" applyBorder="1" applyAlignment="1">
      <alignment horizontal="justify" vertical="center" wrapText="1"/>
    </xf>
    <xf numFmtId="0" fontId="81" fillId="0" borderId="1" xfId="0" applyFont="1" applyFill="1" applyBorder="1" applyAlignment="1">
      <alignment horizontal="right" vertical="center"/>
    </xf>
    <xf numFmtId="0" fontId="81" fillId="0" borderId="1" xfId="0" applyFont="1" applyFill="1" applyBorder="1" applyAlignment="1">
      <alignment horizontal="justify" vertical="center" wrapText="1"/>
    </xf>
    <xf numFmtId="0" fontId="81" fillId="0" borderId="18" xfId="0" applyFont="1" applyFill="1" applyBorder="1" applyAlignment="1">
      <alignment horizontal="justify" vertical="center" wrapText="1"/>
    </xf>
    <xf numFmtId="0" fontId="81" fillId="0" borderId="18" xfId="0" applyFont="1" applyFill="1" applyBorder="1" applyAlignment="1">
      <alignment horizontal="right" vertical="center"/>
    </xf>
    <xf numFmtId="9" fontId="81" fillId="0" borderId="1" xfId="1" applyNumberFormat="1" applyFont="1" applyFill="1" applyBorder="1" applyAlignment="1">
      <alignment horizontal="justify" vertical="center" wrapText="1"/>
    </xf>
    <xf numFmtId="9" fontId="81" fillId="0" borderId="1" xfId="1" applyNumberFormat="1" applyFont="1" applyFill="1" applyBorder="1" applyAlignment="1">
      <alignment horizontal="right" vertical="center"/>
    </xf>
    <xf numFmtId="9" fontId="81" fillId="0" borderId="18" xfId="1" applyNumberFormat="1" applyFont="1" applyFill="1" applyBorder="1" applyAlignment="1">
      <alignment horizontal="right" vertical="center"/>
    </xf>
    <xf numFmtId="9" fontId="81" fillId="0" borderId="18" xfId="1" applyNumberFormat="1" applyFont="1" applyFill="1" applyBorder="1" applyAlignment="1">
      <alignment horizontal="justify" vertical="center" wrapText="1"/>
    </xf>
    <xf numFmtId="0" fontId="49" fillId="0" borderId="1" xfId="0" applyFont="1" applyFill="1" applyBorder="1" applyAlignment="1">
      <alignment horizontal="center" vertical="center" wrapText="1"/>
    </xf>
    <xf numFmtId="0" fontId="49" fillId="0" borderId="1" xfId="0" applyFont="1" applyFill="1" applyBorder="1" applyAlignment="1">
      <alignment horizontal="justify" vertical="center" wrapText="1"/>
    </xf>
    <xf numFmtId="9" fontId="49" fillId="0" borderId="1" xfId="1" applyNumberFormat="1" applyFont="1" applyFill="1" applyBorder="1" applyAlignment="1">
      <alignment horizontal="right" vertical="center"/>
    </xf>
    <xf numFmtId="42" fontId="81" fillId="0" borderId="1" xfId="1" applyNumberFormat="1" applyFont="1" applyFill="1" applyBorder="1" applyAlignment="1">
      <alignment horizontal="justify" vertical="center"/>
    </xf>
    <xf numFmtId="9" fontId="49" fillId="0" borderId="1" xfId="1" applyFont="1" applyFill="1" applyBorder="1" applyAlignment="1">
      <alignment horizontal="justify" vertical="center" wrapText="1"/>
    </xf>
    <xf numFmtId="9" fontId="49" fillId="0" borderId="1" xfId="0" applyNumberFormat="1" applyFont="1" applyFill="1" applyBorder="1" applyAlignment="1">
      <alignment horizontal="justify" vertical="center"/>
    </xf>
    <xf numFmtId="9" fontId="49" fillId="0" borderId="1" xfId="0" applyNumberFormat="1" applyFont="1" applyFill="1" applyBorder="1" applyAlignment="1">
      <alignment horizontal="center" vertical="center"/>
    </xf>
    <xf numFmtId="9" fontId="49" fillId="0" borderId="1" xfId="1" applyNumberFormat="1" applyFont="1" applyFill="1" applyBorder="1" applyAlignment="1">
      <alignment horizontal="center" vertical="center"/>
    </xf>
    <xf numFmtId="9" fontId="49" fillId="0" borderId="1" xfId="0" applyNumberFormat="1" applyFont="1" applyFill="1" applyBorder="1" applyAlignment="1">
      <alignment horizontal="right" vertical="center"/>
    </xf>
    <xf numFmtId="42" fontId="88" fillId="0" borderId="1" xfId="5" applyFont="1" applyFill="1" applyBorder="1" applyAlignment="1">
      <alignment horizontal="center" vertical="center"/>
    </xf>
    <xf numFmtId="42" fontId="81" fillId="0" borderId="1" xfId="5" applyFont="1" applyFill="1" applyBorder="1" applyAlignment="1">
      <alignment horizontal="center" vertical="center"/>
    </xf>
    <xf numFmtId="9" fontId="49" fillId="0" borderId="1" xfId="1" applyFont="1" applyFill="1" applyBorder="1" applyAlignment="1">
      <alignment horizontal="right" vertical="center"/>
    </xf>
    <xf numFmtId="0" fontId="81" fillId="0" borderId="1" xfId="0" applyFont="1" applyFill="1" applyBorder="1" applyAlignment="1">
      <alignment horizontal="center" vertical="center"/>
    </xf>
    <xf numFmtId="0" fontId="81" fillId="0" borderId="1" xfId="0" applyFont="1" applyFill="1" applyBorder="1" applyAlignment="1">
      <alignment horizontal="center" vertical="center" wrapText="1"/>
    </xf>
    <xf numFmtId="9" fontId="87" fillId="0" borderId="1" xfId="1" applyNumberFormat="1" applyFont="1" applyFill="1" applyBorder="1" applyAlignment="1">
      <alignment horizontal="right" vertical="center"/>
    </xf>
    <xf numFmtId="9" fontId="81" fillId="0" borderId="1" xfId="0" applyNumberFormat="1" applyFont="1" applyFill="1" applyBorder="1" applyAlignment="1">
      <alignment horizontal="center" vertical="center"/>
    </xf>
    <xf numFmtId="9" fontId="81" fillId="0" borderId="1" xfId="0" applyNumberFormat="1" applyFont="1" applyFill="1" applyBorder="1" applyAlignment="1">
      <alignment horizontal="justify" vertical="center"/>
    </xf>
    <xf numFmtId="0" fontId="100" fillId="0" borderId="1" xfId="0" applyFont="1" applyFill="1" applyBorder="1" applyAlignment="1">
      <alignment horizontal="justify" vertical="center" wrapText="1"/>
    </xf>
    <xf numFmtId="0" fontId="49" fillId="0" borderId="1" xfId="0" applyFont="1" applyFill="1" applyBorder="1" applyAlignment="1">
      <alignment horizontal="right" vertical="center"/>
    </xf>
    <xf numFmtId="0" fontId="49" fillId="0" borderId="1" xfId="0" applyFont="1" applyFill="1" applyBorder="1" applyAlignment="1">
      <alignment horizontal="justify" vertical="center"/>
    </xf>
    <xf numFmtId="9" fontId="81" fillId="0" borderId="1" xfId="1" applyFont="1" applyFill="1" applyBorder="1" applyAlignment="1">
      <alignment horizontal="center" vertical="center" wrapText="1"/>
    </xf>
    <xf numFmtId="9" fontId="81" fillId="0" borderId="1" xfId="1" applyFont="1" applyFill="1" applyBorder="1" applyAlignment="1">
      <alignment horizontal="center" vertical="center"/>
    </xf>
    <xf numFmtId="0" fontId="49" fillId="0" borderId="1" xfId="0" applyFont="1" applyFill="1" applyBorder="1" applyAlignment="1">
      <alignment horizontal="center" vertical="center"/>
    </xf>
    <xf numFmtId="1" fontId="49" fillId="0" borderId="1" xfId="0" applyNumberFormat="1" applyFont="1" applyFill="1" applyBorder="1" applyAlignment="1">
      <alignment horizontal="right" vertical="center"/>
    </xf>
    <xf numFmtId="0" fontId="49" fillId="0" borderId="7" xfId="0" applyFont="1" applyFill="1" applyBorder="1" applyAlignment="1">
      <alignment horizontal="right" vertical="center"/>
    </xf>
    <xf numFmtId="0" fontId="81" fillId="0" borderId="7" xfId="0" applyFont="1" applyFill="1" applyBorder="1" applyAlignment="1">
      <alignment horizontal="right" vertical="center"/>
    </xf>
    <xf numFmtId="0" fontId="81" fillId="0" borderId="1" xfId="0" applyFont="1" applyFill="1" applyBorder="1" applyAlignment="1">
      <alignment horizontal="right" vertical="center" wrapText="1"/>
    </xf>
    <xf numFmtId="9" fontId="81" fillId="0" borderId="1" xfId="0" applyNumberFormat="1" applyFont="1" applyFill="1" applyBorder="1" applyAlignment="1">
      <alignment horizontal="center" vertical="center" wrapText="1"/>
    </xf>
    <xf numFmtId="9" fontId="81" fillId="0" borderId="1" xfId="1" applyNumberFormat="1" applyFont="1" applyFill="1" applyBorder="1" applyAlignment="1">
      <alignment horizontal="center" vertical="center"/>
    </xf>
    <xf numFmtId="9" fontId="87" fillId="0" borderId="1" xfId="0" applyNumberFormat="1" applyFont="1" applyFill="1" applyBorder="1" applyAlignment="1">
      <alignment horizontal="right" vertical="center"/>
    </xf>
    <xf numFmtId="0" fontId="81" fillId="0" borderId="1" xfId="0" applyFont="1" applyFill="1" applyBorder="1" applyAlignment="1">
      <alignment horizontal="justify" vertical="center"/>
    </xf>
    <xf numFmtId="172" fontId="81" fillId="0" borderId="1" xfId="0" applyNumberFormat="1" applyFont="1" applyFill="1" applyBorder="1" applyAlignment="1">
      <alignment horizontal="center" vertical="center"/>
    </xf>
    <xf numFmtId="9" fontId="81" fillId="0" borderId="1" xfId="0" applyNumberFormat="1" applyFont="1" applyFill="1" applyBorder="1" applyAlignment="1">
      <alignment horizontal="justify" vertical="center" wrapText="1"/>
    </xf>
    <xf numFmtId="9" fontId="49" fillId="0" borderId="1" xfId="1" applyFont="1" applyFill="1" applyBorder="1" applyAlignment="1">
      <alignment horizontal="center" vertical="center" wrapText="1"/>
    </xf>
    <xf numFmtId="0" fontId="90" fillId="0" borderId="1" xfId="0" applyFont="1" applyFill="1" applyBorder="1" applyAlignment="1">
      <alignment horizontal="justify" vertical="center"/>
    </xf>
    <xf numFmtId="0" fontId="90" fillId="0" borderId="1" xfId="0" applyFont="1" applyFill="1" applyBorder="1" applyAlignment="1">
      <alignment horizontal="justify" vertical="center" wrapText="1"/>
    </xf>
    <xf numFmtId="0" fontId="17" fillId="16" borderId="1" xfId="0" applyFont="1" applyFill="1" applyBorder="1" applyAlignment="1">
      <alignment horizontal="center" vertical="center" wrapText="1" readingOrder="1"/>
    </xf>
    <xf numFmtId="0" fontId="14" fillId="0" borderId="1" xfId="0" applyFont="1" applyBorder="1" applyAlignment="1">
      <alignment vertical="center"/>
    </xf>
    <xf numFmtId="0" fontId="15" fillId="6" borderId="1" xfId="0" applyFont="1" applyFill="1" applyBorder="1" applyAlignment="1">
      <alignment horizontal="center" vertical="center"/>
    </xf>
    <xf numFmtId="0" fontId="16" fillId="0" borderId="1" xfId="0" applyFont="1" applyBorder="1" applyAlignment="1">
      <alignment horizontal="left" vertical="center"/>
    </xf>
    <xf numFmtId="0" fontId="17" fillId="17" borderId="1" xfId="0" applyFont="1" applyFill="1" applyBorder="1" applyAlignment="1">
      <alignment horizontal="center" vertical="center" wrapText="1" readingOrder="1"/>
    </xf>
    <xf numFmtId="0" fontId="14" fillId="0" borderId="1" xfId="0" applyFont="1" applyBorder="1" applyAlignment="1">
      <alignment horizontal="left" vertical="center"/>
    </xf>
    <xf numFmtId="0" fontId="17" fillId="9" borderId="1" xfId="0" applyFont="1" applyFill="1" applyBorder="1" applyAlignment="1">
      <alignment horizontal="center" vertical="center" wrapText="1" readingOrder="1"/>
    </xf>
    <xf numFmtId="0" fontId="5" fillId="3" borderId="1" xfId="2" applyFill="1" applyBorder="1" applyAlignment="1">
      <alignment horizontal="center" vertical="center"/>
    </xf>
    <xf numFmtId="0" fontId="13" fillId="0" borderId="1" xfId="0" applyFont="1" applyBorder="1" applyAlignment="1">
      <alignment horizontal="center" vertical="center"/>
    </xf>
    <xf numFmtId="9" fontId="17" fillId="10" borderId="1" xfId="0" applyNumberFormat="1" applyFont="1" applyFill="1" applyBorder="1" applyAlignment="1">
      <alignment horizontal="center" vertical="center" wrapText="1" readingOrder="1"/>
    </xf>
    <xf numFmtId="41" fontId="0" fillId="13" borderId="4" xfId="3" applyFont="1" applyFill="1" applyBorder="1" applyAlignment="1">
      <alignment horizontal="center" vertical="center"/>
    </xf>
    <xf numFmtId="41" fontId="0" fillId="13" borderId="17" xfId="3" applyFont="1" applyFill="1" applyBorder="1" applyAlignment="1">
      <alignment horizontal="center" vertical="center"/>
    </xf>
    <xf numFmtId="41" fontId="0" fillId="13" borderId="18" xfId="3" applyFont="1" applyFill="1" applyBorder="1" applyAlignment="1">
      <alignment horizontal="center" vertical="center"/>
    </xf>
    <xf numFmtId="0" fontId="0" fillId="13" borderId="4" xfId="0" applyFill="1" applyBorder="1" applyAlignment="1">
      <alignment horizontal="center"/>
    </xf>
    <xf numFmtId="0" fontId="0" fillId="13" borderId="17" xfId="0" applyFill="1" applyBorder="1" applyAlignment="1">
      <alignment horizontal="center"/>
    </xf>
    <xf numFmtId="0" fontId="0" fillId="13" borderId="18" xfId="0" applyFill="1" applyBorder="1" applyAlignment="1">
      <alignment horizontal="center"/>
    </xf>
    <xf numFmtId="9" fontId="0" fillId="13" borderId="4" xfId="1" applyFont="1" applyFill="1" applyBorder="1" applyAlignment="1">
      <alignment horizontal="center" vertical="center"/>
    </xf>
    <xf numFmtId="9" fontId="0" fillId="13" borderId="17" xfId="1" applyFont="1" applyFill="1" applyBorder="1" applyAlignment="1">
      <alignment horizontal="center" vertical="center"/>
    </xf>
    <xf numFmtId="9" fontId="0" fillId="13" borderId="18" xfId="1" applyFont="1" applyFill="1" applyBorder="1" applyAlignment="1">
      <alignment horizontal="center" vertical="center"/>
    </xf>
    <xf numFmtId="0" fontId="0" fillId="13" borderId="4" xfId="0" applyFill="1" applyBorder="1" applyAlignment="1">
      <alignment horizontal="center" vertical="center" wrapText="1"/>
    </xf>
    <xf numFmtId="0" fontId="0" fillId="13" borderId="17" xfId="0" applyFill="1" applyBorder="1" applyAlignment="1">
      <alignment horizontal="center" vertical="center" wrapText="1"/>
    </xf>
    <xf numFmtId="0" fontId="0" fillId="13" borderId="18" xfId="0" applyFill="1" applyBorder="1" applyAlignment="1">
      <alignment horizontal="center" vertical="center" wrapText="1"/>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3" fillId="8" borderId="2" xfId="0" applyFont="1" applyFill="1" applyBorder="1" applyAlignment="1">
      <alignment horizontal="center" vertical="center"/>
    </xf>
    <xf numFmtId="0" fontId="3" fillId="8" borderId="3" xfId="0" applyFont="1" applyFill="1" applyBorder="1" applyAlignment="1">
      <alignment horizontal="center" vertical="center"/>
    </xf>
    <xf numFmtId="0" fontId="3" fillId="8" borderId="1" xfId="0" applyFont="1" applyFill="1" applyBorder="1" applyAlignment="1">
      <alignment horizontal="center" vertical="center"/>
    </xf>
    <xf numFmtId="0" fontId="4" fillId="0" borderId="0" xfId="0" applyFont="1" applyAlignment="1">
      <alignment horizontal="left"/>
    </xf>
    <xf numFmtId="0" fontId="1" fillId="2" borderId="4" xfId="0" applyFont="1" applyFill="1" applyBorder="1" applyAlignment="1">
      <alignment horizontal="center" vertical="center" wrapText="1"/>
    </xf>
    <xf numFmtId="9" fontId="49" fillId="0" borderId="4" xfId="0" applyNumberFormat="1" applyFont="1" applyFill="1" applyBorder="1" applyAlignment="1">
      <alignment horizontal="justify" vertical="center" wrapText="1"/>
    </xf>
    <xf numFmtId="9" fontId="49" fillId="0" borderId="18" xfId="0" applyNumberFormat="1" applyFont="1" applyFill="1" applyBorder="1" applyAlignment="1">
      <alignment horizontal="justify" vertical="center" wrapText="1"/>
    </xf>
    <xf numFmtId="9" fontId="81" fillId="0" borderId="4" xfId="0" applyNumberFormat="1" applyFont="1" applyFill="1" applyBorder="1" applyAlignment="1">
      <alignment horizontal="justify" vertical="center"/>
    </xf>
    <xf numFmtId="9" fontId="81" fillId="0" borderId="18" xfId="0" applyNumberFormat="1" applyFont="1" applyFill="1" applyBorder="1" applyAlignment="1">
      <alignment horizontal="justify" vertical="center"/>
    </xf>
    <xf numFmtId="0" fontId="49" fillId="0" borderId="1" xfId="0" applyFont="1" applyFill="1" applyBorder="1" applyAlignment="1">
      <alignment horizontal="left" vertical="center"/>
    </xf>
    <xf numFmtId="9" fontId="49" fillId="0" borderId="1" xfId="0" applyNumberFormat="1" applyFont="1" applyFill="1" applyBorder="1" applyAlignment="1">
      <alignment horizontal="justify" vertical="center"/>
    </xf>
    <xf numFmtId="42" fontId="49" fillId="0" borderId="1" xfId="5" applyFont="1" applyFill="1" applyBorder="1" applyAlignment="1">
      <alignment horizontal="center" vertical="center"/>
    </xf>
    <xf numFmtId="9" fontId="49" fillId="0" borderId="1" xfId="1" applyNumberFormat="1" applyFont="1" applyFill="1" applyBorder="1" applyAlignment="1">
      <alignment horizontal="center" vertical="center"/>
    </xf>
    <xf numFmtId="42" fontId="81" fillId="0" borderId="4" xfId="5" applyFont="1" applyFill="1" applyBorder="1" applyAlignment="1">
      <alignment horizontal="center" vertical="center"/>
    </xf>
    <xf numFmtId="42" fontId="81" fillId="0" borderId="17" xfId="5" applyFont="1" applyFill="1" applyBorder="1" applyAlignment="1">
      <alignment horizontal="center" vertical="center"/>
    </xf>
    <xf numFmtId="42" fontId="81" fillId="0" borderId="18" xfId="5" applyFont="1" applyFill="1" applyBorder="1" applyAlignment="1">
      <alignment horizontal="center" vertical="center"/>
    </xf>
    <xf numFmtId="9" fontId="81" fillId="0" borderId="4" xfId="1" applyNumberFormat="1" applyFont="1" applyFill="1" applyBorder="1" applyAlignment="1">
      <alignment horizontal="center" vertical="center"/>
    </xf>
    <xf numFmtId="9" fontId="81" fillId="0" borderId="17" xfId="1" applyNumberFormat="1" applyFont="1" applyFill="1" applyBorder="1" applyAlignment="1">
      <alignment horizontal="center" vertical="center"/>
    </xf>
    <xf numFmtId="9" fontId="81" fillId="0" borderId="18" xfId="1" applyNumberFormat="1" applyFont="1" applyFill="1" applyBorder="1" applyAlignment="1">
      <alignment horizontal="center" vertical="center"/>
    </xf>
    <xf numFmtId="42" fontId="81" fillId="0" borderId="4" xfId="5" applyFont="1" applyFill="1" applyBorder="1" applyAlignment="1">
      <alignment horizontal="center"/>
    </xf>
    <xf numFmtId="42" fontId="81" fillId="0" borderId="18" xfId="5" applyFont="1" applyFill="1" applyBorder="1" applyAlignment="1">
      <alignment horizontal="center"/>
    </xf>
    <xf numFmtId="9" fontId="81" fillId="0" borderId="1" xfId="0" applyNumberFormat="1" applyFont="1" applyFill="1" applyBorder="1" applyAlignment="1">
      <alignment horizontal="center" vertical="center"/>
    </xf>
    <xf numFmtId="9" fontId="81" fillId="0" borderId="1" xfId="0" applyNumberFormat="1" applyFont="1" applyFill="1" applyBorder="1" applyAlignment="1">
      <alignment horizontal="justify" vertical="center"/>
    </xf>
    <xf numFmtId="0" fontId="81" fillId="0" borderId="1" xfId="0" applyFont="1" applyFill="1" applyBorder="1" applyAlignment="1">
      <alignment horizontal="justify" vertical="center"/>
    </xf>
    <xf numFmtId="0" fontId="81" fillId="0" borderId="1" xfId="0" applyFont="1" applyFill="1" applyBorder="1" applyAlignment="1">
      <alignment horizontal="center" vertical="center" wrapText="1"/>
    </xf>
    <xf numFmtId="42" fontId="81" fillId="0" borderId="1" xfId="5" applyFont="1" applyFill="1" applyBorder="1" applyAlignment="1">
      <alignment horizontal="center" vertical="center"/>
    </xf>
    <xf numFmtId="9" fontId="81" fillId="0" borderId="1" xfId="1" applyFont="1" applyFill="1" applyBorder="1" applyAlignment="1">
      <alignment horizontal="center" vertical="center"/>
    </xf>
    <xf numFmtId="9" fontId="81" fillId="0" borderId="1" xfId="1" applyFont="1" applyFill="1" applyBorder="1" applyAlignment="1">
      <alignment horizontal="center" vertical="center" wrapText="1"/>
    </xf>
    <xf numFmtId="42" fontId="81" fillId="0" borderId="1" xfId="1" applyNumberFormat="1" applyFont="1" applyFill="1" applyBorder="1" applyAlignment="1">
      <alignment horizontal="center" vertical="center"/>
    </xf>
    <xf numFmtId="0" fontId="81" fillId="0" borderId="1" xfId="0" applyFont="1" applyFill="1" applyBorder="1" applyAlignment="1">
      <alignment horizontal="center" vertical="center"/>
    </xf>
    <xf numFmtId="9" fontId="81" fillId="0" borderId="1" xfId="1" applyNumberFormat="1" applyFont="1" applyFill="1" applyBorder="1" applyAlignment="1">
      <alignment horizontal="center" vertical="center"/>
    </xf>
    <xf numFmtId="9" fontId="87" fillId="0" borderId="1" xfId="1" applyNumberFormat="1" applyFont="1" applyFill="1" applyBorder="1" applyAlignment="1">
      <alignment horizontal="right" vertical="center"/>
    </xf>
    <xf numFmtId="9" fontId="81" fillId="0" borderId="1" xfId="0" applyNumberFormat="1" applyFont="1" applyFill="1" applyBorder="1" applyAlignment="1">
      <alignment horizontal="center" vertical="center" wrapText="1"/>
    </xf>
    <xf numFmtId="42" fontId="49" fillId="0" borderId="1" xfId="1" applyNumberFormat="1" applyFont="1" applyFill="1" applyBorder="1" applyAlignment="1">
      <alignment horizontal="center" vertical="center"/>
    </xf>
    <xf numFmtId="0" fontId="49" fillId="0" borderId="1" xfId="0" applyFont="1" applyFill="1" applyBorder="1" applyAlignment="1">
      <alignment horizontal="justify" vertical="center" wrapText="1"/>
    </xf>
    <xf numFmtId="0" fontId="49" fillId="0" borderId="1" xfId="0" applyFont="1" applyFill="1" applyBorder="1" applyAlignment="1">
      <alignment horizontal="right" vertical="center"/>
    </xf>
    <xf numFmtId="0" fontId="90" fillId="0" borderId="1" xfId="0" applyFont="1" applyFill="1" applyBorder="1" applyAlignment="1">
      <alignment horizontal="justify" vertical="center"/>
    </xf>
    <xf numFmtId="0" fontId="90" fillId="0" borderId="1" xfId="0" applyFont="1" applyFill="1" applyBorder="1" applyAlignment="1">
      <alignment horizontal="justify" vertical="center" wrapText="1"/>
    </xf>
    <xf numFmtId="42" fontId="88" fillId="0" borderId="1" xfId="5" applyFont="1" applyFill="1" applyBorder="1" applyAlignment="1">
      <alignment horizontal="center" vertical="center"/>
    </xf>
    <xf numFmtId="9" fontId="49" fillId="0" borderId="1" xfId="1" applyFont="1" applyFill="1" applyBorder="1" applyAlignment="1">
      <alignment horizontal="right" vertical="center"/>
    </xf>
    <xf numFmtId="1" fontId="49" fillId="0" borderId="1" xfId="0" applyNumberFormat="1" applyFont="1" applyFill="1" applyBorder="1" applyAlignment="1">
      <alignment horizontal="justify" vertical="center"/>
    </xf>
    <xf numFmtId="0" fontId="100" fillId="0" borderId="1" xfId="0" applyFont="1" applyFill="1" applyBorder="1" applyAlignment="1">
      <alignment horizontal="center" vertical="center" wrapText="1"/>
    </xf>
    <xf numFmtId="9" fontId="49" fillId="0" borderId="1" xfId="1" applyFont="1" applyFill="1" applyBorder="1" applyAlignment="1">
      <alignment horizontal="justify" vertical="center" wrapText="1"/>
    </xf>
    <xf numFmtId="9" fontId="49" fillId="0" borderId="1" xfId="1" applyFont="1" applyFill="1" applyBorder="1" applyAlignment="1">
      <alignment horizontal="center" vertical="center" wrapText="1"/>
    </xf>
    <xf numFmtId="0" fontId="49" fillId="0" borderId="5" xfId="0" applyFont="1" applyFill="1" applyBorder="1" applyAlignment="1">
      <alignment horizontal="center" wrapText="1"/>
    </xf>
    <xf numFmtId="0" fontId="49" fillId="0" borderId="6" xfId="0" applyFont="1" applyFill="1" applyBorder="1" applyAlignment="1">
      <alignment horizontal="center" wrapText="1"/>
    </xf>
    <xf numFmtId="0" fontId="49" fillId="0" borderId="7" xfId="0" applyFont="1" applyFill="1" applyBorder="1" applyAlignment="1">
      <alignment horizontal="center" wrapText="1"/>
    </xf>
    <xf numFmtId="0" fontId="49" fillId="0" borderId="8" xfId="0" applyFont="1" applyFill="1" applyBorder="1" applyAlignment="1">
      <alignment horizontal="center" wrapText="1"/>
    </xf>
    <xf numFmtId="0" fontId="49" fillId="0" borderId="9" xfId="0" applyFont="1" applyFill="1" applyBorder="1" applyAlignment="1">
      <alignment horizontal="center" wrapText="1"/>
    </xf>
    <xf numFmtId="0" fontId="49" fillId="0" borderId="10" xfId="0" applyFont="1" applyFill="1" applyBorder="1" applyAlignment="1">
      <alignment horizontal="center" wrapText="1"/>
    </xf>
    <xf numFmtId="0" fontId="45" fillId="0" borderId="67" xfId="0" applyFont="1" applyFill="1" applyBorder="1" applyAlignment="1">
      <alignment horizontal="center" vertical="center" wrapText="1"/>
    </xf>
    <xf numFmtId="0" fontId="45" fillId="0" borderId="28" xfId="0" applyFont="1" applyFill="1" applyBorder="1" applyAlignment="1">
      <alignment horizontal="center" vertical="center" wrapText="1"/>
    </xf>
    <xf numFmtId="0" fontId="45" fillId="0" borderId="30" xfId="0" applyFont="1" applyFill="1" applyBorder="1" applyAlignment="1">
      <alignment horizontal="center" vertical="center" wrapText="1"/>
    </xf>
    <xf numFmtId="0" fontId="7" fillId="0" borderId="30" xfId="0" applyFont="1" applyFill="1" applyBorder="1" applyAlignment="1">
      <alignment horizontal="center" vertical="center" wrapText="1"/>
    </xf>
    <xf numFmtId="0" fontId="45" fillId="0" borderId="60" xfId="0" applyFont="1" applyFill="1" applyBorder="1" applyAlignment="1">
      <alignment horizontal="center" vertical="center" wrapText="1"/>
    </xf>
    <xf numFmtId="0" fontId="0" fillId="0" borderId="5" xfId="0" applyFill="1" applyBorder="1" applyAlignment="1">
      <alignment horizontal="center"/>
    </xf>
    <xf numFmtId="0" fontId="0" fillId="0" borderId="28" xfId="0" applyFill="1" applyBorder="1" applyAlignment="1">
      <alignment horizontal="center"/>
    </xf>
    <xf numFmtId="0" fontId="0" fillId="0" borderId="6" xfId="0" applyFill="1" applyBorder="1" applyAlignment="1">
      <alignment horizontal="center"/>
    </xf>
    <xf numFmtId="0" fontId="0" fillId="0" borderId="7" xfId="0" applyFill="1" applyBorder="1" applyAlignment="1">
      <alignment horizontal="center"/>
    </xf>
    <xf numFmtId="0" fontId="0" fillId="0" borderId="1" xfId="0" applyFill="1" applyBorder="1" applyAlignment="1">
      <alignment horizontal="center"/>
    </xf>
    <xf numFmtId="0" fontId="0" fillId="0" borderId="8" xfId="0" applyFill="1" applyBorder="1" applyAlignment="1">
      <alignment horizontal="center"/>
    </xf>
    <xf numFmtId="0" fontId="0" fillId="0" borderId="9" xfId="0" applyFill="1" applyBorder="1" applyAlignment="1">
      <alignment horizontal="center"/>
    </xf>
    <xf numFmtId="0" fontId="0" fillId="0" borderId="29" xfId="0" applyFill="1" applyBorder="1" applyAlignment="1">
      <alignment horizontal="center"/>
    </xf>
    <xf numFmtId="0" fontId="0" fillId="0" borderId="10" xfId="0" applyFill="1" applyBorder="1" applyAlignment="1">
      <alignment horizontal="center"/>
    </xf>
    <xf numFmtId="0" fontId="45" fillId="0" borderId="43" xfId="0" applyFont="1" applyFill="1" applyBorder="1" applyAlignment="1">
      <alignment horizontal="center" vertical="center" wrapText="1"/>
    </xf>
    <xf numFmtId="0" fontId="45" fillId="0" borderId="1" xfId="0" applyFont="1" applyFill="1" applyBorder="1" applyAlignment="1">
      <alignment horizontal="center" vertical="center" wrapText="1"/>
    </xf>
    <xf numFmtId="0" fontId="45" fillId="0" borderId="59" xfId="0" applyFont="1" applyFill="1" applyBorder="1" applyAlignment="1">
      <alignment horizontal="center" wrapText="1"/>
    </xf>
    <xf numFmtId="0" fontId="45" fillId="0" borderId="61" xfId="0" applyFont="1" applyFill="1" applyBorder="1" applyAlignment="1">
      <alignment horizontal="center" wrapText="1"/>
    </xf>
    <xf numFmtId="0" fontId="45" fillId="0" borderId="5" xfId="0" applyFont="1" applyFill="1" applyBorder="1" applyAlignment="1">
      <alignment horizontal="center" vertical="center" wrapText="1"/>
    </xf>
    <xf numFmtId="0" fontId="7" fillId="0" borderId="28" xfId="0" applyFont="1" applyFill="1" applyBorder="1" applyAlignment="1">
      <alignment horizontal="center" vertical="center" wrapText="1"/>
    </xf>
    <xf numFmtId="0" fontId="45" fillId="0" borderId="6" xfId="0" applyFont="1" applyFill="1" applyBorder="1" applyAlignment="1">
      <alignment horizontal="center" vertical="center" wrapText="1"/>
    </xf>
    <xf numFmtId="0" fontId="45" fillId="0" borderId="9" xfId="0" applyFont="1" applyFill="1" applyBorder="1" applyAlignment="1">
      <alignment horizontal="center" vertical="center" wrapText="1"/>
    </xf>
    <xf numFmtId="0" fontId="45" fillId="0" borderId="29"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45" fillId="0" borderId="10" xfId="0" applyFont="1" applyFill="1" applyBorder="1" applyAlignment="1">
      <alignment horizontal="center" vertical="center" wrapText="1"/>
    </xf>
    <xf numFmtId="0" fontId="45" fillId="0" borderId="68" xfId="0" applyFont="1" applyFill="1" applyBorder="1" applyAlignment="1">
      <alignment horizontal="center" vertical="center" wrapText="1"/>
    </xf>
    <xf numFmtId="0" fontId="45" fillId="0" borderId="59" xfId="0" applyFont="1" applyFill="1" applyBorder="1" applyAlignment="1">
      <alignment horizontal="center" vertical="center" wrapText="1"/>
    </xf>
    <xf numFmtId="0" fontId="45" fillId="0" borderId="61" xfId="0" applyFont="1" applyFill="1" applyBorder="1" applyAlignment="1">
      <alignment horizontal="center" vertical="center" wrapText="1"/>
    </xf>
    <xf numFmtId="42" fontId="32" fillId="0" borderId="0" xfId="0" applyNumberFormat="1" applyFont="1" applyAlignment="1">
      <alignment horizontal="left"/>
    </xf>
    <xf numFmtId="0" fontId="32" fillId="0" borderId="0" xfId="0" applyFont="1" applyAlignment="1">
      <alignment horizontal="left"/>
    </xf>
    <xf numFmtId="0" fontId="35" fillId="27" borderId="33" xfId="0" applyFont="1" applyFill="1" applyBorder="1" applyAlignment="1">
      <alignment horizontal="center"/>
    </xf>
    <xf numFmtId="0" fontId="35" fillId="27" borderId="34" xfId="0" applyFont="1" applyFill="1" applyBorder="1" applyAlignment="1">
      <alignment horizontal="center"/>
    </xf>
    <xf numFmtId="0" fontId="35" fillId="27" borderId="35" xfId="0" applyFont="1" applyFill="1" applyBorder="1" applyAlignment="1">
      <alignment horizontal="center"/>
    </xf>
    <xf numFmtId="0" fontId="35" fillId="26" borderId="33" xfId="0" applyFont="1" applyFill="1" applyBorder="1" applyAlignment="1">
      <alignment horizontal="center"/>
    </xf>
    <xf numFmtId="0" fontId="35" fillId="26" borderId="34" xfId="0" applyFont="1" applyFill="1" applyBorder="1" applyAlignment="1">
      <alignment horizontal="center"/>
    </xf>
    <xf numFmtId="0" fontId="35" fillId="26" borderId="35" xfId="0" applyFont="1" applyFill="1" applyBorder="1" applyAlignment="1">
      <alignment horizontal="center"/>
    </xf>
    <xf numFmtId="0" fontId="35" fillId="8" borderId="33" xfId="0" applyFont="1" applyFill="1" applyBorder="1" applyAlignment="1">
      <alignment horizontal="center"/>
    </xf>
    <xf numFmtId="0" fontId="35" fillId="8" borderId="34" xfId="0" applyFont="1" applyFill="1" applyBorder="1" applyAlignment="1">
      <alignment horizontal="center"/>
    </xf>
    <xf numFmtId="0" fontId="35" fillId="8" borderId="35" xfId="0" applyFont="1" applyFill="1" applyBorder="1" applyAlignment="1">
      <alignment horizontal="center"/>
    </xf>
    <xf numFmtId="0" fontId="98" fillId="26" borderId="35" xfId="0" applyFont="1" applyFill="1" applyBorder="1" applyAlignment="1">
      <alignment horizontal="center"/>
    </xf>
    <xf numFmtId="9" fontId="81" fillId="0" borderId="1" xfId="0" applyNumberFormat="1" applyFont="1" applyFill="1" applyBorder="1" applyAlignment="1">
      <alignment horizontal="justify" vertical="center" wrapText="1"/>
    </xf>
    <xf numFmtId="0" fontId="81" fillId="0" borderId="1" xfId="0" applyFont="1" applyFill="1" applyBorder="1" applyAlignment="1">
      <alignment horizontal="justify" vertical="center" wrapText="1"/>
    </xf>
    <xf numFmtId="172" fontId="81" fillId="0" borderId="1" xfId="0" applyNumberFormat="1" applyFont="1" applyFill="1" applyBorder="1" applyAlignment="1">
      <alignment horizontal="center" vertical="center"/>
    </xf>
    <xf numFmtId="173" fontId="29" fillId="0" borderId="1" xfId="0" applyNumberFormat="1" applyFont="1" applyFill="1" applyBorder="1" applyAlignment="1">
      <alignment horizontal="right" vertical="center"/>
    </xf>
    <xf numFmtId="9" fontId="49" fillId="0" borderId="1" xfId="1" applyNumberFormat="1" applyFont="1" applyFill="1" applyBorder="1" applyAlignment="1">
      <alignment horizontal="right" vertical="center"/>
    </xf>
    <xf numFmtId="9" fontId="81" fillId="0" borderId="1" xfId="1" applyNumberFormat="1" applyFont="1" applyFill="1" applyBorder="1" applyAlignment="1">
      <alignment horizontal="center" vertical="center" wrapText="1"/>
    </xf>
    <xf numFmtId="9" fontId="49" fillId="0" borderId="4" xfId="0" applyNumberFormat="1" applyFont="1" applyFill="1" applyBorder="1" applyAlignment="1">
      <alignment horizontal="center" vertical="center"/>
    </xf>
    <xf numFmtId="9" fontId="49" fillId="0" borderId="18" xfId="0" applyNumberFormat="1" applyFont="1" applyFill="1" applyBorder="1" applyAlignment="1">
      <alignment horizontal="center" vertical="center"/>
    </xf>
    <xf numFmtId="9" fontId="49" fillId="0" borderId="4" xfId="1" applyFont="1" applyFill="1" applyBorder="1" applyAlignment="1">
      <alignment horizontal="center" vertical="center"/>
    </xf>
    <xf numFmtId="9" fontId="49" fillId="0" borderId="18" xfId="1" applyFont="1" applyFill="1" applyBorder="1" applyAlignment="1">
      <alignment horizontal="center" vertical="center"/>
    </xf>
    <xf numFmtId="9" fontId="49" fillId="0" borderId="1" xfId="0" applyNumberFormat="1" applyFont="1" applyFill="1" applyBorder="1" applyAlignment="1">
      <alignment horizontal="center" vertical="center"/>
    </xf>
    <xf numFmtId="9" fontId="87" fillId="0" borderId="1" xfId="0" applyNumberFormat="1" applyFont="1" applyFill="1" applyBorder="1" applyAlignment="1">
      <alignment horizontal="center" vertical="center"/>
    </xf>
    <xf numFmtId="9" fontId="49" fillId="0" borderId="1" xfId="0" applyNumberFormat="1" applyFont="1" applyFill="1" applyBorder="1" applyAlignment="1">
      <alignment horizontal="right" vertical="center"/>
    </xf>
    <xf numFmtId="173" fontId="81" fillId="0" borderId="4" xfId="0" applyNumberFormat="1" applyFont="1" applyFill="1" applyBorder="1" applyAlignment="1">
      <alignment horizontal="right" vertical="center"/>
    </xf>
    <xf numFmtId="0" fontId="81" fillId="0" borderId="17" xfId="0" applyFont="1" applyFill="1" applyBorder="1" applyAlignment="1">
      <alignment horizontal="right" vertical="center"/>
    </xf>
    <xf numFmtId="42" fontId="81" fillId="0" borderId="1" xfId="5" applyFont="1" applyFill="1" applyBorder="1" applyAlignment="1">
      <alignment horizontal="center"/>
    </xf>
    <xf numFmtId="9" fontId="87" fillId="0" borderId="1" xfId="0" applyNumberFormat="1" applyFont="1" applyFill="1" applyBorder="1" applyAlignment="1">
      <alignment horizontal="right" vertical="center"/>
    </xf>
    <xf numFmtId="9" fontId="87" fillId="0" borderId="1" xfId="1" applyNumberFormat="1" applyFont="1" applyFill="1" applyBorder="1" applyAlignment="1">
      <alignment horizontal="center" vertical="center" wrapText="1"/>
    </xf>
    <xf numFmtId="9" fontId="81" fillId="0" borderId="8" xfId="1" applyNumberFormat="1" applyFont="1" applyFill="1" applyBorder="1" applyAlignment="1">
      <alignment horizontal="center" vertical="center" wrapText="1"/>
    </xf>
    <xf numFmtId="9" fontId="87" fillId="0" borderId="4" xfId="1" applyNumberFormat="1" applyFont="1" applyFill="1" applyBorder="1" applyAlignment="1">
      <alignment horizontal="center" vertical="center" wrapText="1"/>
    </xf>
    <xf numFmtId="9" fontId="87" fillId="0" borderId="18" xfId="1" applyNumberFormat="1" applyFont="1" applyFill="1" applyBorder="1" applyAlignment="1">
      <alignment horizontal="center" vertical="center" wrapText="1"/>
    </xf>
    <xf numFmtId="9" fontId="87" fillId="0" borderId="8" xfId="1" applyNumberFormat="1" applyFont="1" applyFill="1" applyBorder="1" applyAlignment="1">
      <alignment horizontal="center" vertical="center" wrapText="1"/>
    </xf>
    <xf numFmtId="42" fontId="0" fillId="0" borderId="1" xfId="5" applyFont="1" applyFill="1" applyBorder="1" applyAlignment="1">
      <alignment horizontal="right" vertical="center" wrapText="1"/>
    </xf>
    <xf numFmtId="0" fontId="81" fillId="0" borderId="1" xfId="1" applyNumberFormat="1" applyFont="1" applyFill="1" applyBorder="1" applyAlignment="1">
      <alignment horizontal="center" vertical="center"/>
    </xf>
    <xf numFmtId="0" fontId="0" fillId="0" borderId="1" xfId="0" applyBorder="1" applyAlignment="1">
      <alignment horizontal="justify" vertical="center" wrapText="1"/>
    </xf>
    <xf numFmtId="0" fontId="0" fillId="0" borderId="1" xfId="0" applyBorder="1" applyAlignment="1">
      <alignment horizontal="center" vertical="center"/>
    </xf>
    <xf numFmtId="0" fontId="53" fillId="0" borderId="0" xfId="0" applyFont="1" applyAlignment="1">
      <alignment horizontal="justify" wrapText="1"/>
    </xf>
    <xf numFmtId="0" fontId="81" fillId="0" borderId="7" xfId="0" applyFont="1" applyFill="1" applyBorder="1" applyAlignment="1">
      <alignment horizontal="right" vertical="center"/>
    </xf>
    <xf numFmtId="0" fontId="81" fillId="0" borderId="1" xfId="0" applyFont="1" applyFill="1" applyBorder="1" applyAlignment="1">
      <alignment horizontal="right" vertical="center"/>
    </xf>
    <xf numFmtId="0" fontId="49" fillId="0" borderId="7" xfId="0" applyFont="1" applyFill="1" applyBorder="1" applyAlignment="1">
      <alignment horizontal="right" vertical="center"/>
    </xf>
    <xf numFmtId="0" fontId="49" fillId="0" borderId="1" xfId="0" applyFont="1" applyFill="1" applyBorder="1" applyAlignment="1">
      <alignment horizontal="left" vertical="center" wrapText="1"/>
    </xf>
    <xf numFmtId="0" fontId="81" fillId="0" borderId="1" xfId="0" applyFont="1" applyFill="1" applyBorder="1" applyAlignment="1">
      <alignment horizontal="right" vertical="center" wrapText="1"/>
    </xf>
    <xf numFmtId="0" fontId="81" fillId="0" borderId="18" xfId="0" applyFont="1" applyFill="1" applyBorder="1" applyAlignment="1">
      <alignment horizontal="justify" vertical="center" wrapText="1"/>
    </xf>
    <xf numFmtId="42" fontId="81" fillId="0" borderId="1" xfId="5" applyFont="1" applyFill="1" applyBorder="1" applyAlignment="1">
      <alignment horizontal="justify" vertical="center"/>
    </xf>
    <xf numFmtId="42" fontId="81" fillId="0" borderId="18" xfId="5" applyFont="1" applyFill="1" applyBorder="1" applyAlignment="1">
      <alignment horizontal="justify" vertical="center"/>
    </xf>
    <xf numFmtId="0" fontId="4" fillId="0" borderId="1" xfId="0" applyFont="1" applyBorder="1" applyAlignment="1">
      <alignment horizontal="center"/>
    </xf>
    <xf numFmtId="0" fontId="49" fillId="0" borderId="1" xfId="0" applyFont="1" applyFill="1" applyBorder="1" applyAlignment="1">
      <alignment horizontal="center" vertical="center"/>
    </xf>
    <xf numFmtId="1" fontId="49" fillId="0" borderId="1" xfId="0" applyNumberFormat="1" applyFont="1" applyFill="1" applyBorder="1" applyAlignment="1">
      <alignment horizontal="right" vertical="center"/>
    </xf>
    <xf numFmtId="0" fontId="81" fillId="0" borderId="7" xfId="0" applyFont="1" applyFill="1" applyBorder="1" applyAlignment="1">
      <alignment horizontal="center" vertical="center"/>
    </xf>
    <xf numFmtId="0" fontId="100" fillId="0" borderId="7" xfId="0" applyFont="1" applyFill="1" applyBorder="1" applyAlignment="1">
      <alignment horizontal="center" vertical="center"/>
    </xf>
    <xf numFmtId="0" fontId="100" fillId="0" borderId="1" xfId="0" applyFont="1" applyFill="1" applyBorder="1" applyAlignment="1">
      <alignment horizontal="center" vertical="center"/>
    </xf>
    <xf numFmtId="0" fontId="100" fillId="0" borderId="1" xfId="0" applyFont="1" applyFill="1" applyBorder="1" applyAlignment="1">
      <alignment horizontal="justify" vertical="center" wrapText="1"/>
    </xf>
    <xf numFmtId="9" fontId="100" fillId="0" borderId="1" xfId="0" applyNumberFormat="1" applyFont="1" applyFill="1" applyBorder="1" applyAlignment="1">
      <alignment horizontal="center" vertical="center"/>
    </xf>
    <xf numFmtId="0" fontId="49" fillId="0" borderId="1" xfId="0" applyFont="1" applyFill="1" applyBorder="1" applyAlignment="1">
      <alignment horizontal="justify" vertical="center"/>
    </xf>
    <xf numFmtId="9" fontId="87" fillId="0" borderId="1" xfId="1" applyNumberFormat="1" applyFont="1" applyFill="1" applyBorder="1" applyAlignment="1">
      <alignment horizontal="center" vertical="center"/>
    </xf>
    <xf numFmtId="42" fontId="88" fillId="0" borderId="1" xfId="1" applyNumberFormat="1" applyFont="1" applyFill="1" applyBorder="1" applyAlignment="1">
      <alignment horizontal="center" vertical="center"/>
    </xf>
    <xf numFmtId="0" fontId="49" fillId="0" borderId="1" xfId="0" applyFont="1" applyFill="1" applyBorder="1" applyAlignment="1">
      <alignment horizontal="center" vertical="center" wrapText="1"/>
    </xf>
    <xf numFmtId="9" fontId="81" fillId="0" borderId="1" xfId="1" applyNumberFormat="1" applyFont="1" applyFill="1" applyBorder="1" applyAlignment="1">
      <alignment horizontal="justify" vertical="center" wrapText="1"/>
    </xf>
    <xf numFmtId="9" fontId="81" fillId="0" borderId="18" xfId="1" applyNumberFormat="1" applyFont="1" applyFill="1" applyBorder="1" applyAlignment="1">
      <alignment horizontal="justify" vertical="center" wrapText="1"/>
    </xf>
    <xf numFmtId="42" fontId="81" fillId="0" borderId="1" xfId="1" applyNumberFormat="1" applyFont="1" applyFill="1" applyBorder="1" applyAlignment="1">
      <alignment horizontal="justify" vertical="center"/>
    </xf>
    <xf numFmtId="42" fontId="81" fillId="0" borderId="18" xfId="1" applyNumberFormat="1" applyFont="1" applyFill="1" applyBorder="1" applyAlignment="1">
      <alignment horizontal="justify" vertical="center"/>
    </xf>
    <xf numFmtId="0" fontId="81" fillId="0" borderId="18" xfId="0" applyFont="1" applyFill="1" applyBorder="1" applyAlignment="1">
      <alignment horizontal="right" vertical="center"/>
    </xf>
    <xf numFmtId="9" fontId="81" fillId="0" borderId="16" xfId="1" applyNumberFormat="1" applyFont="1" applyFill="1" applyBorder="1" applyAlignment="1">
      <alignment horizontal="justify" vertical="center" wrapText="1"/>
    </xf>
    <xf numFmtId="9" fontId="81" fillId="0" borderId="1" xfId="0" applyNumberFormat="1" applyFont="1" applyFill="1" applyBorder="1" applyAlignment="1">
      <alignment horizontal="right" vertical="center"/>
    </xf>
    <xf numFmtId="9" fontId="81" fillId="0" borderId="18" xfId="0" applyNumberFormat="1" applyFont="1" applyFill="1" applyBorder="1" applyAlignment="1">
      <alignment horizontal="right" vertical="center"/>
    </xf>
    <xf numFmtId="9" fontId="81" fillId="0" borderId="1" xfId="1" applyNumberFormat="1" applyFont="1" applyFill="1" applyBorder="1" applyAlignment="1">
      <alignment horizontal="right" vertical="center"/>
    </xf>
    <xf numFmtId="9" fontId="81" fillId="0" borderId="18" xfId="1" applyNumberFormat="1" applyFont="1" applyFill="1" applyBorder="1" applyAlignment="1">
      <alignment horizontal="right" vertical="center"/>
    </xf>
    <xf numFmtId="9" fontId="81" fillId="0" borderId="1" xfId="1" applyFont="1" applyFill="1" applyBorder="1" applyAlignment="1">
      <alignment horizontal="justify" vertical="center" wrapText="1"/>
    </xf>
    <xf numFmtId="9" fontId="81" fillId="0" borderId="18" xfId="1" applyFont="1" applyFill="1" applyBorder="1" applyAlignment="1">
      <alignment horizontal="justify" vertical="center" wrapText="1"/>
    </xf>
    <xf numFmtId="9" fontId="81" fillId="0" borderId="4" xfId="1" applyNumberFormat="1" applyFont="1" applyFill="1" applyBorder="1" applyAlignment="1">
      <alignment horizontal="center" vertical="center" wrapText="1"/>
    </xf>
    <xf numFmtId="9" fontId="81" fillId="0" borderId="18" xfId="1" applyNumberFormat="1" applyFont="1" applyFill="1" applyBorder="1" applyAlignment="1">
      <alignment horizontal="center" vertical="center" wrapText="1"/>
    </xf>
    <xf numFmtId="9" fontId="81" fillId="0" borderId="12" xfId="1" applyNumberFormat="1" applyFont="1" applyFill="1" applyBorder="1" applyAlignment="1">
      <alignment horizontal="center" vertical="center" wrapText="1"/>
    </xf>
    <xf numFmtId="9" fontId="81" fillId="0" borderId="16" xfId="1" applyNumberFormat="1" applyFont="1" applyFill="1" applyBorder="1" applyAlignment="1">
      <alignment horizontal="center" vertical="center" wrapText="1"/>
    </xf>
    <xf numFmtId="9" fontId="49" fillId="0" borderId="1" xfId="0" applyNumberFormat="1" applyFont="1" applyFill="1" applyBorder="1" applyAlignment="1">
      <alignment horizontal="justify" vertical="center" wrapText="1"/>
    </xf>
    <xf numFmtId="0" fontId="81" fillId="0" borderId="41" xfId="0" applyFont="1" applyFill="1" applyBorder="1" applyAlignment="1">
      <alignment horizontal="right" vertical="center"/>
    </xf>
    <xf numFmtId="0" fontId="49" fillId="0" borderId="37" xfId="0" applyFont="1" applyBorder="1" applyAlignment="1">
      <alignment horizontal="center"/>
    </xf>
    <xf numFmtId="0" fontId="49" fillId="0" borderId="62" xfId="0" applyFont="1" applyBorder="1" applyAlignment="1">
      <alignment horizontal="center"/>
    </xf>
    <xf numFmtId="0" fontId="49" fillId="0" borderId="36" xfId="0" applyFont="1" applyBorder="1" applyAlignment="1">
      <alignment horizontal="center"/>
    </xf>
    <xf numFmtId="0" fontId="49" fillId="0" borderId="0" xfId="0" applyFont="1" applyBorder="1" applyAlignment="1">
      <alignment horizontal="center"/>
    </xf>
    <xf numFmtId="0" fontId="49" fillId="0" borderId="38" xfId="0" applyFont="1" applyBorder="1" applyAlignment="1">
      <alignment horizontal="center"/>
    </xf>
    <xf numFmtId="0" fontId="49" fillId="0" borderId="66" xfId="0" applyFont="1" applyBorder="1" applyAlignment="1">
      <alignment horizontal="center"/>
    </xf>
    <xf numFmtId="0" fontId="7" fillId="0" borderId="37" xfId="0" applyFont="1" applyBorder="1" applyAlignment="1">
      <alignment horizontal="center"/>
    </xf>
    <xf numFmtId="0" fontId="7" fillId="0" borderId="62" xfId="0" applyFont="1" applyBorder="1" applyAlignment="1">
      <alignment horizontal="center"/>
    </xf>
    <xf numFmtId="0" fontId="7" fillId="0" borderId="69" xfId="0" applyFont="1" applyFill="1" applyBorder="1" applyAlignment="1">
      <alignment horizontal="center"/>
    </xf>
    <xf numFmtId="0" fontId="7" fillId="0" borderId="70" xfId="0" applyFont="1" applyFill="1" applyBorder="1" applyAlignment="1">
      <alignment horizontal="center"/>
    </xf>
    <xf numFmtId="0" fontId="7" fillId="0" borderId="71" xfId="0" applyFont="1" applyFill="1" applyBorder="1" applyAlignment="1">
      <alignment horizontal="center"/>
    </xf>
    <xf numFmtId="0" fontId="0" fillId="0" borderId="37" xfId="0" applyBorder="1" applyAlignment="1">
      <alignment horizontal="center"/>
    </xf>
    <xf numFmtId="0" fontId="0" fillId="0" borderId="62" xfId="0" applyBorder="1" applyAlignment="1">
      <alignment horizontal="center"/>
    </xf>
    <xf numFmtId="0" fontId="0" fillId="0" borderId="44" xfId="0" applyBorder="1" applyAlignment="1">
      <alignment horizontal="center"/>
    </xf>
    <xf numFmtId="0" fontId="0" fillId="0" borderId="36" xfId="0" applyBorder="1" applyAlignment="1">
      <alignment horizontal="center"/>
    </xf>
    <xf numFmtId="0" fontId="0" fillId="0" borderId="0" xfId="0" applyBorder="1" applyAlignment="1">
      <alignment horizontal="center"/>
    </xf>
    <xf numFmtId="0" fontId="0" fillId="0" borderId="45" xfId="0" applyBorder="1" applyAlignment="1">
      <alignment horizontal="center"/>
    </xf>
    <xf numFmtId="0" fontId="0" fillId="0" borderId="38" xfId="0" applyBorder="1" applyAlignment="1">
      <alignment horizontal="center"/>
    </xf>
    <xf numFmtId="0" fontId="0" fillId="0" borderId="66" xfId="0" applyBorder="1" applyAlignment="1">
      <alignment horizontal="center"/>
    </xf>
    <xf numFmtId="0" fontId="0" fillId="0" borderId="48" xfId="0" applyBorder="1" applyAlignment="1">
      <alignment horizontal="center"/>
    </xf>
    <xf numFmtId="0" fontId="7" fillId="0" borderId="36" xfId="0" applyFont="1" applyBorder="1" applyAlignment="1">
      <alignment horizontal="center"/>
    </xf>
    <xf numFmtId="0" fontId="7" fillId="0" borderId="0" xfId="0" applyFont="1" applyBorder="1" applyAlignment="1">
      <alignment horizontal="center"/>
    </xf>
    <xf numFmtId="0" fontId="7" fillId="0" borderId="50" xfId="0" applyFont="1" applyBorder="1" applyAlignment="1">
      <alignment horizontal="center"/>
    </xf>
    <xf numFmtId="0" fontId="7" fillId="0" borderId="42" xfId="0" applyFont="1" applyBorder="1" applyAlignment="1">
      <alignment horizontal="center"/>
    </xf>
    <xf numFmtId="0" fontId="7" fillId="0" borderId="57" xfId="0" applyFont="1" applyBorder="1" applyAlignment="1">
      <alignment horizontal="center"/>
    </xf>
    <xf numFmtId="0" fontId="7" fillId="0" borderId="38" xfId="0" applyFont="1" applyBorder="1" applyAlignment="1">
      <alignment horizontal="center"/>
    </xf>
    <xf numFmtId="0" fontId="7" fillId="0" borderId="66" xfId="0" applyFont="1" applyBorder="1" applyAlignment="1">
      <alignment horizontal="center"/>
    </xf>
    <xf numFmtId="0" fontId="7" fillId="3" borderId="72" xfId="0" applyFont="1" applyFill="1" applyBorder="1" applyAlignment="1">
      <alignment horizontal="center" vertical="center"/>
    </xf>
    <xf numFmtId="0" fontId="7" fillId="3" borderId="68" xfId="0" applyFont="1" applyFill="1" applyBorder="1" applyAlignment="1">
      <alignment horizontal="center" vertical="center"/>
    </xf>
    <xf numFmtId="0" fontId="49" fillId="0" borderId="56" xfId="0" applyFont="1" applyFill="1" applyBorder="1" applyAlignment="1">
      <alignment horizontal="center" wrapText="1"/>
    </xf>
    <xf numFmtId="0" fontId="49" fillId="0" borderId="52" xfId="0" applyFont="1" applyFill="1" applyBorder="1" applyAlignment="1">
      <alignment horizontal="center" wrapText="1"/>
    </xf>
    <xf numFmtId="0" fontId="49" fillId="0" borderId="53" xfId="0" applyFont="1" applyFill="1" applyBorder="1" applyAlignment="1">
      <alignment horizontal="center" wrapText="1"/>
    </xf>
    <xf numFmtId="0" fontId="7" fillId="0" borderId="60" xfId="0" applyFont="1" applyFill="1" applyBorder="1" applyAlignment="1">
      <alignment horizontal="center" vertical="center" wrapText="1"/>
    </xf>
    <xf numFmtId="9" fontId="41" fillId="26" borderId="33" xfId="1" applyFont="1" applyFill="1" applyBorder="1" applyAlignment="1">
      <alignment horizontal="center" vertical="center" wrapText="1"/>
    </xf>
    <xf numFmtId="9" fontId="41" fillId="26" borderId="34" xfId="1" applyFont="1" applyFill="1" applyBorder="1" applyAlignment="1">
      <alignment horizontal="center" vertical="center" wrapText="1"/>
    </xf>
    <xf numFmtId="9" fontId="41" fillId="26" borderId="35" xfId="1" applyFont="1" applyFill="1" applyBorder="1" applyAlignment="1">
      <alignment horizontal="center" vertical="center" wrapText="1"/>
    </xf>
    <xf numFmtId="9" fontId="41" fillId="26" borderId="36" xfId="1" applyFont="1" applyFill="1" applyBorder="1" applyAlignment="1">
      <alignment horizontal="center" vertical="center" wrapText="1"/>
    </xf>
    <xf numFmtId="9" fontId="41" fillId="26" borderId="0" xfId="1"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59" xfId="0" applyFont="1" applyFill="1" applyBorder="1" applyAlignment="1">
      <alignment horizontal="center" vertical="center" wrapText="1"/>
    </xf>
    <xf numFmtId="9" fontId="41" fillId="26" borderId="38" xfId="1" applyFont="1" applyFill="1" applyBorder="1" applyAlignment="1">
      <alignment horizontal="center" vertical="center" wrapText="1"/>
    </xf>
    <xf numFmtId="9" fontId="41" fillId="26" borderId="66" xfId="1" applyFont="1" applyFill="1" applyBorder="1" applyAlignment="1">
      <alignment horizontal="center" vertical="center" wrapText="1"/>
    </xf>
    <xf numFmtId="9" fontId="41" fillId="26" borderId="75" xfId="1" applyFont="1" applyFill="1" applyBorder="1" applyAlignment="1">
      <alignment horizontal="center" vertical="center" wrapText="1"/>
    </xf>
    <xf numFmtId="9" fontId="41" fillId="26" borderId="23" xfId="1" applyFont="1" applyFill="1" applyBorder="1" applyAlignment="1">
      <alignment horizontal="center" vertical="center" wrapText="1"/>
    </xf>
    <xf numFmtId="0" fontId="7" fillId="0" borderId="37" xfId="0" applyFont="1" applyFill="1" applyBorder="1" applyAlignment="1">
      <alignment horizontal="center" vertical="center" wrapText="1"/>
    </xf>
    <xf numFmtId="0" fontId="7" fillId="0" borderId="62"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45"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48"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72" xfId="0" applyFont="1" applyFill="1" applyBorder="1" applyAlignment="1">
      <alignment horizontal="center" vertical="center" wrapText="1"/>
    </xf>
    <xf numFmtId="0" fontId="7" fillId="0" borderId="73"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7" fillId="0" borderId="61" xfId="0" applyFont="1" applyFill="1" applyBorder="1" applyAlignment="1">
      <alignment horizontal="center" vertical="center" wrapText="1"/>
    </xf>
    <xf numFmtId="0" fontId="75" fillId="0" borderId="61" xfId="0" applyFont="1" applyBorder="1" applyAlignment="1">
      <alignment horizontal="center"/>
    </xf>
    <xf numFmtId="0" fontId="75" fillId="0" borderId="73" xfId="0" applyFont="1" applyBorder="1" applyAlignment="1">
      <alignment horizontal="center"/>
    </xf>
    <xf numFmtId="0" fontId="75" fillId="0" borderId="68" xfId="0" applyFont="1" applyBorder="1" applyAlignment="1">
      <alignment horizontal="center"/>
    </xf>
    <xf numFmtId="0" fontId="46" fillId="0" borderId="30" xfId="0" applyFont="1" applyBorder="1" applyAlignment="1">
      <alignment horizontal="justify" vertical="center" wrapText="1"/>
    </xf>
    <xf numFmtId="0" fontId="46" fillId="0" borderId="17" xfId="0" applyFont="1" applyBorder="1" applyAlignment="1">
      <alignment horizontal="justify" vertical="center" wrapText="1"/>
    </xf>
    <xf numFmtId="0" fontId="46" fillId="0" borderId="4" xfId="0" applyFont="1" applyFill="1" applyBorder="1" applyAlignment="1">
      <alignment horizontal="justify" vertical="center" wrapText="1"/>
    </xf>
    <xf numFmtId="0" fontId="46" fillId="0" borderId="18" xfId="0" applyFont="1" applyFill="1" applyBorder="1" applyAlignment="1">
      <alignment horizontal="justify" vertical="center" wrapText="1"/>
    </xf>
    <xf numFmtId="0" fontId="46" fillId="0" borderId="30" xfId="0" applyFont="1" applyFill="1" applyBorder="1" applyAlignment="1">
      <alignment horizontal="justify" vertical="center" wrapText="1"/>
    </xf>
    <xf numFmtId="0" fontId="46" fillId="0" borderId="17" xfId="0" applyFont="1" applyFill="1" applyBorder="1" applyAlignment="1">
      <alignment horizontal="justify" vertical="center" wrapText="1"/>
    </xf>
    <xf numFmtId="49" fontId="56" fillId="26" borderId="31" xfId="0" applyNumberFormat="1" applyFont="1" applyFill="1" applyBorder="1" applyAlignment="1">
      <alignment horizontal="center" vertical="center" wrapText="1"/>
    </xf>
    <xf numFmtId="49" fontId="56" fillId="26" borderId="62" xfId="0" applyNumberFormat="1" applyFont="1" applyFill="1" applyBorder="1" applyAlignment="1">
      <alignment horizontal="center" vertical="center" wrapText="1"/>
    </xf>
    <xf numFmtId="9" fontId="60" fillId="19" borderId="4" xfId="1" applyFont="1" applyFill="1" applyBorder="1" applyAlignment="1">
      <alignment horizontal="right" vertical="center"/>
    </xf>
    <xf numFmtId="9" fontId="60" fillId="19" borderId="17" xfId="1" applyFont="1" applyFill="1" applyBorder="1" applyAlignment="1">
      <alignment horizontal="right" vertical="center"/>
    </xf>
    <xf numFmtId="9" fontId="60" fillId="19" borderId="18" xfId="1" applyFont="1" applyFill="1" applyBorder="1" applyAlignment="1">
      <alignment horizontal="right" vertical="center"/>
    </xf>
    <xf numFmtId="9" fontId="60" fillId="19" borderId="12" xfId="1" applyFont="1" applyFill="1" applyBorder="1" applyAlignment="1">
      <alignment horizontal="right" vertical="center"/>
    </xf>
    <xf numFmtId="9" fontId="60" fillId="19" borderId="64" xfId="1" applyFont="1" applyFill="1" applyBorder="1" applyAlignment="1">
      <alignment horizontal="right" vertical="center"/>
    </xf>
    <xf numFmtId="9" fontId="60" fillId="19" borderId="16" xfId="1" applyFont="1" applyFill="1" applyBorder="1" applyAlignment="1">
      <alignment horizontal="right" vertical="center"/>
    </xf>
    <xf numFmtId="9" fontId="60" fillId="19" borderId="4" xfId="1" applyFont="1" applyFill="1" applyBorder="1" applyAlignment="1">
      <alignment vertical="center"/>
    </xf>
    <xf numFmtId="9" fontId="60" fillId="19" borderId="17" xfId="1" applyFont="1" applyFill="1" applyBorder="1" applyAlignment="1">
      <alignment vertical="center"/>
    </xf>
    <xf numFmtId="9" fontId="60" fillId="19" borderId="18" xfId="1" applyFont="1" applyFill="1" applyBorder="1" applyAlignment="1">
      <alignment vertical="center"/>
    </xf>
    <xf numFmtId="49" fontId="56" fillId="26" borderId="33" xfId="0" applyNumberFormat="1" applyFont="1" applyFill="1" applyBorder="1" applyAlignment="1">
      <alignment horizontal="center" vertical="center" wrapText="1"/>
    </xf>
    <xf numFmtId="49" fontId="56" fillId="26" borderId="34" xfId="0" applyNumberFormat="1" applyFont="1" applyFill="1" applyBorder="1" applyAlignment="1">
      <alignment horizontal="center" vertical="center" wrapText="1"/>
    </xf>
    <xf numFmtId="49" fontId="56" fillId="26" borderId="35" xfId="0" applyNumberFormat="1" applyFont="1" applyFill="1" applyBorder="1" applyAlignment="1">
      <alignment horizontal="center" vertical="center" wrapText="1"/>
    </xf>
    <xf numFmtId="9" fontId="52" fillId="19" borderId="11" xfId="1" applyFont="1" applyFill="1" applyBorder="1" applyAlignment="1">
      <alignment horizontal="right" vertical="center"/>
    </xf>
    <xf numFmtId="9" fontId="52" fillId="19" borderId="41" xfId="1" applyFont="1" applyFill="1" applyBorder="1" applyAlignment="1">
      <alignment horizontal="right" vertical="center"/>
    </xf>
    <xf numFmtId="9" fontId="52" fillId="19" borderId="11" xfId="1" applyFont="1" applyFill="1" applyBorder="1" applyAlignment="1">
      <alignment vertical="center"/>
    </xf>
    <xf numFmtId="9" fontId="52" fillId="19" borderId="14" xfId="1" applyFont="1" applyFill="1" applyBorder="1" applyAlignment="1">
      <alignment vertical="center"/>
    </xf>
    <xf numFmtId="9" fontId="52" fillId="19" borderId="41" xfId="1" applyFont="1" applyFill="1" applyBorder="1" applyAlignment="1">
      <alignment vertical="center"/>
    </xf>
    <xf numFmtId="9" fontId="60" fillId="28" borderId="12" xfId="1" applyFont="1" applyFill="1" applyBorder="1" applyAlignment="1">
      <alignment horizontal="right" vertical="center"/>
    </xf>
    <xf numFmtId="9" fontId="60" fillId="28" borderId="64" xfId="1" applyFont="1" applyFill="1" applyBorder="1" applyAlignment="1">
      <alignment horizontal="right" vertical="center"/>
    </xf>
    <xf numFmtId="9" fontId="60" fillId="28" borderId="16" xfId="1" applyFont="1" applyFill="1" applyBorder="1" applyAlignment="1">
      <alignment horizontal="right" vertical="center"/>
    </xf>
    <xf numFmtId="49" fontId="55" fillId="26" borderId="33" xfId="0" applyNumberFormat="1" applyFont="1" applyFill="1" applyBorder="1" applyAlignment="1">
      <alignment horizontal="center" vertical="center" wrapText="1"/>
    </xf>
    <xf numFmtId="49" fontId="55" fillId="26" borderId="35" xfId="0" applyNumberFormat="1" applyFont="1" applyFill="1" applyBorder="1" applyAlignment="1">
      <alignment horizontal="center" vertical="center" wrapText="1"/>
    </xf>
    <xf numFmtId="0" fontId="66" fillId="27" borderId="39" xfId="0" applyFont="1" applyFill="1" applyBorder="1" applyAlignment="1">
      <alignment horizontal="center" vertical="center"/>
    </xf>
    <xf numFmtId="0" fontId="66" fillId="27" borderId="46" xfId="0" applyFont="1" applyFill="1" applyBorder="1" applyAlignment="1">
      <alignment horizontal="center" vertical="center"/>
    </xf>
    <xf numFmtId="0" fontId="66" fillId="27" borderId="40" xfId="0" applyFont="1" applyFill="1" applyBorder="1" applyAlignment="1">
      <alignment horizontal="center" vertical="center"/>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4" fillId="0" borderId="29" xfId="0" applyFont="1" applyBorder="1" applyAlignment="1">
      <alignment horizontal="center"/>
    </xf>
    <xf numFmtId="0" fontId="66" fillId="27" borderId="30" xfId="0" applyFont="1" applyFill="1" applyBorder="1" applyAlignment="1">
      <alignment horizontal="center" vertical="center"/>
    </xf>
    <xf numFmtId="0" fontId="57" fillId="27" borderId="13" xfId="0" applyFont="1" applyFill="1" applyBorder="1" applyAlignment="1">
      <alignment horizontal="center" vertical="center" wrapText="1"/>
    </xf>
    <xf numFmtId="0" fontId="57" fillId="27" borderId="30" xfId="0" applyFont="1" applyFill="1" applyBorder="1" applyAlignment="1">
      <alignment horizontal="center" vertical="center" wrapText="1"/>
    </xf>
    <xf numFmtId="0" fontId="57" fillId="27" borderId="32" xfId="0" applyFont="1" applyFill="1" applyBorder="1" applyAlignment="1">
      <alignment horizontal="center" vertical="center" wrapText="1"/>
    </xf>
    <xf numFmtId="0" fontId="57" fillId="0" borderId="76" xfId="0" applyFont="1" applyBorder="1" applyAlignment="1">
      <alignment horizontal="center" vertical="center" wrapText="1"/>
    </xf>
    <xf numFmtId="0" fontId="57" fillId="0" borderId="50" xfId="0" applyFont="1" applyBorder="1" applyAlignment="1">
      <alignment horizontal="center" vertical="center" wrapText="1"/>
    </xf>
    <xf numFmtId="0" fontId="57" fillId="0" borderId="7" xfId="0" applyFont="1" applyBorder="1" applyAlignment="1">
      <alignment horizontal="center" vertical="center" wrapText="1"/>
    </xf>
    <xf numFmtId="0" fontId="57" fillId="0" borderId="51" xfId="0" applyFont="1" applyBorder="1" applyAlignment="1">
      <alignment horizontal="center" vertical="center" wrapText="1"/>
    </xf>
    <xf numFmtId="0" fontId="58" fillId="0" borderId="18" xfId="0" applyFont="1" applyBorder="1" applyAlignment="1">
      <alignment horizontal="justify" vertical="center" wrapText="1"/>
    </xf>
    <xf numFmtId="0" fontId="58" fillId="0" borderId="1" xfId="0" applyFont="1" applyBorder="1" applyAlignment="1">
      <alignment horizontal="justify" vertical="center" wrapText="1"/>
    </xf>
    <xf numFmtId="0" fontId="58" fillId="0" borderId="4" xfId="0" applyFont="1" applyBorder="1" applyAlignment="1">
      <alignment horizontal="justify" vertical="center" wrapText="1"/>
    </xf>
    <xf numFmtId="0" fontId="57" fillId="27" borderId="39" xfId="0" applyFont="1" applyFill="1" applyBorder="1" applyAlignment="1">
      <alignment horizontal="center" vertical="center" wrapText="1"/>
    </xf>
    <xf numFmtId="0" fontId="57" fillId="27" borderId="46" xfId="0" applyFont="1" applyFill="1" applyBorder="1" applyAlignment="1">
      <alignment horizontal="center" vertical="center" wrapText="1"/>
    </xf>
    <xf numFmtId="0" fontId="57" fillId="27" borderId="40" xfId="0" applyFont="1" applyFill="1" applyBorder="1" applyAlignment="1">
      <alignment horizontal="center" vertical="center" wrapText="1"/>
    </xf>
    <xf numFmtId="0" fontId="46" fillId="0" borderId="1" xfId="0" applyFont="1" applyFill="1" applyBorder="1" applyAlignment="1">
      <alignment horizontal="justify" vertical="center" wrapText="1"/>
    </xf>
    <xf numFmtId="0" fontId="63" fillId="0" borderId="12" xfId="0" applyFont="1" applyBorder="1" applyAlignment="1">
      <alignment horizontal="center" vertical="center" wrapText="1"/>
    </xf>
    <xf numFmtId="0" fontId="63" fillId="0" borderId="64" xfId="0" applyFont="1" applyBorder="1" applyAlignment="1">
      <alignment horizontal="center" vertical="center" wrapText="1"/>
    </xf>
    <xf numFmtId="0" fontId="63" fillId="0" borderId="12" xfId="0" applyFont="1" applyFill="1" applyBorder="1" applyAlignment="1">
      <alignment horizontal="left" vertical="center" wrapText="1"/>
    </xf>
    <xf numFmtId="0" fontId="63" fillId="0" borderId="64" xfId="0" applyFont="1" applyFill="1" applyBorder="1" applyAlignment="1">
      <alignment horizontal="left" vertical="center" wrapText="1"/>
    </xf>
    <xf numFmtId="0" fontId="63" fillId="0" borderId="63" xfId="0" applyFont="1" applyFill="1" applyBorder="1" applyAlignment="1">
      <alignment horizontal="left" vertical="center" wrapText="1"/>
    </xf>
    <xf numFmtId="0" fontId="47" fillId="3" borderId="33" xfId="2" applyFont="1" applyFill="1" applyBorder="1" applyAlignment="1">
      <alignment horizontal="center" vertical="center"/>
    </xf>
    <xf numFmtId="0" fontId="47" fillId="3" borderId="35" xfId="2" applyFont="1" applyFill="1" applyBorder="1" applyAlignment="1">
      <alignment horizontal="center" vertical="center"/>
    </xf>
    <xf numFmtId="49" fontId="55" fillId="26" borderId="31" xfId="0" applyNumberFormat="1" applyFont="1" applyFill="1" applyBorder="1" applyAlignment="1">
      <alignment horizontal="center" vertical="center" wrapText="1"/>
    </xf>
    <xf numFmtId="49" fontId="55" fillId="26" borderId="62" xfId="0" applyNumberFormat="1" applyFont="1" applyFill="1" applyBorder="1" applyAlignment="1">
      <alignment horizontal="center" vertical="center" wrapText="1"/>
    </xf>
    <xf numFmtId="49" fontId="56" fillId="26" borderId="37" xfId="0" applyNumberFormat="1" applyFont="1" applyFill="1" applyBorder="1" applyAlignment="1">
      <alignment horizontal="center" vertical="center" wrapText="1"/>
    </xf>
    <xf numFmtId="49" fontId="56" fillId="26" borderId="44" xfId="0" applyNumberFormat="1" applyFont="1" applyFill="1" applyBorder="1" applyAlignment="1">
      <alignment horizontal="center" vertical="center" wrapText="1"/>
    </xf>
    <xf numFmtId="0" fontId="58" fillId="0" borderId="18" xfId="0" applyFont="1" applyFill="1" applyBorder="1" applyAlignment="1">
      <alignment horizontal="justify" vertical="center" wrapText="1"/>
    </xf>
    <xf numFmtId="0" fontId="58" fillId="0" borderId="1" xfId="0" applyFont="1" applyFill="1" applyBorder="1" applyAlignment="1">
      <alignment horizontal="justify" vertical="center" wrapText="1"/>
    </xf>
    <xf numFmtId="0" fontId="58" fillId="0" borderId="4" xfId="0" applyFont="1" applyFill="1" applyBorder="1" applyAlignment="1">
      <alignment horizontal="justify" vertical="center" wrapText="1"/>
    </xf>
    <xf numFmtId="0" fontId="58" fillId="0" borderId="17" xfId="0" applyFont="1" applyFill="1" applyBorder="1" applyAlignment="1">
      <alignment horizontal="justify" vertical="center" wrapText="1"/>
    </xf>
    <xf numFmtId="0" fontId="57" fillId="27" borderId="33" xfId="0" applyFont="1" applyFill="1" applyBorder="1" applyAlignment="1">
      <alignment horizontal="center" vertical="center" wrapText="1"/>
    </xf>
    <xf numFmtId="0" fontId="57" fillId="27" borderId="34" xfId="0" applyFont="1" applyFill="1" applyBorder="1" applyAlignment="1">
      <alignment horizontal="center" vertical="center" wrapText="1"/>
    </xf>
    <xf numFmtId="0" fontId="57" fillId="27" borderId="48" xfId="0" applyFont="1" applyFill="1" applyBorder="1" applyAlignment="1">
      <alignment horizontal="center" vertical="center" wrapText="1"/>
    </xf>
    <xf numFmtId="0" fontId="58" fillId="0" borderId="12" xfId="0" applyFont="1" applyFill="1" applyBorder="1" applyAlignment="1">
      <alignment horizontal="justify" vertical="center" wrapText="1"/>
    </xf>
    <xf numFmtId="0" fontId="58" fillId="0" borderId="16" xfId="0" applyFont="1" applyFill="1" applyBorder="1" applyAlignment="1">
      <alignment horizontal="justify" vertical="center" wrapText="1"/>
    </xf>
    <xf numFmtId="0" fontId="46" fillId="0" borderId="1" xfId="0" applyFont="1" applyBorder="1" applyAlignment="1">
      <alignment horizontal="justify" vertical="center" wrapText="1"/>
    </xf>
    <xf numFmtId="0" fontId="46" fillId="0" borderId="4" xfId="0" applyFont="1" applyBorder="1" applyAlignment="1">
      <alignment horizontal="justify" vertical="center" wrapText="1"/>
    </xf>
    <xf numFmtId="0" fontId="57" fillId="27" borderId="15" xfId="0" applyFont="1" applyFill="1" applyBorder="1" applyAlignment="1">
      <alignment horizontal="center" vertical="center" wrapText="1"/>
    </xf>
    <xf numFmtId="0" fontId="63" fillId="0" borderId="32" xfId="0" applyFont="1" applyBorder="1" applyAlignment="1">
      <alignment horizontal="left" vertical="center" wrapText="1"/>
    </xf>
    <xf numFmtId="0" fontId="63" fillId="0" borderId="64" xfId="0" applyFont="1" applyBorder="1" applyAlignment="1">
      <alignment horizontal="left" vertical="center" wrapText="1"/>
    </xf>
    <xf numFmtId="0" fontId="46" fillId="0" borderId="18" xfId="0" applyFont="1" applyBorder="1" applyAlignment="1">
      <alignment horizontal="justify" vertical="center" wrapText="1"/>
    </xf>
    <xf numFmtId="0" fontId="46" fillId="0" borderId="47" xfId="0" applyFont="1" applyBorder="1" applyAlignment="1">
      <alignment horizontal="justify" vertical="center" wrapText="1"/>
    </xf>
    <xf numFmtId="0" fontId="46" fillId="0" borderId="4" xfId="0" applyFont="1" applyFill="1" applyBorder="1" applyAlignment="1">
      <alignment horizontal="center" vertical="center" wrapText="1"/>
    </xf>
    <xf numFmtId="0" fontId="46" fillId="0" borderId="17" xfId="0" applyFont="1" applyFill="1" applyBorder="1" applyAlignment="1">
      <alignment horizontal="center" vertical="center" wrapText="1"/>
    </xf>
    <xf numFmtId="0" fontId="46" fillId="0" borderId="47" xfId="0" applyFont="1" applyFill="1" applyBorder="1" applyAlignment="1">
      <alignment horizontal="center" vertical="center" wrapText="1"/>
    </xf>
    <xf numFmtId="0" fontId="68" fillId="27" borderId="39" xfId="0" applyFont="1" applyFill="1" applyBorder="1" applyAlignment="1">
      <alignment horizontal="center" vertical="center" wrapText="1"/>
    </xf>
    <xf numFmtId="0" fontId="68" fillId="27" borderId="46" xfId="0" applyFont="1" applyFill="1" applyBorder="1" applyAlignment="1">
      <alignment horizontal="center" vertical="center" wrapText="1"/>
    </xf>
    <xf numFmtId="0" fontId="68" fillId="27" borderId="40" xfId="0" applyFont="1" applyFill="1" applyBorder="1" applyAlignment="1">
      <alignment horizontal="center" vertical="center" wrapText="1"/>
    </xf>
    <xf numFmtId="0" fontId="58" fillId="0" borderId="17" xfId="0" applyFont="1" applyBorder="1" applyAlignment="1">
      <alignment horizontal="justify" vertical="center" wrapText="1"/>
    </xf>
    <xf numFmtId="0" fontId="57" fillId="27" borderId="14" xfId="0" applyFont="1" applyFill="1" applyBorder="1" applyAlignment="1">
      <alignment horizontal="center" vertical="center" wrapText="1"/>
    </xf>
    <xf numFmtId="0" fontId="54" fillId="18" borderId="33" xfId="0" applyFont="1" applyFill="1" applyBorder="1" applyAlignment="1">
      <alignment horizontal="center" vertical="center" wrapText="1"/>
    </xf>
    <xf numFmtId="0" fontId="54" fillId="18" borderId="34" xfId="0" applyFont="1" applyFill="1" applyBorder="1" applyAlignment="1">
      <alignment horizontal="center" vertical="center" wrapText="1"/>
    </xf>
    <xf numFmtId="0" fontId="54" fillId="18" borderId="35" xfId="0" applyFont="1" applyFill="1" applyBorder="1" applyAlignment="1">
      <alignment horizontal="center" vertical="center" wrapText="1"/>
    </xf>
    <xf numFmtId="0" fontId="58" fillId="0" borderId="32" xfId="0" applyFont="1" applyFill="1" applyBorder="1" applyAlignment="1">
      <alignment horizontal="justify" vertical="center" wrapText="1"/>
    </xf>
    <xf numFmtId="0" fontId="58" fillId="0" borderId="64" xfId="0" applyFont="1" applyFill="1" applyBorder="1" applyAlignment="1">
      <alignment horizontal="justify" vertical="center" wrapText="1"/>
    </xf>
    <xf numFmtId="0" fontId="59" fillId="0" borderId="28" xfId="0" applyFont="1" applyFill="1" applyBorder="1" applyAlignment="1">
      <alignment horizontal="justify" vertical="center" wrapText="1"/>
    </xf>
    <xf numFmtId="0" fontId="59" fillId="0" borderId="1" xfId="0" applyFont="1" applyFill="1" applyBorder="1" applyAlignment="1">
      <alignment horizontal="justify" vertical="center" wrapText="1"/>
    </xf>
    <xf numFmtId="9" fontId="62" fillId="19" borderId="24" xfId="0" applyNumberFormat="1" applyFont="1" applyFill="1" applyBorder="1" applyAlignment="1">
      <alignment horizontal="center" vertical="center"/>
    </xf>
    <xf numFmtId="9" fontId="62" fillId="19" borderId="25" xfId="0" applyNumberFormat="1" applyFont="1" applyFill="1" applyBorder="1" applyAlignment="1">
      <alignment horizontal="center" vertical="center"/>
    </xf>
    <xf numFmtId="9" fontId="62" fillId="19" borderId="26" xfId="0" applyNumberFormat="1" applyFont="1" applyFill="1" applyBorder="1" applyAlignment="1">
      <alignment horizontal="center" vertical="center"/>
    </xf>
    <xf numFmtId="1" fontId="62" fillId="19" borderId="24" xfId="0" applyNumberFormat="1" applyFont="1" applyFill="1" applyBorder="1" applyAlignment="1">
      <alignment horizontal="center" vertical="center"/>
    </xf>
    <xf numFmtId="1" fontId="62" fillId="19" borderId="25" xfId="0" applyNumberFormat="1" applyFont="1" applyFill="1" applyBorder="1" applyAlignment="1">
      <alignment horizontal="center" vertical="center"/>
    </xf>
    <xf numFmtId="1" fontId="62" fillId="19" borderId="26" xfId="0" applyNumberFormat="1" applyFont="1" applyFill="1" applyBorder="1" applyAlignment="1">
      <alignment horizontal="center" vertical="center"/>
    </xf>
    <xf numFmtId="0" fontId="61" fillId="0" borderId="24"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6" xfId="0" applyFont="1" applyBorder="1" applyAlignment="1">
      <alignment horizontal="center" vertical="center" wrapText="1"/>
    </xf>
    <xf numFmtId="167" fontId="62" fillId="19" borderId="37" xfId="0" applyNumberFormat="1" applyFont="1" applyFill="1" applyBorder="1" applyAlignment="1">
      <alignment horizontal="center" vertical="center"/>
    </xf>
    <xf numFmtId="167" fontId="62" fillId="19" borderId="36" xfId="0" applyNumberFormat="1" applyFont="1" applyFill="1" applyBorder="1" applyAlignment="1">
      <alignment horizontal="center" vertical="center"/>
    </xf>
    <xf numFmtId="167" fontId="62" fillId="19" borderId="38" xfId="0" applyNumberFormat="1" applyFont="1" applyFill="1" applyBorder="1" applyAlignment="1">
      <alignment horizontal="center" vertical="center"/>
    </xf>
    <xf numFmtId="0" fontId="61" fillId="0" borderId="44" xfId="0" applyFont="1" applyBorder="1" applyAlignment="1">
      <alignment horizontal="center" vertical="center" wrapText="1"/>
    </xf>
    <xf numFmtId="0" fontId="61" fillId="0" borderId="45" xfId="0" applyFont="1" applyBorder="1" applyAlignment="1">
      <alignment horizontal="center" vertical="center" wrapText="1"/>
    </xf>
    <xf numFmtId="0" fontId="61" fillId="0" borderId="48" xfId="0" applyFont="1" applyBorder="1" applyAlignment="1">
      <alignment horizontal="center" vertical="center" wrapText="1"/>
    </xf>
    <xf numFmtId="0" fontId="41" fillId="26" borderId="37" xfId="0" applyFont="1" applyFill="1" applyBorder="1" applyAlignment="1">
      <alignment horizontal="center" vertical="center" wrapText="1"/>
    </xf>
    <xf numFmtId="0" fontId="41" fillId="26" borderId="62" xfId="0" applyFont="1" applyFill="1" applyBorder="1" applyAlignment="1">
      <alignment horizontal="center" vertical="center" wrapText="1"/>
    </xf>
    <xf numFmtId="0" fontId="41" fillId="26" borderId="34" xfId="0" applyFont="1" applyFill="1" applyBorder="1" applyAlignment="1">
      <alignment horizontal="center" vertical="center" wrapText="1"/>
    </xf>
    <xf numFmtId="0" fontId="41" fillId="26" borderId="35" xfId="0" applyFont="1" applyFill="1" applyBorder="1" applyAlignment="1">
      <alignment horizontal="center" vertical="center" wrapText="1"/>
    </xf>
    <xf numFmtId="49" fontId="55" fillId="26" borderId="77" xfId="0" applyNumberFormat="1" applyFont="1" applyFill="1" applyBorder="1" applyAlignment="1">
      <alignment horizontal="center" vertical="center" wrapText="1"/>
    </xf>
    <xf numFmtId="49" fontId="55" fillId="26" borderId="34" xfId="0" applyNumberFormat="1" applyFont="1" applyFill="1" applyBorder="1" applyAlignment="1">
      <alignment horizontal="center" vertical="center" wrapText="1"/>
    </xf>
    <xf numFmtId="49" fontId="55" fillId="26" borderId="79" xfId="0" applyNumberFormat="1" applyFont="1" applyFill="1" applyBorder="1" applyAlignment="1">
      <alignment horizontal="center" vertical="center" wrapText="1"/>
    </xf>
    <xf numFmtId="9" fontId="62" fillId="19" borderId="37" xfId="0" applyNumberFormat="1" applyFont="1" applyFill="1" applyBorder="1" applyAlignment="1">
      <alignment horizontal="center" vertical="center"/>
    </xf>
    <xf numFmtId="9" fontId="62" fillId="19" borderId="36" xfId="0" applyNumberFormat="1" applyFont="1" applyFill="1" applyBorder="1" applyAlignment="1">
      <alignment horizontal="center" vertical="center"/>
    </xf>
    <xf numFmtId="9" fontId="62" fillId="19" borderId="38" xfId="0" applyNumberFormat="1" applyFont="1" applyFill="1" applyBorder="1" applyAlignment="1">
      <alignment horizontal="center" vertical="center"/>
    </xf>
    <xf numFmtId="9" fontId="62" fillId="19" borderId="24" xfId="1" applyFont="1" applyFill="1" applyBorder="1" applyAlignment="1">
      <alignment horizontal="center" vertical="center"/>
    </xf>
    <xf numFmtId="9" fontId="62" fillId="19" borderId="25" xfId="1" applyFont="1" applyFill="1" applyBorder="1" applyAlignment="1">
      <alignment horizontal="center" vertical="center"/>
    </xf>
    <xf numFmtId="9" fontId="62" fillId="19" borderId="26" xfId="1" applyFont="1" applyFill="1" applyBorder="1" applyAlignment="1">
      <alignment horizontal="center" vertical="center"/>
    </xf>
    <xf numFmtId="9" fontId="52" fillId="19" borderId="7" xfId="1" applyFont="1" applyFill="1" applyBorder="1" applyAlignment="1">
      <alignment vertical="center"/>
    </xf>
    <xf numFmtId="0" fontId="46" fillId="0" borderId="30" xfId="0" applyFont="1" applyFill="1" applyBorder="1" applyAlignment="1">
      <alignment horizontal="center" vertical="center" wrapText="1"/>
    </xf>
    <xf numFmtId="0" fontId="46" fillId="0" borderId="18" xfId="0" applyFont="1" applyFill="1" applyBorder="1" applyAlignment="1">
      <alignment horizontal="center" vertical="center" wrapText="1"/>
    </xf>
    <xf numFmtId="9" fontId="60" fillId="28" borderId="4" xfId="1" applyFont="1" applyFill="1" applyBorder="1" applyAlignment="1">
      <alignment horizontal="right" vertical="center"/>
    </xf>
    <xf numFmtId="9" fontId="60" fillId="28" borderId="17" xfId="1" applyFont="1" applyFill="1" applyBorder="1" applyAlignment="1">
      <alignment horizontal="right" vertical="center"/>
    </xf>
    <xf numFmtId="9" fontId="60" fillId="28" borderId="18" xfId="1" applyFont="1" applyFill="1" applyBorder="1" applyAlignment="1">
      <alignment horizontal="right" vertical="center"/>
    </xf>
    <xf numFmtId="9" fontId="60" fillId="19" borderId="1" xfId="1" applyFont="1" applyFill="1" applyBorder="1" applyAlignment="1">
      <alignment horizontal="right" vertical="center"/>
    </xf>
    <xf numFmtId="9" fontId="60" fillId="19" borderId="1" xfId="1" applyFont="1" applyFill="1" applyBorder="1" applyAlignment="1">
      <alignment vertical="center"/>
    </xf>
    <xf numFmtId="1" fontId="62" fillId="19" borderId="24" xfId="1" applyNumberFormat="1" applyFont="1" applyFill="1" applyBorder="1" applyAlignment="1">
      <alignment horizontal="center" vertical="center"/>
    </xf>
    <xf numFmtId="1" fontId="62" fillId="19" borderId="25" xfId="1" applyNumberFormat="1" applyFont="1" applyFill="1" applyBorder="1" applyAlignment="1">
      <alignment horizontal="center" vertical="center"/>
    </xf>
    <xf numFmtId="1" fontId="62" fillId="19" borderId="26" xfId="1" applyNumberFormat="1" applyFont="1" applyFill="1" applyBorder="1" applyAlignment="1">
      <alignment horizontal="center" vertical="center"/>
    </xf>
    <xf numFmtId="0" fontId="46" fillId="0" borderId="4"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4" xfId="0" applyFont="1" applyFill="1" applyBorder="1" applyAlignment="1">
      <alignment horizontal="left" vertical="center" wrapText="1"/>
    </xf>
    <xf numFmtId="0" fontId="46" fillId="0" borderId="17" xfId="0" applyFont="1" applyFill="1" applyBorder="1" applyAlignment="1">
      <alignment horizontal="left" vertical="center" wrapText="1"/>
    </xf>
    <xf numFmtId="0" fontId="46" fillId="0" borderId="18" xfId="0" applyFont="1" applyFill="1" applyBorder="1" applyAlignment="1">
      <alignment horizontal="left" vertical="center" wrapText="1"/>
    </xf>
    <xf numFmtId="0" fontId="57" fillId="0" borderId="5" xfId="0" applyFont="1" applyBorder="1" applyAlignment="1">
      <alignment horizontal="center" vertical="center"/>
    </xf>
    <xf numFmtId="0" fontId="57" fillId="0" borderId="7" xfId="0" applyFont="1" applyBorder="1" applyAlignment="1">
      <alignment horizontal="center" vertical="center"/>
    </xf>
    <xf numFmtId="0" fontId="57" fillId="0" borderId="50" xfId="0" applyFont="1" applyBorder="1" applyAlignment="1">
      <alignment horizontal="center" vertical="center"/>
    </xf>
    <xf numFmtId="0" fontId="57" fillId="0" borderId="51" xfId="0" applyFont="1" applyBorder="1" applyAlignment="1">
      <alignment horizontal="center" vertical="center"/>
    </xf>
    <xf numFmtId="0" fontId="99" fillId="0" borderId="12" xfId="0" applyFont="1" applyBorder="1" applyAlignment="1">
      <alignment horizontal="center" vertical="center" wrapText="1"/>
    </xf>
    <xf numFmtId="0" fontId="99" fillId="0" borderId="64" xfId="0" applyFont="1" applyBorder="1" applyAlignment="1">
      <alignment horizontal="center" vertical="center" wrapText="1"/>
    </xf>
    <xf numFmtId="0" fontId="58" fillId="0" borderId="28" xfId="0" applyFont="1" applyBorder="1" applyAlignment="1">
      <alignment horizontal="justify" vertical="center" wrapText="1"/>
    </xf>
    <xf numFmtId="0" fontId="46" fillId="0" borderId="28" xfId="0" applyFont="1" applyBorder="1" applyAlignment="1">
      <alignment horizontal="justify" vertical="center" wrapText="1"/>
    </xf>
    <xf numFmtId="0" fontId="58" fillId="0" borderId="12" xfId="0" applyFont="1" applyFill="1" applyBorder="1" applyAlignment="1">
      <alignment horizontal="left" vertical="center" wrapText="1"/>
    </xf>
    <xf numFmtId="0" fontId="58" fillId="0" borderId="64" xfId="0" applyFont="1" applyFill="1" applyBorder="1" applyAlignment="1">
      <alignment horizontal="left" vertical="center" wrapText="1"/>
    </xf>
    <xf numFmtId="0" fontId="58" fillId="0" borderId="16" xfId="0" applyFont="1" applyFill="1" applyBorder="1" applyAlignment="1">
      <alignment horizontal="left" vertical="center" wrapText="1"/>
    </xf>
    <xf numFmtId="9" fontId="41" fillId="26" borderId="62" xfId="1" applyFont="1" applyFill="1" applyBorder="1" applyAlignment="1">
      <alignment horizontal="center" vertical="center" wrapText="1"/>
    </xf>
    <xf numFmtId="9" fontId="41" fillId="26" borderId="44" xfId="1" applyFont="1" applyFill="1" applyBorder="1" applyAlignment="1">
      <alignment horizontal="center" vertical="center" wrapText="1"/>
    </xf>
    <xf numFmtId="0" fontId="49" fillId="0" borderId="24" xfId="0" applyFont="1" applyFill="1" applyBorder="1" applyAlignment="1">
      <alignment horizontal="center" wrapText="1"/>
    </xf>
    <xf numFmtId="0" fontId="49" fillId="0" borderId="25" xfId="0" applyFont="1" applyFill="1" applyBorder="1" applyAlignment="1">
      <alignment horizontal="center" wrapText="1"/>
    </xf>
    <xf numFmtId="0" fontId="49" fillId="0" borderId="26" xfId="0" applyFont="1" applyFill="1" applyBorder="1" applyAlignment="1">
      <alignment horizontal="center" wrapText="1"/>
    </xf>
    <xf numFmtId="0" fontId="29" fillId="0" borderId="9" xfId="0" applyFont="1" applyBorder="1" applyAlignment="1">
      <alignment horizontal="left"/>
    </xf>
    <xf numFmtId="0" fontId="29" fillId="0" borderId="29" xfId="0" applyFont="1" applyBorder="1" applyAlignment="1">
      <alignment horizontal="left"/>
    </xf>
    <xf numFmtId="0" fontId="33" fillId="27" borderId="33" xfId="0" applyFont="1" applyFill="1" applyBorder="1" applyAlignment="1">
      <alignment horizontal="center"/>
    </xf>
    <xf numFmtId="0" fontId="33" fillId="27" borderId="34" xfId="0" applyFont="1" applyFill="1" applyBorder="1" applyAlignment="1">
      <alignment horizontal="center"/>
    </xf>
    <xf numFmtId="0" fontId="33" fillId="27" borderId="65" xfId="0" applyFont="1" applyFill="1" applyBorder="1" applyAlignment="1">
      <alignment horizontal="center"/>
    </xf>
    <xf numFmtId="0" fontId="29" fillId="0" borderId="41" xfId="0" applyFont="1" applyBorder="1" applyAlignment="1">
      <alignment horizontal="left"/>
    </xf>
    <xf numFmtId="0" fontId="29" fillId="0" borderId="18" xfId="0" applyFont="1" applyBorder="1" applyAlignment="1">
      <alignment horizontal="left"/>
    </xf>
    <xf numFmtId="0" fontId="29" fillId="0" borderId="7" xfId="0" applyFont="1" applyBorder="1" applyAlignment="1">
      <alignment horizontal="left"/>
    </xf>
    <xf numFmtId="0" fontId="29" fillId="0" borderId="1" xfId="0" applyFont="1" applyBorder="1" applyAlignment="1">
      <alignment horizontal="left"/>
    </xf>
    <xf numFmtId="0" fontId="7" fillId="0" borderId="28" xfId="0" applyFont="1" applyBorder="1" applyAlignment="1">
      <alignment horizontal="center" vertical="center" wrapText="1"/>
    </xf>
    <xf numFmtId="0" fontId="76" fillId="0" borderId="28" xfId="0" applyFont="1" applyBorder="1" applyAlignment="1">
      <alignment horizontal="center" wrapText="1"/>
    </xf>
    <xf numFmtId="0" fontId="76" fillId="0" borderId="6" xfId="0" applyFont="1" applyBorder="1" applyAlignment="1">
      <alignment horizontal="center" wrapText="1"/>
    </xf>
    <xf numFmtId="0" fontId="76" fillId="0" borderId="1" xfId="0" applyFont="1" applyBorder="1" applyAlignment="1">
      <alignment horizontal="center" wrapText="1"/>
    </xf>
    <xf numFmtId="0" fontId="76" fillId="0" borderId="8" xfId="0" applyFont="1" applyBorder="1" applyAlignment="1">
      <alignment horizontal="center" wrapText="1"/>
    </xf>
    <xf numFmtId="0" fontId="76" fillId="0" borderId="29" xfId="0" applyFont="1" applyBorder="1" applyAlignment="1">
      <alignment horizontal="center" wrapText="1"/>
    </xf>
    <xf numFmtId="0" fontId="76" fillId="0" borderId="10" xfId="0" applyFont="1" applyBorder="1" applyAlignment="1">
      <alignment horizontal="center" wrapText="1"/>
    </xf>
    <xf numFmtId="0" fontId="77" fillId="0" borderId="1" xfId="0" applyFont="1" applyBorder="1" applyAlignment="1">
      <alignment horizontal="center" vertical="center" wrapText="1"/>
    </xf>
    <xf numFmtId="0" fontId="7" fillId="0" borderId="71" xfId="0" applyFont="1" applyFill="1" applyBorder="1" applyAlignment="1">
      <alignment horizontal="center" vertical="center" wrapText="1"/>
    </xf>
    <xf numFmtId="0" fontId="7" fillId="0" borderId="57" xfId="0" applyFont="1" applyFill="1" applyBorder="1" applyAlignment="1">
      <alignment horizontal="center" vertical="center" wrapText="1"/>
    </xf>
    <xf numFmtId="9" fontId="41" fillId="26" borderId="19" xfId="1" applyFont="1" applyFill="1" applyBorder="1" applyAlignment="1">
      <alignment horizontal="center" vertical="center" wrapText="1"/>
    </xf>
    <xf numFmtId="0" fontId="7" fillId="0" borderId="74" xfId="0" applyFont="1" applyFill="1" applyBorder="1" applyAlignment="1">
      <alignment horizontal="center" vertical="center" wrapText="1"/>
    </xf>
    <xf numFmtId="0" fontId="74" fillId="0" borderId="29" xfId="0" applyFont="1" applyBorder="1" applyAlignment="1">
      <alignment horizontal="center" vertical="center"/>
    </xf>
    <xf numFmtId="0" fontId="65" fillId="0" borderId="0" xfId="0" applyFont="1" applyAlignment="1">
      <alignment horizontal="center"/>
    </xf>
    <xf numFmtId="0" fontId="49" fillId="0" borderId="1" xfId="0" applyFont="1" applyBorder="1" applyAlignment="1">
      <alignment horizontal="justify" vertical="center" wrapText="1"/>
    </xf>
    <xf numFmtId="14" fontId="0" fillId="0" borderId="1" xfId="0" applyNumberFormat="1" applyBorder="1" applyAlignment="1">
      <alignment horizontal="center" vertical="center"/>
    </xf>
    <xf numFmtId="0" fontId="7" fillId="0" borderId="0" xfId="0" applyFont="1" applyAlignment="1">
      <alignment horizontal="center"/>
    </xf>
    <xf numFmtId="0" fontId="49" fillId="0" borderId="1" xfId="0" applyFont="1" applyBorder="1" applyAlignment="1">
      <alignment horizontal="center" vertical="center"/>
    </xf>
    <xf numFmtId="14" fontId="49" fillId="0" borderId="1" xfId="0" applyNumberFormat="1" applyFont="1" applyBorder="1" applyAlignment="1">
      <alignment horizontal="center" vertical="center"/>
    </xf>
    <xf numFmtId="0" fontId="49" fillId="0" borderId="1" xfId="0" applyFont="1" applyBorder="1" applyAlignment="1">
      <alignment horizontal="justify" vertical="center"/>
    </xf>
    <xf numFmtId="0" fontId="35" fillId="4" borderId="33" xfId="0" applyFont="1" applyFill="1" applyBorder="1" applyAlignment="1">
      <alignment horizontal="center"/>
    </xf>
    <xf numFmtId="0" fontId="35" fillId="4" borderId="34" xfId="0" applyFont="1" applyFill="1" applyBorder="1" applyAlignment="1">
      <alignment horizontal="center"/>
    </xf>
    <xf numFmtId="0" fontId="35" fillId="4" borderId="35" xfId="0" applyFont="1" applyFill="1" applyBorder="1" applyAlignment="1">
      <alignment horizontal="center"/>
    </xf>
    <xf numFmtId="0" fontId="35" fillId="2" borderId="33" xfId="0" applyFont="1" applyFill="1" applyBorder="1" applyAlignment="1">
      <alignment horizontal="center"/>
    </xf>
    <xf numFmtId="0" fontId="35" fillId="2" borderId="34" xfId="0" applyFont="1" applyFill="1" applyBorder="1" applyAlignment="1">
      <alignment horizontal="center"/>
    </xf>
    <xf numFmtId="0" fontId="35" fillId="2" borderId="35" xfId="0" applyFont="1" applyFill="1" applyBorder="1" applyAlignment="1">
      <alignment horizontal="center"/>
    </xf>
    <xf numFmtId="0" fontId="29" fillId="0" borderId="4" xfId="0" applyFont="1" applyFill="1" applyBorder="1" applyAlignment="1">
      <alignment horizontal="center" vertical="center" wrapText="1"/>
    </xf>
    <xf numFmtId="0" fontId="29" fillId="0" borderId="17" xfId="0" applyFont="1" applyFill="1" applyBorder="1" applyAlignment="1">
      <alignment horizontal="center" vertical="center" wrapText="1"/>
    </xf>
    <xf numFmtId="0" fontId="29" fillId="0" borderId="18" xfId="0" applyFont="1" applyFill="1" applyBorder="1" applyAlignment="1">
      <alignment horizontal="center" vertical="center" wrapText="1"/>
    </xf>
    <xf numFmtId="9" fontId="29" fillId="0" borderId="4" xfId="1" applyFont="1" applyFill="1" applyBorder="1" applyAlignment="1">
      <alignment horizontal="center" vertical="center" wrapText="1"/>
    </xf>
    <xf numFmtId="9" fontId="29" fillId="0" borderId="17" xfId="1" applyFont="1" applyFill="1" applyBorder="1" applyAlignment="1">
      <alignment horizontal="center" vertical="center" wrapText="1"/>
    </xf>
    <xf numFmtId="9" fontId="29" fillId="0" borderId="18" xfId="1" applyFont="1" applyFill="1" applyBorder="1" applyAlignment="1">
      <alignment horizontal="center" vertical="center" wrapText="1"/>
    </xf>
    <xf numFmtId="42" fontId="29" fillId="0" borderId="4" xfId="1" applyNumberFormat="1" applyFont="1" applyFill="1" applyBorder="1" applyAlignment="1">
      <alignment horizontal="center" vertical="center"/>
    </xf>
    <xf numFmtId="42" fontId="29" fillId="0" borderId="17" xfId="1" applyNumberFormat="1" applyFont="1" applyFill="1" applyBorder="1" applyAlignment="1">
      <alignment horizontal="center" vertical="center"/>
    </xf>
    <xf numFmtId="42" fontId="29" fillId="0" borderId="18" xfId="1" applyNumberFormat="1" applyFont="1" applyFill="1" applyBorder="1" applyAlignment="1">
      <alignment horizontal="center" vertical="center"/>
    </xf>
    <xf numFmtId="0" fontId="34" fillId="0" borderId="4" xfId="0" applyFont="1" applyFill="1" applyBorder="1" applyAlignment="1">
      <alignment horizontal="center" vertical="center"/>
    </xf>
    <xf numFmtId="0" fontId="34" fillId="0" borderId="17" xfId="0" applyFont="1" applyFill="1" applyBorder="1" applyAlignment="1">
      <alignment horizontal="center" vertical="center"/>
    </xf>
    <xf numFmtId="0" fontId="34" fillId="0" borderId="18" xfId="0" applyFont="1" applyFill="1" applyBorder="1" applyAlignment="1">
      <alignment horizontal="center" vertical="center"/>
    </xf>
    <xf numFmtId="9" fontId="29" fillId="22" borderId="4" xfId="1" applyNumberFormat="1" applyFont="1" applyFill="1" applyBorder="1" applyAlignment="1">
      <alignment horizontal="center" vertical="center" wrapText="1"/>
    </xf>
    <xf numFmtId="9" fontId="29" fillId="22" borderId="17" xfId="1" applyNumberFormat="1" applyFont="1" applyFill="1" applyBorder="1" applyAlignment="1">
      <alignment horizontal="center" vertical="center" wrapText="1"/>
    </xf>
    <xf numFmtId="9" fontId="29" fillId="22" borderId="18" xfId="1" applyNumberFormat="1" applyFont="1" applyFill="1" applyBorder="1" applyAlignment="1">
      <alignment horizontal="center" vertical="center" wrapText="1"/>
    </xf>
    <xf numFmtId="0" fontId="29" fillId="0" borderId="4" xfId="0" applyFont="1" applyFill="1" applyBorder="1" applyAlignment="1">
      <alignment horizontal="center" vertical="center"/>
    </xf>
    <xf numFmtId="0" fontId="29" fillId="0" borderId="17" xfId="0" applyFont="1" applyFill="1" applyBorder="1" applyAlignment="1">
      <alignment horizontal="center" vertical="center"/>
    </xf>
    <xf numFmtId="0" fontId="29" fillId="0" borderId="18" xfId="0" applyFont="1" applyFill="1" applyBorder="1" applyAlignment="1">
      <alignment horizontal="center" vertical="center"/>
    </xf>
    <xf numFmtId="42" fontId="29" fillId="0" borderId="4" xfId="5" applyFont="1" applyFill="1" applyBorder="1" applyAlignment="1">
      <alignment horizontal="center" vertical="center"/>
    </xf>
    <xf numFmtId="42" fontId="29" fillId="0" borderId="17" xfId="5" applyFont="1" applyFill="1" applyBorder="1" applyAlignment="1">
      <alignment horizontal="center" vertical="center"/>
    </xf>
    <xf numFmtId="42" fontId="29" fillId="0" borderId="18" xfId="5" applyFont="1" applyFill="1" applyBorder="1" applyAlignment="1">
      <alignment horizontal="center" vertical="center"/>
    </xf>
    <xf numFmtId="9" fontId="29" fillId="0" borderId="4" xfId="1" applyFont="1" applyFill="1" applyBorder="1" applyAlignment="1">
      <alignment horizontal="center" vertical="center"/>
    </xf>
    <xf numFmtId="9" fontId="29" fillId="0" borderId="17" xfId="1" applyFont="1" applyFill="1" applyBorder="1" applyAlignment="1">
      <alignment horizontal="center" vertical="center"/>
    </xf>
    <xf numFmtId="9" fontId="29" fillId="0" borderId="18" xfId="1" applyFont="1" applyFill="1" applyBorder="1" applyAlignment="1">
      <alignment horizontal="center" vertical="center"/>
    </xf>
    <xf numFmtId="0" fontId="29" fillId="0" borderId="4" xfId="0" applyFont="1" applyFill="1" applyBorder="1" applyAlignment="1">
      <alignment horizontal="center"/>
    </xf>
    <xf numFmtId="0" fontId="29" fillId="0" borderId="17" xfId="0" applyFont="1" applyFill="1" applyBorder="1" applyAlignment="1">
      <alignment horizontal="center"/>
    </xf>
    <xf numFmtId="0" fontId="29" fillId="0" borderId="18" xfId="0" applyFont="1" applyFill="1" applyBorder="1" applyAlignment="1">
      <alignment horizontal="center"/>
    </xf>
    <xf numFmtId="9" fontId="29" fillId="0" borderId="4" xfId="1" applyNumberFormat="1" applyFont="1" applyFill="1" applyBorder="1" applyAlignment="1">
      <alignment horizontal="center" vertical="center"/>
    </xf>
    <xf numFmtId="9" fontId="29" fillId="0" borderId="17" xfId="1" applyNumberFormat="1" applyFont="1" applyFill="1" applyBorder="1" applyAlignment="1">
      <alignment horizontal="center" vertical="center"/>
    </xf>
    <xf numFmtId="9" fontId="29" fillId="0" borderId="18" xfId="1" applyNumberFormat="1" applyFont="1" applyFill="1" applyBorder="1" applyAlignment="1">
      <alignment horizontal="center" vertical="center"/>
    </xf>
    <xf numFmtId="9" fontId="29" fillId="0" borderId="1" xfId="0" applyNumberFormat="1" applyFont="1" applyFill="1" applyBorder="1" applyAlignment="1">
      <alignment horizontal="justify" vertical="center" wrapText="1"/>
    </xf>
    <xf numFmtId="42" fontId="29" fillId="0" borderId="1" xfId="5" applyFont="1" applyFill="1" applyBorder="1" applyAlignment="1">
      <alignment horizontal="right" vertical="center"/>
    </xf>
    <xf numFmtId="9" fontId="29" fillId="0" borderId="1" xfId="1" applyFont="1" applyFill="1" applyBorder="1" applyAlignment="1">
      <alignment horizontal="right" vertical="center"/>
    </xf>
    <xf numFmtId="0" fontId="34" fillId="0" borderId="4" xfId="0" applyFont="1" applyFill="1" applyBorder="1" applyAlignment="1">
      <alignment horizontal="center" vertical="center" wrapText="1"/>
    </xf>
    <xf numFmtId="0" fontId="34" fillId="0" borderId="18" xfId="0" applyFont="1" applyFill="1" applyBorder="1" applyAlignment="1">
      <alignment horizontal="center" vertical="center" wrapText="1"/>
    </xf>
    <xf numFmtId="0" fontId="29" fillId="0" borderId="4" xfId="0" applyFont="1" applyFill="1" applyBorder="1" applyAlignment="1">
      <alignment horizontal="justify" vertical="center" wrapText="1"/>
    </xf>
    <xf numFmtId="0" fontId="29" fillId="0" borderId="18" xfId="0" applyFont="1" applyFill="1" applyBorder="1" applyAlignment="1">
      <alignment horizontal="justify" vertical="center" wrapText="1"/>
    </xf>
    <xf numFmtId="9" fontId="29" fillId="0" borderId="4" xfId="0" applyNumberFormat="1" applyFont="1" applyFill="1" applyBorder="1" applyAlignment="1">
      <alignment horizontal="center" vertical="center"/>
    </xf>
    <xf numFmtId="9" fontId="29" fillId="0" borderId="18" xfId="0" applyNumberFormat="1" applyFont="1" applyFill="1" applyBorder="1" applyAlignment="1">
      <alignment horizontal="center" vertical="center"/>
    </xf>
    <xf numFmtId="0" fontId="29" fillId="0" borderId="4" xfId="0" applyFont="1" applyFill="1" applyBorder="1" applyAlignment="1">
      <alignment horizontal="justify" vertical="center"/>
    </xf>
    <xf numFmtId="0" fontId="29" fillId="0" borderId="18" xfId="0" applyFont="1" applyFill="1" applyBorder="1" applyAlignment="1">
      <alignment horizontal="justify" vertical="center"/>
    </xf>
    <xf numFmtId="0" fontId="23" fillId="3" borderId="59" xfId="2" applyFont="1" applyFill="1" applyBorder="1" applyAlignment="1">
      <alignment horizontal="center" vertical="center"/>
    </xf>
    <xf numFmtId="0" fontId="23" fillId="3" borderId="42" xfId="2" applyFont="1" applyFill="1" applyBorder="1" applyAlignment="1">
      <alignment horizontal="center" vertical="center"/>
    </xf>
    <xf numFmtId="0" fontId="23" fillId="3" borderId="43" xfId="2" applyFont="1" applyFill="1" applyBorder="1" applyAlignment="1">
      <alignment horizontal="center" vertical="center"/>
    </xf>
    <xf numFmtId="0" fontId="36" fillId="0" borderId="59" xfId="0" applyFont="1" applyBorder="1" applyAlignment="1">
      <alignment horizontal="center" vertical="center"/>
    </xf>
    <xf numFmtId="0" fontId="36" fillId="0" borderId="43" xfId="0" applyFont="1" applyBorder="1" applyAlignment="1">
      <alignment horizontal="center" vertical="center"/>
    </xf>
    <xf numFmtId="0" fontId="37" fillId="0" borderId="59" xfId="0" applyFont="1" applyBorder="1" applyAlignment="1">
      <alignment horizontal="left" vertical="center"/>
    </xf>
    <xf numFmtId="0" fontId="37" fillId="0" borderId="42" xfId="0" applyFont="1" applyBorder="1" applyAlignment="1">
      <alignment horizontal="left" vertical="center"/>
    </xf>
    <xf numFmtId="0" fontId="37" fillId="0" borderId="43" xfId="0" applyFont="1" applyBorder="1" applyAlignment="1">
      <alignment horizontal="left" vertical="center"/>
    </xf>
    <xf numFmtId="0" fontId="38" fillId="17" borderId="59" xfId="0" applyFont="1" applyFill="1" applyBorder="1" applyAlignment="1">
      <alignment horizontal="center" vertical="center" wrapText="1" readingOrder="1"/>
    </xf>
    <xf numFmtId="0" fontId="38" fillId="17" borderId="43" xfId="0" applyFont="1" applyFill="1" applyBorder="1" applyAlignment="1">
      <alignment horizontal="center" vertical="center" wrapText="1" readingOrder="1"/>
    </xf>
    <xf numFmtId="0" fontId="38" fillId="16" borderId="1" xfId="0" applyFont="1" applyFill="1" applyBorder="1" applyAlignment="1">
      <alignment horizontal="center" vertical="center" wrapText="1" readingOrder="1"/>
    </xf>
    <xf numFmtId="0" fontId="37" fillId="0" borderId="1" xfId="0" applyFont="1" applyBorder="1" applyAlignment="1">
      <alignment vertical="center"/>
    </xf>
    <xf numFmtId="0" fontId="33" fillId="27" borderId="39" xfId="0" applyFont="1" applyFill="1" applyBorder="1" applyAlignment="1">
      <alignment horizontal="center"/>
    </xf>
    <xf numFmtId="0" fontId="33" fillId="27" borderId="46" xfId="0" applyFont="1" applyFill="1" applyBorder="1" applyAlignment="1">
      <alignment horizontal="center"/>
    </xf>
    <xf numFmtId="0" fontId="38" fillId="9" borderId="59" xfId="0" applyFont="1" applyFill="1" applyBorder="1" applyAlignment="1">
      <alignment horizontal="center" vertical="center" wrapText="1" readingOrder="1"/>
    </xf>
    <xf numFmtId="0" fontId="38" fillId="9" borderId="43" xfId="0" applyFont="1" applyFill="1" applyBorder="1" applyAlignment="1">
      <alignment horizontal="center" vertical="center" wrapText="1" readingOrder="1"/>
    </xf>
    <xf numFmtId="9" fontId="38" fillId="10" borderId="59" xfId="0" applyNumberFormat="1" applyFont="1" applyFill="1" applyBorder="1" applyAlignment="1">
      <alignment horizontal="center" vertical="center" wrapText="1" readingOrder="1"/>
    </xf>
    <xf numFmtId="9" fontId="38" fillId="10" borderId="43" xfId="0" applyNumberFormat="1" applyFont="1" applyFill="1" applyBorder="1" applyAlignment="1">
      <alignment horizontal="center" vertical="center" wrapText="1" readingOrder="1"/>
    </xf>
    <xf numFmtId="0" fontId="0" fillId="0" borderId="9" xfId="0" applyBorder="1" applyAlignment="1">
      <alignment horizontal="left"/>
    </xf>
    <xf numFmtId="0" fontId="0" fillId="0" borderId="29" xfId="0" applyBorder="1" applyAlignment="1">
      <alignment horizontal="left"/>
    </xf>
    <xf numFmtId="0" fontId="0" fillId="0" borderId="0" xfId="0" applyAlignment="1">
      <alignment horizontal="center"/>
    </xf>
    <xf numFmtId="0" fontId="0" fillId="0" borderId="19" xfId="0" applyBorder="1" applyAlignment="1">
      <alignment horizontal="center"/>
    </xf>
    <xf numFmtId="0" fontId="0" fillId="15" borderId="20" xfId="0" applyFill="1" applyBorder="1" applyAlignment="1">
      <alignment horizontal="center"/>
    </xf>
    <xf numFmtId="0" fontId="0" fillId="15" borderId="21" xfId="0" applyFill="1" applyBorder="1" applyAlignment="1">
      <alignment horizontal="center"/>
    </xf>
    <xf numFmtId="0" fontId="0" fillId="15" borderId="22" xfId="0" applyFill="1" applyBorder="1" applyAlignment="1">
      <alignment horizont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0" fillId="0" borderId="3" xfId="0" applyBorder="1" applyAlignment="1">
      <alignment horizontal="left"/>
    </xf>
    <xf numFmtId="0" fontId="0" fillId="3" borderId="5" xfId="0" applyFill="1" applyBorder="1" applyAlignment="1">
      <alignment horizontal="center" vertical="center" wrapText="1"/>
    </xf>
    <xf numFmtId="0" fontId="0" fillId="3" borderId="7" xfId="0" applyFill="1" applyBorder="1" applyAlignment="1">
      <alignment horizontal="center" vertical="center" wrapText="1"/>
    </xf>
    <xf numFmtId="0" fontId="0" fillId="3" borderId="11" xfId="0" applyFill="1"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1" fontId="0" fillId="0" borderId="4" xfId="0" applyNumberFormat="1" applyBorder="1" applyAlignment="1">
      <alignment horizontal="center" vertical="center"/>
    </xf>
    <xf numFmtId="1" fontId="0" fillId="0" borderId="17" xfId="0" applyNumberFormat="1" applyBorder="1" applyAlignment="1">
      <alignment horizontal="center" vertical="center"/>
    </xf>
    <xf numFmtId="1" fontId="0" fillId="0" borderId="18" xfId="0" applyNumberFormat="1" applyBorder="1" applyAlignment="1">
      <alignment horizontal="center" vertical="center"/>
    </xf>
    <xf numFmtId="42" fontId="49" fillId="0" borderId="0" xfId="5" applyFont="1" applyFill="1" applyAlignment="1">
      <alignment vertical="center"/>
    </xf>
    <xf numFmtId="42" fontId="49" fillId="0" borderId="1" xfId="5" applyFont="1" applyFill="1" applyBorder="1" applyAlignment="1">
      <alignment vertical="center" wrapText="1"/>
    </xf>
    <xf numFmtId="0" fontId="81" fillId="0" borderId="0" xfId="0" applyFont="1" applyFill="1"/>
    <xf numFmtId="4" fontId="49" fillId="0" borderId="1" xfId="0" applyNumberFormat="1" applyFont="1" applyFill="1" applyBorder="1"/>
    <xf numFmtId="42" fontId="49" fillId="0" borderId="0" xfId="0" applyNumberFormat="1" applyFont="1" applyFill="1"/>
    <xf numFmtId="9" fontId="49" fillId="0" borderId="1" xfId="1" applyNumberFormat="1" applyFont="1" applyFill="1" applyBorder="1" applyAlignment="1">
      <alignment vertical="center" wrapText="1"/>
    </xf>
    <xf numFmtId="10" fontId="49" fillId="0" borderId="1" xfId="1" applyNumberFormat="1" applyFont="1" applyFill="1" applyBorder="1" applyAlignment="1">
      <alignment vertical="center" wrapText="1"/>
    </xf>
    <xf numFmtId="6" fontId="49" fillId="0" borderId="1" xfId="0" applyNumberFormat="1" applyFont="1" applyFill="1" applyBorder="1" applyAlignment="1">
      <alignment vertical="center" wrapText="1"/>
    </xf>
    <xf numFmtId="42" fontId="81" fillId="0" borderId="1" xfId="5" applyFont="1" applyFill="1" applyBorder="1" applyAlignment="1">
      <alignment vertical="center" wrapText="1"/>
    </xf>
    <xf numFmtId="9" fontId="49" fillId="0" borderId="1" xfId="1" applyFont="1" applyFill="1" applyBorder="1" applyAlignment="1">
      <alignment vertical="center" wrapText="1"/>
    </xf>
    <xf numFmtId="10" fontId="49" fillId="0" borderId="1" xfId="0" applyNumberFormat="1" applyFont="1" applyFill="1" applyBorder="1" applyAlignment="1">
      <alignment vertical="center" wrapText="1"/>
    </xf>
    <xf numFmtId="0" fontId="49" fillId="0" borderId="4" xfId="0" applyFont="1" applyFill="1" applyBorder="1" applyAlignment="1">
      <alignment vertical="center" wrapText="1"/>
    </xf>
    <xf numFmtId="42" fontId="49" fillId="0" borderId="4" xfId="5" applyFont="1" applyFill="1" applyBorder="1" applyAlignment="1">
      <alignment horizontal="right" vertical="center" wrapText="1"/>
    </xf>
    <xf numFmtId="9" fontId="49" fillId="0" borderId="18" xfId="1" applyFont="1" applyFill="1" applyBorder="1" applyAlignment="1">
      <alignment vertical="center" wrapText="1"/>
    </xf>
    <xf numFmtId="42" fontId="49" fillId="0" borderId="18" xfId="5" applyFont="1" applyFill="1" applyBorder="1" applyAlignment="1">
      <alignment horizontal="right" vertical="center" wrapText="1"/>
    </xf>
    <xf numFmtId="42" fontId="49" fillId="0" borderId="1" xfId="5" applyFont="1" applyFill="1" applyBorder="1" applyAlignment="1">
      <alignment horizontal="justify" vertical="center"/>
    </xf>
    <xf numFmtId="1" fontId="81" fillId="0" borderId="1" xfId="5" applyNumberFormat="1" applyFont="1" applyFill="1" applyBorder="1" applyAlignment="1">
      <alignment horizontal="right" vertical="center"/>
    </xf>
    <xf numFmtId="42" fontId="81" fillId="0" borderId="1" xfId="0" applyNumberFormat="1" applyFont="1" applyFill="1" applyBorder="1" applyAlignment="1">
      <alignment horizontal="justify" vertical="center"/>
    </xf>
    <xf numFmtId="0" fontId="81" fillId="0" borderId="18" xfId="0" applyFont="1" applyFill="1" applyBorder="1" applyAlignment="1">
      <alignment horizontal="justify" vertical="center"/>
    </xf>
    <xf numFmtId="1" fontId="81" fillId="0" borderId="18" xfId="0" applyNumberFormat="1" applyFont="1" applyFill="1" applyBorder="1" applyAlignment="1">
      <alignment horizontal="justify" vertical="center"/>
    </xf>
    <xf numFmtId="0" fontId="81" fillId="0" borderId="18" xfId="0" applyFont="1" applyFill="1" applyBorder="1" applyAlignment="1">
      <alignment horizontal="justify" vertical="center"/>
    </xf>
    <xf numFmtId="42" fontId="81" fillId="0" borderId="18" xfId="0" applyNumberFormat="1" applyFont="1" applyFill="1" applyBorder="1" applyAlignment="1">
      <alignment horizontal="justify" vertical="center"/>
    </xf>
    <xf numFmtId="9" fontId="88" fillId="0" borderId="1" xfId="0" applyNumberFormat="1" applyFont="1" applyFill="1" applyBorder="1" applyAlignment="1">
      <alignment vertical="center" wrapText="1"/>
    </xf>
    <xf numFmtId="42" fontId="88" fillId="0" borderId="1" xfId="5" applyFont="1" applyFill="1" applyBorder="1" applyAlignment="1">
      <alignment vertical="center" wrapText="1"/>
    </xf>
    <xf numFmtId="0" fontId="88" fillId="0" borderId="0" xfId="0" applyFont="1" applyFill="1"/>
    <xf numFmtId="0" fontId="53" fillId="0" borderId="0" xfId="0" applyFont="1" applyAlignment="1">
      <alignment wrapText="1"/>
    </xf>
    <xf numFmtId="42" fontId="88" fillId="0" borderId="0" xfId="1" applyNumberFormat="1" applyFont="1" applyFill="1" applyBorder="1" applyAlignment="1">
      <alignment horizontal="right" vertical="center"/>
    </xf>
    <xf numFmtId="1" fontId="81" fillId="0" borderId="1" xfId="0" applyNumberFormat="1" applyFont="1" applyFill="1" applyBorder="1" applyAlignment="1">
      <alignment horizontal="justify" vertical="center" wrapText="1"/>
    </xf>
    <xf numFmtId="0" fontId="49" fillId="0" borderId="18" xfId="0" applyFont="1" applyFill="1" applyBorder="1" applyAlignment="1">
      <alignment horizontal="justify" vertical="center"/>
    </xf>
    <xf numFmtId="9" fontId="29" fillId="0" borderId="28" xfId="1" applyNumberFormat="1" applyFont="1" applyFill="1" applyBorder="1" applyAlignment="1">
      <alignment horizontal="justify" vertical="center"/>
    </xf>
    <xf numFmtId="9" fontId="29" fillId="0" borderId="1" xfId="1" applyNumberFormat="1" applyFont="1" applyFill="1" applyBorder="1" applyAlignment="1">
      <alignment horizontal="justify" vertical="center"/>
    </xf>
    <xf numFmtId="9" fontId="26" fillId="0" borderId="1" xfId="13" applyNumberFormat="1" applyFill="1" applyBorder="1" applyAlignment="1">
      <alignment horizontal="justify" vertical="center" wrapText="1"/>
    </xf>
    <xf numFmtId="9" fontId="87" fillId="0" borderId="1" xfId="1" applyFont="1" applyFill="1" applyBorder="1" applyAlignment="1">
      <alignment horizontal="justify" vertical="center" wrapText="1"/>
    </xf>
    <xf numFmtId="9" fontId="88" fillId="0" borderId="1" xfId="1" applyNumberFormat="1" applyFont="1" applyFill="1" applyBorder="1" applyAlignment="1">
      <alignment horizontal="justify" vertical="center"/>
    </xf>
    <xf numFmtId="173" fontId="81" fillId="0" borderId="1" xfId="1" applyNumberFormat="1" applyFont="1" applyFill="1" applyBorder="1" applyAlignment="1">
      <alignment horizontal="justify" vertical="center"/>
    </xf>
    <xf numFmtId="0" fontId="49" fillId="0" borderId="4" xfId="0" applyFont="1" applyFill="1" applyBorder="1" applyAlignment="1">
      <alignment horizontal="justify" vertical="center"/>
    </xf>
    <xf numFmtId="9" fontId="81" fillId="0" borderId="18" xfId="1" applyNumberFormat="1" applyFont="1" applyFill="1" applyBorder="1" applyAlignment="1">
      <alignment horizontal="justify" vertical="center"/>
    </xf>
    <xf numFmtId="9" fontId="88" fillId="0" borderId="18" xfId="1" applyNumberFormat="1" applyFont="1" applyFill="1" applyBorder="1" applyAlignment="1">
      <alignment horizontal="justify" vertical="center"/>
    </xf>
    <xf numFmtId="9" fontId="81" fillId="0" borderId="1" xfId="0" applyNumberFormat="1" applyFont="1" applyFill="1" applyBorder="1" applyAlignment="1">
      <alignment horizontal="left" vertical="center" wrapText="1"/>
    </xf>
    <xf numFmtId="0" fontId="81" fillId="0" borderId="1" xfId="0" applyFont="1" applyFill="1" applyBorder="1" applyAlignment="1">
      <alignment horizontal="left" vertical="center" wrapText="1"/>
    </xf>
    <xf numFmtId="0" fontId="0" fillId="0" borderId="1" xfId="0" applyFill="1" applyBorder="1" applyAlignment="1">
      <alignment horizontal="justify" vertical="center" wrapText="1"/>
    </xf>
    <xf numFmtId="0" fontId="6" fillId="0" borderId="0" xfId="0" applyFont="1" applyFill="1" applyAlignment="1">
      <alignment horizontal="center" vertical="center" wrapText="1"/>
    </xf>
    <xf numFmtId="42" fontId="81" fillId="0" borderId="28" xfId="5" applyFont="1" applyFill="1" applyBorder="1" applyAlignment="1">
      <alignment horizontal="center" vertical="center"/>
    </xf>
    <xf numFmtId="167" fontId="81" fillId="0" borderId="1" xfId="0" applyNumberFormat="1" applyFont="1" applyFill="1" applyBorder="1" applyAlignment="1">
      <alignment horizontal="center" vertical="center"/>
    </xf>
    <xf numFmtId="9" fontId="49" fillId="0" borderId="1" xfId="0" applyNumberFormat="1" applyFont="1" applyFill="1" applyBorder="1" applyAlignment="1">
      <alignment horizontal="center" vertical="center" wrapText="1"/>
    </xf>
    <xf numFmtId="0" fontId="0" fillId="0" borderId="0" xfId="0" applyFill="1" applyAlignment="1">
      <alignment horizontal="justify" vertical="center" wrapText="1"/>
    </xf>
    <xf numFmtId="1" fontId="6" fillId="0" borderId="1" xfId="0" applyNumberFormat="1" applyFont="1" applyFill="1" applyBorder="1" applyAlignment="1">
      <alignment horizontal="center" vertical="center" wrapText="1"/>
    </xf>
    <xf numFmtId="42" fontId="6" fillId="0" borderId="1" xfId="5" applyFont="1" applyFill="1" applyBorder="1" applyAlignment="1">
      <alignment horizontal="center" vertical="center" wrapText="1"/>
    </xf>
    <xf numFmtId="42" fontId="49" fillId="0" borderId="0" xfId="5" applyFont="1" applyFill="1" applyAlignment="1">
      <alignment horizontal="center" vertical="center" wrapText="1"/>
    </xf>
    <xf numFmtId="0" fontId="6" fillId="0" borderId="1" xfId="0" applyFont="1" applyFill="1" applyBorder="1" applyAlignment="1">
      <alignment horizontal="center" vertical="center" wrapText="1"/>
    </xf>
    <xf numFmtId="42" fontId="81" fillId="0" borderId="1" xfId="73" applyFont="1" applyFill="1" applyBorder="1" applyAlignment="1">
      <alignment horizontal="center" vertical="center"/>
    </xf>
    <xf numFmtId="9" fontId="6" fillId="0" borderId="1" xfId="1" applyFont="1" applyFill="1" applyBorder="1" applyAlignment="1">
      <alignment horizontal="center" vertical="center" wrapText="1"/>
    </xf>
    <xf numFmtId="1" fontId="6" fillId="0" borderId="1" xfId="1" applyNumberFormat="1" applyFont="1" applyFill="1" applyBorder="1" applyAlignment="1">
      <alignment horizontal="center" vertical="center" wrapText="1"/>
    </xf>
    <xf numFmtId="0" fontId="101" fillId="0" borderId="1" xfId="0" applyFont="1" applyFill="1" applyBorder="1" applyAlignment="1">
      <alignment horizontal="justify" vertical="center" wrapText="1"/>
    </xf>
    <xf numFmtId="42" fontId="6" fillId="0" borderId="0" xfId="5" applyFont="1" applyFill="1" applyAlignment="1">
      <alignment horizontal="center" vertical="center" wrapText="1"/>
    </xf>
    <xf numFmtId="169" fontId="49" fillId="0" borderId="1" xfId="3" applyNumberFormat="1" applyFont="1" applyFill="1" applyBorder="1" applyAlignment="1">
      <alignment horizontal="center" vertical="center" wrapText="1"/>
    </xf>
    <xf numFmtId="169" fontId="49" fillId="0" borderId="1" xfId="5" applyNumberFormat="1" applyFont="1" applyFill="1" applyBorder="1" applyAlignment="1">
      <alignment horizontal="center" vertical="center"/>
    </xf>
    <xf numFmtId="42" fontId="88" fillId="0" borderId="0" xfId="5" applyFont="1" applyFill="1" applyAlignment="1">
      <alignment vertical="center" wrapText="1"/>
    </xf>
    <xf numFmtId="42" fontId="49" fillId="0" borderId="4" xfId="5" applyFont="1" applyFill="1" applyBorder="1" applyAlignment="1">
      <alignment horizontal="center" vertical="center"/>
    </xf>
    <xf numFmtId="42" fontId="49" fillId="0" borderId="18" xfId="5" applyFont="1" applyFill="1" applyBorder="1" applyAlignment="1">
      <alignment horizontal="center" vertical="center"/>
    </xf>
    <xf numFmtId="42" fontId="49" fillId="0" borderId="17" xfId="5" applyFont="1" applyFill="1" applyBorder="1" applyAlignment="1">
      <alignment horizontal="center" vertical="center"/>
    </xf>
    <xf numFmtId="42" fontId="90" fillId="0" borderId="1" xfId="5" applyFont="1" applyFill="1" applyBorder="1" applyAlignment="1">
      <alignment horizontal="center" vertical="center"/>
    </xf>
    <xf numFmtId="42" fontId="49" fillId="0" borderId="1" xfId="5" applyFont="1" applyFill="1" applyBorder="1" applyAlignment="1">
      <alignment horizontal="center" vertical="center" wrapText="1"/>
    </xf>
    <xf numFmtId="9" fontId="81" fillId="0" borderId="4" xfId="1" applyFont="1" applyFill="1" applyBorder="1" applyAlignment="1">
      <alignment horizontal="center" vertical="center"/>
    </xf>
    <xf numFmtId="0" fontId="49" fillId="0" borderId="0" xfId="0" applyFont="1" applyFill="1" applyAlignment="1">
      <alignment horizontal="center" vertical="center" wrapText="1"/>
    </xf>
    <xf numFmtId="0" fontId="49" fillId="0" borderId="1" xfId="0" applyFont="1" applyFill="1" applyBorder="1" applyAlignment="1">
      <alignment horizontal="right" vertical="center" wrapText="1"/>
    </xf>
    <xf numFmtId="0" fontId="49" fillId="0" borderId="4" xfId="0" applyFont="1" applyFill="1" applyBorder="1" applyAlignment="1">
      <alignment horizontal="justify" vertical="center" wrapText="1"/>
    </xf>
    <xf numFmtId="42" fontId="49" fillId="0" borderId="1" xfId="0" applyNumberFormat="1" applyFont="1" applyFill="1" applyBorder="1" applyAlignment="1">
      <alignment horizontal="center" vertical="center"/>
    </xf>
  </cellXfs>
  <cellStyles count="83">
    <cellStyle name="20% - Énfasis1" xfId="44" builtinId="30" customBuiltin="1"/>
    <cellStyle name="20% - Énfasis2" xfId="48" builtinId="34" customBuiltin="1"/>
    <cellStyle name="20% - Énfasis3" xfId="52" builtinId="38" customBuiltin="1"/>
    <cellStyle name="20% - Énfasis4" xfId="56" builtinId="42" customBuiltin="1"/>
    <cellStyle name="20% - Énfasis5" xfId="60" builtinId="46" customBuiltin="1"/>
    <cellStyle name="20% - Énfasis6" xfId="64" builtinId="50" customBuiltin="1"/>
    <cellStyle name="40% - Énfasis1" xfId="45" builtinId="31" customBuiltin="1"/>
    <cellStyle name="40% - Énfasis2" xfId="49" builtinId="35" customBuiltin="1"/>
    <cellStyle name="40% - Énfasis3" xfId="53" builtinId="39" customBuiltin="1"/>
    <cellStyle name="40% - Énfasis4" xfId="57" builtinId="43" customBuiltin="1"/>
    <cellStyle name="40% - Énfasis5" xfId="61" builtinId="47" customBuiltin="1"/>
    <cellStyle name="40% - Énfasis6" xfId="65" builtinId="51" customBuiltin="1"/>
    <cellStyle name="60% - Énfasis1" xfId="46" builtinId="32" customBuiltin="1"/>
    <cellStyle name="60% - Énfasis2" xfId="50" builtinId="36" customBuiltin="1"/>
    <cellStyle name="60% - Énfasis3" xfId="54" builtinId="40" customBuiltin="1"/>
    <cellStyle name="60% - Énfasis4" xfId="58" builtinId="44" customBuiltin="1"/>
    <cellStyle name="60% - Énfasis5" xfId="62" builtinId="48" customBuiltin="1"/>
    <cellStyle name="60% - Énfasis6" xfId="66" builtinId="52" customBuiltin="1"/>
    <cellStyle name="Bueno" xfId="31" builtinId="26" customBuiltin="1"/>
    <cellStyle name="Cálculo" xfId="36" builtinId="22" customBuiltin="1"/>
    <cellStyle name="Celda de comprobación" xfId="38" builtinId="23" customBuiltin="1"/>
    <cellStyle name="Celda vinculada" xfId="37" builtinId="24" customBuiltin="1"/>
    <cellStyle name="Encabezado 1" xfId="27" builtinId="16" customBuiltin="1"/>
    <cellStyle name="Encabezado 4" xfId="30" builtinId="19" customBuiltin="1"/>
    <cellStyle name="Énfasis1" xfId="43" builtinId="29" customBuiltin="1"/>
    <cellStyle name="Énfasis2" xfId="47" builtinId="33" customBuiltin="1"/>
    <cellStyle name="Énfasis3" xfId="51" builtinId="37" customBuiltin="1"/>
    <cellStyle name="Énfasis4" xfId="55" builtinId="41" customBuiltin="1"/>
    <cellStyle name="Énfasis5" xfId="59" builtinId="45" customBuiltin="1"/>
    <cellStyle name="Énfasis6" xfId="63" builtinId="49" customBuiltin="1"/>
    <cellStyle name="Entrada" xfId="34" builtinId="20" customBuiltin="1"/>
    <cellStyle name="HeaderStyle" xfId="4" xr:uid="{00000000-0005-0000-0000-000000000000}"/>
    <cellStyle name="Hipervínculo" xfId="13" builtinId="8"/>
    <cellStyle name="Hipervínculo 2" xfId="11" xr:uid="{00000000-0005-0000-0000-000002000000}"/>
    <cellStyle name="Incorrecto" xfId="32" builtinId="27" customBuiltin="1"/>
    <cellStyle name="MainTitle" xfId="6" xr:uid="{00000000-0005-0000-0000-000003000000}"/>
    <cellStyle name="Millares [0]" xfId="3" builtinId="6"/>
    <cellStyle name="Millares [0] 2" xfId="10" xr:uid="{00000000-0005-0000-0000-000005000000}"/>
    <cellStyle name="Millares [0] 2 2" xfId="17" xr:uid="{00000000-0005-0000-0000-000005000000}"/>
    <cellStyle name="Millares [0] 2 2 2" xfId="75" xr:uid="{00000000-0005-0000-0000-000005000000}"/>
    <cellStyle name="Millares [0] 2 3" xfId="22" xr:uid="{00000000-0005-0000-0000-000005000000}"/>
    <cellStyle name="Millares [0] 2 3 2" xfId="80" xr:uid="{00000000-0005-0000-0000-000005000000}"/>
    <cellStyle name="Millares [0] 2 4" xfId="70" xr:uid="{00000000-0005-0000-0000-000005000000}"/>
    <cellStyle name="Millares [0] 3" xfId="14" xr:uid="{00000000-0005-0000-0000-00003A000000}"/>
    <cellStyle name="Millares [0] 3 2" xfId="72" xr:uid="{00000000-0005-0000-0000-00003A000000}"/>
    <cellStyle name="Millares [0] 4" xfId="19" xr:uid="{00000000-0005-0000-0000-00003F000000}"/>
    <cellStyle name="Millares [0] 4 2" xfId="77" xr:uid="{00000000-0005-0000-0000-00003F000000}"/>
    <cellStyle name="Millares [0] 5" xfId="24" xr:uid="{00000000-0005-0000-0000-000044000000}"/>
    <cellStyle name="Millares [0] 5 2" xfId="82" xr:uid="{00000000-0005-0000-0000-000044000000}"/>
    <cellStyle name="Millares [0] 6" xfId="67" xr:uid="{00000000-0005-0000-0000-000046000000}"/>
    <cellStyle name="Millares 2" xfId="12" xr:uid="{00000000-0005-0000-0000-000006000000}"/>
    <cellStyle name="Millares 2 2" xfId="18" xr:uid="{00000000-0005-0000-0000-000006000000}"/>
    <cellStyle name="Millares 2 2 2" xfId="76" xr:uid="{00000000-0005-0000-0000-000006000000}"/>
    <cellStyle name="Millares 2 3" xfId="23" xr:uid="{00000000-0005-0000-0000-000006000000}"/>
    <cellStyle name="Millares 2 3 2" xfId="81" xr:uid="{00000000-0005-0000-0000-000006000000}"/>
    <cellStyle name="Millares 2 4" xfId="71" xr:uid="{00000000-0005-0000-0000-000006000000}"/>
    <cellStyle name="Moneda [0]" xfId="5" builtinId="7"/>
    <cellStyle name="Moneda [0] 2" xfId="9" xr:uid="{00000000-0005-0000-0000-000008000000}"/>
    <cellStyle name="Moneda [0] 2 2" xfId="16" xr:uid="{00000000-0005-0000-0000-000008000000}"/>
    <cellStyle name="Moneda [0] 2 2 2" xfId="74" xr:uid="{00000000-0005-0000-0000-000008000000}"/>
    <cellStyle name="Moneda [0] 2 3" xfId="21" xr:uid="{00000000-0005-0000-0000-000008000000}"/>
    <cellStyle name="Moneda [0] 2 3 2" xfId="79" xr:uid="{00000000-0005-0000-0000-000008000000}"/>
    <cellStyle name="Moneda [0] 2 4" xfId="69" xr:uid="{00000000-0005-0000-0000-000008000000}"/>
    <cellStyle name="Moneda [0] 3" xfId="15" xr:uid="{00000000-0005-0000-0000-00003D000000}"/>
    <cellStyle name="Moneda [0] 3 2" xfId="73" xr:uid="{00000000-0005-0000-0000-00003D000000}"/>
    <cellStyle name="Moneda [0] 4" xfId="20" xr:uid="{00000000-0005-0000-0000-000042000000}"/>
    <cellStyle name="Moneda [0] 4 2" xfId="78" xr:uid="{00000000-0005-0000-0000-000042000000}"/>
    <cellStyle name="Moneda [0] 5" xfId="68" xr:uid="{00000000-0005-0000-0000-000050000000}"/>
    <cellStyle name="Moneda 2" xfId="8" xr:uid="{00000000-0005-0000-0000-000009000000}"/>
    <cellStyle name="Neutral" xfId="33" builtinId="28" customBuiltin="1"/>
    <cellStyle name="Normal" xfId="0" builtinId="0"/>
    <cellStyle name="Normal 10 2" xfId="25" xr:uid="{00000000-0005-0000-0000-000045000000}"/>
    <cellStyle name="Normal 2" xfId="2" xr:uid="{00000000-0005-0000-0000-00000B000000}"/>
    <cellStyle name="Normal 3" xfId="7" xr:uid="{00000000-0005-0000-0000-00000C000000}"/>
    <cellStyle name="Notas" xfId="40" builtinId="10" customBuiltin="1"/>
    <cellStyle name="Porcentaje" xfId="1" builtinId="5"/>
    <cellStyle name="Salida" xfId="35" builtinId="21" customBuiltin="1"/>
    <cellStyle name="Texto de advertencia" xfId="39" builtinId="11" customBuiltin="1"/>
    <cellStyle name="Texto explicativo" xfId="41" builtinId="53" customBuiltin="1"/>
    <cellStyle name="Título" xfId="26" builtinId="15" customBuiltin="1"/>
    <cellStyle name="Título 2" xfId="28" builtinId="17" customBuiltin="1"/>
    <cellStyle name="Título 3" xfId="29" builtinId="18" customBuiltin="1"/>
    <cellStyle name="Total" xfId="42" builtinId="25" customBuiltin="1"/>
  </cellStyles>
  <dxfs count="18732">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rgb="FF9C0006"/>
      </font>
      <fill>
        <patternFill>
          <bgColor rgb="FFFFC7CE"/>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auto="1"/>
      </font>
      <numFmt numFmtId="13" formatCode="0%"/>
      <fill>
        <patternFill>
          <bgColor theme="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auto="1"/>
      </font>
      <numFmt numFmtId="13" formatCode="0%"/>
      <fill>
        <patternFill>
          <bgColor theme="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s>
  <tableStyles count="0" defaultTableStyle="TableStyleMedium2" defaultPivotStyle="PivotStyleLight16"/>
  <colors>
    <mruColors>
      <color rgb="FF175099"/>
      <color rgb="FF33569D"/>
      <color rgb="FF00ACCA"/>
      <color rgb="FF1519AB"/>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styles" Target="styles.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pivotCacheDefinition" Target="pivotCache/pivotCacheDefinition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gif"/><Relationship Id="rId13" Type="http://schemas.openxmlformats.org/officeDocument/2006/relationships/image" Target="../media/image9.png"/><Relationship Id="rId3" Type="http://schemas.openxmlformats.org/officeDocument/2006/relationships/hyperlink" Target="https://es.wikipedia.org/wiki/Perspectiva_c%C3%B3nica" TargetMode="External"/><Relationship Id="rId7" Type="http://schemas.openxmlformats.org/officeDocument/2006/relationships/hyperlink" Target="#'Cumplimiento Dependencias'!A1"/><Relationship Id="rId12" Type="http://schemas.openxmlformats.org/officeDocument/2006/relationships/hyperlink" Target="http://nancynwilson.com/building-an-online-business-2/" TargetMode="External"/><Relationship Id="rId2" Type="http://schemas.openxmlformats.org/officeDocument/2006/relationships/image" Target="../media/image5.png"/><Relationship Id="rId1" Type="http://schemas.openxmlformats.org/officeDocument/2006/relationships/hyperlink" Target="#'Cumplimiento perspectivas conso'!A1"/><Relationship Id="rId6" Type="http://schemas.openxmlformats.org/officeDocument/2006/relationships/hyperlink" Target="http://www.gazetadebeirute.com/2013/05/qual-o-seu-objetivo.html" TargetMode="External"/><Relationship Id="rId11" Type="http://schemas.openxmlformats.org/officeDocument/2006/relationships/image" Target="../media/image8.jpeg"/><Relationship Id="rId5" Type="http://schemas.openxmlformats.org/officeDocument/2006/relationships/image" Target="../media/image6.gif"/><Relationship Id="rId15" Type="http://schemas.openxmlformats.org/officeDocument/2006/relationships/image" Target="../media/image11.png"/><Relationship Id="rId10" Type="http://schemas.openxmlformats.org/officeDocument/2006/relationships/hyperlink" Target="#'Cuadro Mando Integral Detallado'!A1"/><Relationship Id="rId4" Type="http://schemas.openxmlformats.org/officeDocument/2006/relationships/hyperlink" Target="#'Cumplimiento de objetivos'!A1"/><Relationship Id="rId9" Type="http://schemas.openxmlformats.org/officeDocument/2006/relationships/hyperlink" Target="http://confesionesdemau.blogspot.com/2013/08/clases-de-personas.html" TargetMode="External"/><Relationship Id="rId1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476250</xdr:colOff>
      <xdr:row>0</xdr:row>
      <xdr:rowOff>76200</xdr:rowOff>
    </xdr:from>
    <xdr:to>
      <xdr:col>1</xdr:col>
      <xdr:colOff>1000125</xdr:colOff>
      <xdr:row>3</xdr:row>
      <xdr:rowOff>123825</xdr:rowOff>
    </xdr:to>
    <xdr:pic>
      <xdr:nvPicPr>
        <xdr:cNvPr id="2" name="Imagen 1" descr="image001 (1)">
          <a:extLst>
            <a:ext uri="{FF2B5EF4-FFF2-40B4-BE49-F238E27FC236}">
              <a16:creationId xmlns:a16="http://schemas.microsoft.com/office/drawing/2014/main" id="{50B77DBB-3ED8-4701-B926-0CA682BFE2F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3710"/>
        <a:stretch/>
      </xdr:blipFill>
      <xdr:spPr bwMode="auto">
        <a:xfrm>
          <a:off x="476250" y="76200"/>
          <a:ext cx="12858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1009649</xdr:colOff>
      <xdr:row>0</xdr:row>
      <xdr:rowOff>85725</xdr:rowOff>
    </xdr:from>
    <xdr:to>
      <xdr:col>2</xdr:col>
      <xdr:colOff>504824</xdr:colOff>
      <xdr:row>3</xdr:row>
      <xdr:rowOff>133350</xdr:rowOff>
    </xdr:to>
    <xdr:pic>
      <xdr:nvPicPr>
        <xdr:cNvPr id="3" name="Imagen 1" descr="image001 (1)">
          <a:extLst>
            <a:ext uri="{FF2B5EF4-FFF2-40B4-BE49-F238E27FC236}">
              <a16:creationId xmlns:a16="http://schemas.microsoft.com/office/drawing/2014/main" id="{7F071E6B-BD39-4E06-9A59-DCD0299FB7C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2312"/>
        <a:stretch/>
      </xdr:blipFill>
      <xdr:spPr bwMode="auto">
        <a:xfrm>
          <a:off x="1771649" y="85725"/>
          <a:ext cx="18669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3" name="Imagen 2">
          <a:extLst>
            <a:ext uri="{FF2B5EF4-FFF2-40B4-BE49-F238E27FC236}">
              <a16:creationId xmlns:a16="http://schemas.microsoft.com/office/drawing/2014/main" id="{2F1E7E94-55B1-4CC5-A7CD-91EEFC16130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364331</xdr:colOff>
      <xdr:row>0</xdr:row>
      <xdr:rowOff>154781</xdr:rowOff>
    </xdr:from>
    <xdr:ext cx="1516855" cy="250031"/>
    <xdr:pic>
      <xdr:nvPicPr>
        <xdr:cNvPr id="4" name="Imagen 3" descr="Image result for LOGO MINSALUD">
          <a:extLst>
            <a:ext uri="{FF2B5EF4-FFF2-40B4-BE49-F238E27FC236}">
              <a16:creationId xmlns:a16="http://schemas.microsoft.com/office/drawing/2014/main" id="{6B6D1ABB-6E50-40D0-9E87-C3EAB355B9A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9581" y="154781"/>
          <a:ext cx="1516855" cy="250031"/>
        </a:xfrm>
        <a:prstGeom prst="rect">
          <a:avLst/>
        </a:prstGeom>
        <a:noFill/>
        <a:ln>
          <a:noFill/>
        </a:ln>
      </xdr:spPr>
    </xdr:pic>
    <xdr:clientData/>
  </xdr:oneCellAnchor>
  <xdr:oneCellAnchor>
    <xdr:from>
      <xdr:col>47</xdr:col>
      <xdr:colOff>428626</xdr:colOff>
      <xdr:row>0</xdr:row>
      <xdr:rowOff>127905</xdr:rowOff>
    </xdr:from>
    <xdr:ext cx="1826422" cy="288814"/>
    <xdr:pic>
      <xdr:nvPicPr>
        <xdr:cNvPr id="5" name="Imagen 4" descr="Image result for LOGO GOBIERNO DE COLOMBIA">
          <a:extLst>
            <a:ext uri="{FF2B5EF4-FFF2-40B4-BE49-F238E27FC236}">
              <a16:creationId xmlns:a16="http://schemas.microsoft.com/office/drawing/2014/main" id="{066CA37E-D1DE-4AD7-AA85-1EB499E0778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98001" y="127905"/>
          <a:ext cx="1826422" cy="288814"/>
        </a:xfrm>
        <a:prstGeom prst="rect">
          <a:avLst/>
        </a:prstGeom>
        <a:noFill/>
        <a:ln>
          <a:noFill/>
        </a:ln>
      </xdr:spPr>
    </xdr:pic>
    <xdr:clientData/>
  </xdr:oneCellAnchor>
  <xdr:twoCellAnchor editAs="oneCell">
    <xdr:from>
      <xdr:col>2</xdr:col>
      <xdr:colOff>0</xdr:colOff>
      <xdr:row>16</xdr:row>
      <xdr:rowOff>0</xdr:rowOff>
    </xdr:from>
    <xdr:to>
      <xdr:col>8</xdr:col>
      <xdr:colOff>1028699</xdr:colOff>
      <xdr:row>26</xdr:row>
      <xdr:rowOff>100313</xdr:rowOff>
    </xdr:to>
    <xdr:pic>
      <xdr:nvPicPr>
        <xdr:cNvPr id="6" name="Imagen 5">
          <a:extLst>
            <a:ext uri="{FF2B5EF4-FFF2-40B4-BE49-F238E27FC236}">
              <a16:creationId xmlns:a16="http://schemas.microsoft.com/office/drawing/2014/main" id="{2818D3ED-DD09-4E82-A58F-29D0ED3ABB3A}"/>
            </a:ext>
          </a:extLst>
        </xdr:cNvPr>
        <xdr:cNvPicPr>
          <a:picLocks noChangeAspect="1"/>
        </xdr:cNvPicPr>
      </xdr:nvPicPr>
      <xdr:blipFill>
        <a:blip xmlns:r="http://schemas.openxmlformats.org/officeDocument/2006/relationships" r:embed="rId4"/>
        <a:stretch>
          <a:fillRect/>
        </a:stretch>
      </xdr:blipFill>
      <xdr:spPr>
        <a:xfrm>
          <a:off x="3417094" y="5595938"/>
          <a:ext cx="3552824" cy="2005313"/>
        </a:xfrm>
        <a:prstGeom prst="rect">
          <a:avLst/>
        </a:prstGeom>
      </xdr:spPr>
    </xdr:pic>
    <xdr:clientData/>
  </xdr:twoCellAnchor>
  <xdr:twoCellAnchor editAs="oneCell">
    <xdr:from>
      <xdr:col>8</xdr:col>
      <xdr:colOff>1245393</xdr:colOff>
      <xdr:row>16</xdr:row>
      <xdr:rowOff>0</xdr:rowOff>
    </xdr:from>
    <xdr:to>
      <xdr:col>18</xdr:col>
      <xdr:colOff>109537</xdr:colOff>
      <xdr:row>26</xdr:row>
      <xdr:rowOff>100313</xdr:rowOff>
    </xdr:to>
    <xdr:pic>
      <xdr:nvPicPr>
        <xdr:cNvPr id="7" name="Imagen 6">
          <a:extLst>
            <a:ext uri="{FF2B5EF4-FFF2-40B4-BE49-F238E27FC236}">
              <a16:creationId xmlns:a16="http://schemas.microsoft.com/office/drawing/2014/main" id="{81593F59-DA17-45CE-A972-A5E09482AF64}"/>
            </a:ext>
          </a:extLst>
        </xdr:cNvPr>
        <xdr:cNvPicPr>
          <a:picLocks noChangeAspect="1"/>
        </xdr:cNvPicPr>
      </xdr:nvPicPr>
      <xdr:blipFill>
        <a:blip xmlns:r="http://schemas.openxmlformats.org/officeDocument/2006/relationships" r:embed="rId5"/>
        <a:stretch>
          <a:fillRect/>
        </a:stretch>
      </xdr:blipFill>
      <xdr:spPr>
        <a:xfrm>
          <a:off x="7186612" y="5512594"/>
          <a:ext cx="3448050" cy="200531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73BF7EDB-462F-4F14-B098-F89D790A6A0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364331</xdr:colOff>
      <xdr:row>0</xdr:row>
      <xdr:rowOff>154781</xdr:rowOff>
    </xdr:from>
    <xdr:ext cx="1516855" cy="250031"/>
    <xdr:pic>
      <xdr:nvPicPr>
        <xdr:cNvPr id="3" name="Imagen 2" descr="Image result for LOGO MINSALUD">
          <a:extLst>
            <a:ext uri="{FF2B5EF4-FFF2-40B4-BE49-F238E27FC236}">
              <a16:creationId xmlns:a16="http://schemas.microsoft.com/office/drawing/2014/main" id="{C6E8FBFD-C370-426B-99A6-2ACD5277A86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385131" y="154781"/>
          <a:ext cx="1516855" cy="250031"/>
        </a:xfrm>
        <a:prstGeom prst="rect">
          <a:avLst/>
        </a:prstGeom>
        <a:noFill/>
        <a:ln>
          <a:noFill/>
        </a:ln>
      </xdr:spPr>
    </xdr:pic>
    <xdr:clientData/>
  </xdr:oneCellAnchor>
  <xdr:oneCellAnchor>
    <xdr:from>
      <xdr:col>50</xdr:col>
      <xdr:colOff>428626</xdr:colOff>
      <xdr:row>0</xdr:row>
      <xdr:rowOff>127905</xdr:rowOff>
    </xdr:from>
    <xdr:ext cx="1826422" cy="288814"/>
    <xdr:pic>
      <xdr:nvPicPr>
        <xdr:cNvPr id="4" name="Imagen 3" descr="Image result for LOGO GOBIERNO DE COLOMBIA">
          <a:extLst>
            <a:ext uri="{FF2B5EF4-FFF2-40B4-BE49-F238E27FC236}">
              <a16:creationId xmlns:a16="http://schemas.microsoft.com/office/drawing/2014/main" id="{C1A11F17-E052-4BB5-B840-89EE14BBDF6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992601" y="127905"/>
          <a:ext cx="1826422" cy="288814"/>
        </a:xfrm>
        <a:prstGeom prst="rect">
          <a:avLst/>
        </a:prstGeom>
        <a:noFill/>
        <a:ln>
          <a:noFill/>
        </a:ln>
      </xdr:spPr>
    </xdr:pic>
    <xdr:clientData/>
  </xdr:oneCellAnchor>
  <xdr:twoCellAnchor editAs="oneCell">
    <xdr:from>
      <xdr:col>30</xdr:col>
      <xdr:colOff>166686</xdr:colOff>
      <xdr:row>15</xdr:row>
      <xdr:rowOff>107156</xdr:rowOff>
    </xdr:from>
    <xdr:to>
      <xdr:col>37</xdr:col>
      <xdr:colOff>635791</xdr:colOff>
      <xdr:row>26</xdr:row>
      <xdr:rowOff>16969</xdr:rowOff>
    </xdr:to>
    <xdr:pic>
      <xdr:nvPicPr>
        <xdr:cNvPr id="5" name="Imagen 4">
          <a:extLst>
            <a:ext uri="{FF2B5EF4-FFF2-40B4-BE49-F238E27FC236}">
              <a16:creationId xmlns:a16="http://schemas.microsoft.com/office/drawing/2014/main" id="{B3F4BDEC-A05F-4045-9DEF-0F6506FB557C}"/>
            </a:ext>
          </a:extLst>
        </xdr:cNvPr>
        <xdr:cNvPicPr>
          <a:picLocks noChangeAspect="1"/>
        </xdr:cNvPicPr>
      </xdr:nvPicPr>
      <xdr:blipFill>
        <a:blip xmlns:r="http://schemas.openxmlformats.org/officeDocument/2006/relationships" r:embed="rId4"/>
        <a:stretch>
          <a:fillRect/>
        </a:stretch>
      </xdr:blipFill>
      <xdr:spPr>
        <a:xfrm>
          <a:off x="13644561" y="5429250"/>
          <a:ext cx="3552824" cy="2005313"/>
        </a:xfrm>
        <a:prstGeom prst="rect">
          <a:avLst/>
        </a:prstGeom>
      </xdr:spPr>
    </xdr:pic>
    <xdr:clientData/>
  </xdr:twoCellAnchor>
  <xdr:twoCellAnchor editAs="oneCell">
    <xdr:from>
      <xdr:col>40</xdr:col>
      <xdr:colOff>57147</xdr:colOff>
      <xdr:row>15</xdr:row>
      <xdr:rowOff>107156</xdr:rowOff>
    </xdr:from>
    <xdr:to>
      <xdr:col>50</xdr:col>
      <xdr:colOff>814384</xdr:colOff>
      <xdr:row>26</xdr:row>
      <xdr:rowOff>16969</xdr:rowOff>
    </xdr:to>
    <xdr:pic>
      <xdr:nvPicPr>
        <xdr:cNvPr id="6" name="Imagen 5">
          <a:extLst>
            <a:ext uri="{FF2B5EF4-FFF2-40B4-BE49-F238E27FC236}">
              <a16:creationId xmlns:a16="http://schemas.microsoft.com/office/drawing/2014/main" id="{C0AADEC4-60AC-4AE1-B594-F7512A203654}"/>
            </a:ext>
          </a:extLst>
        </xdr:cNvPr>
        <xdr:cNvPicPr>
          <a:picLocks noChangeAspect="1"/>
        </xdr:cNvPicPr>
      </xdr:nvPicPr>
      <xdr:blipFill>
        <a:blip xmlns:r="http://schemas.openxmlformats.org/officeDocument/2006/relationships" r:embed="rId5"/>
        <a:stretch>
          <a:fillRect/>
        </a:stretch>
      </xdr:blipFill>
      <xdr:spPr>
        <a:xfrm>
          <a:off x="17392647" y="5429250"/>
          <a:ext cx="3448050" cy="200531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1128032</xdr:colOff>
      <xdr:row>0</xdr:row>
      <xdr:rowOff>69273</xdr:rowOff>
    </xdr:from>
    <xdr:to>
      <xdr:col>2</xdr:col>
      <xdr:colOff>1469571</xdr:colOff>
      <xdr:row>2</xdr:row>
      <xdr:rowOff>310736</xdr:rowOff>
    </xdr:to>
    <xdr:pic>
      <xdr:nvPicPr>
        <xdr:cNvPr id="2" name="Imagen 1">
          <a:extLst>
            <a:ext uri="{FF2B5EF4-FFF2-40B4-BE49-F238E27FC236}">
              <a16:creationId xmlns:a16="http://schemas.microsoft.com/office/drawing/2014/main" id="{FB117E09-F35A-4CC1-8D4C-B4B75F6F53C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1941" y="69273"/>
          <a:ext cx="1830903" cy="882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360963</xdr:colOff>
      <xdr:row>0</xdr:row>
      <xdr:rowOff>205837</xdr:rowOff>
    </xdr:from>
    <xdr:to>
      <xdr:col>19</xdr:col>
      <xdr:colOff>151412</xdr:colOff>
      <xdr:row>2</xdr:row>
      <xdr:rowOff>109598</xdr:rowOff>
    </xdr:to>
    <xdr:pic>
      <xdr:nvPicPr>
        <xdr:cNvPr id="3" name="Imagen 2" descr="Image result for LOGO MINSALUD">
          <a:extLst>
            <a:ext uri="{FF2B5EF4-FFF2-40B4-BE49-F238E27FC236}">
              <a16:creationId xmlns:a16="http://schemas.microsoft.com/office/drawing/2014/main" id="{F7F776E3-0823-4C45-83E2-E81751B8699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28236" y="205837"/>
          <a:ext cx="2041812" cy="544534"/>
        </a:xfrm>
        <a:prstGeom prst="rect">
          <a:avLst/>
        </a:prstGeom>
        <a:noFill/>
        <a:ln>
          <a:noFill/>
        </a:ln>
      </xdr:spPr>
    </xdr:pic>
    <xdr:clientData/>
  </xdr:twoCellAnchor>
  <xdr:twoCellAnchor editAs="oneCell">
    <xdr:from>
      <xdr:col>19</xdr:col>
      <xdr:colOff>801088</xdr:colOff>
      <xdr:row>0</xdr:row>
      <xdr:rowOff>193931</xdr:rowOff>
    </xdr:from>
    <xdr:to>
      <xdr:col>21</xdr:col>
      <xdr:colOff>988866</xdr:colOff>
      <xdr:row>2</xdr:row>
      <xdr:rowOff>109598</xdr:rowOff>
    </xdr:to>
    <xdr:pic>
      <xdr:nvPicPr>
        <xdr:cNvPr id="4" name="Imagen 3" descr="Image result for LOGO GOBIERNO DE COLOMBIA">
          <a:extLst>
            <a:ext uri="{FF2B5EF4-FFF2-40B4-BE49-F238E27FC236}">
              <a16:creationId xmlns:a16="http://schemas.microsoft.com/office/drawing/2014/main" id="{22C87A76-9416-47B2-930E-1EFB0B0A76E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219724" y="193931"/>
          <a:ext cx="2110097" cy="55644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149679</xdr:colOff>
      <xdr:row>1</xdr:row>
      <xdr:rowOff>8165</xdr:rowOff>
    </xdr:from>
    <xdr:to>
      <xdr:col>1</xdr:col>
      <xdr:colOff>673554</xdr:colOff>
      <xdr:row>4</xdr:row>
      <xdr:rowOff>55790</xdr:rowOff>
    </xdr:to>
    <xdr:pic>
      <xdr:nvPicPr>
        <xdr:cNvPr id="2" name="Imagen 1" descr="image001 (1)">
          <a:extLst>
            <a:ext uri="{FF2B5EF4-FFF2-40B4-BE49-F238E27FC236}">
              <a16:creationId xmlns:a16="http://schemas.microsoft.com/office/drawing/2014/main" id="{7E741173-DD78-452E-AD0A-B455E7A0026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3710"/>
        <a:stretch/>
      </xdr:blipFill>
      <xdr:spPr bwMode="auto">
        <a:xfrm>
          <a:off x="149679" y="198665"/>
          <a:ext cx="2076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230716</xdr:colOff>
      <xdr:row>0</xdr:row>
      <xdr:rowOff>0</xdr:rowOff>
    </xdr:from>
    <xdr:to>
      <xdr:col>1</xdr:col>
      <xdr:colOff>1365250</xdr:colOff>
      <xdr:row>2</xdr:row>
      <xdr:rowOff>264583</xdr:rowOff>
    </xdr:to>
    <xdr:pic>
      <xdr:nvPicPr>
        <xdr:cNvPr id="3" name="Imagen 2">
          <a:extLst>
            <a:ext uri="{FF2B5EF4-FFF2-40B4-BE49-F238E27FC236}">
              <a16:creationId xmlns:a16="http://schemas.microsoft.com/office/drawing/2014/main" id="{2E1BF261-DB3C-45A2-8518-062B61C879F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716" y="0"/>
          <a:ext cx="199178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67</xdr:col>
      <xdr:colOff>260350</xdr:colOff>
      <xdr:row>0</xdr:row>
      <xdr:rowOff>114298</xdr:rowOff>
    </xdr:from>
    <xdr:to>
      <xdr:col>69</xdr:col>
      <xdr:colOff>329406</xdr:colOff>
      <xdr:row>2</xdr:row>
      <xdr:rowOff>76199</xdr:rowOff>
    </xdr:to>
    <xdr:pic>
      <xdr:nvPicPr>
        <xdr:cNvPr id="4" name="Imagen 3" descr="Image result for LOGO MINSALUD">
          <a:extLst>
            <a:ext uri="{FF2B5EF4-FFF2-40B4-BE49-F238E27FC236}">
              <a16:creationId xmlns:a16="http://schemas.microsoft.com/office/drawing/2014/main" id="{AFF93AD1-46DC-4C46-96F8-2163A16CA48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525600" y="114298"/>
          <a:ext cx="2015066" cy="554568"/>
        </a:xfrm>
        <a:prstGeom prst="rect">
          <a:avLst/>
        </a:prstGeom>
        <a:noFill/>
        <a:ln>
          <a:noFill/>
        </a:ln>
      </xdr:spPr>
    </xdr:pic>
    <xdr:clientData/>
  </xdr:twoCellAnchor>
  <xdr:twoCellAnchor editAs="oneCell">
    <xdr:from>
      <xdr:col>69</xdr:col>
      <xdr:colOff>652992</xdr:colOff>
      <xdr:row>0</xdr:row>
      <xdr:rowOff>112976</xdr:rowOff>
    </xdr:from>
    <xdr:to>
      <xdr:col>71</xdr:col>
      <xdr:colOff>820474</xdr:colOff>
      <xdr:row>2</xdr:row>
      <xdr:rowOff>86783</xdr:rowOff>
    </xdr:to>
    <xdr:pic>
      <xdr:nvPicPr>
        <xdr:cNvPr id="5" name="Imagen 4" descr="Image result for LOGO GOBIERNO DE COLOMBIA">
          <a:extLst>
            <a:ext uri="{FF2B5EF4-FFF2-40B4-BE49-F238E27FC236}">
              <a16:creationId xmlns:a16="http://schemas.microsoft.com/office/drawing/2014/main" id="{5FED1BC7-6A3B-43AF-A5D4-D37372F0FF1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876159" y="112976"/>
          <a:ext cx="2113491" cy="56647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5</xdr:row>
      <xdr:rowOff>76201</xdr:rowOff>
    </xdr:from>
    <xdr:to>
      <xdr:col>1</xdr:col>
      <xdr:colOff>455791</xdr:colOff>
      <xdr:row>9</xdr:row>
      <xdr:rowOff>85725</xdr:rowOff>
    </xdr:to>
    <xdr:pic>
      <xdr:nvPicPr>
        <xdr:cNvPr id="3" name="Imagen 2">
          <a:hlinkClick xmlns:r="http://schemas.openxmlformats.org/officeDocument/2006/relationships" r:id="rId1"/>
          <a:extLst>
            <a:ext uri="{FF2B5EF4-FFF2-40B4-BE49-F238E27FC236}">
              <a16:creationId xmlns:a16="http://schemas.microsoft.com/office/drawing/2014/main" id="{AC8C6BAF-174F-48E8-A8B3-02EA11BE7E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r:id="rId3"/>
            </a:ext>
          </a:extLst>
        </a:blip>
        <a:stretch>
          <a:fillRect/>
        </a:stretch>
      </xdr:blipFill>
      <xdr:spPr>
        <a:xfrm>
          <a:off x="114300" y="457201"/>
          <a:ext cx="1103491" cy="771524"/>
        </a:xfrm>
        <a:prstGeom prst="rect">
          <a:avLst/>
        </a:prstGeom>
      </xdr:spPr>
    </xdr:pic>
    <xdr:clientData/>
  </xdr:twoCellAnchor>
  <xdr:twoCellAnchor editAs="oneCell">
    <xdr:from>
      <xdr:col>0</xdr:col>
      <xdr:colOff>28576</xdr:colOff>
      <xdr:row>10</xdr:row>
      <xdr:rowOff>66676</xdr:rowOff>
    </xdr:from>
    <xdr:to>
      <xdr:col>1</xdr:col>
      <xdr:colOff>392608</xdr:colOff>
      <xdr:row>15</xdr:row>
      <xdr:rowOff>38100</xdr:rowOff>
    </xdr:to>
    <xdr:pic>
      <xdr:nvPicPr>
        <xdr:cNvPr id="6" name="Imagen 5">
          <a:hlinkClick xmlns:r="http://schemas.openxmlformats.org/officeDocument/2006/relationships" r:id="rId4"/>
          <a:extLst>
            <a:ext uri="{FF2B5EF4-FFF2-40B4-BE49-F238E27FC236}">
              <a16:creationId xmlns:a16="http://schemas.microsoft.com/office/drawing/2014/main" id="{A7B7EBD0-D844-4A86-84BD-F18D901643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a:off x="28576" y="1400176"/>
          <a:ext cx="1126032" cy="923924"/>
        </a:xfrm>
        <a:prstGeom prst="rect">
          <a:avLst/>
        </a:prstGeom>
      </xdr:spPr>
    </xdr:pic>
    <xdr:clientData/>
  </xdr:twoCellAnchor>
  <xdr:twoCellAnchor editAs="oneCell">
    <xdr:from>
      <xdr:col>0</xdr:col>
      <xdr:colOff>0</xdr:colOff>
      <xdr:row>16</xdr:row>
      <xdr:rowOff>49529</xdr:rowOff>
    </xdr:from>
    <xdr:to>
      <xdr:col>1</xdr:col>
      <xdr:colOff>561975</xdr:colOff>
      <xdr:row>20</xdr:row>
      <xdr:rowOff>81914</xdr:rowOff>
    </xdr:to>
    <xdr:pic>
      <xdr:nvPicPr>
        <xdr:cNvPr id="15" name="Imagen 14">
          <a:hlinkClick xmlns:r="http://schemas.openxmlformats.org/officeDocument/2006/relationships" r:id="rId7"/>
          <a:extLst>
            <a:ext uri="{FF2B5EF4-FFF2-40B4-BE49-F238E27FC236}">
              <a16:creationId xmlns:a16="http://schemas.microsoft.com/office/drawing/2014/main" id="{A5F8583F-3E01-45E7-9AAF-07FF5992080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837473B0-CC2E-450A-ABE3-18F120FF3D39}">
              <a1611:picAttrSrcUrl xmlns:a1611="http://schemas.microsoft.com/office/drawing/2016/11/main" r:id="rId9"/>
            </a:ext>
          </a:extLst>
        </a:blip>
        <a:stretch>
          <a:fillRect/>
        </a:stretch>
      </xdr:blipFill>
      <xdr:spPr>
        <a:xfrm>
          <a:off x="0" y="3859529"/>
          <a:ext cx="1323975" cy="794385"/>
        </a:xfrm>
        <a:prstGeom prst="rect">
          <a:avLst/>
        </a:prstGeom>
      </xdr:spPr>
    </xdr:pic>
    <xdr:clientData/>
  </xdr:twoCellAnchor>
  <xdr:twoCellAnchor editAs="oneCell">
    <xdr:from>
      <xdr:col>8</xdr:col>
      <xdr:colOff>514350</xdr:colOff>
      <xdr:row>4</xdr:row>
      <xdr:rowOff>104775</xdr:rowOff>
    </xdr:from>
    <xdr:to>
      <xdr:col>10</xdr:col>
      <xdr:colOff>153789</xdr:colOff>
      <xdr:row>9</xdr:row>
      <xdr:rowOff>103250</xdr:rowOff>
    </xdr:to>
    <xdr:pic>
      <xdr:nvPicPr>
        <xdr:cNvPr id="20" name="Imagen 19">
          <a:hlinkClick xmlns:r="http://schemas.openxmlformats.org/officeDocument/2006/relationships" r:id="rId10"/>
          <a:extLst>
            <a:ext uri="{FF2B5EF4-FFF2-40B4-BE49-F238E27FC236}">
              <a16:creationId xmlns:a16="http://schemas.microsoft.com/office/drawing/2014/main" id="{ADB0B9DE-241D-46E4-A26B-3450CBF6D9A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837473B0-CC2E-450A-ABE3-18F120FF3D39}">
              <a1611:picAttrSrcUrl xmlns:a1611="http://schemas.microsoft.com/office/drawing/2016/11/main" r:id="rId12"/>
            </a:ext>
          </a:extLst>
        </a:blip>
        <a:stretch>
          <a:fillRect/>
        </a:stretch>
      </xdr:blipFill>
      <xdr:spPr>
        <a:xfrm>
          <a:off x="6610350" y="885825"/>
          <a:ext cx="1163439" cy="950975"/>
        </a:xfrm>
        <a:prstGeom prst="rect">
          <a:avLst/>
        </a:prstGeom>
      </xdr:spPr>
    </xdr:pic>
    <xdr:clientData/>
  </xdr:twoCellAnchor>
  <xdr:twoCellAnchor editAs="oneCell">
    <xdr:from>
      <xdr:col>0</xdr:col>
      <xdr:colOff>0</xdr:colOff>
      <xdr:row>1</xdr:row>
      <xdr:rowOff>9525</xdr:rowOff>
    </xdr:from>
    <xdr:to>
      <xdr:col>1</xdr:col>
      <xdr:colOff>685800</xdr:colOff>
      <xdr:row>3</xdr:row>
      <xdr:rowOff>95250</xdr:rowOff>
    </xdr:to>
    <xdr:pic>
      <xdr:nvPicPr>
        <xdr:cNvPr id="10" name="Imagen 9">
          <a:extLst>
            <a:ext uri="{FF2B5EF4-FFF2-40B4-BE49-F238E27FC236}">
              <a16:creationId xmlns:a16="http://schemas.microsoft.com/office/drawing/2014/main" id="{D48BAAFB-3823-4F57-A982-4010DD1C1B14}"/>
            </a:ext>
          </a:extLst>
        </xdr:cNvPr>
        <xdr:cNvPicPr/>
      </xdr:nvPicPr>
      <xdr:blipFill>
        <a:blip xmlns:r="http://schemas.openxmlformats.org/officeDocument/2006/relationships" r:embed="rId13"/>
        <a:stretch>
          <a:fillRect/>
        </a:stretch>
      </xdr:blipFill>
      <xdr:spPr>
        <a:xfrm>
          <a:off x="0" y="209550"/>
          <a:ext cx="1447800" cy="504825"/>
        </a:xfrm>
        <a:prstGeom prst="rect">
          <a:avLst/>
        </a:prstGeom>
      </xdr:spPr>
    </xdr:pic>
    <xdr:clientData/>
  </xdr:twoCellAnchor>
  <xdr:twoCellAnchor editAs="oneCell">
    <xdr:from>
      <xdr:col>8</xdr:col>
      <xdr:colOff>142875</xdr:colOff>
      <xdr:row>2</xdr:row>
      <xdr:rowOff>7142</xdr:rowOff>
    </xdr:from>
    <xdr:to>
      <xdr:col>9</xdr:col>
      <xdr:colOff>721520</xdr:colOff>
      <xdr:row>2</xdr:row>
      <xdr:rowOff>180975</xdr:rowOff>
    </xdr:to>
    <xdr:pic>
      <xdr:nvPicPr>
        <xdr:cNvPr id="11" name="Imagen 10" descr="Image result for LOGO MINSALUD">
          <a:extLst>
            <a:ext uri="{FF2B5EF4-FFF2-40B4-BE49-F238E27FC236}">
              <a16:creationId xmlns:a16="http://schemas.microsoft.com/office/drawing/2014/main" id="{9E09FA5E-3924-4178-BE96-4CB8ABBFF267}"/>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238875" y="397667"/>
          <a:ext cx="1340645" cy="173833"/>
        </a:xfrm>
        <a:prstGeom prst="rect">
          <a:avLst/>
        </a:prstGeom>
        <a:noFill/>
        <a:ln>
          <a:noFill/>
        </a:ln>
      </xdr:spPr>
    </xdr:pic>
    <xdr:clientData/>
  </xdr:twoCellAnchor>
  <xdr:twoCellAnchor editAs="oneCell">
    <xdr:from>
      <xdr:col>10</xdr:col>
      <xdr:colOff>88106</xdr:colOff>
      <xdr:row>2</xdr:row>
      <xdr:rowOff>2381</xdr:rowOff>
    </xdr:from>
    <xdr:to>
      <xdr:col>11</xdr:col>
      <xdr:colOff>650081</xdr:colOff>
      <xdr:row>3</xdr:row>
      <xdr:rowOff>1587</xdr:rowOff>
    </xdr:to>
    <xdr:pic>
      <xdr:nvPicPr>
        <xdr:cNvPr id="12" name="Imagen 11" descr="Image result for LOGO GOBIERNO DE COLOMBIA">
          <a:extLst>
            <a:ext uri="{FF2B5EF4-FFF2-40B4-BE49-F238E27FC236}">
              <a16:creationId xmlns:a16="http://schemas.microsoft.com/office/drawing/2014/main" id="{2D5CD2ED-EEF8-4345-95FD-0C3C841B7C09}"/>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708106" y="392906"/>
          <a:ext cx="1323975" cy="18970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1651907</xdr:colOff>
      <xdr:row>0</xdr:row>
      <xdr:rowOff>0</xdr:rowOff>
    </xdr:from>
    <xdr:to>
      <xdr:col>0</xdr:col>
      <xdr:colOff>2809874</xdr:colOff>
      <xdr:row>2</xdr:row>
      <xdr:rowOff>171450</xdr:rowOff>
    </xdr:to>
    <xdr:pic>
      <xdr:nvPicPr>
        <xdr:cNvPr id="3" name="Imagen 2">
          <a:extLst>
            <a:ext uri="{FF2B5EF4-FFF2-40B4-BE49-F238E27FC236}">
              <a16:creationId xmlns:a16="http://schemas.microsoft.com/office/drawing/2014/main" id="{E7E82635-D0EE-432C-B44F-90E9D6B1AF1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907"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285750</xdr:colOff>
      <xdr:row>0</xdr:row>
      <xdr:rowOff>123826</xdr:rowOff>
    </xdr:from>
    <xdr:to>
      <xdr:col>44</xdr:col>
      <xdr:colOff>85726</xdr:colOff>
      <xdr:row>2</xdr:row>
      <xdr:rowOff>9525</xdr:rowOff>
    </xdr:to>
    <xdr:pic>
      <xdr:nvPicPr>
        <xdr:cNvPr id="4" name="Imagen 3" descr="Image result for LOGO MINSALUD">
          <a:extLst>
            <a:ext uri="{FF2B5EF4-FFF2-40B4-BE49-F238E27FC236}">
              <a16:creationId xmlns:a16="http://schemas.microsoft.com/office/drawing/2014/main" id="{954B97C1-8BC1-40C4-973A-2C4E74C2816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678775" y="123826"/>
          <a:ext cx="1685926" cy="266699"/>
        </a:xfrm>
        <a:prstGeom prst="rect">
          <a:avLst/>
        </a:prstGeom>
        <a:noFill/>
        <a:ln>
          <a:noFill/>
        </a:ln>
      </xdr:spPr>
    </xdr:pic>
    <xdr:clientData/>
  </xdr:twoCellAnchor>
  <xdr:twoCellAnchor editAs="oneCell">
    <xdr:from>
      <xdr:col>47</xdr:col>
      <xdr:colOff>152400</xdr:colOff>
      <xdr:row>0</xdr:row>
      <xdr:rowOff>125523</xdr:rowOff>
    </xdr:from>
    <xdr:to>
      <xdr:col>52</xdr:col>
      <xdr:colOff>0</xdr:colOff>
      <xdr:row>2</xdr:row>
      <xdr:rowOff>0</xdr:rowOff>
    </xdr:to>
    <xdr:pic>
      <xdr:nvPicPr>
        <xdr:cNvPr id="5" name="Imagen 4" descr="Image result for LOGO GOBIERNO DE COLOMBIA">
          <a:extLst>
            <a:ext uri="{FF2B5EF4-FFF2-40B4-BE49-F238E27FC236}">
              <a16:creationId xmlns:a16="http://schemas.microsoft.com/office/drawing/2014/main" id="{F26CB1B0-8577-4808-B32D-9B4929FE969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088600" y="125523"/>
          <a:ext cx="2171700" cy="255477"/>
        </a:xfrm>
        <a:prstGeom prst="rect">
          <a:avLst/>
        </a:prstGeom>
        <a:noFill/>
        <a:ln>
          <a:noFill/>
        </a:ln>
      </xdr:spPr>
    </xdr:pic>
    <xdr:clientData/>
  </xdr:twoCellAnchor>
  <xdr:twoCellAnchor editAs="oneCell">
    <xdr:from>
      <xdr:col>1</xdr:col>
      <xdr:colOff>85726</xdr:colOff>
      <xdr:row>14</xdr:row>
      <xdr:rowOff>114300</xdr:rowOff>
    </xdr:from>
    <xdr:to>
      <xdr:col>8</xdr:col>
      <xdr:colOff>942975</xdr:colOff>
      <xdr:row>25</xdr:row>
      <xdr:rowOff>24113</xdr:rowOff>
    </xdr:to>
    <xdr:pic>
      <xdr:nvPicPr>
        <xdr:cNvPr id="8" name="Imagen 7">
          <a:extLst>
            <a:ext uri="{FF2B5EF4-FFF2-40B4-BE49-F238E27FC236}">
              <a16:creationId xmlns:a16="http://schemas.microsoft.com/office/drawing/2014/main" id="{84D4BFD6-A584-4BAA-A3FE-76D10150CA5E}"/>
            </a:ext>
          </a:extLst>
        </xdr:cNvPr>
        <xdr:cNvPicPr>
          <a:picLocks noChangeAspect="1"/>
        </xdr:cNvPicPr>
      </xdr:nvPicPr>
      <xdr:blipFill>
        <a:blip xmlns:r="http://schemas.openxmlformats.org/officeDocument/2006/relationships" r:embed="rId4"/>
        <a:stretch>
          <a:fillRect/>
        </a:stretch>
      </xdr:blipFill>
      <xdr:spPr>
        <a:xfrm>
          <a:off x="4467226" y="3314700"/>
          <a:ext cx="3552824" cy="2005313"/>
        </a:xfrm>
        <a:prstGeom prst="rect">
          <a:avLst/>
        </a:prstGeom>
      </xdr:spPr>
    </xdr:pic>
    <xdr:clientData/>
  </xdr:twoCellAnchor>
  <xdr:twoCellAnchor editAs="oneCell">
    <xdr:from>
      <xdr:col>21</xdr:col>
      <xdr:colOff>942975</xdr:colOff>
      <xdr:row>14</xdr:row>
      <xdr:rowOff>133350</xdr:rowOff>
    </xdr:from>
    <xdr:to>
      <xdr:col>29</xdr:col>
      <xdr:colOff>190500</xdr:colOff>
      <xdr:row>25</xdr:row>
      <xdr:rowOff>43163</xdr:rowOff>
    </xdr:to>
    <xdr:pic>
      <xdr:nvPicPr>
        <xdr:cNvPr id="9" name="Imagen 8">
          <a:extLst>
            <a:ext uri="{FF2B5EF4-FFF2-40B4-BE49-F238E27FC236}">
              <a16:creationId xmlns:a16="http://schemas.microsoft.com/office/drawing/2014/main" id="{8B92E799-BC34-4A25-8486-CD1EC7EE7638}"/>
            </a:ext>
          </a:extLst>
        </xdr:cNvPr>
        <xdr:cNvPicPr>
          <a:picLocks noChangeAspect="1"/>
        </xdr:cNvPicPr>
      </xdr:nvPicPr>
      <xdr:blipFill>
        <a:blip xmlns:r="http://schemas.openxmlformats.org/officeDocument/2006/relationships" r:embed="rId5"/>
        <a:stretch>
          <a:fillRect/>
        </a:stretch>
      </xdr:blipFill>
      <xdr:spPr>
        <a:xfrm>
          <a:off x="8048625" y="3228975"/>
          <a:ext cx="3448050" cy="20053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937532</xdr:colOff>
      <xdr:row>0</xdr:row>
      <xdr:rowOff>0</xdr:rowOff>
    </xdr:from>
    <xdr:to>
      <xdr:col>2</xdr:col>
      <xdr:colOff>1279071</xdr:colOff>
      <xdr:row>3</xdr:row>
      <xdr:rowOff>102918</xdr:rowOff>
    </xdr:to>
    <xdr:pic>
      <xdr:nvPicPr>
        <xdr:cNvPr id="3" name="Imagen 2">
          <a:extLst>
            <a:ext uri="{FF2B5EF4-FFF2-40B4-BE49-F238E27FC236}">
              <a16:creationId xmlns:a16="http://schemas.microsoft.com/office/drawing/2014/main" id="{6F5DCEF8-BD0C-4B63-BBCB-B7C0C3EE276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2307" y="0"/>
          <a:ext cx="1827439" cy="683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360963</xdr:colOff>
      <xdr:row>0</xdr:row>
      <xdr:rowOff>101928</xdr:rowOff>
    </xdr:from>
    <xdr:to>
      <xdr:col>24</xdr:col>
      <xdr:colOff>48367</xdr:colOff>
      <xdr:row>2</xdr:row>
      <xdr:rowOff>109598</xdr:rowOff>
    </xdr:to>
    <xdr:pic>
      <xdr:nvPicPr>
        <xdr:cNvPr id="4" name="Imagen 3" descr="Image result for LOGO MINSALUD">
          <a:extLst>
            <a:ext uri="{FF2B5EF4-FFF2-40B4-BE49-F238E27FC236}">
              <a16:creationId xmlns:a16="http://schemas.microsoft.com/office/drawing/2014/main" id="{D2ECCA17-4B78-4A92-B4D0-C5D8860A69D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32190" y="101928"/>
          <a:ext cx="2041812" cy="544534"/>
        </a:xfrm>
        <a:prstGeom prst="rect">
          <a:avLst/>
        </a:prstGeom>
        <a:noFill/>
        <a:ln>
          <a:noFill/>
        </a:ln>
      </xdr:spPr>
    </xdr:pic>
    <xdr:clientData/>
  </xdr:twoCellAnchor>
  <xdr:twoCellAnchor editAs="oneCell">
    <xdr:from>
      <xdr:col>28</xdr:col>
      <xdr:colOff>541315</xdr:colOff>
      <xdr:row>0</xdr:row>
      <xdr:rowOff>107340</xdr:rowOff>
    </xdr:from>
    <xdr:to>
      <xdr:col>30</xdr:col>
      <xdr:colOff>729095</xdr:colOff>
      <xdr:row>2</xdr:row>
      <xdr:rowOff>126916</xdr:rowOff>
    </xdr:to>
    <xdr:pic>
      <xdr:nvPicPr>
        <xdr:cNvPr id="5" name="Imagen 4" descr="Image result for LOGO GOBIERNO DE COLOMBIA">
          <a:extLst>
            <a:ext uri="{FF2B5EF4-FFF2-40B4-BE49-F238E27FC236}">
              <a16:creationId xmlns:a16="http://schemas.microsoft.com/office/drawing/2014/main" id="{59A4BC7C-672A-4AD4-83D8-70086058155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963906" y="107340"/>
          <a:ext cx="2110097" cy="55644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1651907</xdr:colOff>
      <xdr:row>0</xdr:row>
      <xdr:rowOff>0</xdr:rowOff>
    </xdr:from>
    <xdr:to>
      <xdr:col>0</xdr:col>
      <xdr:colOff>2809874</xdr:colOff>
      <xdr:row>2</xdr:row>
      <xdr:rowOff>171450</xdr:rowOff>
    </xdr:to>
    <xdr:pic>
      <xdr:nvPicPr>
        <xdr:cNvPr id="2" name="Imagen 1">
          <a:extLst>
            <a:ext uri="{FF2B5EF4-FFF2-40B4-BE49-F238E27FC236}">
              <a16:creationId xmlns:a16="http://schemas.microsoft.com/office/drawing/2014/main" id="{3BA28B00-F5D1-4909-AC29-851C7CAC767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907"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285750</xdr:colOff>
      <xdr:row>0</xdr:row>
      <xdr:rowOff>123826</xdr:rowOff>
    </xdr:from>
    <xdr:to>
      <xdr:col>53</xdr:col>
      <xdr:colOff>95251</xdr:colOff>
      <xdr:row>2</xdr:row>
      <xdr:rowOff>9525</xdr:rowOff>
    </xdr:to>
    <xdr:pic>
      <xdr:nvPicPr>
        <xdr:cNvPr id="3" name="Imagen 2" descr="Image result for LOGO MINSALUD">
          <a:extLst>
            <a:ext uri="{FF2B5EF4-FFF2-40B4-BE49-F238E27FC236}">
              <a16:creationId xmlns:a16="http://schemas.microsoft.com/office/drawing/2014/main" id="{FA910ABE-0BC0-4349-86B8-E1DCB15A2AF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40025" y="123826"/>
          <a:ext cx="1685926" cy="266699"/>
        </a:xfrm>
        <a:prstGeom prst="rect">
          <a:avLst/>
        </a:prstGeom>
        <a:noFill/>
        <a:ln>
          <a:noFill/>
        </a:ln>
      </xdr:spPr>
    </xdr:pic>
    <xdr:clientData/>
  </xdr:twoCellAnchor>
  <xdr:twoCellAnchor editAs="oneCell">
    <xdr:from>
      <xdr:col>53</xdr:col>
      <xdr:colOff>152400</xdr:colOff>
      <xdr:row>0</xdr:row>
      <xdr:rowOff>125523</xdr:rowOff>
    </xdr:from>
    <xdr:to>
      <xdr:col>59</xdr:col>
      <xdr:colOff>419100</xdr:colOff>
      <xdr:row>2</xdr:row>
      <xdr:rowOff>0</xdr:rowOff>
    </xdr:to>
    <xdr:pic>
      <xdr:nvPicPr>
        <xdr:cNvPr id="4" name="Imagen 3" descr="Image result for LOGO GOBIERNO DE COLOMBIA">
          <a:extLst>
            <a:ext uri="{FF2B5EF4-FFF2-40B4-BE49-F238E27FC236}">
              <a16:creationId xmlns:a16="http://schemas.microsoft.com/office/drawing/2014/main" id="{B7A5A023-16E6-4030-B33A-0A9EB76030B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849850" y="125523"/>
          <a:ext cx="2171700" cy="255477"/>
        </a:xfrm>
        <a:prstGeom prst="rect">
          <a:avLst/>
        </a:prstGeom>
        <a:noFill/>
        <a:ln>
          <a:noFill/>
        </a:ln>
      </xdr:spPr>
    </xdr:pic>
    <xdr:clientData/>
  </xdr:twoCellAnchor>
  <xdr:twoCellAnchor editAs="oneCell">
    <xdr:from>
      <xdr:col>1</xdr:col>
      <xdr:colOff>85726</xdr:colOff>
      <xdr:row>15</xdr:row>
      <xdr:rowOff>114300</xdr:rowOff>
    </xdr:from>
    <xdr:to>
      <xdr:col>9</xdr:col>
      <xdr:colOff>161925</xdr:colOff>
      <xdr:row>26</xdr:row>
      <xdr:rowOff>24113</xdr:rowOff>
    </xdr:to>
    <xdr:pic>
      <xdr:nvPicPr>
        <xdr:cNvPr id="5" name="Imagen 4">
          <a:extLst>
            <a:ext uri="{FF2B5EF4-FFF2-40B4-BE49-F238E27FC236}">
              <a16:creationId xmlns:a16="http://schemas.microsoft.com/office/drawing/2014/main" id="{387EDAE1-5E20-4BDE-ACB5-EF6EA7D57E0B}"/>
            </a:ext>
          </a:extLst>
        </xdr:cNvPr>
        <xdr:cNvPicPr>
          <a:picLocks noChangeAspect="1"/>
        </xdr:cNvPicPr>
      </xdr:nvPicPr>
      <xdr:blipFill>
        <a:blip xmlns:r="http://schemas.openxmlformats.org/officeDocument/2006/relationships" r:embed="rId4"/>
        <a:stretch>
          <a:fillRect/>
        </a:stretch>
      </xdr:blipFill>
      <xdr:spPr>
        <a:xfrm>
          <a:off x="4381500" y="3209925"/>
          <a:ext cx="3552824" cy="2005313"/>
        </a:xfrm>
        <a:prstGeom prst="rect">
          <a:avLst/>
        </a:prstGeom>
      </xdr:spPr>
    </xdr:pic>
    <xdr:clientData/>
  </xdr:twoCellAnchor>
  <xdr:twoCellAnchor editAs="oneCell">
    <xdr:from>
      <xdr:col>9</xdr:col>
      <xdr:colOff>295275</xdr:colOff>
      <xdr:row>15</xdr:row>
      <xdr:rowOff>114300</xdr:rowOff>
    </xdr:from>
    <xdr:to>
      <xdr:col>15</xdr:col>
      <xdr:colOff>1866900</xdr:colOff>
      <xdr:row>26</xdr:row>
      <xdr:rowOff>24113</xdr:rowOff>
    </xdr:to>
    <xdr:pic>
      <xdr:nvPicPr>
        <xdr:cNvPr id="6" name="Imagen 5">
          <a:extLst>
            <a:ext uri="{FF2B5EF4-FFF2-40B4-BE49-F238E27FC236}">
              <a16:creationId xmlns:a16="http://schemas.microsoft.com/office/drawing/2014/main" id="{2012BFCF-DA99-47A5-85C3-F0F88A781E4C}"/>
            </a:ext>
          </a:extLst>
        </xdr:cNvPr>
        <xdr:cNvPicPr>
          <a:picLocks noChangeAspect="1"/>
        </xdr:cNvPicPr>
      </xdr:nvPicPr>
      <xdr:blipFill>
        <a:blip xmlns:r="http://schemas.openxmlformats.org/officeDocument/2006/relationships" r:embed="rId5"/>
        <a:stretch>
          <a:fillRect/>
        </a:stretch>
      </xdr:blipFill>
      <xdr:spPr>
        <a:xfrm>
          <a:off x="8153400" y="3400425"/>
          <a:ext cx="3448050" cy="20053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3" name="Imagen 2">
          <a:extLst>
            <a:ext uri="{FF2B5EF4-FFF2-40B4-BE49-F238E27FC236}">
              <a16:creationId xmlns:a16="http://schemas.microsoft.com/office/drawing/2014/main" id="{4B5CA058-ACE8-44AC-A365-0414A72DE0B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228599</xdr:colOff>
      <xdr:row>0</xdr:row>
      <xdr:rowOff>180976</xdr:rowOff>
    </xdr:from>
    <xdr:ext cx="1619251" cy="257174"/>
    <xdr:pic>
      <xdr:nvPicPr>
        <xdr:cNvPr id="4" name="Imagen 3" descr="Image result for LOGO MINSALUD">
          <a:extLst>
            <a:ext uri="{FF2B5EF4-FFF2-40B4-BE49-F238E27FC236}">
              <a16:creationId xmlns:a16="http://schemas.microsoft.com/office/drawing/2014/main" id="{D1DE6CF6-C31A-4F3B-A4B0-25058804EF5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488149" y="180976"/>
          <a:ext cx="1619251" cy="257174"/>
        </a:xfrm>
        <a:prstGeom prst="rect">
          <a:avLst/>
        </a:prstGeom>
        <a:noFill/>
        <a:ln>
          <a:noFill/>
        </a:ln>
      </xdr:spPr>
    </xdr:pic>
    <xdr:clientData/>
  </xdr:oneCellAnchor>
  <xdr:oneCellAnchor>
    <xdr:from>
      <xdr:col>47</xdr:col>
      <xdr:colOff>561975</xdr:colOff>
      <xdr:row>0</xdr:row>
      <xdr:rowOff>154098</xdr:rowOff>
    </xdr:from>
    <xdr:ext cx="1743075" cy="265002"/>
    <xdr:pic>
      <xdr:nvPicPr>
        <xdr:cNvPr id="5" name="Imagen 4" descr="Image result for LOGO GOBIERNO DE COLOMBIA">
          <a:extLst>
            <a:ext uri="{FF2B5EF4-FFF2-40B4-BE49-F238E27FC236}">
              <a16:creationId xmlns:a16="http://schemas.microsoft.com/office/drawing/2014/main" id="{D492C9B8-627D-41F9-8F40-39235B6EFC3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364700" y="154098"/>
          <a:ext cx="1743075" cy="265002"/>
        </a:xfrm>
        <a:prstGeom prst="rect">
          <a:avLst/>
        </a:prstGeom>
        <a:noFill/>
        <a:ln>
          <a:noFill/>
        </a:ln>
      </xdr:spPr>
    </xdr:pic>
    <xdr:clientData/>
  </xdr:oneCellAnchor>
  <xdr:twoCellAnchor editAs="oneCell">
    <xdr:from>
      <xdr:col>2</xdr:col>
      <xdr:colOff>0</xdr:colOff>
      <xdr:row>12</xdr:row>
      <xdr:rowOff>95250</xdr:rowOff>
    </xdr:from>
    <xdr:to>
      <xdr:col>21</xdr:col>
      <xdr:colOff>828674</xdr:colOff>
      <xdr:row>23</xdr:row>
      <xdr:rowOff>5063</xdr:rowOff>
    </xdr:to>
    <xdr:pic>
      <xdr:nvPicPr>
        <xdr:cNvPr id="6" name="Imagen 5">
          <a:extLst>
            <a:ext uri="{FF2B5EF4-FFF2-40B4-BE49-F238E27FC236}">
              <a16:creationId xmlns:a16="http://schemas.microsoft.com/office/drawing/2014/main" id="{5D2DA8C4-4AC9-4357-B858-8FC22DA9D401}"/>
            </a:ext>
          </a:extLst>
        </xdr:cNvPr>
        <xdr:cNvPicPr>
          <a:picLocks noChangeAspect="1"/>
        </xdr:cNvPicPr>
      </xdr:nvPicPr>
      <xdr:blipFill>
        <a:blip xmlns:r="http://schemas.openxmlformats.org/officeDocument/2006/relationships" r:embed="rId4"/>
        <a:stretch>
          <a:fillRect/>
        </a:stretch>
      </xdr:blipFill>
      <xdr:spPr>
        <a:xfrm>
          <a:off x="3419475" y="4972050"/>
          <a:ext cx="3552824" cy="2005313"/>
        </a:xfrm>
        <a:prstGeom prst="rect">
          <a:avLst/>
        </a:prstGeom>
      </xdr:spPr>
    </xdr:pic>
    <xdr:clientData/>
  </xdr:twoCellAnchor>
  <xdr:twoCellAnchor editAs="oneCell">
    <xdr:from>
      <xdr:col>21</xdr:col>
      <xdr:colOff>952499</xdr:colOff>
      <xdr:row>12</xdr:row>
      <xdr:rowOff>95250</xdr:rowOff>
    </xdr:from>
    <xdr:to>
      <xdr:col>29</xdr:col>
      <xdr:colOff>200024</xdr:colOff>
      <xdr:row>23</xdr:row>
      <xdr:rowOff>5063</xdr:rowOff>
    </xdr:to>
    <xdr:pic>
      <xdr:nvPicPr>
        <xdr:cNvPr id="7" name="Imagen 6">
          <a:extLst>
            <a:ext uri="{FF2B5EF4-FFF2-40B4-BE49-F238E27FC236}">
              <a16:creationId xmlns:a16="http://schemas.microsoft.com/office/drawing/2014/main" id="{C1BB7BD6-10BC-4191-82E6-D17B1DEB4915}"/>
            </a:ext>
          </a:extLst>
        </xdr:cNvPr>
        <xdr:cNvPicPr>
          <a:picLocks noChangeAspect="1"/>
        </xdr:cNvPicPr>
      </xdr:nvPicPr>
      <xdr:blipFill>
        <a:blip xmlns:r="http://schemas.openxmlformats.org/officeDocument/2006/relationships" r:embed="rId5"/>
        <a:stretch>
          <a:fillRect/>
        </a:stretch>
      </xdr:blipFill>
      <xdr:spPr>
        <a:xfrm>
          <a:off x="6943724" y="4972050"/>
          <a:ext cx="3448050" cy="20053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102751</xdr:colOff>
      <xdr:row>0</xdr:row>
      <xdr:rowOff>2</xdr:rowOff>
    </xdr:from>
    <xdr:to>
      <xdr:col>5</xdr:col>
      <xdr:colOff>781050</xdr:colOff>
      <xdr:row>2</xdr:row>
      <xdr:rowOff>161926</xdr:rowOff>
    </xdr:to>
    <xdr:pic>
      <xdr:nvPicPr>
        <xdr:cNvPr id="3" name="Imagen 2">
          <a:extLst>
            <a:ext uri="{FF2B5EF4-FFF2-40B4-BE49-F238E27FC236}">
              <a16:creationId xmlns:a16="http://schemas.microsoft.com/office/drawing/2014/main" id="{29F421A9-59BA-4BCE-8677-B08DCCB2194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51" y="2"/>
          <a:ext cx="1554599" cy="676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114301</xdr:colOff>
      <xdr:row>1</xdr:row>
      <xdr:rowOff>57149</xdr:rowOff>
    </xdr:from>
    <xdr:to>
      <xdr:col>11</xdr:col>
      <xdr:colOff>238125</xdr:colOff>
      <xdr:row>2</xdr:row>
      <xdr:rowOff>95250</xdr:rowOff>
    </xdr:to>
    <xdr:pic>
      <xdr:nvPicPr>
        <xdr:cNvPr id="4" name="Imagen 3" descr="Image result for LOGO MINSALUD">
          <a:extLst>
            <a:ext uri="{FF2B5EF4-FFF2-40B4-BE49-F238E27FC236}">
              <a16:creationId xmlns:a16="http://schemas.microsoft.com/office/drawing/2014/main" id="{AA983C78-848F-4080-A147-F476ABA31C1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34101" y="247649"/>
          <a:ext cx="885824" cy="228601"/>
        </a:xfrm>
        <a:prstGeom prst="rect">
          <a:avLst/>
        </a:prstGeom>
        <a:noFill/>
        <a:ln>
          <a:noFill/>
        </a:ln>
      </xdr:spPr>
    </xdr:pic>
    <xdr:clientData/>
  </xdr:twoCellAnchor>
  <xdr:twoCellAnchor editAs="oneCell">
    <xdr:from>
      <xdr:col>11</xdr:col>
      <xdr:colOff>38100</xdr:colOff>
      <xdr:row>1</xdr:row>
      <xdr:rowOff>57149</xdr:rowOff>
    </xdr:from>
    <xdr:to>
      <xdr:col>12</xdr:col>
      <xdr:colOff>184151</xdr:colOff>
      <xdr:row>2</xdr:row>
      <xdr:rowOff>85724</xdr:rowOff>
    </xdr:to>
    <xdr:pic>
      <xdr:nvPicPr>
        <xdr:cNvPr id="5" name="Imagen 4" descr="Image result for LOGO GOBIERNO DE COLOMBIA">
          <a:extLst>
            <a:ext uri="{FF2B5EF4-FFF2-40B4-BE49-F238E27FC236}">
              <a16:creationId xmlns:a16="http://schemas.microsoft.com/office/drawing/2014/main" id="{5A15B3C3-ED0C-418A-9F59-EA334D05C33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247649"/>
          <a:ext cx="908051" cy="21907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2A0EF6D5-A9BD-458F-B989-C3FEC4168CF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228599</xdr:colOff>
      <xdr:row>0</xdr:row>
      <xdr:rowOff>180976</xdr:rowOff>
    </xdr:from>
    <xdr:ext cx="1619251" cy="257174"/>
    <xdr:pic>
      <xdr:nvPicPr>
        <xdr:cNvPr id="3" name="Imagen 2" descr="Image result for LOGO MINSALUD">
          <a:extLst>
            <a:ext uri="{FF2B5EF4-FFF2-40B4-BE49-F238E27FC236}">
              <a16:creationId xmlns:a16="http://schemas.microsoft.com/office/drawing/2014/main" id="{7B508B35-14C3-4FA9-AADC-A5541E559ED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49399" y="180976"/>
          <a:ext cx="1619251" cy="257174"/>
        </a:xfrm>
        <a:prstGeom prst="rect">
          <a:avLst/>
        </a:prstGeom>
        <a:noFill/>
        <a:ln>
          <a:noFill/>
        </a:ln>
      </xdr:spPr>
    </xdr:pic>
    <xdr:clientData/>
  </xdr:oneCellAnchor>
  <xdr:oneCellAnchor>
    <xdr:from>
      <xdr:col>50</xdr:col>
      <xdr:colOff>561975</xdr:colOff>
      <xdr:row>0</xdr:row>
      <xdr:rowOff>154098</xdr:rowOff>
    </xdr:from>
    <xdr:ext cx="1743075" cy="265002"/>
    <xdr:pic>
      <xdr:nvPicPr>
        <xdr:cNvPr id="4" name="Imagen 3" descr="Image result for LOGO GOBIERNO DE COLOMBIA">
          <a:extLst>
            <a:ext uri="{FF2B5EF4-FFF2-40B4-BE49-F238E27FC236}">
              <a16:creationId xmlns:a16="http://schemas.microsoft.com/office/drawing/2014/main" id="{C80EA815-EF88-49FA-80E3-18976C7738F6}"/>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25950" y="154098"/>
          <a:ext cx="1743075" cy="265002"/>
        </a:xfrm>
        <a:prstGeom prst="rect">
          <a:avLst/>
        </a:prstGeom>
        <a:noFill/>
        <a:ln>
          <a:noFill/>
        </a:ln>
      </xdr:spPr>
    </xdr:pic>
    <xdr:clientData/>
  </xdr:oneCellAnchor>
  <xdr:twoCellAnchor editAs="oneCell">
    <xdr:from>
      <xdr:col>2</xdr:col>
      <xdr:colOff>0</xdr:colOff>
      <xdr:row>12</xdr:row>
      <xdr:rowOff>95250</xdr:rowOff>
    </xdr:from>
    <xdr:to>
      <xdr:col>9</xdr:col>
      <xdr:colOff>304799</xdr:colOff>
      <xdr:row>23</xdr:row>
      <xdr:rowOff>5063</xdr:rowOff>
    </xdr:to>
    <xdr:pic>
      <xdr:nvPicPr>
        <xdr:cNvPr id="5" name="Imagen 4">
          <a:extLst>
            <a:ext uri="{FF2B5EF4-FFF2-40B4-BE49-F238E27FC236}">
              <a16:creationId xmlns:a16="http://schemas.microsoft.com/office/drawing/2014/main" id="{E32AFF7C-E69A-4F8D-AD37-4154EDA9317C}"/>
            </a:ext>
          </a:extLst>
        </xdr:cNvPr>
        <xdr:cNvPicPr>
          <a:picLocks noChangeAspect="1"/>
        </xdr:cNvPicPr>
      </xdr:nvPicPr>
      <xdr:blipFill>
        <a:blip xmlns:r="http://schemas.openxmlformats.org/officeDocument/2006/relationships" r:embed="rId4"/>
        <a:stretch>
          <a:fillRect/>
        </a:stretch>
      </xdr:blipFill>
      <xdr:spPr>
        <a:xfrm>
          <a:off x="3267075" y="4972050"/>
          <a:ext cx="3552824" cy="2005313"/>
        </a:xfrm>
        <a:prstGeom prst="rect">
          <a:avLst/>
        </a:prstGeom>
      </xdr:spPr>
    </xdr:pic>
    <xdr:clientData/>
  </xdr:twoCellAnchor>
  <xdr:twoCellAnchor editAs="oneCell">
    <xdr:from>
      <xdr:col>9</xdr:col>
      <xdr:colOff>533399</xdr:colOff>
      <xdr:row>12</xdr:row>
      <xdr:rowOff>95250</xdr:rowOff>
    </xdr:from>
    <xdr:to>
      <xdr:col>20</xdr:col>
      <xdr:colOff>76199</xdr:colOff>
      <xdr:row>23</xdr:row>
      <xdr:rowOff>5063</xdr:rowOff>
    </xdr:to>
    <xdr:pic>
      <xdr:nvPicPr>
        <xdr:cNvPr id="6" name="Imagen 5">
          <a:extLst>
            <a:ext uri="{FF2B5EF4-FFF2-40B4-BE49-F238E27FC236}">
              <a16:creationId xmlns:a16="http://schemas.microsoft.com/office/drawing/2014/main" id="{59CB87A2-A4A6-4EEB-9B8E-21EA7B6029ED}"/>
            </a:ext>
          </a:extLst>
        </xdr:cNvPr>
        <xdr:cNvPicPr>
          <a:picLocks noChangeAspect="1"/>
        </xdr:cNvPicPr>
      </xdr:nvPicPr>
      <xdr:blipFill>
        <a:blip xmlns:r="http://schemas.openxmlformats.org/officeDocument/2006/relationships" r:embed="rId5"/>
        <a:stretch>
          <a:fillRect/>
        </a:stretch>
      </xdr:blipFill>
      <xdr:spPr>
        <a:xfrm>
          <a:off x="7200899" y="4972050"/>
          <a:ext cx="3448050" cy="20053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ADRES%20Vigencia%202018%2030-01-1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Alicia.benitez\Documents\PLAN%20DE%20ACCION\Atencion%20al%20Ciudadan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Ricardo.triana/AppData/Local/Microsoft/Windows/INetCache/Content.Outlook/NSJG1V0A/Plan%20Accion%20ADRES%20DOP%2024-01-2018.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Users\ricardo.triana\Documents\ADRES\Plan%20de%20Accion\Plan%20Accion%202018\Plan%20Accion%20ADRES%20Vigencia%202018%20DLG%2017-01-1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ricardo.triana\Documents\ADRES\Plan%20de%20Accion\Plan%20Accion%202018\Plan%20Accion%20ADRES%20Vigencia%202018%20DGRFS%2017-01-18.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FBI6K8AZ/Copia%20de%20Plan%20Accion%20ADRES%20Vigencia%202018%20con%20Cuadro%20de%20Mand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norela.briceno/Documents/Otros/Plan%20Accion%20ADRES%20Vigencia%202018%20V3%20One%20Drive%20DGTIC.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lan%20Accion%20ADRES%20Vigencia%202018%20con%20Cuadro%20de%20Mando%20V3%20Integrad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23KQLUMF/Plan%20Accion%20ADRES%20Vigencia%202018%20V2%20One%20Drive%20DGTIC.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lan%20Accion%20Integrado%20ADRES%20Vigencia%202018%20V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Users\Alicia.benitez\Documents\PLAN%20DE%20ACCION\Contrat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ADRES%20Vigencia%202018%20Preliminar%20DTIC%20ADRES%2025-01-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lan%20Accion%20ADRES%20Vigencia%202018%2026-01-18%20Atenci&#243;n%20al%20Ciudadan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lan%20Accion%20ADRES%20-%20DAF%20Gesti&#243;n%20Document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ADRES%20-%20DAF%20y%20OAJ.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magdiela.delacarrera\Documents\PLAN%20DE%20ACCI&#211;N%20GRUPO%20COBRO%20COACTIVO\Copia%20de%20Plan%20Accion%20ADRES%20Vigencia%202018%20Cobro%20Coactivo%2015-01-18%20remitido%20x%20Ricar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FBI6K8AZ/Plan%20Accion%20ADRES%20Vigencia%202018%20ADRES%2026-01-18%20JCB.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FBI6K8AZ/PLAN%20DE%20ACCION%20TALENTO%20HUMANO%20OK.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Alicia.benitez\Documents\PLAN%20DE%20ACCION\Apoyo%20Logistic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sheetName val="Plan Adquisiciones"/>
    </sheetNames>
    <sheetDataSet>
      <sheetData sheetId="0">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 sheetId="1"/>
      <sheetData sheetId="2">
        <row r="4">
          <cell r="Z4" t="str">
            <v xml:space="preserve">Codigo Plan de Acción </v>
          </cell>
          <cell r="AA4" t="str">
            <v>Vigencia Futura 2018</v>
          </cell>
          <cell r="AB4" t="str">
            <v xml:space="preserve">Virgencia Corriente </v>
          </cell>
          <cell r="AC4" t="str">
            <v>TOTAL</v>
          </cell>
        </row>
        <row r="5">
          <cell r="Z5" t="str">
            <v>11200-2-1-1</v>
          </cell>
          <cell r="AA5">
            <v>0</v>
          </cell>
          <cell r="AB5">
            <v>500000000</v>
          </cell>
          <cell r="AC5">
            <v>500000000</v>
          </cell>
          <cell r="AD5">
            <v>50000000</v>
          </cell>
          <cell r="AE5">
            <v>150000000</v>
          </cell>
          <cell r="AF5">
            <v>150000000</v>
          </cell>
          <cell r="AG5">
            <v>150000000</v>
          </cell>
        </row>
        <row r="6">
          <cell r="Z6" t="str">
            <v>11300-4-1-1</v>
          </cell>
          <cell r="AA6">
            <v>0</v>
          </cell>
          <cell r="AB6">
            <v>53187356</v>
          </cell>
          <cell r="AC6">
            <v>53187356</v>
          </cell>
          <cell r="AD6">
            <v>12240000</v>
          </cell>
          <cell r="AE6">
            <v>12240000</v>
          </cell>
          <cell r="AF6">
            <v>13296839</v>
          </cell>
          <cell r="AG6">
            <v>15410517</v>
          </cell>
        </row>
        <row r="7">
          <cell r="Z7" t="str">
            <v>11300-4-2-1</v>
          </cell>
          <cell r="AA7">
            <v>0</v>
          </cell>
          <cell r="AB7">
            <v>233813092</v>
          </cell>
          <cell r="AC7">
            <v>233813092</v>
          </cell>
          <cell r="AD7">
            <v>60776640</v>
          </cell>
          <cell r="AE7">
            <v>60776640</v>
          </cell>
          <cell r="AF7">
            <v>58453273</v>
          </cell>
          <cell r="AG7">
            <v>53806539</v>
          </cell>
        </row>
        <row r="8">
          <cell r="Z8" t="str">
            <v>11300-4-4-1</v>
          </cell>
          <cell r="AA8">
            <v>0</v>
          </cell>
          <cell r="AB8">
            <v>292066560</v>
          </cell>
          <cell r="AC8">
            <v>292066560</v>
          </cell>
          <cell r="AD8">
            <v>73016640</v>
          </cell>
          <cell r="AE8">
            <v>73016640</v>
          </cell>
          <cell r="AF8">
            <v>73016640</v>
          </cell>
          <cell r="AG8">
            <v>73016640</v>
          </cell>
        </row>
        <row r="9">
          <cell r="Z9" t="str">
            <v>11300-4-5-1</v>
          </cell>
          <cell r="AA9">
            <v>0</v>
          </cell>
          <cell r="AB9">
            <v>48960000</v>
          </cell>
          <cell r="AC9">
            <v>48960000</v>
          </cell>
          <cell r="AD9">
            <v>12240000</v>
          </cell>
          <cell r="AE9">
            <v>12240000</v>
          </cell>
          <cell r="AF9">
            <v>12240000</v>
          </cell>
          <cell r="AG9">
            <v>12240000</v>
          </cell>
        </row>
        <row r="10">
          <cell r="Z10" t="str">
            <v>11300-4-6-1</v>
          </cell>
          <cell r="AA10">
            <v>0</v>
          </cell>
          <cell r="AB10">
            <v>281973872</v>
          </cell>
          <cell r="AC10">
            <v>281973872</v>
          </cell>
          <cell r="AD10">
            <v>68170101</v>
          </cell>
          <cell r="AE10">
            <v>68170101</v>
          </cell>
          <cell r="AF10">
            <v>70493468</v>
          </cell>
          <cell r="AG10">
            <v>75140202</v>
          </cell>
        </row>
        <row r="11">
          <cell r="Z11" t="str">
            <v>11300-4-8-1</v>
          </cell>
          <cell r="AA11">
            <v>0</v>
          </cell>
          <cell r="AB11">
            <v>580945500</v>
          </cell>
          <cell r="AC11">
            <v>580945500</v>
          </cell>
          <cell r="AD11">
            <v>105626454.54545453</v>
          </cell>
          <cell r="AE11">
            <v>158439681.81818178</v>
          </cell>
          <cell r="AF11">
            <v>158439681.81818178</v>
          </cell>
          <cell r="AG11">
            <v>158439681.81818178</v>
          </cell>
        </row>
        <row r="12">
          <cell r="Z12" t="str">
            <v>11400-3-1-1</v>
          </cell>
          <cell r="AA12">
            <v>0</v>
          </cell>
          <cell r="AB12">
            <v>100516376</v>
          </cell>
          <cell r="AC12">
            <v>100516376</v>
          </cell>
          <cell r="AD12">
            <v>43249020</v>
          </cell>
          <cell r="AE12">
            <v>12240000</v>
          </cell>
          <cell r="AF12">
            <v>17376839</v>
          </cell>
          <cell r="AG12">
            <v>27650517</v>
          </cell>
        </row>
        <row r="13">
          <cell r="Z13" t="str">
            <v>11400-3-4-2</v>
          </cell>
          <cell r="AA13">
            <v>0</v>
          </cell>
          <cell r="AB13">
            <v>48960000</v>
          </cell>
          <cell r="AC13">
            <v>48960000</v>
          </cell>
          <cell r="AD13">
            <v>12240000</v>
          </cell>
          <cell r="AE13">
            <v>12240000</v>
          </cell>
          <cell r="AF13">
            <v>12240000</v>
          </cell>
          <cell r="AG13">
            <v>12240000</v>
          </cell>
        </row>
        <row r="14">
          <cell r="Z14" t="str">
            <v>11400-3-5-1</v>
          </cell>
          <cell r="AA14">
            <v>0</v>
          </cell>
          <cell r="AB14">
            <v>164378848</v>
          </cell>
          <cell r="AC14">
            <v>164378848</v>
          </cell>
          <cell r="AD14">
            <v>46231551</v>
          </cell>
          <cell r="AE14">
            <v>46231551</v>
          </cell>
          <cell r="AF14">
            <v>41094712</v>
          </cell>
          <cell r="AG14">
            <v>30821034</v>
          </cell>
        </row>
        <row r="15">
          <cell r="Z15" t="str">
            <v>11400-3-14-1</v>
          </cell>
          <cell r="AA15">
            <v>0</v>
          </cell>
          <cell r="AB15">
            <v>55000000</v>
          </cell>
          <cell r="AC15">
            <v>55000000</v>
          </cell>
          <cell r="AD15">
            <v>55000000</v>
          </cell>
          <cell r="AE15">
            <v>0</v>
          </cell>
          <cell r="AF15">
            <v>0</v>
          </cell>
          <cell r="AG15">
            <v>0</v>
          </cell>
        </row>
        <row r="16">
          <cell r="Z16" t="str">
            <v>11500-3-1-1</v>
          </cell>
          <cell r="AA16">
            <v>0</v>
          </cell>
          <cell r="AB16">
            <v>36720000</v>
          </cell>
          <cell r="AC16">
            <v>36720000</v>
          </cell>
          <cell r="AD16">
            <v>6885000</v>
          </cell>
          <cell r="AE16">
            <v>6885000</v>
          </cell>
          <cell r="AF16">
            <v>6885000</v>
          </cell>
          <cell r="AG16">
            <v>6885000</v>
          </cell>
        </row>
        <row r="17">
          <cell r="Z17" t="str">
            <v>11500-3-3-1</v>
          </cell>
          <cell r="AA17">
            <v>0</v>
          </cell>
          <cell r="AB17">
            <v>0</v>
          </cell>
          <cell r="AC17">
            <v>0</v>
          </cell>
          <cell r="AD17">
            <v>0</v>
          </cell>
          <cell r="AE17">
            <v>0</v>
          </cell>
          <cell r="AF17">
            <v>0</v>
          </cell>
          <cell r="AG17">
            <v>0</v>
          </cell>
        </row>
        <row r="18">
          <cell r="Z18" t="str">
            <v>11500-3-6-1</v>
          </cell>
          <cell r="AA18">
            <v>0</v>
          </cell>
          <cell r="AB18">
            <v>195840000</v>
          </cell>
          <cell r="AC18">
            <v>195840000</v>
          </cell>
          <cell r="AD18">
            <v>48960000</v>
          </cell>
          <cell r="AE18">
            <v>48960000</v>
          </cell>
          <cell r="AF18">
            <v>48960000</v>
          </cell>
          <cell r="AG18">
            <v>48960000</v>
          </cell>
        </row>
        <row r="19">
          <cell r="Z19" t="str">
            <v>11600-3-2-1</v>
          </cell>
          <cell r="AA19">
            <v>0</v>
          </cell>
          <cell r="AB19">
            <v>2614240473</v>
          </cell>
          <cell r="AC19">
            <v>2614240473</v>
          </cell>
          <cell r="AD19">
            <v>52857142.857142858</v>
          </cell>
          <cell r="AE19">
            <v>183571428.57142857</v>
          </cell>
          <cell r="AF19">
            <v>1037030914.9714285</v>
          </cell>
          <cell r="AG19">
            <v>1340780986.5999999</v>
          </cell>
        </row>
        <row r="20">
          <cell r="Z20" t="str">
            <v>11600-3-3-1</v>
          </cell>
          <cell r="AA20">
            <v>0</v>
          </cell>
          <cell r="AB20">
            <v>1024732093</v>
          </cell>
          <cell r="AC20">
            <v>1024732093</v>
          </cell>
          <cell r="AD20">
            <v>0</v>
          </cell>
          <cell r="AE20">
            <v>104606000</v>
          </cell>
          <cell r="AF20">
            <v>341169837.19999999</v>
          </cell>
          <cell r="AG20">
            <v>578956255.79999995</v>
          </cell>
        </row>
        <row r="21">
          <cell r="Z21" t="str">
            <v>11600-3-4-1</v>
          </cell>
          <cell r="AA21">
            <v>0</v>
          </cell>
          <cell r="AB21">
            <v>180000000</v>
          </cell>
          <cell r="AC21">
            <v>180000000</v>
          </cell>
          <cell r="AD21">
            <v>0</v>
          </cell>
          <cell r="AE21">
            <v>0</v>
          </cell>
          <cell r="AF21">
            <v>90000000</v>
          </cell>
          <cell r="AG21">
            <v>90000000</v>
          </cell>
        </row>
        <row r="22">
          <cell r="Z22" t="str">
            <v>11600-3-5-1</v>
          </cell>
          <cell r="AA22">
            <v>0</v>
          </cell>
          <cell r="AB22">
            <v>815594000</v>
          </cell>
          <cell r="AC22">
            <v>815594000</v>
          </cell>
          <cell r="AD22">
            <v>54431766.233766235</v>
          </cell>
          <cell r="AE22">
            <v>222866935.06493509</v>
          </cell>
          <cell r="AF22">
            <v>285366935.06493509</v>
          </cell>
          <cell r="AG22">
            <v>252928363.63636363</v>
          </cell>
        </row>
        <row r="23">
          <cell r="Z23" t="str">
            <v>11600-3-6-1</v>
          </cell>
          <cell r="AA23">
            <v>0</v>
          </cell>
          <cell r="AB23">
            <v>816000000</v>
          </cell>
          <cell r="AC23">
            <v>816000000</v>
          </cell>
          <cell r="AD23">
            <v>0</v>
          </cell>
          <cell r="AE23">
            <v>0</v>
          </cell>
          <cell r="AF23">
            <v>408000000</v>
          </cell>
          <cell r="AG23">
            <v>408000000</v>
          </cell>
        </row>
        <row r="24">
          <cell r="Z24" t="str">
            <v>11600-3-7-1</v>
          </cell>
          <cell r="AA24">
            <v>0</v>
          </cell>
          <cell r="AB24">
            <v>48960000</v>
          </cell>
          <cell r="AC24">
            <v>48960000</v>
          </cell>
          <cell r="AD24">
            <v>12240000</v>
          </cell>
          <cell r="AE24">
            <v>12240000</v>
          </cell>
          <cell r="AF24">
            <v>12240000</v>
          </cell>
          <cell r="AG24">
            <v>12240000</v>
          </cell>
        </row>
        <row r="25">
          <cell r="Z25" t="str">
            <v>11600-3-8-1</v>
          </cell>
          <cell r="AA25">
            <v>0</v>
          </cell>
          <cell r="AB25">
            <v>146880000</v>
          </cell>
          <cell r="AC25">
            <v>146880000</v>
          </cell>
          <cell r="AD25">
            <v>36720000</v>
          </cell>
          <cell r="AE25">
            <v>36720000</v>
          </cell>
          <cell r="AF25">
            <v>36720000</v>
          </cell>
          <cell r="AG25">
            <v>36720000</v>
          </cell>
        </row>
        <row r="26">
          <cell r="Z26" t="str">
            <v>11600-3-9-1</v>
          </cell>
          <cell r="AA26">
            <v>0</v>
          </cell>
          <cell r="AB26">
            <v>576178068</v>
          </cell>
          <cell r="AC26">
            <v>576178068</v>
          </cell>
          <cell r="AD26">
            <v>144044517</v>
          </cell>
          <cell r="AE26">
            <v>144044517</v>
          </cell>
          <cell r="AF26">
            <v>144044517</v>
          </cell>
          <cell r="AG26">
            <v>144044517</v>
          </cell>
        </row>
        <row r="27">
          <cell r="Z27" t="str">
            <v>11700-2-8-1</v>
          </cell>
          <cell r="AA27">
            <v>0</v>
          </cell>
          <cell r="AB27">
            <v>321766980</v>
          </cell>
          <cell r="AC27">
            <v>321766980</v>
          </cell>
          <cell r="AD27">
            <v>104921745</v>
          </cell>
          <cell r="AE27">
            <v>72281745</v>
          </cell>
          <cell r="AF27">
            <v>72281745</v>
          </cell>
          <cell r="AG27">
            <v>72281745</v>
          </cell>
        </row>
        <row r="28">
          <cell r="Z28" t="str">
            <v>11700-2-10-2</v>
          </cell>
          <cell r="AA28">
            <v>0</v>
          </cell>
          <cell r="AB28">
            <v>800000000</v>
          </cell>
          <cell r="AC28">
            <v>800000000</v>
          </cell>
          <cell r="AD28">
            <v>80000000</v>
          </cell>
          <cell r="AE28">
            <v>240000000</v>
          </cell>
          <cell r="AF28">
            <v>240000000</v>
          </cell>
          <cell r="AG28">
            <v>240000000</v>
          </cell>
        </row>
        <row r="29">
          <cell r="Z29" t="str">
            <v>11700-2-11-1</v>
          </cell>
          <cell r="AA29">
            <v>0</v>
          </cell>
          <cell r="AB29">
            <v>6000000</v>
          </cell>
          <cell r="AC29">
            <v>6000000</v>
          </cell>
          <cell r="AD29">
            <v>1090909.0909090908</v>
          </cell>
          <cell r="AE29">
            <v>1636363.6363636362</v>
          </cell>
          <cell r="AF29">
            <v>1636363.6363636362</v>
          </cell>
          <cell r="AG29">
            <v>1636363.6363636362</v>
          </cell>
        </row>
        <row r="30">
          <cell r="Z30" t="str">
            <v>11700-2-11-1</v>
          </cell>
          <cell r="AA30">
            <v>0</v>
          </cell>
          <cell r="AB30">
            <v>6000000</v>
          </cell>
          <cell r="AC30">
            <v>6000000</v>
          </cell>
          <cell r="AD30">
            <v>1090909.0909090908</v>
          </cell>
          <cell r="AE30">
            <v>1636363.6363636362</v>
          </cell>
          <cell r="AF30">
            <v>1636363.6363636362</v>
          </cell>
          <cell r="AG30">
            <v>1636363.6363636362</v>
          </cell>
        </row>
        <row r="31">
          <cell r="Z31" t="str">
            <v>11700-2-13-1</v>
          </cell>
          <cell r="AA31">
            <v>0</v>
          </cell>
          <cell r="AB31">
            <v>27880404</v>
          </cell>
          <cell r="AC31">
            <v>27880404</v>
          </cell>
          <cell r="AD31">
            <v>6970101</v>
          </cell>
          <cell r="AE31">
            <v>6970101</v>
          </cell>
          <cell r="AF31">
            <v>6970101</v>
          </cell>
          <cell r="AG31">
            <v>6970101</v>
          </cell>
        </row>
        <row r="32">
          <cell r="Z32" t="str">
            <v>11700-2-13-2</v>
          </cell>
          <cell r="AA32">
            <v>0</v>
          </cell>
          <cell r="AB32">
            <v>48960000</v>
          </cell>
          <cell r="AC32">
            <v>48960000</v>
          </cell>
          <cell r="AD32">
            <v>12240000</v>
          </cell>
          <cell r="AE32">
            <v>12240000</v>
          </cell>
          <cell r="AF32">
            <v>12240000</v>
          </cell>
          <cell r="AG32">
            <v>12240000</v>
          </cell>
        </row>
        <row r="33">
          <cell r="Z33" t="str">
            <v>11700-2-14-1</v>
          </cell>
          <cell r="AA33">
            <v>0</v>
          </cell>
          <cell r="AB33">
            <v>60000000</v>
          </cell>
          <cell r="AC33">
            <v>60000000</v>
          </cell>
          <cell r="AD33">
            <v>10909090.909090908</v>
          </cell>
          <cell r="AE33">
            <v>16363636.363636363</v>
          </cell>
          <cell r="AF33">
            <v>16363636.363636363</v>
          </cell>
          <cell r="AG33">
            <v>16363636.363636363</v>
          </cell>
        </row>
        <row r="34">
          <cell r="Z34" t="str">
            <v>11700-2-15-1</v>
          </cell>
          <cell r="AA34">
            <v>0</v>
          </cell>
          <cell r="AB34">
            <v>2468609473</v>
          </cell>
          <cell r="AC34">
            <v>2468609473</v>
          </cell>
          <cell r="AD34">
            <v>5709090.9090909092</v>
          </cell>
          <cell r="AE34">
            <v>5563636.3636363633</v>
          </cell>
          <cell r="AF34">
            <v>1097359970.2636366</v>
          </cell>
          <cell r="AG34">
            <v>1359976775.4636364</v>
          </cell>
        </row>
        <row r="35">
          <cell r="Z35" t="str">
            <v>11700-2-16-1</v>
          </cell>
          <cell r="AA35">
            <v>0</v>
          </cell>
          <cell r="AB35">
            <v>150000000</v>
          </cell>
          <cell r="AC35">
            <v>150000000</v>
          </cell>
          <cell r="AD35">
            <v>0</v>
          </cell>
          <cell r="AE35">
            <v>0</v>
          </cell>
          <cell r="AF35">
            <v>60000000</v>
          </cell>
          <cell r="AG35">
            <v>90000000</v>
          </cell>
        </row>
        <row r="36">
          <cell r="Z36" t="str">
            <v>11700-2-16-1</v>
          </cell>
          <cell r="AA36">
            <v>0</v>
          </cell>
          <cell r="AB36">
            <v>150000000</v>
          </cell>
          <cell r="AC36">
            <v>150000000</v>
          </cell>
          <cell r="AD36">
            <v>0</v>
          </cell>
          <cell r="AE36">
            <v>0</v>
          </cell>
          <cell r="AF36">
            <v>60000000</v>
          </cell>
          <cell r="AG36">
            <v>90000000</v>
          </cell>
        </row>
        <row r="37">
          <cell r="Z37" t="str">
            <v>11700-2-17-1</v>
          </cell>
          <cell r="AA37">
            <v>0</v>
          </cell>
          <cell r="AB37">
            <v>497391434</v>
          </cell>
          <cell r="AC37">
            <v>497391434</v>
          </cell>
          <cell r="AD37">
            <v>0</v>
          </cell>
          <cell r="AE37">
            <v>0</v>
          </cell>
          <cell r="AF37">
            <v>248695717</v>
          </cell>
          <cell r="AG37">
            <v>248695717</v>
          </cell>
        </row>
        <row r="38">
          <cell r="Z38" t="str">
            <v>11700-2-17-2</v>
          </cell>
          <cell r="AA38">
            <v>0</v>
          </cell>
          <cell r="AB38">
            <v>0</v>
          </cell>
          <cell r="AC38">
            <v>0</v>
          </cell>
          <cell r="AD38">
            <v>0</v>
          </cell>
          <cell r="AE38">
            <v>0</v>
          </cell>
          <cell r="AF38">
            <v>0</v>
          </cell>
          <cell r="AG38">
            <v>0</v>
          </cell>
        </row>
        <row r="39">
          <cell r="Z39" t="str">
            <v>11900-3-1-1</v>
          </cell>
          <cell r="AA39">
            <v>0</v>
          </cell>
          <cell r="AB39">
            <v>254442984</v>
          </cell>
          <cell r="AC39">
            <v>254442984</v>
          </cell>
          <cell r="AD39">
            <v>63610746</v>
          </cell>
          <cell r="AE39">
            <v>63610746</v>
          </cell>
          <cell r="AF39">
            <v>63610746</v>
          </cell>
          <cell r="AG39">
            <v>63610746</v>
          </cell>
        </row>
        <row r="40">
          <cell r="Z40" t="str">
            <v>11900-3-2-1</v>
          </cell>
          <cell r="AA40">
            <v>0</v>
          </cell>
          <cell r="AB40">
            <v>294388072</v>
          </cell>
          <cell r="AC40">
            <v>294388072</v>
          </cell>
          <cell r="AD40">
            <v>24093915</v>
          </cell>
          <cell r="AE40">
            <v>24093915</v>
          </cell>
          <cell r="AF40">
            <v>73597018</v>
          </cell>
          <cell r="AG40">
            <v>172603224</v>
          </cell>
        </row>
        <row r="41">
          <cell r="Z41" t="str">
            <v>11900-3-4-1</v>
          </cell>
          <cell r="AA41">
            <v>0</v>
          </cell>
          <cell r="AB41">
            <v>140708456</v>
          </cell>
          <cell r="AC41">
            <v>140708456</v>
          </cell>
          <cell r="AD41">
            <v>52765671</v>
          </cell>
          <cell r="AE41">
            <v>52765671</v>
          </cell>
          <cell r="AF41">
            <v>35177114</v>
          </cell>
          <cell r="AG41">
            <v>0</v>
          </cell>
        </row>
        <row r="42">
          <cell r="Z42" t="str">
            <v>11900-3-5-1</v>
          </cell>
          <cell r="AA42">
            <v>0</v>
          </cell>
          <cell r="AB42">
            <v>48960000</v>
          </cell>
          <cell r="AC42">
            <v>48960000</v>
          </cell>
          <cell r="AD42">
            <v>12240000</v>
          </cell>
          <cell r="AE42">
            <v>12240000</v>
          </cell>
          <cell r="AF42">
            <v>12240000</v>
          </cell>
          <cell r="AG42">
            <v>12240000</v>
          </cell>
        </row>
        <row r="43">
          <cell r="Z43" t="str">
            <v>11900-3-6-1</v>
          </cell>
          <cell r="AA43">
            <v>0</v>
          </cell>
          <cell r="AB43">
            <v>53164884</v>
          </cell>
          <cell r="AC43">
            <v>53164884</v>
          </cell>
          <cell r="AD43">
            <v>13291221</v>
          </cell>
          <cell r="AE43">
            <v>13291221</v>
          </cell>
          <cell r="AF43">
            <v>13291221</v>
          </cell>
          <cell r="AG43">
            <v>13291221</v>
          </cell>
        </row>
        <row r="44">
          <cell r="Z44" t="str">
            <v>11900-3-7-1</v>
          </cell>
          <cell r="AA44">
            <v>0</v>
          </cell>
          <cell r="AB44">
            <v>35443256</v>
          </cell>
          <cell r="AC44">
            <v>35443256</v>
          </cell>
          <cell r="AD44">
            <v>13291221</v>
          </cell>
          <cell r="AE44">
            <v>13291221</v>
          </cell>
          <cell r="AF44">
            <v>8860814</v>
          </cell>
          <cell r="AG44">
            <v>0</v>
          </cell>
        </row>
        <row r="45">
          <cell r="Z45" t="str">
            <v>11900-3-9-1</v>
          </cell>
          <cell r="AA45">
            <v>0</v>
          </cell>
          <cell r="AB45">
            <v>595641936</v>
          </cell>
          <cell r="AC45">
            <v>595641936</v>
          </cell>
          <cell r="AD45">
            <v>77660484</v>
          </cell>
          <cell r="AE45">
            <v>77660484</v>
          </cell>
          <cell r="AF45">
            <v>148910484</v>
          </cell>
          <cell r="AG45">
            <v>291410484</v>
          </cell>
        </row>
        <row r="46">
          <cell r="Z46" t="str">
            <v>11900-3-10-3</v>
          </cell>
          <cell r="AA46">
            <v>0</v>
          </cell>
          <cell r="AB46">
            <v>55760808</v>
          </cell>
          <cell r="AC46">
            <v>55760808</v>
          </cell>
          <cell r="AD46">
            <v>13940202</v>
          </cell>
          <cell r="AE46">
            <v>13940202</v>
          </cell>
          <cell r="AF46">
            <v>13940202</v>
          </cell>
          <cell r="AG46">
            <v>13940202</v>
          </cell>
        </row>
        <row r="47">
          <cell r="Z47" t="str">
            <v>12000-2-2-1</v>
          </cell>
          <cell r="AA47">
            <v>0</v>
          </cell>
          <cell r="AB47">
            <v>61642068</v>
          </cell>
          <cell r="AC47">
            <v>61642068</v>
          </cell>
          <cell r="AD47">
            <v>15410517</v>
          </cell>
          <cell r="AE47">
            <v>15410517</v>
          </cell>
          <cell r="AF47">
            <v>15410517</v>
          </cell>
          <cell r="AG47">
            <v>15410517</v>
          </cell>
        </row>
        <row r="76">
          <cell r="G76">
            <v>35443256</v>
          </cell>
        </row>
        <row r="77">
          <cell r="G77">
            <v>35443256</v>
          </cell>
        </row>
        <row r="78">
          <cell r="G78">
            <v>32640000</v>
          </cell>
        </row>
        <row r="79">
          <cell r="G79">
            <v>144328579</v>
          </cell>
        </row>
        <row r="80">
          <cell r="G80">
            <v>150000000</v>
          </cell>
        </row>
        <row r="81">
          <cell r="G81">
            <v>109144568</v>
          </cell>
        </row>
        <row r="89">
          <cell r="G89">
            <v>32640000</v>
          </cell>
        </row>
        <row r="173">
          <cell r="G173">
            <v>17721628</v>
          </cell>
        </row>
        <row r="174">
          <cell r="G174">
            <v>17721628</v>
          </cell>
        </row>
        <row r="175">
          <cell r="G175">
            <v>16320000</v>
          </cell>
        </row>
        <row r="176">
          <cell r="H176">
            <v>54572288</v>
          </cell>
        </row>
        <row r="184">
          <cell r="G184">
            <v>16320000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TAB. REF. PA"/>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sheetName val="Plan Adquisiciones"/>
    </sheetNames>
    <sheetDataSet>
      <sheetData sheetId="0" refreshError="1"/>
      <sheetData sheetId="1" refreshError="1"/>
      <sheetData sheetId="2">
        <row r="67">
          <cell r="G67">
            <v>32640000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Actividades relevantes Detalle"/>
      <sheetName val="PLAN DE ADQUISIONES COMPI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Control de Cambios"/>
      <sheetName val="Actividades relevantes Detalle"/>
      <sheetName val="PLAN DE ADQUISIONES COMPILADO"/>
      <sheetName val="TAB. REF. P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Control de Cambios"/>
      <sheetName val="Actividades relevantes Detalle"/>
      <sheetName val="PLAN DE ADQUISIONES COMPILADO"/>
      <sheetName val="TAB. REF. P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Control de Cambios"/>
      <sheetName val="Actividades relevantes Detalle"/>
      <sheetName val="PLAN DE ADQUISIONES COMPILADO"/>
      <sheetName val="TAB. REF. 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Control de Cambios"/>
      <sheetName val="Actividades relevantes Detalle"/>
      <sheetName val="PLAN DE ADQUISIONES COMPILADO"/>
      <sheetName val="TAB. REF. P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sheetName val="Plan Adquisiciones"/>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Hoja1"/>
      <sheetName val="Plan Adquisiciones"/>
      <sheetName val="TAB. REF. PA"/>
    </sheetNames>
    <sheetDataSet>
      <sheetData sheetId="0"/>
      <sheetData sheetId="1"/>
      <sheetData sheetId="2">
        <row r="5">
          <cell r="Z5" t="str">
            <v>11200-2-1-1</v>
          </cell>
          <cell r="AA5">
            <v>0</v>
          </cell>
          <cell r="AB5">
            <v>500000000</v>
          </cell>
          <cell r="AC5">
            <v>500000000</v>
          </cell>
          <cell r="AD5">
            <v>50000000</v>
          </cell>
        </row>
        <row r="6">
          <cell r="Z6" t="str">
            <v>11300-4-1-1</v>
          </cell>
          <cell r="AA6">
            <v>0</v>
          </cell>
          <cell r="AB6">
            <v>53187356</v>
          </cell>
          <cell r="AC6">
            <v>53187356</v>
          </cell>
          <cell r="AD6">
            <v>12240000</v>
          </cell>
        </row>
        <row r="7">
          <cell r="Z7" t="str">
            <v>11300-4-2-1</v>
          </cell>
          <cell r="AA7">
            <v>0</v>
          </cell>
          <cell r="AB7">
            <v>233813092</v>
          </cell>
          <cell r="AC7">
            <v>233813092</v>
          </cell>
          <cell r="AD7">
            <v>60776640</v>
          </cell>
        </row>
        <row r="8">
          <cell r="Z8" t="str">
            <v>11300-4-4-1</v>
          </cell>
          <cell r="AA8">
            <v>0</v>
          </cell>
          <cell r="AB8">
            <v>292066560</v>
          </cell>
          <cell r="AC8">
            <v>292066560</v>
          </cell>
          <cell r="AD8">
            <v>73016640</v>
          </cell>
        </row>
        <row r="9">
          <cell r="Z9" t="str">
            <v>11300-4-5-1</v>
          </cell>
          <cell r="AA9">
            <v>0</v>
          </cell>
          <cell r="AB9">
            <v>48960000</v>
          </cell>
          <cell r="AC9">
            <v>48960000</v>
          </cell>
          <cell r="AD9">
            <v>12240000</v>
          </cell>
        </row>
        <row r="10">
          <cell r="Z10" t="str">
            <v>11300-4-6-1</v>
          </cell>
          <cell r="AA10">
            <v>0</v>
          </cell>
          <cell r="AB10">
            <v>281973872</v>
          </cell>
          <cell r="AC10">
            <v>281973872</v>
          </cell>
          <cell r="AD10">
            <v>68170101</v>
          </cell>
        </row>
        <row r="11">
          <cell r="Z11" t="str">
            <v>11300-4-8-1</v>
          </cell>
          <cell r="AA11">
            <v>0</v>
          </cell>
          <cell r="AB11">
            <v>580945500</v>
          </cell>
          <cell r="AC11">
            <v>580945500</v>
          </cell>
          <cell r="AD11">
            <v>105626454.54545453</v>
          </cell>
        </row>
        <row r="12">
          <cell r="Z12" t="str">
            <v>11400-3-1-1</v>
          </cell>
          <cell r="AA12">
            <v>0</v>
          </cell>
          <cell r="AB12">
            <v>100516376</v>
          </cell>
          <cell r="AC12">
            <v>100516376</v>
          </cell>
          <cell r="AD12">
            <v>43249020</v>
          </cell>
        </row>
        <row r="13">
          <cell r="Z13" t="str">
            <v>11400-3-4-2</v>
          </cell>
          <cell r="AA13">
            <v>0</v>
          </cell>
          <cell r="AB13">
            <v>48960000</v>
          </cell>
          <cell r="AC13">
            <v>48960000</v>
          </cell>
          <cell r="AD13">
            <v>12240000</v>
          </cell>
        </row>
        <row r="14">
          <cell r="Z14" t="str">
            <v>11400-3-5-1</v>
          </cell>
          <cell r="AA14">
            <v>0</v>
          </cell>
          <cell r="AB14">
            <v>164378848</v>
          </cell>
          <cell r="AC14">
            <v>164378848</v>
          </cell>
          <cell r="AD14">
            <v>46231551</v>
          </cell>
        </row>
        <row r="15">
          <cell r="Z15" t="str">
            <v>11400-3-14-1</v>
          </cell>
          <cell r="AA15">
            <v>0</v>
          </cell>
          <cell r="AB15">
            <v>55000000</v>
          </cell>
          <cell r="AC15">
            <v>55000000</v>
          </cell>
          <cell r="AD15">
            <v>55000000</v>
          </cell>
        </row>
        <row r="16">
          <cell r="Z16" t="str">
            <v>11500-3-1-1</v>
          </cell>
          <cell r="AA16">
            <v>0</v>
          </cell>
          <cell r="AB16">
            <v>48960000</v>
          </cell>
          <cell r="AC16">
            <v>48960000</v>
          </cell>
          <cell r="AD16">
            <v>12240000</v>
          </cell>
        </row>
        <row r="17">
          <cell r="Z17" t="str">
            <v>11500-3-3-1</v>
          </cell>
          <cell r="AA17">
            <v>0</v>
          </cell>
          <cell r="AB17">
            <v>195840000</v>
          </cell>
          <cell r="AC17">
            <v>195840000</v>
          </cell>
          <cell r="AD17">
            <v>48960000</v>
          </cell>
        </row>
        <row r="18">
          <cell r="Z18" t="str">
            <v>11500-3-6-1</v>
          </cell>
          <cell r="AA18">
            <v>0</v>
          </cell>
          <cell r="AB18">
            <v>30882027540</v>
          </cell>
          <cell r="AC18">
            <v>30882027540</v>
          </cell>
          <cell r="AD18">
            <v>0</v>
          </cell>
        </row>
        <row r="19">
          <cell r="Z19" t="str">
            <v>11600-3-2-1</v>
          </cell>
          <cell r="AA19">
            <v>0</v>
          </cell>
          <cell r="AB19">
            <v>2614240473</v>
          </cell>
          <cell r="AC19">
            <v>2614240473</v>
          </cell>
          <cell r="AD19">
            <v>55884502.857142858</v>
          </cell>
        </row>
        <row r="20">
          <cell r="Z20" t="str">
            <v>11600-3-3-1</v>
          </cell>
          <cell r="AA20">
            <v>0</v>
          </cell>
          <cell r="AB20">
            <v>1024732093</v>
          </cell>
          <cell r="AC20">
            <v>1024732093</v>
          </cell>
          <cell r="AD20">
            <v>0</v>
          </cell>
        </row>
        <row r="21">
          <cell r="Z21" t="str">
            <v>11600-3-4-1</v>
          </cell>
          <cell r="AA21">
            <v>0</v>
          </cell>
          <cell r="AB21">
            <v>180000000</v>
          </cell>
          <cell r="AC21">
            <v>180000000</v>
          </cell>
          <cell r="AD21">
            <v>0</v>
          </cell>
        </row>
        <row r="22">
          <cell r="Z22" t="str">
            <v>11600-3-5-1</v>
          </cell>
          <cell r="AA22">
            <v>0</v>
          </cell>
          <cell r="AB22">
            <v>815594000</v>
          </cell>
          <cell r="AC22">
            <v>815594000</v>
          </cell>
          <cell r="AD22">
            <v>54431766.233766235</v>
          </cell>
        </row>
        <row r="23">
          <cell r="Z23" t="str">
            <v>11600-3-6-1</v>
          </cell>
          <cell r="AA23">
            <v>0</v>
          </cell>
          <cell r="AB23">
            <v>816000000</v>
          </cell>
          <cell r="AC23">
            <v>816000000</v>
          </cell>
          <cell r="AD23">
            <v>0</v>
          </cell>
        </row>
        <row r="24">
          <cell r="Z24" t="str">
            <v>11600-3-7-1</v>
          </cell>
          <cell r="AA24">
            <v>0</v>
          </cell>
          <cell r="AB24">
            <v>48960000</v>
          </cell>
          <cell r="AC24">
            <v>48960000</v>
          </cell>
          <cell r="AD24">
            <v>12240000</v>
          </cell>
        </row>
        <row r="25">
          <cell r="Z25" t="str">
            <v>11600-3-8-1</v>
          </cell>
          <cell r="AA25">
            <v>0</v>
          </cell>
          <cell r="AB25">
            <v>146880000</v>
          </cell>
          <cell r="AC25">
            <v>146880000</v>
          </cell>
          <cell r="AD25">
            <v>36720000</v>
          </cell>
        </row>
        <row r="26">
          <cell r="Z26" t="str">
            <v>11600-3-9-1</v>
          </cell>
          <cell r="AA26">
            <v>0</v>
          </cell>
          <cell r="AB26">
            <v>563496000</v>
          </cell>
          <cell r="AC26">
            <v>563496000</v>
          </cell>
          <cell r="AD26">
            <v>140874000</v>
          </cell>
        </row>
        <row r="27">
          <cell r="Z27" t="str">
            <v>11700-2-7-1</v>
          </cell>
          <cell r="AA27">
            <v>0</v>
          </cell>
          <cell r="AB27">
            <v>329126980</v>
          </cell>
          <cell r="AC27">
            <v>329126980</v>
          </cell>
          <cell r="AD27">
            <v>76281745</v>
          </cell>
        </row>
        <row r="28">
          <cell r="Z28" t="str">
            <v>11700-2-9-2</v>
          </cell>
          <cell r="AA28">
            <v>0</v>
          </cell>
          <cell r="AB28">
            <v>800000000</v>
          </cell>
          <cell r="AC28">
            <v>800000000</v>
          </cell>
          <cell r="AD28">
            <v>80000000</v>
          </cell>
        </row>
        <row r="29">
          <cell r="Z29" t="str">
            <v>11700-2-10-1</v>
          </cell>
          <cell r="AA29">
            <v>0</v>
          </cell>
          <cell r="AB29">
            <v>6000000</v>
          </cell>
          <cell r="AC29">
            <v>6000000</v>
          </cell>
          <cell r="AD29">
            <v>1090909.0909090908</v>
          </cell>
        </row>
        <row r="30">
          <cell r="Z30" t="str">
            <v>11700-2-11-1</v>
          </cell>
          <cell r="AA30">
            <v>0</v>
          </cell>
          <cell r="AB30">
            <v>139384920</v>
          </cell>
          <cell r="AC30">
            <v>139384920</v>
          </cell>
          <cell r="AD30">
            <v>19321230</v>
          </cell>
        </row>
        <row r="31">
          <cell r="Z31" t="str">
            <v>11700-2-12-1</v>
          </cell>
          <cell r="AA31">
            <v>0</v>
          </cell>
          <cell r="AB31">
            <v>58933468</v>
          </cell>
          <cell r="AC31">
            <v>58933468</v>
          </cell>
          <cell r="AD31">
            <v>13940000</v>
          </cell>
        </row>
        <row r="32">
          <cell r="Z32" t="str">
            <v>11700-2-12-2</v>
          </cell>
          <cell r="AA32">
            <v>0</v>
          </cell>
          <cell r="AB32">
            <v>34906936</v>
          </cell>
          <cell r="AC32">
            <v>34906936</v>
          </cell>
          <cell r="AD32">
            <v>6970101</v>
          </cell>
        </row>
        <row r="33">
          <cell r="Z33" t="str">
            <v>11700-2-13-1</v>
          </cell>
          <cell r="AA33">
            <v>0</v>
          </cell>
          <cell r="AB33">
            <v>60000000</v>
          </cell>
          <cell r="AC33">
            <v>60000000</v>
          </cell>
          <cell r="AD33">
            <v>10909090.909090908</v>
          </cell>
        </row>
        <row r="34">
          <cell r="Z34" t="str">
            <v>11700-2-14-1</v>
          </cell>
          <cell r="AA34">
            <v>0</v>
          </cell>
          <cell r="AB34">
            <v>2468609473</v>
          </cell>
          <cell r="AC34">
            <v>2468609473</v>
          </cell>
          <cell r="AD34">
            <v>5709090.9090909092</v>
          </cell>
        </row>
        <row r="35">
          <cell r="Z35" t="str">
            <v>11700-2-15-1</v>
          </cell>
          <cell r="AA35">
            <v>0</v>
          </cell>
          <cell r="AB35">
            <v>150000000</v>
          </cell>
          <cell r="AC35">
            <v>150000000</v>
          </cell>
          <cell r="AD35">
            <v>0</v>
          </cell>
        </row>
        <row r="36">
          <cell r="Z36" t="str">
            <v>11700-2-16-1</v>
          </cell>
          <cell r="AA36">
            <v>0</v>
          </cell>
          <cell r="AB36">
            <v>497391434</v>
          </cell>
          <cell r="AC36">
            <v>497391434</v>
          </cell>
          <cell r="AD36">
            <v>0</v>
          </cell>
        </row>
        <row r="37">
          <cell r="Z37" t="str">
            <v>11700-2-17-1</v>
          </cell>
          <cell r="AA37">
            <v>0</v>
          </cell>
          <cell r="AB37">
            <v>561418987.5</v>
          </cell>
          <cell r="AC37">
            <v>561418987.5</v>
          </cell>
          <cell r="AD37">
            <v>112500000</v>
          </cell>
        </row>
        <row r="38">
          <cell r="Z38" t="str">
            <v>11700-2-17-2</v>
          </cell>
          <cell r="AA38">
            <v>0</v>
          </cell>
          <cell r="AB38">
            <v>32640000</v>
          </cell>
          <cell r="AC38">
            <v>32640000</v>
          </cell>
          <cell r="AD38">
            <v>32640000</v>
          </cell>
        </row>
        <row r="39">
          <cell r="Z39" t="str">
            <v>11900-3-1-1</v>
          </cell>
          <cell r="AA39">
            <v>0</v>
          </cell>
          <cell r="AB39">
            <v>307607868</v>
          </cell>
          <cell r="AC39">
            <v>307607868</v>
          </cell>
          <cell r="AD39">
            <v>76901967</v>
          </cell>
        </row>
        <row r="40">
          <cell r="Z40" t="str">
            <v>11900-3-2-1</v>
          </cell>
          <cell r="AA40">
            <v>0</v>
          </cell>
          <cell r="AB40">
            <v>739005208</v>
          </cell>
          <cell r="AC40">
            <v>739005208</v>
          </cell>
          <cell r="AD40">
            <v>199041219</v>
          </cell>
        </row>
        <row r="41">
          <cell r="Z41" t="str">
            <v>11900-3-4-1</v>
          </cell>
          <cell r="AA41">
            <v>0</v>
          </cell>
          <cell r="AB41">
            <v>387129875</v>
          </cell>
          <cell r="AC41">
            <v>387129875</v>
          </cell>
          <cell r="AD41">
            <v>41705585.172727272</v>
          </cell>
        </row>
        <row r="42">
          <cell r="Z42" t="str">
            <v>11900-3-5-1</v>
          </cell>
          <cell r="AA42">
            <v>0</v>
          </cell>
          <cell r="AB42">
            <v>41933468</v>
          </cell>
          <cell r="AC42">
            <v>41933468</v>
          </cell>
          <cell r="AD42">
            <v>12240000</v>
          </cell>
        </row>
        <row r="43">
          <cell r="Z43" t="str">
            <v>11900-3-6-1</v>
          </cell>
          <cell r="AA43">
            <v>0</v>
          </cell>
          <cell r="AB43">
            <v>102124884</v>
          </cell>
          <cell r="AC43">
            <v>102124884</v>
          </cell>
          <cell r="AD43">
            <v>25531221</v>
          </cell>
        </row>
        <row r="44">
          <cell r="Z44" t="str">
            <v>11900-3-7-1</v>
          </cell>
          <cell r="AA44">
            <v>0</v>
          </cell>
          <cell r="AB44">
            <v>44736724</v>
          </cell>
          <cell r="AC44">
            <v>44736724</v>
          </cell>
          <cell r="AD44">
            <v>13291221</v>
          </cell>
        </row>
        <row r="45">
          <cell r="Z45" t="str">
            <v>11900-3-9-1</v>
          </cell>
          <cell r="AA45">
            <v>0</v>
          </cell>
          <cell r="AB45">
            <v>542477052</v>
          </cell>
          <cell r="AC45">
            <v>542477052</v>
          </cell>
          <cell r="AD45">
            <v>64369263</v>
          </cell>
        </row>
        <row r="46">
          <cell r="Z46" t="str">
            <v>11900-3-10-3</v>
          </cell>
          <cell r="AA46">
            <v>0</v>
          </cell>
          <cell r="AB46">
            <v>37173872</v>
          </cell>
          <cell r="AC46">
            <v>37173872</v>
          </cell>
          <cell r="AD46">
            <v>13940202</v>
          </cell>
        </row>
        <row r="47">
          <cell r="Z47" t="str">
            <v>12000-2-2-1</v>
          </cell>
          <cell r="AA47">
            <v>0</v>
          </cell>
          <cell r="AB47">
            <v>61642068</v>
          </cell>
          <cell r="AC47">
            <v>61642068</v>
          </cell>
          <cell r="AD47">
            <v>15410517</v>
          </cell>
        </row>
      </sheetData>
      <sheetData sheetId="3">
        <row r="5">
          <cell r="A5">
            <v>11200</v>
          </cell>
          <cell r="B5" t="str">
            <v>Dirección General</v>
          </cell>
        </row>
        <row r="6">
          <cell r="A6">
            <v>11300</v>
          </cell>
          <cell r="B6" t="str">
            <v>Dirección de Gestión de Recursos Financieros de Salud</v>
          </cell>
        </row>
        <row r="7">
          <cell r="A7">
            <v>11400</v>
          </cell>
          <cell r="B7" t="str">
            <v>Dirección de Liquidaciones y Garantías</v>
          </cell>
        </row>
        <row r="8">
          <cell r="A8">
            <v>11420</v>
          </cell>
          <cell r="B8" t="str">
            <v xml:space="preserve">Subdirección  Liquidaciones </v>
          </cell>
        </row>
        <row r="9">
          <cell r="A9">
            <v>11430</v>
          </cell>
          <cell r="B9" t="str">
            <v xml:space="preserve">Subdirección de Garantías </v>
          </cell>
        </row>
        <row r="10">
          <cell r="A10">
            <v>11500</v>
          </cell>
          <cell r="B10" t="str">
            <v xml:space="preserve">Dirección de Otras Prestaciones  </v>
          </cell>
        </row>
        <row r="11">
          <cell r="A11">
            <v>11600</v>
          </cell>
          <cell r="B11" t="str">
            <v>Dirección de Gestión de Tecnología de la Información y la Comunicación</v>
          </cell>
        </row>
        <row r="12">
          <cell r="A12">
            <v>11700</v>
          </cell>
          <cell r="B12" t="str">
            <v>Dirección Administrativa y Financiera</v>
          </cell>
        </row>
        <row r="13">
          <cell r="A13">
            <v>11800</v>
          </cell>
          <cell r="B13" t="str">
            <v>Oficina de Control Interno</v>
          </cell>
        </row>
        <row r="14">
          <cell r="A14">
            <v>11900</v>
          </cell>
          <cell r="B14" t="str">
            <v>Oficina Asesora Jurídica</v>
          </cell>
        </row>
        <row r="15">
          <cell r="A15">
            <v>12000</v>
          </cell>
          <cell r="B15" t="str">
            <v>Oficina Asesora de Planeación y Control de Riegos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row r="5">
          <cell r="Z5" t="str">
            <v>11200-2-1-1</v>
          </cell>
          <cell r="AA5">
            <v>0</v>
          </cell>
          <cell r="AB5">
            <v>500000000</v>
          </cell>
          <cell r="AC5">
            <v>500000000</v>
          </cell>
          <cell r="AD5">
            <v>50000000</v>
          </cell>
          <cell r="AE5">
            <v>150000000</v>
          </cell>
          <cell r="AF5">
            <v>150000000</v>
          </cell>
          <cell r="AG5">
            <v>150000000</v>
          </cell>
        </row>
        <row r="6">
          <cell r="Z6" t="str">
            <v>11300-4-1-1</v>
          </cell>
          <cell r="AA6">
            <v>0</v>
          </cell>
          <cell r="AB6">
            <v>53187356</v>
          </cell>
          <cell r="AC6">
            <v>53187356</v>
          </cell>
          <cell r="AD6">
            <v>12240000</v>
          </cell>
          <cell r="AE6">
            <v>12240000</v>
          </cell>
          <cell r="AF6">
            <v>13296839</v>
          </cell>
          <cell r="AG6">
            <v>15410517</v>
          </cell>
        </row>
        <row r="7">
          <cell r="Z7" t="str">
            <v>11300-4-2-1</v>
          </cell>
          <cell r="AA7">
            <v>0</v>
          </cell>
          <cell r="AB7">
            <v>233813092</v>
          </cell>
          <cell r="AC7">
            <v>233813092</v>
          </cell>
          <cell r="AD7">
            <v>60776640</v>
          </cell>
          <cell r="AE7">
            <v>60776640</v>
          </cell>
          <cell r="AF7">
            <v>58453273</v>
          </cell>
          <cell r="AG7">
            <v>53806539</v>
          </cell>
        </row>
        <row r="8">
          <cell r="Z8" t="str">
            <v>11300-4-4-1</v>
          </cell>
          <cell r="AA8">
            <v>0</v>
          </cell>
          <cell r="AB8">
            <v>292066560</v>
          </cell>
          <cell r="AC8">
            <v>292066560</v>
          </cell>
          <cell r="AD8">
            <v>73016640</v>
          </cell>
          <cell r="AE8">
            <v>73016640</v>
          </cell>
          <cell r="AF8">
            <v>73016640</v>
          </cell>
          <cell r="AG8">
            <v>73016640</v>
          </cell>
        </row>
        <row r="9">
          <cell r="Z9" t="str">
            <v>11300-4-5-1</v>
          </cell>
          <cell r="AA9">
            <v>0</v>
          </cell>
          <cell r="AB9">
            <v>48960000</v>
          </cell>
          <cell r="AC9">
            <v>48960000</v>
          </cell>
          <cell r="AD9">
            <v>12240000</v>
          </cell>
          <cell r="AE9">
            <v>12240000</v>
          </cell>
          <cell r="AF9">
            <v>12240000</v>
          </cell>
          <cell r="AG9">
            <v>12240000</v>
          </cell>
        </row>
        <row r="10">
          <cell r="Z10" t="str">
            <v>11300-4-6-1</v>
          </cell>
          <cell r="AA10">
            <v>0</v>
          </cell>
          <cell r="AB10">
            <v>281973872</v>
          </cell>
          <cell r="AC10">
            <v>281973872</v>
          </cell>
          <cell r="AD10">
            <v>68170101</v>
          </cell>
          <cell r="AE10">
            <v>68170101</v>
          </cell>
          <cell r="AF10">
            <v>70493468</v>
          </cell>
          <cell r="AG10">
            <v>75140202</v>
          </cell>
        </row>
        <row r="11">
          <cell r="Z11" t="str">
            <v>11300-4-8-1</v>
          </cell>
          <cell r="AA11">
            <v>0</v>
          </cell>
          <cell r="AB11">
            <v>580945500</v>
          </cell>
          <cell r="AC11">
            <v>580945500</v>
          </cell>
          <cell r="AD11">
            <v>105626454.54545453</v>
          </cell>
          <cell r="AE11">
            <v>158439681.81818178</v>
          </cell>
          <cell r="AF11">
            <v>158439681.81818178</v>
          </cell>
          <cell r="AG11">
            <v>158439681.81818178</v>
          </cell>
        </row>
        <row r="12">
          <cell r="Z12" t="str">
            <v>11400-3-1-1</v>
          </cell>
          <cell r="AA12">
            <v>0</v>
          </cell>
          <cell r="AB12">
            <v>100516376</v>
          </cell>
          <cell r="AC12">
            <v>100516376</v>
          </cell>
          <cell r="AD12">
            <v>43249020</v>
          </cell>
          <cell r="AE12">
            <v>12240000</v>
          </cell>
          <cell r="AF12">
            <v>17376839</v>
          </cell>
          <cell r="AG12">
            <v>27650517</v>
          </cell>
        </row>
        <row r="13">
          <cell r="Z13" t="str">
            <v>11400-3-4-2</v>
          </cell>
          <cell r="AA13">
            <v>0</v>
          </cell>
          <cell r="AB13">
            <v>48960000</v>
          </cell>
          <cell r="AC13">
            <v>48960000</v>
          </cell>
          <cell r="AD13">
            <v>12240000</v>
          </cell>
          <cell r="AE13">
            <v>12240000</v>
          </cell>
          <cell r="AF13">
            <v>12240000</v>
          </cell>
          <cell r="AG13">
            <v>12240000</v>
          </cell>
        </row>
        <row r="14">
          <cell r="Z14" t="str">
            <v>11400-3-5-1</v>
          </cell>
          <cell r="AA14">
            <v>0</v>
          </cell>
          <cell r="AB14">
            <v>164378848</v>
          </cell>
          <cell r="AC14">
            <v>164378848</v>
          </cell>
          <cell r="AD14">
            <v>46231551</v>
          </cell>
          <cell r="AE14">
            <v>46231551</v>
          </cell>
          <cell r="AF14">
            <v>41094712</v>
          </cell>
          <cell r="AG14">
            <v>30821034</v>
          </cell>
        </row>
        <row r="15">
          <cell r="Z15" t="str">
            <v>11400-3-14-1</v>
          </cell>
          <cell r="AA15">
            <v>0</v>
          </cell>
          <cell r="AB15">
            <v>55000000</v>
          </cell>
          <cell r="AC15">
            <v>55000000</v>
          </cell>
          <cell r="AD15">
            <v>55000000</v>
          </cell>
          <cell r="AE15">
            <v>0</v>
          </cell>
          <cell r="AF15">
            <v>0</v>
          </cell>
          <cell r="AG15">
            <v>0</v>
          </cell>
        </row>
        <row r="16">
          <cell r="Z16" t="str">
            <v>11500-3-1-1</v>
          </cell>
          <cell r="AA16">
            <v>0</v>
          </cell>
          <cell r="AB16">
            <v>48960000</v>
          </cell>
          <cell r="AC16">
            <v>48960000</v>
          </cell>
          <cell r="AD16">
            <v>12240000</v>
          </cell>
          <cell r="AE16">
            <v>12240000</v>
          </cell>
          <cell r="AF16">
            <v>12240000</v>
          </cell>
          <cell r="AG16">
            <v>12240000</v>
          </cell>
        </row>
        <row r="17">
          <cell r="Z17" t="str">
            <v>11500-3-3-1</v>
          </cell>
          <cell r="AA17">
            <v>0</v>
          </cell>
          <cell r="AB17">
            <v>195840000</v>
          </cell>
          <cell r="AC17">
            <v>195840000</v>
          </cell>
          <cell r="AD17">
            <v>48960000</v>
          </cell>
          <cell r="AE17">
            <v>48960000</v>
          </cell>
          <cell r="AF17">
            <v>48960000</v>
          </cell>
          <cell r="AG17">
            <v>48960000</v>
          </cell>
        </row>
        <row r="18">
          <cell r="Z18" t="str">
            <v>11500-3-6-1</v>
          </cell>
          <cell r="AA18">
            <v>0</v>
          </cell>
          <cell r="AB18">
            <v>30882027540</v>
          </cell>
          <cell r="AC18">
            <v>30882027540</v>
          </cell>
          <cell r="AD18">
            <v>0</v>
          </cell>
          <cell r="AE18">
            <v>7720506885</v>
          </cell>
          <cell r="AF18">
            <v>11580760327.5</v>
          </cell>
          <cell r="AG18">
            <v>11580760327.5</v>
          </cell>
        </row>
        <row r="19">
          <cell r="Z19" t="str">
            <v>11600-3-2-1</v>
          </cell>
          <cell r="AA19">
            <v>0</v>
          </cell>
          <cell r="AB19">
            <v>2614240473</v>
          </cell>
          <cell r="AC19">
            <v>2614240473</v>
          </cell>
          <cell r="AD19">
            <v>52857142.857142858</v>
          </cell>
          <cell r="AE19">
            <v>183571428.57142857</v>
          </cell>
          <cell r="AF19">
            <v>1037030914.9714285</v>
          </cell>
          <cell r="AG19">
            <v>1340780986.5999999</v>
          </cell>
        </row>
        <row r="20">
          <cell r="Z20" t="str">
            <v>11600-3-3-1</v>
          </cell>
          <cell r="AA20">
            <v>0</v>
          </cell>
          <cell r="AB20">
            <v>1024732093</v>
          </cell>
          <cell r="AC20">
            <v>1024732093</v>
          </cell>
          <cell r="AD20">
            <v>0</v>
          </cell>
          <cell r="AE20">
            <v>104606000</v>
          </cell>
          <cell r="AF20">
            <v>341169837.19999999</v>
          </cell>
          <cell r="AG20">
            <v>578956255.79999995</v>
          </cell>
        </row>
        <row r="21">
          <cell r="Z21" t="str">
            <v>11600-3-4-1</v>
          </cell>
          <cell r="AA21">
            <v>0</v>
          </cell>
          <cell r="AB21">
            <v>180000000</v>
          </cell>
          <cell r="AC21">
            <v>180000000</v>
          </cell>
          <cell r="AD21">
            <v>0</v>
          </cell>
          <cell r="AE21">
            <v>0</v>
          </cell>
          <cell r="AF21">
            <v>90000000</v>
          </cell>
          <cell r="AG21">
            <v>90000000</v>
          </cell>
        </row>
        <row r="22">
          <cell r="Z22" t="str">
            <v>11600-3-5-1</v>
          </cell>
          <cell r="AA22">
            <v>0</v>
          </cell>
          <cell r="AB22">
            <v>815594000</v>
          </cell>
          <cell r="AC22">
            <v>815594000</v>
          </cell>
          <cell r="AD22">
            <v>54431766.233766235</v>
          </cell>
          <cell r="AE22">
            <v>222866935.06493509</v>
          </cell>
          <cell r="AF22">
            <v>285366935.06493509</v>
          </cell>
          <cell r="AG22">
            <v>252928363.63636363</v>
          </cell>
        </row>
        <row r="23">
          <cell r="Z23" t="str">
            <v>11600-3-6-1</v>
          </cell>
          <cell r="AA23">
            <v>0</v>
          </cell>
          <cell r="AB23">
            <v>816000000</v>
          </cell>
          <cell r="AC23">
            <v>816000000</v>
          </cell>
          <cell r="AD23">
            <v>0</v>
          </cell>
          <cell r="AE23">
            <v>0</v>
          </cell>
          <cell r="AF23">
            <v>408000000</v>
          </cell>
          <cell r="AG23">
            <v>408000000</v>
          </cell>
        </row>
        <row r="24">
          <cell r="Z24" t="str">
            <v>11600-3-7-1</v>
          </cell>
          <cell r="AA24">
            <v>0</v>
          </cell>
          <cell r="AB24">
            <v>48960000</v>
          </cell>
          <cell r="AC24">
            <v>48960000</v>
          </cell>
          <cell r="AD24">
            <v>12240000</v>
          </cell>
          <cell r="AE24">
            <v>12240000</v>
          </cell>
          <cell r="AF24">
            <v>12240000</v>
          </cell>
          <cell r="AG24">
            <v>12240000</v>
          </cell>
        </row>
        <row r="25">
          <cell r="Z25" t="str">
            <v>11600-3-8-1</v>
          </cell>
          <cell r="AA25">
            <v>0</v>
          </cell>
          <cell r="AB25">
            <v>146880000</v>
          </cell>
          <cell r="AC25">
            <v>146880000</v>
          </cell>
          <cell r="AD25">
            <v>36720000</v>
          </cell>
          <cell r="AE25">
            <v>36720000</v>
          </cell>
          <cell r="AF25">
            <v>36720000</v>
          </cell>
          <cell r="AG25">
            <v>36720000</v>
          </cell>
        </row>
        <row r="26">
          <cell r="Z26" t="str">
            <v>11600-3-9-1</v>
          </cell>
          <cell r="AA26">
            <v>0</v>
          </cell>
          <cell r="AB26">
            <v>576178068</v>
          </cell>
          <cell r="AC26">
            <v>576178068</v>
          </cell>
          <cell r="AD26">
            <v>144044517</v>
          </cell>
          <cell r="AE26">
            <v>144044517</v>
          </cell>
          <cell r="AF26">
            <v>144044517</v>
          </cell>
          <cell r="AG26">
            <v>144044517</v>
          </cell>
        </row>
        <row r="27">
          <cell r="Z27" t="str">
            <v>11700-2-7-1</v>
          </cell>
          <cell r="AA27">
            <v>0</v>
          </cell>
          <cell r="AB27">
            <v>329126980</v>
          </cell>
          <cell r="AC27">
            <v>329126980</v>
          </cell>
          <cell r="AD27">
            <v>76281745</v>
          </cell>
          <cell r="AE27">
            <v>84281745</v>
          </cell>
          <cell r="AF27">
            <v>84281745</v>
          </cell>
          <cell r="AG27">
            <v>84281745</v>
          </cell>
        </row>
        <row r="28">
          <cell r="Z28" t="str">
            <v>11700-2-9-2</v>
          </cell>
          <cell r="AA28">
            <v>0</v>
          </cell>
          <cell r="AB28">
            <v>800000000</v>
          </cell>
          <cell r="AC28">
            <v>800000000</v>
          </cell>
          <cell r="AD28">
            <v>80000000</v>
          </cell>
          <cell r="AE28">
            <v>240000000</v>
          </cell>
          <cell r="AF28">
            <v>240000000</v>
          </cell>
          <cell r="AG28">
            <v>240000000</v>
          </cell>
        </row>
        <row r="29">
          <cell r="Z29" t="str">
            <v>11700-2-10-1</v>
          </cell>
          <cell r="AA29">
            <v>0</v>
          </cell>
          <cell r="AB29">
            <v>6000000</v>
          </cell>
          <cell r="AC29">
            <v>6000000</v>
          </cell>
          <cell r="AD29">
            <v>1090909.0909090908</v>
          </cell>
          <cell r="AE29">
            <v>1636363.6363636362</v>
          </cell>
          <cell r="AF29">
            <v>1636363.6363636362</v>
          </cell>
          <cell r="AG29">
            <v>1636363.6363636362</v>
          </cell>
        </row>
        <row r="30">
          <cell r="Z30" t="str">
            <v>11700-2-11-1</v>
          </cell>
          <cell r="AA30">
            <v>0</v>
          </cell>
          <cell r="AB30">
            <v>139384920</v>
          </cell>
          <cell r="AC30">
            <v>139384920</v>
          </cell>
          <cell r="AD30">
            <v>19321230</v>
          </cell>
          <cell r="AE30">
            <v>19321230</v>
          </cell>
          <cell r="AF30">
            <v>19321230</v>
          </cell>
          <cell r="AG30">
            <v>81421230</v>
          </cell>
        </row>
        <row r="31">
          <cell r="Z31" t="str">
            <v>11700-2-12-1</v>
          </cell>
          <cell r="AA31">
            <v>0</v>
          </cell>
          <cell r="AB31">
            <v>58933468</v>
          </cell>
          <cell r="AC31">
            <v>58933468</v>
          </cell>
          <cell r="AD31">
            <v>13940000</v>
          </cell>
          <cell r="AE31">
            <v>17340000</v>
          </cell>
          <cell r="AF31">
            <v>15583367</v>
          </cell>
          <cell r="AG31">
            <v>12070101</v>
          </cell>
        </row>
        <row r="32">
          <cell r="Z32" t="str">
            <v>11700-2-12-2</v>
          </cell>
          <cell r="AA32">
            <v>0</v>
          </cell>
          <cell r="AB32">
            <v>34906936</v>
          </cell>
          <cell r="AC32">
            <v>34906936</v>
          </cell>
          <cell r="AD32">
            <v>6970101</v>
          </cell>
          <cell r="AE32">
            <v>6970101</v>
          </cell>
          <cell r="AF32">
            <v>8726734</v>
          </cell>
          <cell r="AG32">
            <v>12240000</v>
          </cell>
        </row>
        <row r="33">
          <cell r="Z33" t="str">
            <v>11700-2-13-1</v>
          </cell>
          <cell r="AA33">
            <v>0</v>
          </cell>
          <cell r="AB33">
            <v>60000000</v>
          </cell>
          <cell r="AC33">
            <v>60000000</v>
          </cell>
          <cell r="AD33">
            <v>10909090.909090908</v>
          </cell>
          <cell r="AE33">
            <v>16363636.363636363</v>
          </cell>
          <cell r="AF33">
            <v>16363636.363636363</v>
          </cell>
          <cell r="AG33">
            <v>16363636.363636363</v>
          </cell>
        </row>
        <row r="34">
          <cell r="Z34" t="str">
            <v>11700-2-14-1</v>
          </cell>
          <cell r="AA34">
            <v>0</v>
          </cell>
          <cell r="AB34">
            <v>2468609473</v>
          </cell>
          <cell r="AC34">
            <v>2468609473</v>
          </cell>
          <cell r="AD34">
            <v>5709090.9090909092</v>
          </cell>
          <cell r="AE34">
            <v>5563636.3636363633</v>
          </cell>
          <cell r="AF34">
            <v>1097359970.2636366</v>
          </cell>
          <cell r="AG34">
            <v>1359976775.4636364</v>
          </cell>
        </row>
        <row r="35">
          <cell r="Z35" t="str">
            <v>11700-2-15-1</v>
          </cell>
          <cell r="AA35">
            <v>0</v>
          </cell>
          <cell r="AB35">
            <v>150000000</v>
          </cell>
          <cell r="AC35">
            <v>150000000</v>
          </cell>
          <cell r="AD35">
            <v>0</v>
          </cell>
          <cell r="AE35">
            <v>0</v>
          </cell>
          <cell r="AF35">
            <v>60000000</v>
          </cell>
          <cell r="AG35">
            <v>90000000</v>
          </cell>
        </row>
        <row r="36">
          <cell r="Z36" t="str">
            <v>11700-2-16-1</v>
          </cell>
          <cell r="AA36">
            <v>0</v>
          </cell>
          <cell r="AB36">
            <v>497391434</v>
          </cell>
          <cell r="AC36">
            <v>497391434</v>
          </cell>
          <cell r="AD36">
            <v>0</v>
          </cell>
          <cell r="AE36">
            <v>0</v>
          </cell>
          <cell r="AF36">
            <v>248695717</v>
          </cell>
          <cell r="AG36">
            <v>248695717</v>
          </cell>
        </row>
        <row r="37">
          <cell r="Z37" t="str">
            <v>11700-2-17-1</v>
          </cell>
          <cell r="AA37">
            <v>0</v>
          </cell>
          <cell r="AB37">
            <v>561418987.5</v>
          </cell>
          <cell r="AC37">
            <v>561418987.5</v>
          </cell>
          <cell r="AD37">
            <v>112500000</v>
          </cell>
          <cell r="AE37">
            <v>112500000</v>
          </cell>
          <cell r="AF37">
            <v>174671595</v>
          </cell>
          <cell r="AG37">
            <v>161747392.5</v>
          </cell>
        </row>
        <row r="38">
          <cell r="Z38" t="str">
            <v>11700-2-17-2</v>
          </cell>
          <cell r="AA38">
            <v>0</v>
          </cell>
          <cell r="AB38">
            <v>32640000</v>
          </cell>
          <cell r="AC38">
            <v>32640000</v>
          </cell>
          <cell r="AD38">
            <v>32640000</v>
          </cell>
          <cell r="AE38">
            <v>0</v>
          </cell>
          <cell r="AF38">
            <v>0</v>
          </cell>
          <cell r="AG38">
            <v>0</v>
          </cell>
        </row>
        <row r="39">
          <cell r="Z39" t="str">
            <v>11900-3-1-1</v>
          </cell>
          <cell r="AA39">
            <v>0</v>
          </cell>
          <cell r="AB39">
            <v>307607868</v>
          </cell>
          <cell r="AC39">
            <v>307607868</v>
          </cell>
          <cell r="AD39">
            <v>76901967</v>
          </cell>
          <cell r="AE39">
            <v>76901967</v>
          </cell>
          <cell r="AF39">
            <v>76901967</v>
          </cell>
          <cell r="AG39">
            <v>76901967</v>
          </cell>
        </row>
        <row r="40">
          <cell r="Z40" t="str">
            <v>11900-3-2-1</v>
          </cell>
          <cell r="AA40">
            <v>0</v>
          </cell>
          <cell r="AB40">
            <v>739005208</v>
          </cell>
          <cell r="AC40">
            <v>739005208</v>
          </cell>
          <cell r="AD40">
            <v>199041219</v>
          </cell>
          <cell r="AE40">
            <v>199041219</v>
          </cell>
          <cell r="AF40">
            <v>184751302</v>
          </cell>
          <cell r="AG40">
            <v>156171468</v>
          </cell>
        </row>
        <row r="41">
          <cell r="Z41" t="str">
            <v>11900-3-4-1</v>
          </cell>
          <cell r="AA41">
            <v>0</v>
          </cell>
          <cell r="AB41">
            <v>387129875</v>
          </cell>
          <cell r="AC41">
            <v>387129875</v>
          </cell>
          <cell r="AD41">
            <v>41705585.172727272</v>
          </cell>
          <cell r="AE41">
            <v>84207664.609090909</v>
          </cell>
          <cell r="AF41">
            <v>107407988.60909091</v>
          </cell>
          <cell r="AG41">
            <v>153808636.60909092</v>
          </cell>
        </row>
        <row r="42">
          <cell r="Z42" t="str">
            <v>11900-3-5-1</v>
          </cell>
          <cell r="AA42">
            <v>0</v>
          </cell>
          <cell r="AB42">
            <v>41933468</v>
          </cell>
          <cell r="AC42">
            <v>41933468</v>
          </cell>
          <cell r="AD42">
            <v>12240000</v>
          </cell>
          <cell r="AE42">
            <v>12240000</v>
          </cell>
          <cell r="AF42">
            <v>10483367</v>
          </cell>
          <cell r="AG42">
            <v>6970101</v>
          </cell>
        </row>
        <row r="43">
          <cell r="Z43" t="str">
            <v>11900-3-6-1</v>
          </cell>
          <cell r="AA43">
            <v>0</v>
          </cell>
          <cell r="AB43">
            <v>102124884</v>
          </cell>
          <cell r="AC43">
            <v>102124884</v>
          </cell>
          <cell r="AD43">
            <v>25531221</v>
          </cell>
          <cell r="AE43">
            <v>25531221</v>
          </cell>
          <cell r="AF43">
            <v>25531221</v>
          </cell>
          <cell r="AG43">
            <v>25531221</v>
          </cell>
        </row>
        <row r="44">
          <cell r="Z44" t="str">
            <v>11900-3-7-1</v>
          </cell>
          <cell r="AA44">
            <v>0</v>
          </cell>
          <cell r="AB44">
            <v>44736724</v>
          </cell>
          <cell r="AC44">
            <v>44736724</v>
          </cell>
          <cell r="AD44">
            <v>13291221</v>
          </cell>
          <cell r="AE44">
            <v>13291221</v>
          </cell>
          <cell r="AF44">
            <v>11184181</v>
          </cell>
          <cell r="AG44">
            <v>6970101</v>
          </cell>
        </row>
        <row r="45">
          <cell r="Z45" t="str">
            <v>11900-3-9-1</v>
          </cell>
          <cell r="AA45">
            <v>0</v>
          </cell>
          <cell r="AB45">
            <v>542477052</v>
          </cell>
          <cell r="AC45">
            <v>542477052</v>
          </cell>
          <cell r="AD45">
            <v>64369263</v>
          </cell>
          <cell r="AE45">
            <v>64369263</v>
          </cell>
          <cell r="AF45">
            <v>135619263</v>
          </cell>
          <cell r="AG45">
            <v>278119263</v>
          </cell>
        </row>
        <row r="46">
          <cell r="Z46" t="str">
            <v>11900-3-10-3</v>
          </cell>
          <cell r="AA46">
            <v>0</v>
          </cell>
          <cell r="AB46">
            <v>37173872</v>
          </cell>
          <cell r="AC46">
            <v>37173872</v>
          </cell>
          <cell r="AD46">
            <v>13940202</v>
          </cell>
          <cell r="AE46">
            <v>13940202</v>
          </cell>
          <cell r="AF46">
            <v>9293468</v>
          </cell>
          <cell r="AG46">
            <v>0</v>
          </cell>
        </row>
        <row r="47">
          <cell r="Z47" t="str">
            <v>12000-2-2-1</v>
          </cell>
          <cell r="AA47">
            <v>0</v>
          </cell>
          <cell r="AB47">
            <v>61642068</v>
          </cell>
          <cell r="AC47">
            <v>61642068</v>
          </cell>
          <cell r="AD47">
            <v>15410517</v>
          </cell>
          <cell r="AE47">
            <v>15410517</v>
          </cell>
          <cell r="AF47">
            <v>15410517</v>
          </cell>
          <cell r="AG47">
            <v>15410517</v>
          </cell>
        </row>
      </sheetData>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sheetName val="Plan Adquisiciones"/>
    </sheetNames>
    <sheetDataSet>
      <sheetData sheetId="0" refreshError="1">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sheetName val="Plan Adquisiciones"/>
    </sheetNames>
    <sheetDataSet>
      <sheetData sheetId="0"/>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DAF y OAJ"/>
      <sheetName val="Plan Adquisiciones"/>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norela.briceno/AppData/Local/Microsoft/Windows/INetCache/Content.Outlook/FBI6K8AZ/Plan%20Accion%20ADRES%20Vigencia%202018%2029-01-18%20power%20poin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ARDO ANDRES VARON VILLAREAL" refreshedDate="43129.535882870368" createdVersion="6" refreshedVersion="6" minRefreshableVersion="3" recordCount="194" xr:uid="{00000000-000A-0000-FFFF-FFFF03000000}">
  <cacheSource type="worksheet">
    <worksheetSource ref="A4:K198" sheet="Plan Adquisiciones" r:id="rId2"/>
  </cacheSource>
  <cacheFields count="11">
    <cacheField name="Código UNSPSC" numFmtId="0">
      <sharedItems containsBlank="1" containsMixedTypes="1" containsNumber="1" containsInteger="1" minValue="5512802" maxValue="931415506"/>
    </cacheField>
    <cacheField name="Descripción" numFmtId="0">
      <sharedItems containsBlank="1" longText="1"/>
    </cacheField>
    <cacheField name="Fecha estimada de inicio de proceso de selección (mes)" numFmtId="0">
      <sharedItems containsString="0" containsBlank="1" containsNumber="1" containsInteger="1" minValue="1" maxValue="11"/>
    </cacheField>
    <cacheField name="Duración estimada del contrato (intervalo: días, meses, años)" numFmtId="0">
      <sharedItems containsString="0" containsBlank="1" containsNumber="1" containsInteger="1" minValue="1" maxValue="11"/>
    </cacheField>
    <cacheField name="Modalidad de selección " numFmtId="0">
      <sharedItems containsBlank="1"/>
    </cacheField>
    <cacheField name="Fuente de los recursos" numFmtId="0">
      <sharedItems containsString="0" containsBlank="1" containsNumber="1" containsInteger="1" minValue="1" maxValue="1"/>
    </cacheField>
    <cacheField name="Valor total estimado " numFmtId="41">
      <sharedItems containsSemiMixedTypes="0" containsString="0" containsNumber="1" minValue="0" maxValue="47311456995.5"/>
    </cacheField>
    <cacheField name="Valor estimado en la vigencia actual" numFmtId="41">
      <sharedItems containsSemiMixedTypes="0" containsString="0" containsNumber="1" minValue="0" maxValue="47311456995.5"/>
    </cacheField>
    <cacheField name="¿Se requieren vigencias futuras?" numFmtId="0">
      <sharedItems containsString="0" containsBlank="1" containsNumber="1" containsInteger="1" minValue="0" maxValue="0"/>
    </cacheField>
    <cacheField name="Estado de solicitud de vigencias futuras" numFmtId="0">
      <sharedItems containsString="0" containsBlank="1" containsNumber="1" containsInteger="1" minValue="0" maxValue="0"/>
    </cacheField>
    <cacheField name="Dependencia ADRES" numFmtId="0">
      <sharedItems containsBlank="1" count="15">
        <s v="Dirección de Gestión de Recursos Financieros de Salud"/>
        <s v="Oficina Asesora de Planeación y Control de Riesgo"/>
        <s v="Dirección de Liquidaciones y Garantías - Subdirección de Liquidaciones del Aseguramiento"/>
        <s v="Dirección de Liquidaciones y Garantías - Subdirección de Garantías"/>
        <s v="Dirección de Gestión de Tecnología de la Información y la Comunicación"/>
        <s v="Dirección Otras Prestaciones"/>
        <s v="Oficina Asesora Jurídica - Grupo de Acciones Constitucionales y Tutelas"/>
        <s v="Oficina Asesora Jurídica - Grupo de Representación Judicial"/>
        <s v="Oficina Asesora Jurídica - Grupo de Cobro Coactivo"/>
        <s v="Dirección Administrativa y Financiera - Grupo de Contratación"/>
        <s v="Oficina Asesora Jurídica"/>
        <s v="Dirección Administrativa y Financiera"/>
        <s v="Dirección Administrativa y Financiera - Grupo de Talento Humano"/>
        <m/>
        <s v="Dirección General"/>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4">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26977168"/>
    <n v="269771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26977168"/>
    <n v="269771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planes, programas y demás acciones relacionadas con la gestión y las operaciones presupuestales, contables y de tesorería de los recursos financieros del  Sistema General de Seguridad Social en Salud, que administra la ADRES en cumplimiento de lo establecido por los artículos 66 y 67 de la Ley 1753 de 2015"/>
    <n v="1"/>
    <n v="8"/>
    <s v="CCE-16"/>
    <n v="1"/>
    <n v="32640000"/>
    <n v="32640000"/>
    <n v="0"/>
    <n v="0"/>
    <x v="0"/>
  </r>
  <r>
    <n v="84121701"/>
    <s v="Constituir una fiducia pública para el manejo del portafolio de inversiones marginales que resulte de la operación de la ADRES "/>
    <n v="1"/>
    <n v="11"/>
    <s v="CCE-16"/>
    <n v="1"/>
    <n v="518845499.99999994"/>
    <n v="518845499.99999994"/>
    <n v="0"/>
    <n v="0"/>
    <x v="0"/>
  </r>
  <r>
    <n v="801016000"/>
    <s v="Realizar la custodia, administración, compensación y liquidación de valores en depósito de los títulos valores de propiedad de la ADRES y/o generados del portafolio de inversiones marginales que resulte de la operación de la entidad."/>
    <n v="1"/>
    <n v="11"/>
    <s v="CCE-16"/>
    <n v="1"/>
    <n v="62100000"/>
    <n v="62100000"/>
    <n v="0"/>
    <n v="0"/>
    <x v="0"/>
  </r>
  <r>
    <n v="93151501"/>
    <s v="Apoyar el levantamiento de procesos al interior de la ADRES, de acuerdo a lo definido en MIPG, alineado con el decreto 1429 de 2017, brindando acompañamiento y asesoría en actividades relacionadas con requerimientos que la Oficina de Planeación y Control de Riesgos requiera con el fin de planear, hacer verificar y Actuar con respecto a lineamientos, normas y leyes que de acuerdo a la normatividad vigente aplique para la Administradora de los recursos del Sistema General de Seguridad Social en Salud ADRES"/>
    <n v="1"/>
    <n v="8"/>
    <s v="CCE-16"/>
    <n v="1"/>
    <n v="41094712"/>
    <n v="41094712"/>
    <n v="0"/>
    <n v="0"/>
    <x v="1"/>
  </r>
  <r>
    <n v="80101604"/>
    <s v="Apoyar a la Dirección de Liquidaciones y Garantías de la ADRES en el desarrollo de las actividades de liquidación y reconocimiento de prestaciones económicas y devolución de aportes a los afiliados  al régimen especial y exceptuado."/>
    <n v="1"/>
    <n v="8"/>
    <s v="CCE-16"/>
    <n v="1"/>
    <n v="41094712"/>
    <n v="41094712"/>
    <n v="0"/>
    <n v="0"/>
    <x v="2"/>
  </r>
  <r>
    <n v="8111801"/>
    <s v="Apoyar a la Dirección de Liquidaciones y Garantías de la ADRES en el desarrollo de las actividades de los procesos de compensación del régimen contributivo de salud, y de la liquidación y reconocimiento de prestaciones económicas a los afiliados  al régimen contributivo y a los regímenes especial y exceptuado con ingresos adicionales"/>
    <n v="1"/>
    <n v="8"/>
    <s v="CCE-16"/>
    <n v="1"/>
    <n v="32640000"/>
    <n v="32640000"/>
    <n v="0"/>
    <n v="0"/>
    <x v="2"/>
  </r>
  <r>
    <n v="8111801"/>
    <s v="Apoyar a la Dirección de Liquidaciones y Garantías de la ADRES en el desarrollo de las actividades del proceso de reintegro de recursos apropiados sin justa causa"/>
    <n v="1"/>
    <n v="8"/>
    <s v="CCE-16"/>
    <n v="1"/>
    <n v="32640000"/>
    <n v="32640000"/>
    <n v="0"/>
    <n v="0"/>
    <x v="2"/>
  </r>
  <r>
    <n v="80101604"/>
    <s v="Apoyar a la Dirección de Liquidaciones y Garantías de la ADRES en el desarrollo de las actividades de liquidación y reconocimiento de prestaciones económicas y devolución de aportes a los afiliados  al régimen especial y exceptuado."/>
    <n v="1"/>
    <n v="8"/>
    <s v="CCE-16"/>
    <n v="1"/>
    <n v="41094712"/>
    <n v="41094712"/>
    <n v="0"/>
    <n v="0"/>
    <x v="2"/>
  </r>
  <r>
    <n v="8111801"/>
    <s v="Apoyar a la Dirección de Liquidaciones y Garantías de la ADRES en el desarrollo de las actividades de los procesos de compensación del régimen contributivo de salud y sus procesos complementarios y de la liquidación y reconocimiento de prestaciones económicas a los afiliados  al régimen contributivo y a los regímenes especial y exceptuado con ingresos adicionales"/>
    <n v="1"/>
    <n v="8"/>
    <s v="CCE-16"/>
    <m/>
    <n v="41094712"/>
    <n v="41094712"/>
    <n v="0"/>
    <n v="0"/>
    <x v="2"/>
  </r>
  <r>
    <n v="80101604"/>
    <s v="Asesorar a la Dirección de liquidaciones y garantías, en lo concerniente a las operaciones que se realizan con cargo de los mecanismos de Garantías, teniendo en cuenta la normatividad legal vigente."/>
    <n v="1"/>
    <n v="2"/>
    <s v="CCE-16"/>
    <m/>
    <n v="31009020"/>
    <n v="31009020"/>
    <n v="0"/>
    <n v="0"/>
    <x v="3"/>
  </r>
  <r>
    <s v="43232605-43232304"/>
    <s v="Adquisición, soporte técnico y capacitación del software Stata 15 en sus versiones SE y MP para la Administradora de los Recursos del Sistema de Seguridad Social en Salud – ADRES."/>
    <n v="1"/>
    <n v="3"/>
    <s v="CCE-16"/>
    <m/>
    <n v="55000000"/>
    <n v="55000000"/>
    <n v="0"/>
    <n v="0"/>
    <x v="3"/>
  </r>
  <r>
    <n v="81111811"/>
    <s v="Apoyar técnicamente a la Entidad en los procesos relacionados con el soporte a la infraestructura tecnológica, conectividad, de ofimática y periféricos, que permiten el normal funcionamiento de sus operaciones en la sede de la misma."/>
    <n v="1"/>
    <n v="8"/>
    <s v="CCE-16"/>
    <m/>
    <n v="32640000"/>
    <n v="32640000"/>
    <n v="0"/>
    <n v="0"/>
    <x v="4"/>
  </r>
  <r>
    <n v="81111801"/>
    <s v="Apoyar la gestión de los procesos y procedimientos misionales y tecnológicos de la Base de Datos Única de Afiliados – BDUA brindando la asistencia técnica necesaria a los actores del proceso bajo la normativa vigente."/>
    <n v="1"/>
    <n v="8"/>
    <s v="CCE-16"/>
    <m/>
    <n v="32640000"/>
    <n v="32640000"/>
    <n v="0"/>
    <n v="0"/>
    <x v="4"/>
  </r>
  <r>
    <n v="81111801"/>
    <s v="Apoyar la gestión de los procesos y procedimientos misionales y tecnológicos de la Base de Datos Única de Afiliados – BDUA brindando la asistencia técnica necesaria a los actores del proceso bajo la normativa vigente"/>
    <n v="1"/>
    <n v="8"/>
    <s v="CCE-16"/>
    <m/>
    <n v="32640000"/>
    <n v="32640000"/>
    <n v="0"/>
    <n v="0"/>
    <x v="4"/>
  </r>
  <r>
    <n v="81111801"/>
    <s v="Apoyar la gestión de los procesos y procedimientos misionales y tecnológicos de la Base de Datos Única de Afiliados – BDUA brindando la asistencia técnica necesaria a los actores del proceso bajo la normativa vigente."/>
    <n v="1"/>
    <n v="8"/>
    <s v="CCE-16"/>
    <m/>
    <n v="32640000"/>
    <n v="32640000"/>
    <n v="0"/>
    <n v="0"/>
    <x v="4"/>
  </r>
  <r>
    <n v="81111811"/>
    <s v="Apoyar técnicamente a la Dirección de Gestión de Tecnologías de Información y Comunicaciones en el proceso de desarrollo, soporte, mantenimiento, actualización e integración de los aplicativos que soportan las operaciones misionales de la Entidad"/>
    <n v="1"/>
    <n v="8"/>
    <s v="CCE-16"/>
    <m/>
    <n v="32640000"/>
    <n v="32640000"/>
    <n v="0"/>
    <n v="0"/>
    <x v="4"/>
  </r>
  <r>
    <n v="81111811"/>
    <s v="Apoyar a la Dirección de Gestión de Tecnologías de Información y Comunicaciones en el proceso de desarrollo, soporte, mantenimiento, actualización e integración de los aplicativos que soportan las operaciones misionales de la Entidad"/>
    <n v="1"/>
    <n v="8"/>
    <s v="CCE-16"/>
    <m/>
    <n v="35443256"/>
    <n v="35443256"/>
    <n v="0"/>
    <n v="0"/>
    <x v="4"/>
  </r>
  <r>
    <n v="931515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1"/>
    <n v="8"/>
    <s v="CCE-16"/>
    <m/>
    <n v="64250440"/>
    <n v="6425044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1"/>
    <n v="8"/>
    <s v="CCE-16"/>
    <m/>
    <n v="64250440"/>
    <n v="6425044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1"/>
    <n v="8"/>
    <s v="CCE-16"/>
    <m/>
    <n v="64250440"/>
    <n v="64250440"/>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1"/>
    <n v="8"/>
    <s v="CCE-16"/>
    <m/>
    <n v="41094712"/>
    <n v="41094712"/>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1"/>
    <n v="8"/>
    <s v="CCE-16"/>
    <m/>
    <n v="41094712"/>
    <n v="41094712"/>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1"/>
    <n v="8"/>
    <s v="CCE-16"/>
    <m/>
    <n v="41094712"/>
    <n v="41094712"/>
    <n v="0"/>
    <n v="0"/>
    <x v="4"/>
  </r>
  <r>
    <s v="83111602 - 83112304 "/>
    <s v="Servicio de Conectividad"/>
    <n v="11"/>
    <n v="1"/>
    <s v="CCE-99"/>
    <m/>
    <n v="30273600"/>
    <n v="30273600"/>
    <n v="0"/>
    <n v="0"/>
    <x v="4"/>
  </r>
  <r>
    <n v="81112003"/>
    <s v="Adquirir el servicio de Nube Privada para la ADRES"/>
    <n v="7"/>
    <n v="5"/>
    <s v="CCE-99"/>
    <m/>
    <n v="2102398716"/>
    <n v="2102398716"/>
    <n v="0"/>
    <n v="0"/>
    <x v="4"/>
  </r>
  <r>
    <n v="43233201"/>
    <s v="Renovación del licenciamiento del software Crypto-Vault para las actividades de aseguramiento criptográfico digital de los archivos recibidos y remitidos por la Administradora de los Recursos del Sistema General de Seguridad Social en Salud - ADRES en cumplimiento de la operación de administración de los recursos financieros del Sistema General de Seguridad Social en Salud"/>
    <n v="7"/>
    <n v="5"/>
    <s v="CCE-10"/>
    <m/>
    <n v="22706093"/>
    <n v="22706093"/>
    <n v="0"/>
    <n v="0"/>
    <x v="4"/>
  </r>
  <r>
    <n v="81112200"/>
    <s v="Prestar el servicio de soporte y administración de la plataforma de gestión documental DOCUMENTUM y la solución de correspondencia de la ADRES"/>
    <n v="1"/>
    <n v="11"/>
    <s v="CCE-16"/>
    <m/>
    <n v="239904000"/>
    <n v="239904000"/>
    <n v="0"/>
    <n v="0"/>
    <x v="4"/>
  </r>
  <r>
    <s v="43231507 - 81112303 - 43232604_x000a_"/>
    <s v="Adquirir licencias Microsoft, el soporte de las mismas y demás servicios conexos."/>
    <n v="7"/>
    <n v="5"/>
    <s v="CCE-99"/>
    <m/>
    <n v="437946000"/>
    <n v="437946000"/>
    <n v="0"/>
    <n v="0"/>
    <x v="4"/>
  </r>
  <r>
    <n v="81112401"/>
    <s v="Servicio de arrendamiento de Equipos Tecnológicos y Periféricos"/>
    <n v="11"/>
    <n v="1"/>
    <s v="CCE-99"/>
    <m/>
    <n v="11568157"/>
    <n v="11568157"/>
    <n v="0"/>
    <n v="0"/>
    <x v="4"/>
  </r>
  <r>
    <n v="43201800"/>
    <s v="Adquirir los elementos de infraestructura tecnológica"/>
    <n v="4"/>
    <n v="8"/>
    <s v="CCE-99"/>
    <m/>
    <n v="10000000"/>
    <n v="10000000"/>
    <n v="0"/>
    <n v="0"/>
    <x v="4"/>
  </r>
  <r>
    <n v="43201800"/>
    <s v="Adquirir un Robot de cintas LTO6  para copias de respaldo de información de la nube privada de la entidad"/>
    <n v="4"/>
    <n v="8"/>
    <s v="CCE-07"/>
    <m/>
    <n v="90000000"/>
    <n v="90000000"/>
    <n v="0"/>
    <n v="0"/>
    <x v="4"/>
  </r>
  <r>
    <s v="43201800  -40101707"/>
    <s v="Adquisición de servidores y switches core "/>
    <n v="5"/>
    <n v="7"/>
    <s v="CCE-99"/>
    <m/>
    <n v="370000000"/>
    <n v="370000000"/>
    <n v="0"/>
    <n v="0"/>
    <x v="4"/>
  </r>
  <r>
    <n v="8116711"/>
    <s v="Servicio de videoconferencia gubernamental y adquisición de equipos"/>
    <n v="5"/>
    <n v="7"/>
    <s v="CCE-06"/>
    <m/>
    <n v="75690000"/>
    <n v="75690000"/>
    <n v="0"/>
    <n v="0"/>
    <x v="4"/>
  </r>
  <r>
    <n v="43231507"/>
    <s v="Renovación del licenciamiento Microsoft Dinamycs  ERP "/>
    <n v="4"/>
    <n v="8"/>
    <s v="CCE-99"/>
    <m/>
    <n v="68424000"/>
    <n v="68424000"/>
    <n v="0"/>
    <n v="0"/>
    <x v="4"/>
  </r>
  <r>
    <n v="43231500"/>
    <s v="Renovación Licenciamiento actual SGD DOCUMENTUN"/>
    <n v="3"/>
    <n v="9"/>
    <s v="CCE-06"/>
    <m/>
    <n v="145656000"/>
    <n v="145656000"/>
    <n v="0"/>
    <n v="0"/>
    <x v="4"/>
  </r>
  <r>
    <n v="8111707"/>
    <s v="Nuevos desarrollos y mantenimiento de aplicaciones"/>
    <n v="6"/>
    <n v="6"/>
    <s v="CCE-04"/>
    <m/>
    <n v="816000000"/>
    <n v="816000000"/>
    <n v="0"/>
    <n v="0"/>
    <x v="4"/>
  </r>
  <r>
    <s v="80101500  - 81111800  - 80101600 - 92121700"/>
    <s v="Apoyo técnico para la implementación del Modelo de Seguridad y Privacidad de la Información"/>
    <n v="6"/>
    <n v="6"/>
    <s v="CCE-04"/>
    <m/>
    <n v="180000000"/>
    <n v="180000000"/>
    <n v="0"/>
    <n v="0"/>
    <x v="4"/>
  </r>
  <r>
    <n v="83111507"/>
    <s v="Adquirir la Prestación de Servicios BPO-Mesa de ayuda, mediante Acuerdo Marco de Precios"/>
    <n v="4"/>
    <n v="8"/>
    <s v="CCE-09"/>
    <m/>
    <n v="500000000"/>
    <n v="500000000"/>
    <n v="0"/>
    <n v="0"/>
    <x v="4"/>
  </r>
  <r>
    <n v="43231507"/>
    <s v="Adquirir el licenciamiento en la nube de la solución Dynamics 365 enterprise para atención a incidentes en mesa de ayuda."/>
    <n v="4"/>
    <n v="8"/>
    <s v="CCE-09"/>
    <m/>
    <n v="350000000"/>
    <n v="350000000"/>
    <n v="0"/>
    <n v="0"/>
    <x v="4"/>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n v="81112002"/>
    <s v="Apoyar a la Dirección de Otras Prestaciones de la ADRES con el análisis, verificación y cruce de la información de las fuentes internas y externas, involucradas en los procesos de recobros y reclamaciones, efectuando las validaciones que se consideren pertinente al interior del proceso "/>
    <n v="1"/>
    <n v="8"/>
    <s v="CCE-16"/>
    <m/>
    <n v="32640000"/>
    <n v="32640000"/>
    <n v="0"/>
    <n v="0"/>
    <x v="5"/>
  </r>
  <r>
    <n v="80101505"/>
    <s v="Realizar la auditoría integral en salud, jurídica y financiera a las solicitudes de recobro por servicios y tecnologías no incluidas en el Plan de Beneficios en Salud con cargo a la UPC y a las reclamaciones por los eventos de que trata el Artículo 167 de la Ley 100 de 1993 con cargo a los recursos del Fondo de Solidaridad y Garantía – FOSYGA del Sistema General de Seguridad Social en Salud o quien haga sus veces."/>
    <n v="4"/>
    <n v="8"/>
    <s v="CCE-04"/>
    <m/>
    <n v="30882027540"/>
    <n v="30882027540"/>
    <n v="0"/>
    <n v="0"/>
    <x v="5"/>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26977168"/>
    <n v="26977168"/>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26977168"/>
    <n v="26977168"/>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26977168"/>
    <n v="26977168"/>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51523280"/>
    <n v="51523280"/>
    <n v="0"/>
    <n v="0"/>
    <x v="6"/>
  </r>
  <r>
    <n v="93151507"/>
    <s v="Prestación de servicios de apoyo técnico a la Oficina Asesora Jurídica, Grupo de Acciones Constitucionales en asuntos relacionados con el mismo ( tutelas, sentencias e incidentes), provenientes de los Despachos Judiciales a nivel nacional, con fundamento en las normas constitucionales y legales vigentes. "/>
    <n v="1"/>
    <n v="8"/>
    <s v="CCE-16"/>
    <m/>
    <n v="18586936"/>
    <n v="18586936"/>
    <n v="0"/>
    <n v="0"/>
    <x v="6"/>
  </r>
  <r>
    <n v="93151507"/>
    <s v="Apoyo a la Oficina Asesora Jurídica de la ADRES en actividades que tienen que ver con el registro, clasificación y control de la documentación en las bases de datos destinadas para esta finalidad y manejo de correspondencia. "/>
    <n v="1"/>
    <n v="8"/>
    <s v="CCE-16"/>
    <m/>
    <n v="18586936"/>
    <n v="18586936"/>
    <n v="0"/>
    <n v="0"/>
    <x v="6"/>
  </r>
  <r>
    <n v="801617000"/>
    <s v="Tramitar consultas y peticiones de carácter jurídico y frente al contenido de actos administrativos y mantener actualizada la información de normas constitucionales y legales y demás asuntos de competencia de la ADRES."/>
    <n v="1"/>
    <n v="8"/>
    <s v="CCE-16"/>
    <m/>
    <n v="35443256"/>
    <n v="35443256"/>
    <n v="0"/>
    <n v="0"/>
    <x v="6"/>
  </r>
  <r>
    <n v="80121700"/>
    <s v="Apoyar a la Oficina Asesora Jurídica en dar respuesta a los recursos o revocatorias directas contra los actos administrativos expedidos por Colpensiones, derechos de petición, reclamaciones administrativas, solicitudes de ampliación de medidas de embargo y en general las actuaciones jurídicas relacionadas con las funciones de la entidad. "/>
    <n v="1"/>
    <n v="8"/>
    <s v="CCE-16"/>
    <m/>
    <n v="35443256"/>
    <n v="35443256"/>
    <n v="0"/>
    <n v="0"/>
    <x v="7"/>
  </r>
  <r>
    <n v="80121700"/>
    <s v="Apoyar a la Oficina Asesora Jurídica en dar respuesta a los recursos o revocatorias directas contra los actos administrativos expedidos por Colpensiones, derechos de petición, reclamaciones administrativas, solicitudes de aplicación de medidas de embargo y en general las actuaciones jurídicas relacionadas con las funciones de la entidad. "/>
    <n v="1"/>
    <n v="8"/>
    <s v="CCE-16"/>
    <m/>
    <n v="32640000"/>
    <n v="32640000"/>
    <n v="0"/>
    <n v="0"/>
    <x v="7"/>
  </r>
  <r>
    <n v="80121609"/>
    <s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
    <n v="2"/>
    <n v="10"/>
    <s v="CCE-06"/>
    <m/>
    <n v="144328579"/>
    <n v="144328579"/>
    <n v="0"/>
    <n v="0"/>
    <x v="7"/>
  </r>
  <r>
    <n v="80121700"/>
    <s v="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
    <n v="1"/>
    <n v="11"/>
    <s v="CCE-16"/>
    <m/>
    <n v="150000000"/>
    <n v="150000000"/>
    <n v="0"/>
    <n v="0"/>
    <x v="7"/>
  </r>
  <r>
    <n v="80121500"/>
    <s v="Ejercer la representación judicial en los procesos penales en que sea parte la Administradora de los Recursos del Sistema General de Seguridad Social en Salud – Administradora de los Recursos del Sistema General de Seguridad Social en Salud - ADRES."/>
    <n v="1"/>
    <n v="8"/>
    <s v="CCE-16"/>
    <m/>
    <n v="109144568"/>
    <n v="109144568"/>
    <n v="0"/>
    <n v="0"/>
    <x v="7"/>
  </r>
  <r>
    <n v="80121706"/>
    <s v="Ejercer la representación judicial y extrajudicial en los procesos en que sea parte la Administradora de los Recursos del Sistema General de Seguridad Social en Salud – ADRES o contra el entonces FOSYGA "/>
    <n v="1"/>
    <n v="8"/>
    <s v="CCE-16"/>
    <m/>
    <n v="76458016"/>
    <n v="76458016"/>
    <n v="0"/>
    <n v="0"/>
    <x v="7"/>
  </r>
  <r>
    <n v="80121706"/>
    <s v="Ejercer la representación judicial y extrajudicial en los procesos en que sea parte a Administradora de los Recursos del Sistema General de Seguridad Social en Salud - ADRES o contra el entonces FOSYGA en los Departamentos de Valle del Cauca, Cauca y Nariño"/>
    <n v="1"/>
    <n v="8"/>
    <s v="CCE-16"/>
    <m/>
    <n v="64250440"/>
    <n v="64250440"/>
    <n v="0"/>
    <n v="0"/>
    <x v="7"/>
  </r>
  <r>
    <n v="80121706"/>
    <s v="Ejercer la representación judicial y extrajudicial en los procesos en que sea parte a Administradora de los Recursos del Sistema General de Seguridad Social en Salud - ADRES o contra el entonces FOSYGA en el  Departamentos de Antioquia"/>
    <n v="1"/>
    <n v="8"/>
    <s v="CCE-16"/>
    <m/>
    <n v="66957080"/>
    <n v="66957080"/>
    <n v="0"/>
    <n v="0"/>
    <x v="7"/>
  </r>
  <r>
    <n v="80121706"/>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1"/>
    <n v="8"/>
    <s v="CCE-16"/>
    <m/>
    <n v="73258024"/>
    <n v="73258024"/>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1"/>
    <n v="8"/>
    <s v="CCE-16"/>
    <m/>
    <n v="76458016"/>
    <n v="76458016"/>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1"/>
    <n v="8"/>
    <s v="CCE-16"/>
    <m/>
    <n v="64250440"/>
    <n v="64250440"/>
    <n v="0"/>
    <n v="0"/>
    <x v="7"/>
  </r>
  <r>
    <n v="80121700"/>
    <s v="Apoyar a la Oficina Asesora Jurídica en las actividades relacionadas con el ejercicio de las funciones de la Secretaría Técnica  del Comité de Conciliación; así como en las actividades asociadas en la funcionalidad, registro y control del Sistema Único de Gestión e información de la actividad litigiosa del Estado - Ekoqui. "/>
    <n v="1"/>
    <n v="8"/>
    <s v="CCE-16"/>
    <m/>
    <n v="35443256"/>
    <n v="35443256"/>
    <n v="0"/>
    <n v="0"/>
    <x v="7"/>
  </r>
  <r>
    <n v="93151507"/>
    <s v="Apoyar a la Oficina Asesora Jurídica de la ADRES en las actividades administrativas derivadas de la función de defensa judicial y extrajudicial de la Entidad"/>
    <n v="1"/>
    <n v="8"/>
    <s v="CCE-16"/>
    <m/>
    <n v="32640000"/>
    <n v="32640000"/>
    <n v="0"/>
    <n v="0"/>
    <x v="7"/>
  </r>
  <r>
    <n v="93151507"/>
    <s v="Adelantar las actividades técnicas requeridas por la Oficina Asesora Jurídica para el cumplimiento de la gestión de la Administradora de los Recursos del Sistema General de Seguridad Social en Salud - ADRES"/>
    <n v="1"/>
    <n v="8"/>
    <s v="CCE-16"/>
    <m/>
    <n v="18586936"/>
    <n v="18586936"/>
    <n v="0"/>
    <n v="0"/>
    <x v="8"/>
  </r>
  <r>
    <n v="93151507"/>
    <s v="Adelantar las actividades técnicas requeridas por la Oficina Asesora Jurídica para el cumplimiento de la gestión de la Administradora de los Recursos del Sistema General de Seguridad Social en Salud - ADRES"/>
    <n v="1"/>
    <n v="8"/>
    <s v="CCE-16"/>
    <m/>
    <n v="18586936"/>
    <n v="18586936"/>
    <n v="0"/>
    <n v="0"/>
    <x v="8"/>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1"/>
    <n v="8"/>
    <s v="CCE-16"/>
    <m/>
    <n v="64250440"/>
    <n v="6425044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1"/>
    <n v="8"/>
    <s v="CCE-16"/>
    <m/>
    <n v="64250440"/>
    <n v="6425044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1"/>
    <n v="8"/>
    <s v="CCE-16"/>
    <m/>
    <n v="64250440"/>
    <n v="64250440"/>
    <n v="0"/>
    <n v="0"/>
    <x v="9"/>
  </r>
  <r>
    <n v="93151507"/>
    <s v="Brindar asesoría y acompañamiento jurídico a la Administradora de los Recursos del Sistema General de la Seguridad Social en Salud – ADRES en los temas derivados de la actividad jurídica, judicial y contractual que adelanta la entidad."/>
    <n v="1"/>
    <n v="8"/>
    <s v="CCE-16"/>
    <m/>
    <n v="30000000"/>
    <n v="30000000"/>
    <n v="0"/>
    <n v="0"/>
    <x v="10"/>
  </r>
  <r>
    <n v="80121704"/>
    <s v="Prestación de servicios de asesoría jurídica y acompañamiento a la Administradora de los Recursos del Sistema General de Seguridad Social en Salud - ADRES - en el estudio, análisis y definición del procedimiento administrativo y/o de las actuaciones que deban adelantarse y de las decisiones que deban proferirse en sede administrativa por razón y/o con ocasión de las circunstancias que han sobrevenido a la adjudicación del Concurso de Méritos Abierto CMA-DAFPS-001-2017 cuyo objeto lo constituyó &quot;la contratación de la auditoría integral en salud, jurídica y financiera a las solicitudes de recobro por servicios y tecnologías no incluidas en el Plan de Beneficios en Salud con cargo a la UPC y a las reclamaciones por los eventos de que trata el Artículo 167 de la Ley 100 de 1993 con cargo a los recursos del que fue el Fondo de Solidaridad y Garantía - FOSYGA - del Sistema General de Seguridad Social en Salud&quot;. El presente contrato de prestación de servicios profesionales no incluye la atención de actuaciones o procesos judiciales ni comporta la obligación de llevar la representación judicial de la ADRES"/>
    <n v="1"/>
    <n v="8"/>
    <s v="CCE-16"/>
    <m/>
    <n v="141651368"/>
    <n v="141651368"/>
    <n v="0"/>
    <n v="0"/>
    <x v="10"/>
  </r>
  <r>
    <n v="83121704"/>
    <s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 "/>
    <n v="1"/>
    <n v="8"/>
    <s v="CCE-16"/>
    <m/>
    <n v="300000000"/>
    <n v="300000000"/>
    <n v="0"/>
    <n v="0"/>
    <x v="11"/>
  </r>
  <r>
    <n v="81112200"/>
    <s v="Adquisición software de grabación de audio y video, así como su adecuación a necesidades de la Dirección Administrativa y Financiera "/>
    <n v="2"/>
    <n v="1"/>
    <s v="CCE-10"/>
    <m/>
    <n v="32640000"/>
    <n v="32640000"/>
    <n v="0"/>
    <n v="0"/>
    <x v="9"/>
  </r>
  <r>
    <n v="83121700"/>
    <s v="Publicar en el Diario Oficial los actos administrativos de carácter general y los demás expedidos por la Administradora de los Recursos del Sistema General de Seguridad Social en Salud -ADRES, que deban ser publicados en dicho medio"/>
    <n v="1"/>
    <n v="11"/>
    <s v="CCE-16"/>
    <m/>
    <n v="60000000"/>
    <n v="60000000"/>
    <n v="0"/>
    <n v="0"/>
    <x v="11"/>
  </r>
  <r>
    <n v="80131502"/>
    <s v="El arrendador del inmueble ubicado en la Avenida Calle 26 No. 69 – 76 de la ciudad de Bogotá entrega para uso y goce a título de arrendamiento de dos (2) plantas de las oficinas identificadas con los números 1701, 1702, 1703, 1704 y 1705, para el funcionamiento de la Entidad Administradora de los Recursos del Sistema General de Seguridad Social en Salud – (ADRES), completamente dotados (incluido el mobiliario) de conformidad con las especificaciones técnicas establecidas por la ADRES."/>
    <n v="7"/>
    <n v="5"/>
    <s v="CCE-16"/>
    <m/>
    <n v="1314952495"/>
    <n v="1314952495"/>
    <n v="0"/>
    <n v="0"/>
    <x v="11"/>
  </r>
  <r>
    <n v="85122201"/>
    <s v="Realizar los exámenes médicos pre-ocupacionales y exámenes médicos post-ocupacionales y exámenes médicos post-incapacidad para los servidores públicos de la Entidad"/>
    <n v="2"/>
    <n v="11"/>
    <s v="CCE-10"/>
    <m/>
    <n v="6000000"/>
    <n v="6000000"/>
    <n v="0"/>
    <n v="0"/>
    <x v="12"/>
  </r>
  <r>
    <n v="55121802"/>
    <s v="Contratar el servicio de elaboración e impresión de carnets de identificación para los funcionarios y contratistas de la Administradora de los Recursos del Sistema General de Seguridad Social en Salud – ADRES, de acuerdo al diseño establecido por la entidad"/>
    <n v="2"/>
    <n v="11"/>
    <s v="CCE-10"/>
    <m/>
    <n v="400000"/>
    <n v="400000"/>
    <n v="0"/>
    <n v="0"/>
    <x v="11"/>
  </r>
  <r>
    <s v="83111507-43231502"/>
    <s v="Prestar los servicios de centro de contacto con el fin de brindar la atención, respuesta inmediata, seguimiento a solicitudes de los ciudadanos, empresas y servidores públicos."/>
    <n v="7"/>
    <n v="5"/>
    <s v="CCE-99"/>
    <m/>
    <n v="228778987.5"/>
    <n v="228778987.5"/>
    <n v="0"/>
    <n v="0"/>
    <x v="11"/>
  </r>
  <r>
    <n v="5512802"/>
    <s v="Suministro de tiquetes aéreos a nivel nacional e internacional para el desplazamiento de servidores públicos y/o contratistas de la Administradora de los Recursos del Sistema General de Seguridad Social en Salud - ADRES"/>
    <n v="7"/>
    <n v="5"/>
    <s v="CCE-99"/>
    <m/>
    <n v="150000000"/>
    <n v="150000000"/>
    <n v="0"/>
    <n v="0"/>
    <x v="11"/>
  </r>
  <r>
    <s v="44111500-4411900-44101800-44121500-44121700-44121800-44121900-44122000-44122100-14111500"/>
    <s v="Suministro y distribución de elementos, útiles de oficina y papelería para las diferentes dependencias de la Entidad"/>
    <n v="7"/>
    <n v="5"/>
    <s v="CCE-99"/>
    <m/>
    <n v="80000000"/>
    <n v="80000000"/>
    <n v="0"/>
    <n v="0"/>
    <x v="11"/>
  </r>
  <r>
    <s v="92101501-92121701"/>
    <s v="Prestación de servicio de vigilancia y seguridad privada para la Administradora de los recursos del Sistema General de Seguridad Social en Salud – ADRES"/>
    <n v="7"/>
    <n v="5"/>
    <s v="CCE-06"/>
    <m/>
    <n v="63000000"/>
    <n v="63000000"/>
    <n v="0"/>
    <n v="0"/>
    <x v="11"/>
  </r>
  <r>
    <n v="93131800"/>
    <s v="Brindar capacitación en temas de gestión de riesgo y manejo de desastre a través de la creación de brigadas en la entidad. "/>
    <n v="2"/>
    <n v="11"/>
    <s v="CCE-10"/>
    <m/>
    <n v="20000000"/>
    <n v="20000000"/>
    <n v="0"/>
    <n v="0"/>
    <x v="11"/>
  </r>
  <r>
    <n v="80161801"/>
    <s v="Prestación del servicio integral de impresión, fotocopiado y digitalización de documentos, incluido el  suministro de equipos, mantenimiento, insumos y el personal de operación que se requiera para atender los requerimientos de las dependencias de la ADRES"/>
    <n v="7"/>
    <n v="5"/>
    <s v="CCE-07"/>
    <m/>
    <n v="60000000"/>
    <n v="60000000"/>
    <n v="0"/>
    <n v="0"/>
    <x v="11"/>
  </r>
  <r>
    <s v="84131500-84131600"/>
    <s v="Contratar la intermediación de seguros y de asesoría integral en la estructuración, contratación y manejo del programa de seguros de la Administradora de los Recursos"/>
    <n v="5"/>
    <n v="7"/>
    <s v="CCE-996"/>
    <m/>
    <n v="0"/>
    <n v="0"/>
    <n v="0"/>
    <m/>
    <x v="11"/>
  </r>
  <r>
    <n v="841315000"/>
    <s v="Contratar los seguros que amparen los intereses patrimoniales actuales y futuros, así como los bienes de propiedad de la administradora de los recursos del sistema general de seguridad social en salud - ADRES, que estén bajo su responsabilidad y custodia y aquellos que sean adquiridos para desarrollar las funciones inherentes a su actividad y cualquier otra póliza de seguros que requiera la entidad en el desarrollo de su actividad"/>
    <n v="7"/>
    <n v="5"/>
    <s v="CCE-06"/>
    <m/>
    <n v="649006531"/>
    <n v="649006531"/>
    <n v="0"/>
    <n v="0"/>
    <x v="11"/>
  </r>
  <r>
    <n v="76111501"/>
    <s v="Prestación estación de servicio integral de aseo y cafetería incluida la maquinaria y el suministro de insumos, que permita mantener en condiciones de salubridad y adecuadas las instalaciones de ADRES ubicada en la Calle 26 No. 69 - 76 Edificio Elemento Torre UNO"/>
    <n v="6"/>
    <n v="6"/>
    <s v="CCE-99"/>
    <m/>
    <n v="108475447"/>
    <n v="108475447"/>
    <n v="0"/>
    <n v="0"/>
    <x v="11"/>
  </r>
  <r>
    <n v="20102301"/>
    <s v="Prestar el servicio de transporte terrestre automotor para el desplazamiento de los funcionarios y contratistas de la Administradora de los Recursos del Sistema General de Seguridad Social en Salud – ADRES, de acuerdo a la necesidad de desplazamiento que se requiera en cumplimiento de deberes institucionales y actividades propias de la entidad_x000a_"/>
    <n v="7"/>
    <n v="1"/>
    <s v="CCE-06"/>
    <m/>
    <n v="170775000"/>
    <n v="170775000"/>
    <n v="0"/>
    <n v="0"/>
    <x v="11"/>
  </r>
  <r>
    <n v="46191601"/>
    <s v="Compra  y carga de  extintores Solkaflam y botiquines de emergencia portátiles para la sede de la Administradora de los Recursos del Sistema General de Seguridad Social en Salud - ADRES "/>
    <n v="2"/>
    <n v="1"/>
    <s v="CCE-10"/>
    <m/>
    <n v="2000000"/>
    <n v="2000000"/>
    <n v="0"/>
    <n v="0"/>
    <x v="11"/>
  </r>
  <r>
    <n v="93151507"/>
    <s v="Implementación de MIPG MECI en cumplimiento de la Ley  Decreto 1595 de 2005, y SIGI (Ley 1712 de 2014)"/>
    <n v="4"/>
    <n v="8"/>
    <s v="CCE-04"/>
    <m/>
    <n v="200000000"/>
    <n v="200000000"/>
    <n v="0"/>
    <n v="0"/>
    <x v="13"/>
  </r>
  <r>
    <n v="931415506"/>
    <s v="Realizar actividades de capacitación, fortalecimiento del programa de bienestar social e incentivos de la ADRES, con el fin de mantener y mejorar las condiciones de los funcionarios de la entidad. "/>
    <n v="2"/>
    <n v="10"/>
    <s v="CCE-06"/>
    <m/>
    <n v="800000000"/>
    <n v="800000000"/>
    <n v="0"/>
    <n v="0"/>
    <x v="12"/>
  </r>
  <r>
    <n v="81111811"/>
    <s v="Mantenimiento,  soporte y capacitación a la herramienta informática de nómina, recurso humano así como el enlace al ERP "/>
    <n v="11"/>
    <n v="1"/>
    <s v="CCE-06"/>
    <m/>
    <n v="62099999.999999993"/>
    <n v="62099999.999999993"/>
    <n v="0"/>
    <n v="0"/>
    <x v="12"/>
  </r>
  <r>
    <n v="80111501"/>
    <s v="Apoyar a la Dirección Administrativa y Financiera, en la gestión y seguimiento de las situaciones y novedades administrativas que tienen afectación en la liquidación de la nómina, prestaciones sociales y demás reconocimientos económicos del personal de la ADRES. "/>
    <n v="1"/>
    <n v="8"/>
    <s v="CCE-16"/>
    <m/>
    <n v="51523280"/>
    <n v="51523280"/>
    <n v="0"/>
    <n v="0"/>
    <x v="12"/>
  </r>
  <r>
    <n v="80111620"/>
    <s v="Apoyar a la Dirección Administrativa y Financiera en las actividades correspondientes a la generación de certificaciones laborales de los funcionarios activos e inactivos, certificaciones dirigidas a entidades bancarias, certificaciones solicitadas por los entes de control, así como la actualización, foliación y archivo de los documentos generados con ocasión de las diferentes novedades producidas durante el ingreso permanencia y retiro del personal vinculado a la entidad así como las demás actividades que se deriven de la gestión para el desarrollo del Talento Humano"/>
    <n v="1"/>
    <n v="8"/>
    <s v="CCE-16"/>
    <m/>
    <n v="32640000"/>
    <n v="32640000"/>
    <n v="0"/>
    <n v="0"/>
    <x v="12"/>
  </r>
  <r>
    <n v="80111620"/>
    <s v="Apoyar a la Dirección Administrativa y Financiera en las actividades operativas dirigidas a la Gestión Documental hojas de vida y demás documentos generados por ocasión de las novedades de personal, de la Administradora de los Recursos del Sistema General de Seguridad Social en Salud – ADRES"/>
    <n v="1"/>
    <n v="8"/>
    <s v="CCE-16"/>
    <m/>
    <n v="18586936"/>
    <n v="18586936"/>
    <n v="0"/>
    <n v="0"/>
    <x v="12"/>
  </r>
  <r>
    <n v="80111702"/>
    <s v="Realizar el estudio de seguridad, visita domiciliaria y verificación de la información de la Hoja de Vida y antecedentes financieros de los funcionarios de la entidad. "/>
    <n v="2"/>
    <n v="10"/>
    <s v="CCE-10"/>
    <m/>
    <n v="17000000"/>
    <n v="17000000"/>
    <n v="0"/>
    <n v="0"/>
    <x v="12"/>
  </r>
  <r>
    <n v="78102201"/>
    <s v="Prestación del servicio de gestión de correspondencia, mensajería expresa masiva para la Administradora de los Recursos del Sistema de Seguridad Social en Salud-ADRES y de  gestión documental en el archivo de la entidad. "/>
    <n v="6"/>
    <n v="6"/>
    <s v="CCE-99"/>
    <m/>
    <n v="497391434"/>
    <n v="497391434"/>
    <n v="0"/>
    <n v="0"/>
    <x v="11"/>
  </r>
  <r>
    <n v="82101801"/>
    <s v=" Conceptualización, diseño y ejecución de estrategias de campaña Marketing para la ADRES."/>
    <n v="1"/>
    <n v="10"/>
    <s v="CCE-04"/>
    <m/>
    <n v="500000000"/>
    <n v="500000000"/>
    <n v="0"/>
    <n v="0"/>
    <x v="14"/>
  </r>
  <r>
    <n v="82101504"/>
    <s v="Contratar la publicación en un diario de amplia circulación, con el fin de dar cumplimiento a lo señalado en el artículo 115 del Decreto 019 de 2012."/>
    <n v="2"/>
    <n v="10"/>
    <s v="CCE-06 "/>
    <m/>
    <n v="40000000"/>
    <n v="40000000"/>
    <n v="0"/>
    <n v="0"/>
    <x v="11"/>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3488584"/>
    <n v="13488584"/>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3488584"/>
    <n v="13488584"/>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planes, programas y demás acciones relacionadas con la gestión y las operaciones presupuestales, contables y de tesorería de los recursos financieros del  Sistema General de Seguridad Social en Salud, que administra la ADRES en cumplimiento de lo establecido por los artículos 66 y 67 de la Ley 1753 de 2015"/>
    <n v="8"/>
    <n v="4"/>
    <s v="CCE-16"/>
    <n v="1"/>
    <n v="20547356"/>
    <n v="20547356"/>
    <n v="0"/>
    <n v="0"/>
    <x v="0"/>
  </r>
  <r>
    <n v="93151501"/>
    <s v="Apoyar el levantamiento de procesos al interior de la ADRES, de acuerdo a lo definido en MIPG, alineado con el decreto 1429 de 2017, brindando acompañamiento y asesoría en actividades relacionadas con requerimientos que la Oficina de Planeación y Control de Riesgos requiera con el fin de planear, hacer verificar y Actuar con respecto a lineamientos, normas y leyes que de acuerdo a la normatividad vigente aplique para la Administradora de los recursos del Sistema General de Seguridad Social en Salud ADRES"/>
    <n v="8"/>
    <n v="4"/>
    <s v="CCE-16"/>
    <n v="1"/>
    <n v="20547356"/>
    <n v="20547356"/>
    <n v="0"/>
    <n v="0"/>
    <x v="13"/>
  </r>
  <r>
    <n v="80101604"/>
    <s v="Apoyar a la Dirección de Liquidaciones y Garantías de la ADRES en el desarrollo de las actividades de liquidación y reconocimiento de prestaciones económicas y devolución de aportes a los afiliados  al régimen especial y exceptuado."/>
    <n v="8"/>
    <n v="4"/>
    <s v="CCE-16"/>
    <n v="1"/>
    <n v="20547356"/>
    <n v="20547356"/>
    <n v="0"/>
    <n v="0"/>
    <x v="2"/>
  </r>
  <r>
    <n v="8111801"/>
    <s v="Apoyar a la Dirección de Liquidaciones y Garantías de la ADRES en el desarrollo de las actividades de los procesos de compensación del régimen contributivo de salud, y de la liquidación y reconocimiento de prestaciones económicas a los afiliados  al régimen contributivo y a los regímenes especial y exceptuado con ingresos adicionales"/>
    <n v="8"/>
    <n v="4"/>
    <s v="CCE-16"/>
    <n v="1"/>
    <n v="16320000"/>
    <n v="16320000"/>
    <n v="0"/>
    <n v="0"/>
    <x v="2"/>
  </r>
  <r>
    <n v="8111801"/>
    <s v="Apoyar a la Dirección de Liquidaciones y Garantías de la ADRES en el desarrollo de las actividades del proceso de reintegro de recursos apropiados sin justa causa"/>
    <n v="8"/>
    <n v="4"/>
    <s v="CCE-16"/>
    <n v="1"/>
    <n v="16320000"/>
    <n v="16320000"/>
    <n v="0"/>
    <n v="0"/>
    <x v="2"/>
  </r>
  <r>
    <n v="80101604"/>
    <s v="Apoyar a la Dirección de Liquidaciones y Garantías de la ADRES en el desarrollo de las actividades de liquidación y reconocimiento de prestaciones económicas y devolución de aportes a los afiliados  al régimen especial y exceptuado."/>
    <n v="8"/>
    <n v="4"/>
    <s v="CCE-16"/>
    <n v="1"/>
    <n v="20547356"/>
    <n v="20547356"/>
    <n v="0"/>
    <n v="0"/>
    <x v="2"/>
  </r>
  <r>
    <n v="8111801"/>
    <s v="Apoyar a la Dirección de Liquidaciones y Garantías de la ADRES en el desarrollo de las actividades de los procesos de compensación del régimen contributivo de salud y sus procesos complementarios y de la liquidación y reconocimiento de prestaciones económicas a los afiliados  al régimen contributivo y a los regímenes especial y exceptuado con ingresos adicionales"/>
    <n v="8"/>
    <n v="4"/>
    <s v="CCE-16"/>
    <m/>
    <n v="20547356"/>
    <n v="20547356"/>
    <n v="0"/>
    <n v="0"/>
    <x v="2"/>
  </r>
  <r>
    <n v="81111811"/>
    <s v="Apoyar técnicamente a la Entidad en los procesos relacionados con el soporte a la infraestructura tecnológica, conectividad, de ofimática y periféricos, que permiten el normal funcionamiento de sus operaciones en la sede de la misma."/>
    <n v="8"/>
    <n v="4"/>
    <s v="CCE-16"/>
    <n v="1"/>
    <n v="16320000"/>
    <n v="16320000"/>
    <n v="0"/>
    <n v="0"/>
    <x v="4"/>
  </r>
  <r>
    <n v="81111801"/>
    <s v="Apoyar la gestión de los procesos y procedimientos misionales y tecnológicos de la Base de Datos Única de Afiliados – BDUA brindando la asistencia técnica necesaria a los actores del proceso bajo la normativa vigente."/>
    <n v="8"/>
    <n v="4"/>
    <s v="CCE-16"/>
    <n v="1"/>
    <n v="16320000"/>
    <n v="16320000"/>
    <n v="0"/>
    <n v="0"/>
    <x v="4"/>
  </r>
  <r>
    <n v="81111801"/>
    <s v="Apoyar la gestión de los procesos y procedimientos misionales y tecnológicos de la Base de Datos Única de Afiliados – BDUA brindando la asistencia técnica necesaria a los actores del proceso bajo la normativa vigente"/>
    <n v="8"/>
    <n v="4"/>
    <s v="CCE-16"/>
    <n v="1"/>
    <n v="16320000"/>
    <n v="16320000"/>
    <n v="0"/>
    <n v="0"/>
    <x v="4"/>
  </r>
  <r>
    <n v="81111801"/>
    <s v="Apoyar la gestión de los procesos y procedimientos misionales y tecnológicos de la Base de Datos Única de Afiliados – BDUA brindando la asistencia técnica necesaria a los actores del proceso bajo la normativa vigente."/>
    <n v="8"/>
    <n v="4"/>
    <s v="CCE-16"/>
    <n v="1"/>
    <n v="16320000"/>
    <n v="16320000"/>
    <n v="0"/>
    <n v="0"/>
    <x v="4"/>
  </r>
  <r>
    <n v="81111811"/>
    <s v="Apoyar técnicamente a la Dirección de Gestión de Tecnologías de Información y Comunicaciones en el proceso de desarrollo, soporte, mantenimiento, actualización e integración de los aplicativos que soportan las operaciones misionales de la Entidad"/>
    <n v="8"/>
    <n v="4"/>
    <s v="CCE-16"/>
    <n v="1"/>
    <n v="16320000"/>
    <n v="16320000"/>
    <n v="0"/>
    <n v="0"/>
    <x v="4"/>
  </r>
  <r>
    <n v="81111811"/>
    <s v="Apoyar a la Dirección de Gestión de Tecnologías de Información y Comunicaciones en el proceso de desarrollo, soporte, mantenimiento, actualización e integración de los aplicativos que soportan las operaciones misionales de la Entidad"/>
    <n v="8"/>
    <n v="4"/>
    <s v="CCE-16"/>
    <n v="1"/>
    <n v="17721628"/>
    <n v="17721628"/>
    <n v="0"/>
    <n v="0"/>
    <x v="4"/>
  </r>
  <r>
    <n v="931515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8"/>
    <n v="4"/>
    <s v="CCE-16"/>
    <n v="1"/>
    <n v="32125220"/>
    <n v="3212522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8"/>
    <n v="4"/>
    <s v="CCE-16"/>
    <n v="1"/>
    <n v="32125220"/>
    <n v="3212522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8"/>
    <n v="4"/>
    <s v="CCE-16"/>
    <n v="1"/>
    <n v="32125220"/>
    <n v="32125220"/>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8"/>
    <n v="4"/>
    <s v="CCE-16"/>
    <n v="1"/>
    <n v="20547356"/>
    <n v="20547356"/>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8"/>
    <n v="4"/>
    <s v="CCE-16"/>
    <n v="1"/>
    <n v="20547356"/>
    <n v="20547356"/>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8"/>
    <n v="4"/>
    <s v="CCE-16"/>
    <n v="1"/>
    <n v="20547356"/>
    <n v="20547356"/>
    <n v="0"/>
    <n v="0"/>
    <x v="4"/>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n v="81112002"/>
    <s v="Apoyar a la Dirección de Otras Prestaciones de la ADRES con el análisis, verificación y cruce de la información de las fuentes internas y externas, involucradas en los procesos de recobros y reclamaciones, efectuando las validaciones que se consideren pertinente al interior del proceso "/>
    <n v="8"/>
    <n v="4"/>
    <s v="CCE-16"/>
    <n v="1"/>
    <n v="16320000"/>
    <n v="16320000"/>
    <n v="0"/>
    <n v="0"/>
    <x v="5"/>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13488584"/>
    <n v="13488584"/>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13488584"/>
    <n v="13488584"/>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13488584"/>
    <n v="13488584"/>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25761640"/>
    <n v="25761640"/>
    <n v="0"/>
    <n v="0"/>
    <x v="6"/>
  </r>
  <r>
    <n v="93151507"/>
    <s v="Prestación de servicios de apoyo técnico a la Oficina Asesora Jurídica, Grupo de Acciones Constitucionales en asuntos relacionados con el mismo ( tutelas, sentencias e incidentes), provenientes de los Despachos Judiciales a nivel nacional, con fundamento en las normas constitucionales y legales vigentes. "/>
    <n v="8"/>
    <n v="4"/>
    <s v="CCE-16"/>
    <n v="1"/>
    <n v="9293468"/>
    <n v="9293468"/>
    <n v="0"/>
    <n v="0"/>
    <x v="6"/>
  </r>
  <r>
    <n v="93151507"/>
    <s v="Apoyo a la Oficina Asesora Jurídica de la ADRES en actividades que tienen que ver con el registro, clasificación y control de la documentación en las bases de datos destinadas para esta finalidad y manejo de correspondencia. "/>
    <n v="8"/>
    <n v="4"/>
    <s v="CCE-16"/>
    <n v="1"/>
    <n v="9293468"/>
    <n v="9293468"/>
    <n v="0"/>
    <n v="0"/>
    <x v="6"/>
  </r>
  <r>
    <n v="801617000"/>
    <s v="Tramitar consultas y peticiones de carácter jurídico y frente al contenido de actos administrativos y mantener actualizada la información de normas constitucionales y legales y demás asuntos de competencia de la ADRES."/>
    <n v="8"/>
    <n v="4"/>
    <s v="CCE-16"/>
    <n v="1"/>
    <n v="17721628"/>
    <n v="17721628"/>
    <n v="0"/>
    <n v="0"/>
    <x v="6"/>
  </r>
  <r>
    <n v="80121700"/>
    <s v="Apoyar a la Oficina Asesora Jurídica en dar respuesta a los recursos o revocatorias directas contra los actos administrativos expedidos por Colpensiones, derechos de petición, reclamaciones administrativas, solicitudes de ampliación de medidas de embargo y en general las actuaciones jurídicas relacionadas con las funciones de la entidad. "/>
    <n v="8"/>
    <n v="4"/>
    <s v="CCE-16"/>
    <n v="1"/>
    <n v="17721628"/>
    <n v="17721628"/>
    <n v="0"/>
    <n v="0"/>
    <x v="7"/>
  </r>
  <r>
    <n v="80121700"/>
    <s v="Apoyar a la Oficina Asesora Jurídica en dar respuesta a los recursos o revocatorias directas contra los actos administrativos expedidos por Colpensiones, derechos de petición, reclamaciones administrativas, solicitudes de aplicación de medidas de embargo y en general las actuaciones jurídicas relacionadas con las funciones de la entidad. "/>
    <n v="8"/>
    <n v="4"/>
    <s v="CCE-16"/>
    <n v="1"/>
    <n v="16320000"/>
    <n v="16320000"/>
    <n v="0"/>
    <n v="0"/>
    <x v="7"/>
  </r>
  <r>
    <n v="80121500"/>
    <s v="Ejercer la representación judicial en los procesos penales en que sea parte la Administradora de los Recursos del Sistema General de Seguridad Social en Salud – Administradora de los Recursos del Sistema General de Seguridad Social en Salud - ADRES."/>
    <n v="8"/>
    <n v="4"/>
    <s v="CCE-16"/>
    <n v="1"/>
    <n v="54572288"/>
    <n v="54572288"/>
    <n v="0"/>
    <n v="0"/>
    <x v="7"/>
  </r>
  <r>
    <n v="80121706"/>
    <s v="Ejercer la representación judicial y extrajudicial en los procesos en que sea parte la Administradora de los Recursos del Sistema General de Seguridad Social en Salud – ADRES o contra el entonces FOSYGA "/>
    <n v="8"/>
    <n v="4"/>
    <s v="CCE-16"/>
    <n v="1"/>
    <n v="38229008"/>
    <n v="38229008"/>
    <n v="0"/>
    <n v="0"/>
    <x v="7"/>
  </r>
  <r>
    <n v="80121706"/>
    <s v="Ejercer la representación judicial y extrajudicial en los procesos en que sea parte a Administradora de los Recursos del Sistema General de Seguridad Social en Salud - ADRES o contra el entonces FOSYGA en los Departamentos de Valle del Cauca, Cauca y Nariño"/>
    <n v="8"/>
    <n v="4"/>
    <s v="CCE-16"/>
    <n v="1"/>
    <n v="32125220"/>
    <n v="32125220"/>
    <n v="0"/>
    <n v="0"/>
    <x v="7"/>
  </r>
  <r>
    <n v="80121706"/>
    <s v="Ejercer la representación judicial y extrajudicial en los procesos en que sea parte a Administradora de los Recursos del Sistema General de Seguridad Social en Salud - ADRES o contra el entonces FOSYGA en el  Departamentos de Antioquia"/>
    <n v="8"/>
    <n v="4"/>
    <s v="CCE-16"/>
    <n v="1"/>
    <n v="33478540"/>
    <n v="33478540"/>
    <n v="0"/>
    <n v="0"/>
    <x v="7"/>
  </r>
  <r>
    <n v="80121706"/>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8"/>
    <n v="4"/>
    <s v="CCE-16"/>
    <n v="1"/>
    <n v="38229008"/>
    <n v="38229008"/>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8"/>
    <n v="4"/>
    <s v="CCE-16"/>
    <n v="1"/>
    <n v="38229008"/>
    <n v="38229008"/>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8"/>
    <n v="4"/>
    <s v="CCE-16"/>
    <n v="1"/>
    <n v="32125220"/>
    <n v="32125220"/>
    <n v="0"/>
    <n v="0"/>
    <x v="7"/>
  </r>
  <r>
    <n v="80121700"/>
    <s v="Apoyar a la Oficina Asesora Jurídica en las actividades relacionadas con el ejercicio de las funciones de la Secretaría Técnica  del Comité de Conciliación; así como en las actividades asociadas en la funcionalidad, registro y control del Sistema Único de Gestión e información de la actividad litigiosa del Estado - Ekoqui. "/>
    <n v="8"/>
    <n v="4"/>
    <s v="CCE-16"/>
    <n v="1"/>
    <n v="17721628"/>
    <n v="17721628"/>
    <n v="0"/>
    <n v="0"/>
    <x v="7"/>
  </r>
  <r>
    <n v="93151507"/>
    <s v="Apoyar a la Oficina Asesora Jurídica de la ADRES en las actividades administrativas derivadas de la función de defensa judicial y extrajudicial de la Entidad"/>
    <n v="8"/>
    <n v="4"/>
    <s v="CCE-16"/>
    <n v="1"/>
    <n v="16320000"/>
    <n v="16320000"/>
    <n v="0"/>
    <n v="0"/>
    <x v="7"/>
  </r>
  <r>
    <n v="93151507"/>
    <s v="Adelantar las actividades técnicas requeridas por la Oficina Asesora Jurídica para el cumplimiento de la gestión de la Administradora de los Recursos del Sistema General de Seguridad Social en Salud - ADRES"/>
    <n v="8"/>
    <n v="4"/>
    <s v="CCE-16"/>
    <n v="1"/>
    <n v="9293468"/>
    <n v="9293468"/>
    <n v="0"/>
    <n v="0"/>
    <x v="8"/>
  </r>
  <r>
    <n v="93151507"/>
    <s v="Adelantar las actividades técnicas requeridas por la Oficina Asesora Jurídica para el cumplimiento de la gestión de la Administradora de los Recursos del Sistema General de Seguridad Social en Salud - ADRES"/>
    <n v="8"/>
    <n v="4"/>
    <s v="CCE-16"/>
    <n v="1"/>
    <n v="9293468"/>
    <n v="9293468"/>
    <n v="0"/>
    <n v="0"/>
    <x v="8"/>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8"/>
    <n v="4"/>
    <s v="CCE-16"/>
    <n v="1"/>
    <n v="32125220"/>
    <n v="3212522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8"/>
    <n v="4"/>
    <s v="CCE-16"/>
    <n v="1"/>
    <n v="32125220"/>
    <n v="3212522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8"/>
    <n v="4"/>
    <s v="CCE-16"/>
    <n v="1"/>
    <n v="32125220"/>
    <n v="32125220"/>
    <n v="0"/>
    <n v="0"/>
    <x v="9"/>
  </r>
  <r>
    <n v="93151507"/>
    <s v="Brindar asesoría y acompañamiento jurídico a la Administradora de los Recursos del Sistema General de la Seguridad Social en Salud – ADRES en los temas derivados de la actividad jurídica, judicial y contractual que adelanta la entidad."/>
    <n v="8"/>
    <n v="4"/>
    <s v="CCE-16"/>
    <n v="1"/>
    <n v="70825684"/>
    <n v="70825684"/>
    <n v="0"/>
    <n v="0"/>
    <x v="10"/>
  </r>
  <r>
    <n v="80121704"/>
    <s v="Prestación de servicios de asesoría jurídica y acompañamiento a la Administradora de los Recursos del Sistema General de Seguridad Social en Salud - ADRES - en el estudio, análisis y definición del procedimiento administrativo y/o de las actuaciones que deban adelantarse y de las decisiones que deban proferirse en sede administrativa por razón y/o con ocasión de las circunstancias que han sobrevenido a la adjudicación del Concurso de Méritos Abierto CMA-DAFPS-001-2017 cuyo objeto lo constituyó &quot;la contratación de la auditoría integral en salud, jurídica y financiera a las solicitudes de recobro por servicios y tecnologías no incluidas en el Plan de Beneficios en Salud con cargo a la UPC y a las reclamaciones por los eventos de que trata el Artículo 167 de la Ley 100 de 1993 con cargo a los recursos del que fue el Fondo de Solidaridad y Garantía - FOSYGA - del Sistema General de Seguridad Social en Salud&quot;. El presente contrato de prestación de servicios profesionales no incluye la atención de actuaciones o procesos judiciales ni comporta la obligación de llevar la representación judicial de la ADRES"/>
    <n v="8"/>
    <n v="4"/>
    <s v="CCE-16"/>
    <n v="1"/>
    <n v="300000000"/>
    <n v="300000000"/>
    <n v="0"/>
    <n v="0"/>
    <x v="10"/>
  </r>
  <r>
    <n v="83121704"/>
    <s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 "/>
    <n v="1"/>
    <n v="8"/>
    <s v="CCE-16"/>
    <n v="1"/>
    <n v="32640000"/>
    <n v="32640000"/>
    <n v="0"/>
    <n v="0"/>
    <x v="11"/>
  </r>
  <r>
    <n v="80111501"/>
    <s v="Apoyar a la Dirección Administrativa y Financiera, en la gestión y seguimiento de las situaciones y novedades administrativas que tienen afectación en la liquidación de la nómina, prestaciones sociales y demás reconocimientos económicos del personal de la ADRES. "/>
    <n v="8"/>
    <n v="4"/>
    <s v="CCE-16"/>
    <n v="1"/>
    <n v="25761640"/>
    <n v="25761640"/>
    <n v="0"/>
    <n v="0"/>
    <x v="12"/>
  </r>
  <r>
    <n v="80111620"/>
    <s v="Apoyar a la Dirección Administrativa y Financiera en las actividades correspondientes a la generación de certificaciones laborales de los funcionarios activos e inactivos, certificaciones dirigidas a entidades bancarias, certificaciones solicitadas por los entes de control, así como la actualización, foliación y archivo de los documentos generados con ocasión de las diferentes novedades producidas durante el ingreso permanencia y retiro del personal vinculado a la entidad así como las demás actividades que se deriven de la gestión para el desarrollo del Talento Humano"/>
    <n v="8"/>
    <n v="4"/>
    <s v="CCE-16"/>
    <n v="1"/>
    <n v="16320000"/>
    <n v="16320000"/>
    <n v="0"/>
    <n v="0"/>
    <x v="12"/>
  </r>
  <r>
    <n v="80111620"/>
    <s v="Apoyar a la Dirección Administrativa y Financiera en las actividades operativas dirigidas a la Gestión Documental hojas de vida y demás documentos generados por ocasión de las novedades de personal, de la Administradora de los Recursos del Sistema General de Seguridad Social en Salud – ADRES"/>
    <n v="8"/>
    <n v="4"/>
    <s v="CCE-16"/>
    <n v="1"/>
    <n v="9293468"/>
    <n v="9293468"/>
    <n v="0"/>
    <n v="0"/>
    <x v="12"/>
  </r>
  <r>
    <m/>
    <m/>
    <m/>
    <m/>
    <m/>
    <m/>
    <n v="47311456995.5"/>
    <n v="47311456995.5"/>
    <m/>
    <m/>
    <x v="13"/>
  </r>
  <r>
    <n v="83121704"/>
    <s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 "/>
    <n v="9"/>
    <n v="4"/>
    <s v="CCE-16"/>
    <n v="1"/>
    <n v="16320000"/>
    <n v="16320000"/>
    <n v="0"/>
    <n v="0"/>
    <x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6"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9" firstHeaderRow="1" firstDataRow="1" firstDataCol="1"/>
  <pivotFields count="11">
    <pivotField subtotalTop="0" showAll="0"/>
    <pivotField subtotalTop="0" showAll="0"/>
    <pivotField subtotalTop="0" showAll="0"/>
    <pivotField subtotalTop="0" showAll="0"/>
    <pivotField subtotalTop="0" showAll="0"/>
    <pivotField subtotalTop="0" showAll="0"/>
    <pivotField dataField="1" numFmtId="41" subtotalTop="0" showAll="0"/>
    <pivotField numFmtId="41" subtotalTop="0" showAll="0"/>
    <pivotField subtotalTop="0" showAll="0"/>
    <pivotField subtotalTop="0" showAll="0"/>
    <pivotField axis="axisRow" subtotalTop="0" showAll="0">
      <items count="16">
        <item x="11"/>
        <item x="9"/>
        <item x="12"/>
        <item x="0"/>
        <item x="4"/>
        <item x="3"/>
        <item x="2"/>
        <item x="14"/>
        <item x="5"/>
        <item x="1"/>
        <item x="10"/>
        <item x="6"/>
        <item x="8"/>
        <item x="7"/>
        <item x="13"/>
        <item t="default"/>
      </items>
    </pivotField>
  </pivotFields>
  <rowFields count="1">
    <field x="10"/>
  </rowFields>
  <rowItems count="16">
    <i>
      <x/>
    </i>
    <i>
      <x v="1"/>
    </i>
    <i>
      <x v="2"/>
    </i>
    <i>
      <x v="3"/>
    </i>
    <i>
      <x v="4"/>
    </i>
    <i>
      <x v="5"/>
    </i>
    <i>
      <x v="6"/>
    </i>
    <i>
      <x v="7"/>
    </i>
    <i>
      <x v="8"/>
    </i>
    <i>
      <x v="9"/>
    </i>
    <i>
      <x v="10"/>
    </i>
    <i>
      <x v="11"/>
    </i>
    <i>
      <x v="12"/>
    </i>
    <i>
      <x v="13"/>
    </i>
    <i>
      <x v="14"/>
    </i>
    <i t="grand">
      <x/>
    </i>
  </rowItems>
  <colItems count="1">
    <i/>
  </colItems>
  <dataFields count="1">
    <dataField name="Suma de Valor total estimado "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4.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5.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dres.gov.co/Portals/0/manuales/GERC-C01%20Manual%20Operativo_Contabilidad_DGRFS.PDF?ver=2018-02-08-072450-163"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Q152"/>
  <sheetViews>
    <sheetView topLeftCell="D1" zoomScale="90" zoomScaleNormal="90" workbookViewId="0">
      <pane ySplit="8" topLeftCell="A80" activePane="bottomLeft" state="frozen"/>
      <selection pane="bottomLeft" activeCell="F152" sqref="F152"/>
    </sheetView>
  </sheetViews>
  <sheetFormatPr baseColWidth="10" defaultRowHeight="15" x14ac:dyDescent="0.25"/>
  <cols>
    <col min="2" max="2" width="35.5703125" customWidth="1"/>
    <col min="3" max="3" width="16.5703125" customWidth="1"/>
    <col min="4" max="4" width="40.5703125" customWidth="1"/>
    <col min="5" max="5" width="12.85546875" bestFit="1" customWidth="1"/>
    <col min="6" max="6" width="35.7109375" customWidth="1"/>
    <col min="7" max="7" width="12.85546875" style="14" bestFit="1" customWidth="1"/>
    <col min="8" max="8" width="12.140625" bestFit="1" customWidth="1"/>
    <col min="9" max="9" width="14.5703125" bestFit="1" customWidth="1"/>
    <col min="10" max="10" width="35.7109375" customWidth="1"/>
    <col min="11" max="11" width="26.85546875" customWidth="1"/>
    <col min="12" max="12" width="11.42578125" customWidth="1"/>
    <col min="13" max="13" width="21.42578125" customWidth="1"/>
    <col min="14" max="15" width="18.140625" customWidth="1"/>
    <col min="16" max="16" width="20.140625" customWidth="1"/>
    <col min="17" max="17" width="19.140625" customWidth="1"/>
    <col min="18" max="18" width="14.5703125" customWidth="1"/>
    <col min="19" max="19" width="17.5703125" customWidth="1"/>
    <col min="20" max="20" width="21.5703125" customWidth="1"/>
    <col min="21" max="21" width="12.140625" bestFit="1" customWidth="1"/>
    <col min="22" max="22" width="29.42578125" customWidth="1"/>
    <col min="23" max="23" width="25" customWidth="1"/>
    <col min="24" max="24" width="21.140625" bestFit="1" customWidth="1"/>
    <col min="25" max="25" width="12.140625" bestFit="1" customWidth="1"/>
    <col min="26" max="26" width="26.85546875" customWidth="1"/>
    <col min="27" max="27" width="24.85546875" customWidth="1"/>
    <col min="28" max="28" width="12.140625" bestFit="1" customWidth="1"/>
    <col min="29" max="29" width="24.5703125" customWidth="1"/>
    <col min="30" max="30" width="9.140625" customWidth="1"/>
    <col min="31" max="31" width="14" bestFit="1" customWidth="1"/>
    <col min="32" max="32" width="8.42578125" customWidth="1"/>
    <col min="33" max="33" width="14" bestFit="1" customWidth="1"/>
    <col min="34" max="34" width="12.140625" bestFit="1" customWidth="1"/>
    <col min="35" max="35" width="26.85546875" customWidth="1"/>
    <col min="36" max="36" width="24.85546875" customWidth="1"/>
    <col min="37" max="37" width="12.140625" bestFit="1" customWidth="1"/>
    <col min="38" max="38" width="24.85546875" customWidth="1"/>
    <col min="39" max="39" width="8.42578125" customWidth="1"/>
    <col min="40" max="40" width="14" bestFit="1" customWidth="1"/>
    <col min="41" max="41" width="8.7109375" bestFit="1" customWidth="1"/>
    <col min="42" max="42" width="14" bestFit="1" customWidth="1"/>
    <col min="43" max="43" width="12.140625" bestFit="1" customWidth="1"/>
    <col min="44" max="44" width="26.85546875" customWidth="1"/>
    <col min="45" max="45" width="24.85546875" customWidth="1"/>
    <col min="46" max="46" width="12.140625" bestFit="1" customWidth="1"/>
    <col min="47" max="47" width="24.85546875" customWidth="1"/>
    <col min="48" max="48" width="8.42578125" customWidth="1"/>
    <col min="49" max="49" width="14" bestFit="1" customWidth="1"/>
    <col min="50" max="50" width="8.42578125" bestFit="1" customWidth="1"/>
    <col min="51" max="51" width="14" bestFit="1" customWidth="1"/>
    <col min="52" max="52" width="12.140625" bestFit="1" customWidth="1"/>
    <col min="53" max="53" width="26.85546875" customWidth="1"/>
    <col min="54" max="54" width="24.85546875" customWidth="1"/>
    <col min="55" max="55" width="12.140625" bestFit="1" customWidth="1"/>
    <col min="56" max="56" width="24.85546875" customWidth="1"/>
    <col min="57" max="57" width="9.140625" bestFit="1" customWidth="1"/>
    <col min="58" max="58" width="14" bestFit="1" customWidth="1"/>
    <col min="59" max="59" width="8.42578125" bestFit="1" customWidth="1"/>
    <col min="60" max="60" width="14" bestFit="1" customWidth="1"/>
    <col min="61" max="62" width="11.140625" customWidth="1"/>
    <col min="69" max="69" width="54" customWidth="1"/>
  </cols>
  <sheetData>
    <row r="2" spans="1:69" x14ac:dyDescent="0.25">
      <c r="D2" s="1130" t="s">
        <v>126</v>
      </c>
      <c r="E2" s="1130"/>
      <c r="F2" s="1130"/>
      <c r="G2" s="1130"/>
      <c r="H2" s="1130"/>
      <c r="I2" s="1130"/>
      <c r="J2" s="1130"/>
      <c r="K2" s="1130"/>
      <c r="L2" s="1130"/>
      <c r="M2" s="1130"/>
    </row>
    <row r="3" spans="1:69" x14ac:dyDescent="0.25">
      <c r="D3" s="1130" t="s">
        <v>125</v>
      </c>
      <c r="E3" s="1130"/>
      <c r="F3" s="1130"/>
      <c r="G3" s="1130"/>
      <c r="H3" s="1130"/>
      <c r="I3" s="1130"/>
      <c r="J3" s="1130"/>
      <c r="K3" s="1130"/>
      <c r="L3" s="1130"/>
      <c r="M3" s="1130"/>
      <c r="BI3" s="4"/>
    </row>
    <row r="4" spans="1:69" x14ac:dyDescent="0.25">
      <c r="D4" s="1130" t="s">
        <v>140</v>
      </c>
      <c r="E4" s="1130"/>
      <c r="F4" s="1130"/>
      <c r="G4" s="1130"/>
      <c r="H4" s="1130"/>
      <c r="I4" s="1130"/>
      <c r="J4" s="1130"/>
      <c r="K4" s="1130"/>
      <c r="L4" s="1130"/>
      <c r="M4" s="1130"/>
      <c r="N4" s="48"/>
    </row>
    <row r="5" spans="1:69" x14ac:dyDescent="0.25">
      <c r="K5" s="20"/>
      <c r="M5" s="20"/>
    </row>
    <row r="6" spans="1:69" ht="15" customHeight="1" x14ac:dyDescent="0.25">
      <c r="Y6" s="1126" t="s">
        <v>8</v>
      </c>
      <c r="Z6" s="1126"/>
      <c r="AA6" s="1126"/>
      <c r="AB6" s="1126"/>
      <c r="AC6" s="1126"/>
      <c r="AD6" s="1126"/>
      <c r="AE6" s="1126"/>
      <c r="AF6" s="1126" t="s">
        <v>7</v>
      </c>
      <c r="AG6" s="1126"/>
      <c r="AH6" s="1125" t="s">
        <v>9</v>
      </c>
      <c r="AI6" s="1125"/>
      <c r="AJ6" s="1125"/>
      <c r="AK6" s="1125"/>
      <c r="AL6" s="1125"/>
      <c r="AM6" s="1125"/>
      <c r="AN6" s="1125"/>
      <c r="AO6" s="1125" t="s">
        <v>7</v>
      </c>
      <c r="AP6" s="1125"/>
      <c r="AQ6" s="1126" t="s">
        <v>10</v>
      </c>
      <c r="AR6" s="1126"/>
      <c r="AS6" s="1126"/>
      <c r="AT6" s="1126"/>
      <c r="AU6" s="1126"/>
      <c r="AV6" s="1126"/>
      <c r="AW6" s="1126"/>
      <c r="AX6" s="1126" t="s">
        <v>7</v>
      </c>
      <c r="AY6" s="1126"/>
      <c r="AZ6" s="1125" t="s">
        <v>11</v>
      </c>
      <c r="BA6" s="1125"/>
      <c r="BB6" s="1125"/>
      <c r="BC6" s="1125"/>
      <c r="BD6" s="1125"/>
      <c r="BE6" s="1125"/>
      <c r="BF6" s="1125"/>
      <c r="BG6" s="1125" t="s">
        <v>7</v>
      </c>
      <c r="BH6" s="1125"/>
      <c r="BI6" s="1127" t="s">
        <v>118</v>
      </c>
      <c r="BJ6" s="1128"/>
      <c r="BK6" s="1128"/>
      <c r="BL6" s="1128"/>
      <c r="BM6" s="1128"/>
      <c r="BN6" s="1128"/>
      <c r="BO6" s="1128"/>
      <c r="BP6" s="1128"/>
    </row>
    <row r="7" spans="1:69" ht="23.25" customHeight="1" x14ac:dyDescent="0.25">
      <c r="A7" s="11"/>
      <c r="B7" s="11"/>
      <c r="U7" s="1131" t="s">
        <v>129</v>
      </c>
      <c r="V7" s="1125"/>
      <c r="W7" s="1125"/>
      <c r="X7" s="1125"/>
      <c r="Y7" s="1126" t="s">
        <v>130</v>
      </c>
      <c r="Z7" s="1126"/>
      <c r="AA7" s="1126"/>
      <c r="AB7" s="1126" t="s">
        <v>18</v>
      </c>
      <c r="AC7" s="1126"/>
      <c r="AD7" s="1126" t="s">
        <v>19</v>
      </c>
      <c r="AE7" s="1126"/>
      <c r="AF7" s="1126"/>
      <c r="AG7" s="1126"/>
      <c r="AH7" s="1125" t="s">
        <v>130</v>
      </c>
      <c r="AI7" s="1125"/>
      <c r="AJ7" s="1125"/>
      <c r="AK7" s="1125" t="s">
        <v>18</v>
      </c>
      <c r="AL7" s="1125"/>
      <c r="AM7" s="1125" t="s">
        <v>19</v>
      </c>
      <c r="AN7" s="1125"/>
      <c r="AO7" s="1125"/>
      <c r="AP7" s="1125"/>
      <c r="AQ7" s="1126" t="s">
        <v>130</v>
      </c>
      <c r="AR7" s="1126"/>
      <c r="AS7" s="1126"/>
      <c r="AT7" s="1126" t="s">
        <v>18</v>
      </c>
      <c r="AU7" s="1126"/>
      <c r="AV7" s="1126" t="s">
        <v>19</v>
      </c>
      <c r="AW7" s="1126"/>
      <c r="AX7" s="1126"/>
      <c r="AY7" s="1126"/>
      <c r="AZ7" s="1125" t="s">
        <v>130</v>
      </c>
      <c r="BA7" s="1125"/>
      <c r="BB7" s="1125"/>
      <c r="BC7" s="1125" t="s">
        <v>18</v>
      </c>
      <c r="BD7" s="1125"/>
      <c r="BE7" s="1125" t="s">
        <v>19</v>
      </c>
      <c r="BF7" s="1125"/>
      <c r="BG7" s="1125"/>
      <c r="BH7" s="1125"/>
      <c r="BI7" s="1129" t="s">
        <v>8</v>
      </c>
      <c r="BJ7" s="1129"/>
      <c r="BK7" s="1129" t="s">
        <v>9</v>
      </c>
      <c r="BL7" s="1129"/>
      <c r="BM7" s="1129" t="s">
        <v>10</v>
      </c>
      <c r="BN7" s="1129"/>
      <c r="BO7" s="1129" t="s">
        <v>11</v>
      </c>
      <c r="BP7" s="1129"/>
    </row>
    <row r="8" spans="1:69" ht="46.5" customHeight="1" x14ac:dyDescent="0.25">
      <c r="A8" s="126" t="s">
        <v>80</v>
      </c>
      <c r="B8" s="126" t="s">
        <v>81</v>
      </c>
      <c r="C8" s="126" t="s">
        <v>142</v>
      </c>
      <c r="D8" s="126" t="s">
        <v>141</v>
      </c>
      <c r="E8" s="126" t="s">
        <v>82</v>
      </c>
      <c r="F8" s="126" t="s">
        <v>119</v>
      </c>
      <c r="G8" s="126" t="s">
        <v>86</v>
      </c>
      <c r="H8" s="126" t="s">
        <v>16</v>
      </c>
      <c r="I8" s="126" t="s">
        <v>83</v>
      </c>
      <c r="J8" s="126" t="s">
        <v>120</v>
      </c>
      <c r="K8" s="126" t="s">
        <v>569</v>
      </c>
      <c r="L8" s="126" t="s">
        <v>12</v>
      </c>
      <c r="M8" s="126" t="s">
        <v>88</v>
      </c>
      <c r="N8" s="126" t="s">
        <v>87</v>
      </c>
      <c r="O8" s="126" t="s">
        <v>90</v>
      </c>
      <c r="P8" s="126" t="s">
        <v>91</v>
      </c>
      <c r="Q8" s="126" t="s">
        <v>13</v>
      </c>
      <c r="R8" s="126" t="s">
        <v>14</v>
      </c>
      <c r="S8" s="126" t="s">
        <v>0</v>
      </c>
      <c r="T8" s="126" t="s">
        <v>85</v>
      </c>
      <c r="U8" s="126" t="s">
        <v>16</v>
      </c>
      <c r="V8" s="126" t="s">
        <v>120</v>
      </c>
      <c r="W8" s="126" t="s">
        <v>569</v>
      </c>
      <c r="X8" s="126" t="s">
        <v>17</v>
      </c>
      <c r="Y8" s="127" t="s">
        <v>16</v>
      </c>
      <c r="Z8" s="127" t="s">
        <v>120</v>
      </c>
      <c r="AA8" s="127" t="s">
        <v>569</v>
      </c>
      <c r="AB8" s="127" t="s">
        <v>16</v>
      </c>
      <c r="AC8" s="127" t="s">
        <v>569</v>
      </c>
      <c r="AD8" s="127" t="s">
        <v>15</v>
      </c>
      <c r="AE8" s="127" t="s">
        <v>20</v>
      </c>
      <c r="AF8" s="127" t="s">
        <v>15</v>
      </c>
      <c r="AG8" s="127" t="s">
        <v>20</v>
      </c>
      <c r="AH8" s="126" t="s">
        <v>16</v>
      </c>
      <c r="AI8" s="126" t="s">
        <v>120</v>
      </c>
      <c r="AJ8" s="126" t="s">
        <v>569</v>
      </c>
      <c r="AK8" s="126" t="s">
        <v>16</v>
      </c>
      <c r="AL8" s="126" t="s">
        <v>569</v>
      </c>
      <c r="AM8" s="126" t="s">
        <v>15</v>
      </c>
      <c r="AN8" s="126" t="s">
        <v>20</v>
      </c>
      <c r="AO8" s="126" t="s">
        <v>15</v>
      </c>
      <c r="AP8" s="126" t="s">
        <v>20</v>
      </c>
      <c r="AQ8" s="127" t="s">
        <v>16</v>
      </c>
      <c r="AR8" s="127" t="s">
        <v>120</v>
      </c>
      <c r="AS8" s="127" t="s">
        <v>569</v>
      </c>
      <c r="AT8" s="127" t="s">
        <v>16</v>
      </c>
      <c r="AU8" s="127" t="s">
        <v>569</v>
      </c>
      <c r="AV8" s="127" t="s">
        <v>15</v>
      </c>
      <c r="AW8" s="127" t="s">
        <v>20</v>
      </c>
      <c r="AX8" s="127" t="s">
        <v>15</v>
      </c>
      <c r="AY8" s="127" t="s">
        <v>20</v>
      </c>
      <c r="AZ8" s="126" t="s">
        <v>16</v>
      </c>
      <c r="BA8" s="126" t="s">
        <v>120</v>
      </c>
      <c r="BB8" s="126" t="s">
        <v>569</v>
      </c>
      <c r="BC8" s="126" t="s">
        <v>16</v>
      </c>
      <c r="BD8" s="126" t="s">
        <v>569</v>
      </c>
      <c r="BE8" s="126" t="s">
        <v>15</v>
      </c>
      <c r="BF8" s="126" t="s">
        <v>20</v>
      </c>
      <c r="BG8" s="126" t="s">
        <v>15</v>
      </c>
      <c r="BH8" s="126" t="s">
        <v>20</v>
      </c>
      <c r="BI8" s="12" t="s">
        <v>15</v>
      </c>
      <c r="BJ8" s="12" t="s">
        <v>20</v>
      </c>
      <c r="BK8" s="12" t="s">
        <v>15</v>
      </c>
      <c r="BL8" s="12" t="s">
        <v>20</v>
      </c>
      <c r="BM8" s="12" t="s">
        <v>15</v>
      </c>
      <c r="BN8" s="12" t="s">
        <v>20</v>
      </c>
      <c r="BO8" s="12" t="s">
        <v>15</v>
      </c>
      <c r="BP8" s="12" t="s">
        <v>20</v>
      </c>
      <c r="BQ8" s="12" t="s">
        <v>121</v>
      </c>
    </row>
    <row r="9" spans="1:69" s="45" customFormat="1" ht="105" x14ac:dyDescent="0.25">
      <c r="A9" s="34">
        <v>11200</v>
      </c>
      <c r="B9" s="35" t="str">
        <f>+VLOOKUP(A9,'[1]TAB. REF. PA'!$A$4:$B$14,2,FALSE)</f>
        <v>Dirección General</v>
      </c>
      <c r="C9" s="36" t="s">
        <v>291</v>
      </c>
      <c r="D9" s="35" t="s">
        <v>153</v>
      </c>
      <c r="E9" s="36" t="s">
        <v>132</v>
      </c>
      <c r="F9" s="35" t="s">
        <v>133</v>
      </c>
      <c r="G9" s="37" t="s">
        <v>124</v>
      </c>
      <c r="H9" s="36">
        <v>4</v>
      </c>
      <c r="I9" s="36" t="s">
        <v>292</v>
      </c>
      <c r="J9" s="38" t="s">
        <v>24</v>
      </c>
      <c r="K9" s="39">
        <v>0</v>
      </c>
      <c r="L9" s="40">
        <v>1</v>
      </c>
      <c r="M9" s="41" t="s">
        <v>51</v>
      </c>
      <c r="N9" s="41" t="s">
        <v>68</v>
      </c>
      <c r="O9" s="41" t="s">
        <v>21</v>
      </c>
      <c r="P9" s="41" t="s">
        <v>36</v>
      </c>
      <c r="Q9" s="41" t="s">
        <v>75</v>
      </c>
      <c r="R9" s="42"/>
      <c r="S9" s="41" t="s">
        <v>631</v>
      </c>
      <c r="T9" s="41" t="s">
        <v>98</v>
      </c>
      <c r="U9" s="34">
        <v>4</v>
      </c>
      <c r="V9" s="35" t="str">
        <f>+$J$9</f>
        <v>Reportar el cumplimiento del Plan de Acción de la Dependencia</v>
      </c>
      <c r="W9" s="39">
        <v>0</v>
      </c>
      <c r="X9" s="34" t="s">
        <v>117</v>
      </c>
      <c r="Y9" s="34">
        <v>1</v>
      </c>
      <c r="Z9" s="35" t="str">
        <f>+$J$9</f>
        <v>Reportar el cumplimiento del Plan de Acción de la Dependencia</v>
      </c>
      <c r="AA9" s="39">
        <v>0</v>
      </c>
      <c r="AB9" s="42"/>
      <c r="AC9" s="42"/>
      <c r="AD9" s="40">
        <f>+(AB9/Y9)</f>
        <v>0</v>
      </c>
      <c r="AE9" s="40" t="e">
        <f>+(AC9/AA9)</f>
        <v>#DIV/0!</v>
      </c>
      <c r="AF9" s="40">
        <f>+(AB9/U9)</f>
        <v>0</v>
      </c>
      <c r="AG9" s="40" t="e">
        <f>+(AC9/W9)</f>
        <v>#DIV/0!</v>
      </c>
      <c r="AH9" s="34">
        <v>1</v>
      </c>
      <c r="AI9" s="35" t="str">
        <f>+$J$9</f>
        <v>Reportar el cumplimiento del Plan de Acción de la Dependencia</v>
      </c>
      <c r="AJ9" s="39">
        <v>0</v>
      </c>
      <c r="AK9" s="42"/>
      <c r="AL9" s="42"/>
      <c r="AM9" s="40">
        <f>+(AK9/AH9)</f>
        <v>0</v>
      </c>
      <c r="AN9" s="40" t="e">
        <f>+(AL9/AJ9)</f>
        <v>#DIV/0!</v>
      </c>
      <c r="AO9" s="40">
        <f>+(AK9+AB9)/U9</f>
        <v>0</v>
      </c>
      <c r="AP9" s="43" t="e">
        <f>+(AL9+AC9)/W9</f>
        <v>#DIV/0!</v>
      </c>
      <c r="AQ9" s="34">
        <v>1</v>
      </c>
      <c r="AR9" s="35" t="str">
        <f>+$J$9</f>
        <v>Reportar el cumplimiento del Plan de Acción de la Dependencia</v>
      </c>
      <c r="AS9" s="39">
        <v>0</v>
      </c>
      <c r="AT9" s="42"/>
      <c r="AU9" s="42"/>
      <c r="AV9" s="40">
        <f>+(AT9/AQ9)</f>
        <v>0</v>
      </c>
      <c r="AW9" s="40" t="e">
        <f>+(AU9/AS9)</f>
        <v>#DIV/0!</v>
      </c>
      <c r="AX9" s="40">
        <f>+(AK9+AB9+AT9)/U9</f>
        <v>0</v>
      </c>
      <c r="AY9" s="40" t="e">
        <f>+(AL9+AC9+AU9)/W9</f>
        <v>#DIV/0!</v>
      </c>
      <c r="AZ9" s="34">
        <v>1</v>
      </c>
      <c r="BA9" s="35" t="str">
        <f>+$J$9</f>
        <v>Reportar el cumplimiento del Plan de Acción de la Dependencia</v>
      </c>
      <c r="BB9" s="39">
        <v>0</v>
      </c>
      <c r="BC9" s="42"/>
      <c r="BD9" s="42"/>
      <c r="BE9" s="40">
        <f>+(BC9/AZ9)</f>
        <v>0</v>
      </c>
      <c r="BF9" s="40" t="e">
        <f>+(BD9/BB9)</f>
        <v>#DIV/0!</v>
      </c>
      <c r="BG9" s="40">
        <f>+(AK9+AB9+AT9+BC9)/U9</f>
        <v>0</v>
      </c>
      <c r="BH9" s="40" t="e">
        <f>+(AL9+AC9+AU9+BD9)/W9</f>
        <v>#DIV/0!</v>
      </c>
      <c r="BI9" s="44">
        <f>IF(AND(Y9=0,AB9=0),"No Prog ni Ejec",IF(Y9=0,CONCATENATE("No Prog, Ejec=  ",AB9),AB9/Y9))</f>
        <v>0</v>
      </c>
      <c r="BJ9" s="44" t="str">
        <f>IF(AND(AA9=0,AC9=0),"No Prog ni Ejec",IF(AA9=0,CONCATENATE("No Prog, Ejec=  ",AC9),AC9/AA9))</f>
        <v>No Prog ni Ejec</v>
      </c>
      <c r="BK9" s="44">
        <f>IF(AND(AH9=0,AK9=0),"No Prog ni Ejec",IF(AH9=0,CONCATENATE("No Prog, Ejec=  ",AK9),AK9/AH9))</f>
        <v>0</v>
      </c>
      <c r="BL9" s="44" t="str">
        <f>IF(AND(AJ9=0,AL9=0),"No Prog ni Ejec",IF(AJ9=0,CONCATENATE("No Prog, Ejec=  ",AL9),AL9/AJ9))</f>
        <v>No Prog ni Ejec</v>
      </c>
      <c r="BM9" s="44">
        <f>IF(AND(AQ9=0,AT9=0),"No Prog ni Ejec",IF(AQ9=0,CONCATENATE("No Prog, Ejec=  ",AT9),AT9/AQ9))</f>
        <v>0</v>
      </c>
      <c r="BN9" s="44" t="str">
        <f>IF(AND(AS9=0,AU9=0),"No Prog ni Ejec",IF(AS9=0,CONCATENATE("No Prog, Ejec=  ",AU9),AU9/AS9))</f>
        <v>No Prog ni Ejec</v>
      </c>
      <c r="BO9" s="44">
        <f>IF(AND(AZ9=0,BC9=0),"No Prog ni Ejec",IF(AZ9=0,CONCATENATE("No Prog, Ejec=  ",BC9),BC9/AZ9))</f>
        <v>0</v>
      </c>
      <c r="BP9" s="44" t="str">
        <f>IF(AND(BB9=0,BD9=0),"No Prog ni Ejec",IF(BB9=0,CONCATENATE("No Prog, Ejec=  ",BD9),BD9/BB9))</f>
        <v>No Prog ni Ejec</v>
      </c>
      <c r="BQ9" s="42"/>
    </row>
    <row r="10" spans="1:69" s="45" customFormat="1" ht="105" x14ac:dyDescent="0.25">
      <c r="A10" s="34">
        <v>11200</v>
      </c>
      <c r="B10" s="35" t="str">
        <f>+VLOOKUP(A10,'[1]TAB. REF. PA'!$A$4:$B$14,2,FALSE)</f>
        <v>Dirección General</v>
      </c>
      <c r="C10" s="36" t="s">
        <v>152</v>
      </c>
      <c r="D10" s="35" t="s">
        <v>256</v>
      </c>
      <c r="E10" s="36" t="s">
        <v>154</v>
      </c>
      <c r="F10" s="35" t="s">
        <v>149</v>
      </c>
      <c r="G10" s="37" t="s">
        <v>124</v>
      </c>
      <c r="H10" s="34">
        <v>1</v>
      </c>
      <c r="I10" s="36" t="s">
        <v>155</v>
      </c>
      <c r="J10" s="35" t="s">
        <v>148</v>
      </c>
      <c r="K10" s="39">
        <v>500000000</v>
      </c>
      <c r="L10" s="40">
        <v>1</v>
      </c>
      <c r="M10" s="41" t="s">
        <v>48</v>
      </c>
      <c r="N10" s="41" t="s">
        <v>62</v>
      </c>
      <c r="O10" s="41" t="s">
        <v>37</v>
      </c>
      <c r="P10" s="41" t="s">
        <v>40</v>
      </c>
      <c r="Q10" s="41" t="s">
        <v>227</v>
      </c>
      <c r="R10" s="42"/>
      <c r="S10" s="103" t="s">
        <v>182</v>
      </c>
      <c r="T10" s="41" t="s">
        <v>99</v>
      </c>
      <c r="U10" s="40">
        <v>1</v>
      </c>
      <c r="V10" s="35" t="str">
        <f>+$J$10</f>
        <v>Diseño y ejecución de estrategias de campaña Marketing para la ADRES.</v>
      </c>
      <c r="W10" s="39">
        <f>+$K$10</f>
        <v>500000000</v>
      </c>
      <c r="X10" s="34" t="s">
        <v>114</v>
      </c>
      <c r="Y10" s="40">
        <f>+AA10/W10</f>
        <v>0.3</v>
      </c>
      <c r="Z10" s="35" t="str">
        <f>+$J$10</f>
        <v>Diseño y ejecución de estrategias de campaña Marketing para la ADRES.</v>
      </c>
      <c r="AA10" s="39">
        <v>150000000</v>
      </c>
      <c r="AB10" s="42"/>
      <c r="AC10" s="42"/>
      <c r="AD10" s="40">
        <f t="shared" ref="AD10:AD73" si="0">+(AB10/Y10)</f>
        <v>0</v>
      </c>
      <c r="AE10" s="40">
        <f t="shared" ref="AE10:AE73" si="1">+(AC10/AA10)</f>
        <v>0</v>
      </c>
      <c r="AF10" s="40">
        <f t="shared" ref="AF10:AF73" si="2">+(AB10/U10)</f>
        <v>0</v>
      </c>
      <c r="AG10" s="40">
        <f t="shared" ref="AG10:AG73" si="3">+(AC10/W10)</f>
        <v>0</v>
      </c>
      <c r="AH10" s="40">
        <v>0.3</v>
      </c>
      <c r="AI10" s="35" t="str">
        <f>+$J$10</f>
        <v>Diseño y ejecución de estrategias de campaña Marketing para la ADRES.</v>
      </c>
      <c r="AJ10" s="39">
        <v>150000000</v>
      </c>
      <c r="AK10" s="42"/>
      <c r="AL10" s="42"/>
      <c r="AM10" s="40">
        <f t="shared" ref="AM10:AM73" si="4">+(AK10/AH10)</f>
        <v>0</v>
      </c>
      <c r="AN10" s="40">
        <f t="shared" ref="AN10:AN73" si="5">+(AL10/AJ10)</f>
        <v>0</v>
      </c>
      <c r="AO10" s="40">
        <f t="shared" ref="AO10:AO73" si="6">+(AK10+AB10)/U10</f>
        <v>0</v>
      </c>
      <c r="AP10" s="43">
        <f t="shared" ref="AP10:AP73" si="7">+(AL10+AC10)/W10</f>
        <v>0</v>
      </c>
      <c r="AQ10" s="40">
        <v>0.3</v>
      </c>
      <c r="AR10" s="35" t="str">
        <f>+$J$10</f>
        <v>Diseño y ejecución de estrategias de campaña Marketing para la ADRES.</v>
      </c>
      <c r="AS10" s="39">
        <v>150000000</v>
      </c>
      <c r="AT10" s="42"/>
      <c r="AU10" s="42"/>
      <c r="AV10" s="40">
        <f t="shared" ref="AV10:AV73" si="8">+(AT10/AQ10)</f>
        <v>0</v>
      </c>
      <c r="AW10" s="40">
        <f t="shared" ref="AW10:AW73" si="9">+(AU10/AS10)</f>
        <v>0</v>
      </c>
      <c r="AX10" s="40">
        <f t="shared" ref="AX10:AX73" si="10">+(AK10+AB10+AT10)/U10</f>
        <v>0</v>
      </c>
      <c r="AY10" s="40">
        <f t="shared" ref="AY10:AY73" si="11">+(AL10+AC10+AU10)/W10</f>
        <v>0</v>
      </c>
      <c r="AZ10" s="40">
        <v>0.1</v>
      </c>
      <c r="BA10" s="35" t="str">
        <f>+$J$10</f>
        <v>Diseño y ejecución de estrategias de campaña Marketing para la ADRES.</v>
      </c>
      <c r="BB10" s="39">
        <v>50000000</v>
      </c>
      <c r="BC10" s="42"/>
      <c r="BD10" s="42"/>
      <c r="BE10" s="40">
        <f t="shared" ref="BE10:BE73" si="12">+(BC10/AZ10)</f>
        <v>0</v>
      </c>
      <c r="BF10" s="40">
        <f t="shared" ref="BF10:BF73" si="13">+(BD10/BB10)</f>
        <v>0</v>
      </c>
      <c r="BG10" s="40">
        <f t="shared" ref="BG10:BG73" si="14">+(AK10+AB10+AT10+BC10)/U10</f>
        <v>0</v>
      </c>
      <c r="BH10" s="40">
        <f t="shared" ref="BH10:BH73" si="15">+(AL10+AC10+AU10+BD10)/W10</f>
        <v>0</v>
      </c>
      <c r="BI10" s="44">
        <f t="shared" ref="BI10:BI73" si="16">IF(AND(Y10=0,AB10=0),"No Prog ni Ejec",IF(Y10=0,CONCATENATE("No Prog, Ejec=  ",AB10),AB10/Y10))</f>
        <v>0</v>
      </c>
      <c r="BJ10" s="44">
        <f t="shared" ref="BJ10:BJ73" si="17">IF(AND(AA10=0,AC10=0),"No Prog ni Ejec",IF(AA10=0,CONCATENATE("No Prog, Ejec=  ",AC10),AC10/AA10))</f>
        <v>0</v>
      </c>
      <c r="BK10" s="44">
        <f t="shared" ref="BK10:BK73" si="18">IF(AND(AH10=0,AK10=0),"No Prog ni Ejec",IF(AH10=0,CONCATENATE("No Prog, Ejec=  ",AK10),AK10/AH10))</f>
        <v>0</v>
      </c>
      <c r="BL10" s="44">
        <f t="shared" ref="BL10:BL73" si="19">IF(AND(AJ10=0,AL10=0),"No Prog ni Ejec",IF(AJ10=0,CONCATENATE("No Prog, Ejec=  ",AL10),AL10/AJ10))</f>
        <v>0</v>
      </c>
      <c r="BM10" s="44">
        <f t="shared" ref="BM10:BM73" si="20">IF(AND(AQ10=0,AT10=0),"No Prog ni Ejec",IF(AQ10=0,CONCATENATE("No Prog, Ejec=  ",AT10),AT10/AQ10))</f>
        <v>0</v>
      </c>
      <c r="BN10" s="44">
        <f t="shared" ref="BN10:BN73" si="21">IF(AND(AS10=0,AU10=0),"No Prog ni Ejec",IF(AS10=0,CONCATENATE("No Prog, Ejec=  ",AU10),AU10/AS10))</f>
        <v>0</v>
      </c>
      <c r="BO10" s="44">
        <f t="shared" ref="BO10:BO73" si="22">IF(AND(AZ10=0,BC10=0),"No Prog ni Ejec",IF(AZ10=0,CONCATENATE("No Prog, Ejec=  ",BC10),BC10/AZ10))</f>
        <v>0</v>
      </c>
      <c r="BP10" s="44">
        <f t="shared" ref="BP10:BP73" si="23">IF(AND(BB10=0,BD10=0),"No Prog ni Ejec",IF(BB10=0,CONCATENATE("No Prog, Ejec=  ",BD10),BD10/BB10))</f>
        <v>0</v>
      </c>
      <c r="BQ10" s="42"/>
    </row>
    <row r="11" spans="1:69" s="45" customFormat="1" ht="105" x14ac:dyDescent="0.25">
      <c r="A11" s="34">
        <v>11300</v>
      </c>
      <c r="B11" s="35" t="str">
        <f>+VLOOKUP(A11,'[1]TAB. REF. PA'!$A$4:$B$14,2,FALSE)</f>
        <v>Dirección de Gestión de Recursos Financieros de Salud</v>
      </c>
      <c r="C11" s="36" t="s">
        <v>150</v>
      </c>
      <c r="D11" s="35" t="s">
        <v>153</v>
      </c>
      <c r="E11" s="36" t="s">
        <v>151</v>
      </c>
      <c r="F11" s="35" t="s">
        <v>133</v>
      </c>
      <c r="G11" s="37" t="s">
        <v>124</v>
      </c>
      <c r="H11" s="36">
        <v>4</v>
      </c>
      <c r="I11" s="36" t="s">
        <v>293</v>
      </c>
      <c r="J11" s="38" t="s">
        <v>24</v>
      </c>
      <c r="K11" s="39">
        <v>0</v>
      </c>
      <c r="L11" s="40">
        <v>1</v>
      </c>
      <c r="M11" s="41" t="s">
        <v>51</v>
      </c>
      <c r="N11" s="41" t="s">
        <v>68</v>
      </c>
      <c r="O11" s="41" t="s">
        <v>21</v>
      </c>
      <c r="P11" s="41" t="s">
        <v>36</v>
      </c>
      <c r="Q11" s="41" t="s">
        <v>75</v>
      </c>
      <c r="R11" s="42"/>
      <c r="S11" s="41" t="s">
        <v>631</v>
      </c>
      <c r="T11" s="41" t="s">
        <v>98</v>
      </c>
      <c r="U11" s="34">
        <v>4</v>
      </c>
      <c r="V11" s="35" t="str">
        <f>+$J$11</f>
        <v>Reportar el cumplimiento del Plan de Acción de la Dependencia</v>
      </c>
      <c r="W11" s="39">
        <v>0</v>
      </c>
      <c r="X11" s="34" t="s">
        <v>117</v>
      </c>
      <c r="Y11" s="34">
        <v>1</v>
      </c>
      <c r="Z11" s="35" t="str">
        <f>+$J$11</f>
        <v>Reportar el cumplimiento del Plan de Acción de la Dependencia</v>
      </c>
      <c r="AA11" s="39">
        <v>0</v>
      </c>
      <c r="AB11" s="42"/>
      <c r="AC11" s="42"/>
      <c r="AD11" s="40">
        <f t="shared" si="0"/>
        <v>0</v>
      </c>
      <c r="AE11" s="40" t="e">
        <f t="shared" si="1"/>
        <v>#DIV/0!</v>
      </c>
      <c r="AF11" s="40">
        <f t="shared" si="2"/>
        <v>0</v>
      </c>
      <c r="AG11" s="40" t="e">
        <f t="shared" si="3"/>
        <v>#DIV/0!</v>
      </c>
      <c r="AH11" s="34">
        <v>1</v>
      </c>
      <c r="AI11" s="35" t="str">
        <f>+$J$11</f>
        <v>Reportar el cumplimiento del Plan de Acción de la Dependencia</v>
      </c>
      <c r="AJ11" s="39">
        <v>0</v>
      </c>
      <c r="AK11" s="42"/>
      <c r="AL11" s="42"/>
      <c r="AM11" s="40">
        <f t="shared" si="4"/>
        <v>0</v>
      </c>
      <c r="AN11" s="40" t="e">
        <f t="shared" si="5"/>
        <v>#DIV/0!</v>
      </c>
      <c r="AO11" s="40">
        <f t="shared" si="6"/>
        <v>0</v>
      </c>
      <c r="AP11" s="43" t="e">
        <f t="shared" si="7"/>
        <v>#DIV/0!</v>
      </c>
      <c r="AQ11" s="34">
        <v>1</v>
      </c>
      <c r="AR11" s="35" t="str">
        <f>+$J$11</f>
        <v>Reportar el cumplimiento del Plan de Acción de la Dependencia</v>
      </c>
      <c r="AS11" s="39">
        <v>0</v>
      </c>
      <c r="AT11" s="42"/>
      <c r="AU11" s="42"/>
      <c r="AV11" s="40">
        <f t="shared" si="8"/>
        <v>0</v>
      </c>
      <c r="AW11" s="40" t="e">
        <f t="shared" si="9"/>
        <v>#DIV/0!</v>
      </c>
      <c r="AX11" s="40">
        <f t="shared" si="10"/>
        <v>0</v>
      </c>
      <c r="AY11" s="40" t="e">
        <f t="shared" si="11"/>
        <v>#DIV/0!</v>
      </c>
      <c r="AZ11" s="34">
        <v>1</v>
      </c>
      <c r="BA11" s="35" t="str">
        <f>+$J$11</f>
        <v>Reportar el cumplimiento del Plan de Acción de la Dependencia</v>
      </c>
      <c r="BB11" s="39">
        <v>0</v>
      </c>
      <c r="BC11" s="42"/>
      <c r="BD11" s="42"/>
      <c r="BE11" s="40">
        <f t="shared" si="12"/>
        <v>0</v>
      </c>
      <c r="BF11" s="40" t="e">
        <f t="shared" si="13"/>
        <v>#DIV/0!</v>
      </c>
      <c r="BG11" s="40">
        <f t="shared" si="14"/>
        <v>0</v>
      </c>
      <c r="BH11" s="40" t="e">
        <f t="shared" si="15"/>
        <v>#DIV/0!</v>
      </c>
      <c r="BI11" s="44">
        <f t="shared" si="16"/>
        <v>0</v>
      </c>
      <c r="BJ11" s="44" t="str">
        <f t="shared" si="17"/>
        <v>No Prog ni Ejec</v>
      </c>
      <c r="BK11" s="44">
        <f t="shared" si="18"/>
        <v>0</v>
      </c>
      <c r="BL11" s="44" t="str">
        <f t="shared" si="19"/>
        <v>No Prog ni Ejec</v>
      </c>
      <c r="BM11" s="44">
        <f t="shared" si="20"/>
        <v>0</v>
      </c>
      <c r="BN11" s="44" t="str">
        <f t="shared" si="21"/>
        <v>No Prog ni Ejec</v>
      </c>
      <c r="BO11" s="44">
        <f t="shared" si="22"/>
        <v>0</v>
      </c>
      <c r="BP11" s="44" t="str">
        <f t="shared" si="23"/>
        <v>No Prog ni Ejec</v>
      </c>
      <c r="BQ11" s="42"/>
    </row>
    <row r="12" spans="1:69" s="45" customFormat="1" ht="105" x14ac:dyDescent="0.25">
      <c r="A12" s="34">
        <v>11300</v>
      </c>
      <c r="B12" s="35" t="str">
        <f>+VLOOKUP(A12,'[1]TAB. REF. PA'!$A$4:$B$14,2,FALSE)</f>
        <v>Dirección de Gestión de Recursos Financieros de Salud</v>
      </c>
      <c r="C12" s="36" t="s">
        <v>157</v>
      </c>
      <c r="D12" s="35" t="s">
        <v>256</v>
      </c>
      <c r="E12" s="36" t="s">
        <v>576</v>
      </c>
      <c r="F12" s="35" t="s">
        <v>159</v>
      </c>
      <c r="G12" s="37" t="s">
        <v>123</v>
      </c>
      <c r="H12" s="46">
        <v>1</v>
      </c>
      <c r="I12" s="36" t="s">
        <v>577</v>
      </c>
      <c r="J12" s="41" t="s">
        <v>156</v>
      </c>
      <c r="K12" s="39">
        <v>0</v>
      </c>
      <c r="L12" s="40">
        <v>1</v>
      </c>
      <c r="M12" s="41" t="s">
        <v>51</v>
      </c>
      <c r="N12" s="41" t="s">
        <v>68</v>
      </c>
      <c r="O12" s="41" t="s">
        <v>21</v>
      </c>
      <c r="P12" s="41" t="s">
        <v>36</v>
      </c>
      <c r="Q12" s="41" t="s">
        <v>75</v>
      </c>
      <c r="R12" s="42"/>
      <c r="S12" s="41" t="s">
        <v>672</v>
      </c>
      <c r="T12" s="41" t="s">
        <v>98</v>
      </c>
      <c r="U12" s="40">
        <v>1</v>
      </c>
      <c r="V12" s="35" t="str">
        <f>+$J$12</f>
        <v>Formular los proceso y procedimientos en el marco del MIPG</v>
      </c>
      <c r="W12" s="39">
        <v>0</v>
      </c>
      <c r="X12" s="34" t="s">
        <v>117</v>
      </c>
      <c r="Y12" s="40">
        <v>0.25</v>
      </c>
      <c r="Z12" s="35" t="str">
        <f>+$J$12</f>
        <v>Formular los proceso y procedimientos en el marco del MIPG</v>
      </c>
      <c r="AA12" s="39">
        <v>0</v>
      </c>
      <c r="AB12" s="42"/>
      <c r="AC12" s="42"/>
      <c r="AD12" s="40">
        <f t="shared" si="0"/>
        <v>0</v>
      </c>
      <c r="AE12" s="40" t="e">
        <f t="shared" si="1"/>
        <v>#DIV/0!</v>
      </c>
      <c r="AF12" s="40">
        <f t="shared" si="2"/>
        <v>0</v>
      </c>
      <c r="AG12" s="40" t="e">
        <f t="shared" si="3"/>
        <v>#DIV/0!</v>
      </c>
      <c r="AH12" s="40">
        <v>0.25</v>
      </c>
      <c r="AI12" s="35" t="str">
        <f>+$J$12</f>
        <v>Formular los proceso y procedimientos en el marco del MIPG</v>
      </c>
      <c r="AJ12" s="39">
        <v>0</v>
      </c>
      <c r="AK12" s="42"/>
      <c r="AL12" s="42"/>
      <c r="AM12" s="40">
        <f t="shared" si="4"/>
        <v>0</v>
      </c>
      <c r="AN12" s="40" t="e">
        <f t="shared" si="5"/>
        <v>#DIV/0!</v>
      </c>
      <c r="AO12" s="40">
        <f t="shared" si="6"/>
        <v>0</v>
      </c>
      <c r="AP12" s="43" t="e">
        <f t="shared" si="7"/>
        <v>#DIV/0!</v>
      </c>
      <c r="AQ12" s="40">
        <v>0.25</v>
      </c>
      <c r="AR12" s="35" t="str">
        <f>+$J$12</f>
        <v>Formular los proceso y procedimientos en el marco del MIPG</v>
      </c>
      <c r="AS12" s="39">
        <v>0</v>
      </c>
      <c r="AT12" s="42"/>
      <c r="AU12" s="42"/>
      <c r="AV12" s="40">
        <f t="shared" si="8"/>
        <v>0</v>
      </c>
      <c r="AW12" s="40" t="e">
        <f t="shared" si="9"/>
        <v>#DIV/0!</v>
      </c>
      <c r="AX12" s="40">
        <f t="shared" si="10"/>
        <v>0</v>
      </c>
      <c r="AY12" s="40" t="e">
        <f t="shared" si="11"/>
        <v>#DIV/0!</v>
      </c>
      <c r="AZ12" s="40">
        <v>0.25</v>
      </c>
      <c r="BA12" s="35" t="str">
        <f>+$J$12</f>
        <v>Formular los proceso y procedimientos en el marco del MIPG</v>
      </c>
      <c r="BB12" s="39">
        <v>0</v>
      </c>
      <c r="BC12" s="42"/>
      <c r="BD12" s="42"/>
      <c r="BE12" s="40">
        <f t="shared" si="12"/>
        <v>0</v>
      </c>
      <c r="BF12" s="40" t="e">
        <f t="shared" si="13"/>
        <v>#DIV/0!</v>
      </c>
      <c r="BG12" s="40">
        <f t="shared" si="14"/>
        <v>0</v>
      </c>
      <c r="BH12" s="40" t="e">
        <f t="shared" si="15"/>
        <v>#DIV/0!</v>
      </c>
      <c r="BI12" s="44">
        <f t="shared" si="16"/>
        <v>0</v>
      </c>
      <c r="BJ12" s="44" t="str">
        <f t="shared" si="17"/>
        <v>No Prog ni Ejec</v>
      </c>
      <c r="BK12" s="44">
        <f t="shared" si="18"/>
        <v>0</v>
      </c>
      <c r="BL12" s="44" t="str">
        <f t="shared" si="19"/>
        <v>No Prog ni Ejec</v>
      </c>
      <c r="BM12" s="44">
        <f t="shared" si="20"/>
        <v>0</v>
      </c>
      <c r="BN12" s="44" t="str">
        <f t="shared" si="21"/>
        <v>No Prog ni Ejec</v>
      </c>
      <c r="BO12" s="44">
        <f t="shared" si="22"/>
        <v>0</v>
      </c>
      <c r="BP12" s="44" t="str">
        <f t="shared" si="23"/>
        <v>No Prog ni Ejec</v>
      </c>
      <c r="BQ12" s="42"/>
    </row>
    <row r="13" spans="1:69" s="45" customFormat="1" ht="105" x14ac:dyDescent="0.25">
      <c r="A13" s="34">
        <v>11300</v>
      </c>
      <c r="B13" s="35" t="str">
        <f>+VLOOKUP(A13,'[1]TAB. REF. PA'!$A$4:$B$14,2,FALSE)</f>
        <v>Dirección de Gestión de Recursos Financieros de Salud</v>
      </c>
      <c r="C13" s="36" t="s">
        <v>157</v>
      </c>
      <c r="D13" s="35" t="s">
        <v>256</v>
      </c>
      <c r="E13" s="36" t="s">
        <v>158</v>
      </c>
      <c r="F13" s="35" t="s">
        <v>127</v>
      </c>
      <c r="G13" s="37" t="s">
        <v>123</v>
      </c>
      <c r="H13" s="46">
        <v>1</v>
      </c>
      <c r="I13" s="36" t="s">
        <v>294</v>
      </c>
      <c r="J13" s="41" t="s">
        <v>128</v>
      </c>
      <c r="K13" s="39">
        <v>0</v>
      </c>
      <c r="L13" s="40">
        <v>1</v>
      </c>
      <c r="M13" s="41" t="s">
        <v>51</v>
      </c>
      <c r="N13" s="41" t="s">
        <v>68</v>
      </c>
      <c r="O13" s="41" t="s">
        <v>21</v>
      </c>
      <c r="P13" s="41" t="s">
        <v>36</v>
      </c>
      <c r="Q13" s="41" t="s">
        <v>75</v>
      </c>
      <c r="R13" s="42"/>
      <c r="S13" s="41" t="s">
        <v>570</v>
      </c>
      <c r="T13" s="41" t="s">
        <v>98</v>
      </c>
      <c r="U13" s="40">
        <v>1</v>
      </c>
      <c r="V13" s="35" t="str">
        <f>+$J$13</f>
        <v>Remitir informes trimestrales de los indicadores formulados y las acciones de mejoras</v>
      </c>
      <c r="W13" s="39">
        <v>0</v>
      </c>
      <c r="X13" s="34" t="s">
        <v>117</v>
      </c>
      <c r="Y13" s="39">
        <v>0</v>
      </c>
      <c r="Z13" s="35" t="str">
        <f>+$J$13</f>
        <v>Remitir informes trimestrales de los indicadores formulados y las acciones de mejoras</v>
      </c>
      <c r="AA13" s="39">
        <v>0</v>
      </c>
      <c r="AB13" s="42"/>
      <c r="AC13" s="42"/>
      <c r="AD13" s="40" t="e">
        <f t="shared" si="0"/>
        <v>#DIV/0!</v>
      </c>
      <c r="AE13" s="40" t="e">
        <f t="shared" si="1"/>
        <v>#DIV/0!</v>
      </c>
      <c r="AF13" s="40">
        <f t="shared" si="2"/>
        <v>0</v>
      </c>
      <c r="AG13" s="40" t="e">
        <f t="shared" si="3"/>
        <v>#DIV/0!</v>
      </c>
      <c r="AH13" s="39">
        <v>0</v>
      </c>
      <c r="AI13" s="35" t="str">
        <f>+$J$13</f>
        <v>Remitir informes trimestrales de los indicadores formulados y las acciones de mejoras</v>
      </c>
      <c r="AJ13" s="39">
        <v>0</v>
      </c>
      <c r="AK13" s="42"/>
      <c r="AL13" s="42"/>
      <c r="AM13" s="40" t="e">
        <f t="shared" si="4"/>
        <v>#DIV/0!</v>
      </c>
      <c r="AN13" s="40" t="e">
        <f t="shared" si="5"/>
        <v>#DIV/0!</v>
      </c>
      <c r="AO13" s="40">
        <f t="shared" si="6"/>
        <v>0</v>
      </c>
      <c r="AP13" s="43" t="e">
        <f t="shared" si="7"/>
        <v>#DIV/0!</v>
      </c>
      <c r="AQ13" s="39">
        <v>0</v>
      </c>
      <c r="AR13" s="35" t="str">
        <f>+$J$13</f>
        <v>Remitir informes trimestrales de los indicadores formulados y las acciones de mejoras</v>
      </c>
      <c r="AS13" s="39">
        <v>0</v>
      </c>
      <c r="AT13" s="42"/>
      <c r="AU13" s="42"/>
      <c r="AV13" s="40" t="e">
        <f t="shared" si="8"/>
        <v>#DIV/0!</v>
      </c>
      <c r="AW13" s="40" t="e">
        <f t="shared" si="9"/>
        <v>#DIV/0!</v>
      </c>
      <c r="AX13" s="40">
        <f t="shared" si="10"/>
        <v>0</v>
      </c>
      <c r="AY13" s="40" t="e">
        <f t="shared" si="11"/>
        <v>#DIV/0!</v>
      </c>
      <c r="AZ13" s="47">
        <v>1</v>
      </c>
      <c r="BA13" s="35" t="str">
        <f>+$J$13</f>
        <v>Remitir informes trimestrales de los indicadores formulados y las acciones de mejoras</v>
      </c>
      <c r="BB13" s="39">
        <v>0</v>
      </c>
      <c r="BC13" s="42"/>
      <c r="BD13" s="42"/>
      <c r="BE13" s="40">
        <f t="shared" si="12"/>
        <v>0</v>
      </c>
      <c r="BF13" s="40" t="e">
        <f t="shared" si="13"/>
        <v>#DIV/0!</v>
      </c>
      <c r="BG13" s="40">
        <f t="shared" si="14"/>
        <v>0</v>
      </c>
      <c r="BH13" s="40" t="e">
        <f t="shared" si="15"/>
        <v>#DIV/0!</v>
      </c>
      <c r="BI13" s="44" t="str">
        <f t="shared" si="16"/>
        <v>No Prog ni Ejec</v>
      </c>
      <c r="BJ13" s="44" t="str">
        <f t="shared" si="17"/>
        <v>No Prog ni Ejec</v>
      </c>
      <c r="BK13" s="44" t="str">
        <f t="shared" si="18"/>
        <v>No Prog ni Ejec</v>
      </c>
      <c r="BL13" s="44" t="str">
        <f t="shared" si="19"/>
        <v>No Prog ni Ejec</v>
      </c>
      <c r="BM13" s="44" t="str">
        <f t="shared" si="20"/>
        <v>No Prog ni Ejec</v>
      </c>
      <c r="BN13" s="44" t="str">
        <f t="shared" si="21"/>
        <v>No Prog ni Ejec</v>
      </c>
      <c r="BO13" s="44">
        <f t="shared" si="22"/>
        <v>0</v>
      </c>
      <c r="BP13" s="44" t="str">
        <f t="shared" si="23"/>
        <v>No Prog ni Ejec</v>
      </c>
      <c r="BQ13" s="42"/>
    </row>
    <row r="14" spans="1:69" s="45" customFormat="1" ht="105" x14ac:dyDescent="0.25">
      <c r="A14" s="34">
        <v>11300</v>
      </c>
      <c r="B14" s="35" t="str">
        <f>+VLOOKUP(A14,'[1]TAB. REF. PA'!$A$4:$B$14,2,FALSE)</f>
        <v>Dirección de Gestión de Recursos Financieros de Salud</v>
      </c>
      <c r="C14" s="36" t="s">
        <v>160</v>
      </c>
      <c r="D14" s="35" t="s">
        <v>145</v>
      </c>
      <c r="E14" s="36" t="s">
        <v>161</v>
      </c>
      <c r="F14" s="35" t="s">
        <v>162</v>
      </c>
      <c r="G14" s="37" t="s">
        <v>123</v>
      </c>
      <c r="H14" s="46">
        <v>1</v>
      </c>
      <c r="I14" s="36" t="s">
        <v>295</v>
      </c>
      <c r="J14" s="38" t="s">
        <v>165</v>
      </c>
      <c r="K14" s="39">
        <v>74955308000</v>
      </c>
      <c r="L14" s="140">
        <v>1.7542864196212072E-3</v>
      </c>
      <c r="M14" s="41" t="s">
        <v>46</v>
      </c>
      <c r="N14" s="41" t="s">
        <v>68</v>
      </c>
      <c r="O14" s="41" t="s">
        <v>21</v>
      </c>
      <c r="P14" s="41" t="s">
        <v>36</v>
      </c>
      <c r="Q14" s="41" t="s">
        <v>213</v>
      </c>
      <c r="R14" s="42"/>
      <c r="S14" s="41" t="s">
        <v>182</v>
      </c>
      <c r="T14" s="41" t="s">
        <v>99</v>
      </c>
      <c r="U14" s="40">
        <v>1</v>
      </c>
      <c r="V14" s="35" t="str">
        <f>+$J$14</f>
        <v>Transferencias Entidades de Administración Publica Central</v>
      </c>
      <c r="W14" s="39">
        <v>74955308000</v>
      </c>
      <c r="X14" s="34" t="s">
        <v>116</v>
      </c>
      <c r="Y14" s="40">
        <v>0.25</v>
      </c>
      <c r="Z14" s="35" t="str">
        <f>+$J$14</f>
        <v>Transferencias Entidades de Administración Publica Central</v>
      </c>
      <c r="AA14" s="49">
        <v>18738827000</v>
      </c>
      <c r="AB14" s="40"/>
      <c r="AC14" s="42"/>
      <c r="AD14" s="40">
        <f t="shared" si="0"/>
        <v>0</v>
      </c>
      <c r="AE14" s="40">
        <f t="shared" si="1"/>
        <v>0</v>
      </c>
      <c r="AF14" s="40">
        <f t="shared" si="2"/>
        <v>0</v>
      </c>
      <c r="AG14" s="40">
        <f t="shared" si="3"/>
        <v>0</v>
      </c>
      <c r="AH14" s="40">
        <v>0.25</v>
      </c>
      <c r="AI14" s="35" t="str">
        <f>+$J$14</f>
        <v>Transferencias Entidades de Administración Publica Central</v>
      </c>
      <c r="AJ14" s="49">
        <v>18738827000</v>
      </c>
      <c r="AK14" s="40"/>
      <c r="AL14" s="42"/>
      <c r="AM14" s="40">
        <f t="shared" si="4"/>
        <v>0</v>
      </c>
      <c r="AN14" s="40">
        <f t="shared" si="5"/>
        <v>0</v>
      </c>
      <c r="AO14" s="40">
        <f t="shared" si="6"/>
        <v>0</v>
      </c>
      <c r="AP14" s="43">
        <f t="shared" si="7"/>
        <v>0</v>
      </c>
      <c r="AQ14" s="40">
        <v>0.25</v>
      </c>
      <c r="AR14" s="35" t="str">
        <f>+$J$14</f>
        <v>Transferencias Entidades de Administración Publica Central</v>
      </c>
      <c r="AS14" s="49">
        <v>18738827000</v>
      </c>
      <c r="AT14" s="42"/>
      <c r="AU14" s="42"/>
      <c r="AV14" s="40">
        <f t="shared" si="8"/>
        <v>0</v>
      </c>
      <c r="AW14" s="40">
        <f t="shared" si="9"/>
        <v>0</v>
      </c>
      <c r="AX14" s="40">
        <f t="shared" si="10"/>
        <v>0</v>
      </c>
      <c r="AY14" s="40">
        <f t="shared" si="11"/>
        <v>0</v>
      </c>
      <c r="AZ14" s="40">
        <v>0.25</v>
      </c>
      <c r="BA14" s="35" t="str">
        <f>+$J$14</f>
        <v>Transferencias Entidades de Administración Publica Central</v>
      </c>
      <c r="BB14" s="49">
        <v>18738827000</v>
      </c>
      <c r="BC14" s="42"/>
      <c r="BD14" s="42"/>
      <c r="BE14" s="40">
        <f t="shared" si="12"/>
        <v>0</v>
      </c>
      <c r="BF14" s="40">
        <f t="shared" si="13"/>
        <v>0</v>
      </c>
      <c r="BG14" s="40">
        <f t="shared" si="14"/>
        <v>0</v>
      </c>
      <c r="BH14" s="40">
        <f t="shared" si="15"/>
        <v>0</v>
      </c>
      <c r="BI14" s="44">
        <f t="shared" si="16"/>
        <v>0</v>
      </c>
      <c r="BJ14" s="44">
        <f t="shared" si="17"/>
        <v>0</v>
      </c>
      <c r="BK14" s="44">
        <f t="shared" si="18"/>
        <v>0</v>
      </c>
      <c r="BL14" s="44">
        <f t="shared" si="19"/>
        <v>0</v>
      </c>
      <c r="BM14" s="44">
        <f t="shared" si="20"/>
        <v>0</v>
      </c>
      <c r="BN14" s="44">
        <f t="shared" si="21"/>
        <v>0</v>
      </c>
      <c r="BO14" s="44">
        <f t="shared" si="22"/>
        <v>0</v>
      </c>
      <c r="BP14" s="44">
        <f t="shared" si="23"/>
        <v>0</v>
      </c>
      <c r="BQ14" s="42"/>
    </row>
    <row r="15" spans="1:69" s="45" customFormat="1" ht="105" x14ac:dyDescent="0.25">
      <c r="A15" s="34">
        <v>11300</v>
      </c>
      <c r="B15" s="35" t="str">
        <f>+VLOOKUP(A15,'[1]TAB. REF. PA'!$A$4:$B$14,2,FALSE)</f>
        <v>Dirección de Gestión de Recursos Financieros de Salud</v>
      </c>
      <c r="C15" s="36" t="s">
        <v>160</v>
      </c>
      <c r="D15" s="35" t="s">
        <v>145</v>
      </c>
      <c r="E15" s="36" t="s">
        <v>161</v>
      </c>
      <c r="F15" s="35" t="s">
        <v>162</v>
      </c>
      <c r="G15" s="37" t="s">
        <v>123</v>
      </c>
      <c r="H15" s="46">
        <v>1</v>
      </c>
      <c r="I15" s="36" t="s">
        <v>296</v>
      </c>
      <c r="J15" s="38" t="s">
        <v>166</v>
      </c>
      <c r="K15" s="39">
        <v>89295030000</v>
      </c>
      <c r="L15" s="140">
        <v>2.0898994700771331E-3</v>
      </c>
      <c r="M15" s="41" t="s">
        <v>46</v>
      </c>
      <c r="N15" s="41" t="s">
        <v>68</v>
      </c>
      <c r="O15" s="41" t="s">
        <v>21</v>
      </c>
      <c r="P15" s="41" t="s">
        <v>36</v>
      </c>
      <c r="Q15" s="41" t="s">
        <v>213</v>
      </c>
      <c r="R15" s="42"/>
      <c r="S15" s="41" t="s">
        <v>182</v>
      </c>
      <c r="T15" s="41" t="s">
        <v>99</v>
      </c>
      <c r="U15" s="40">
        <v>1</v>
      </c>
      <c r="V15" s="35" t="str">
        <f>+$J$15</f>
        <v>Empresas Publicas nacionales No Financieras - ADRES</v>
      </c>
      <c r="W15" s="39">
        <v>89295030000</v>
      </c>
      <c r="X15" s="34" t="s">
        <v>116</v>
      </c>
      <c r="Y15" s="40">
        <v>0.25</v>
      </c>
      <c r="Z15" s="35" t="str">
        <f>+$J$15</f>
        <v>Empresas Publicas nacionales No Financieras - ADRES</v>
      </c>
      <c r="AA15" s="49">
        <v>22323757500</v>
      </c>
      <c r="AB15" s="42"/>
      <c r="AC15" s="42"/>
      <c r="AD15" s="40">
        <f t="shared" si="0"/>
        <v>0</v>
      </c>
      <c r="AE15" s="40">
        <f t="shared" si="1"/>
        <v>0</v>
      </c>
      <c r="AF15" s="40">
        <f t="shared" si="2"/>
        <v>0</v>
      </c>
      <c r="AG15" s="40">
        <f t="shared" si="3"/>
        <v>0</v>
      </c>
      <c r="AH15" s="40">
        <v>0.25</v>
      </c>
      <c r="AI15" s="35" t="str">
        <f>+$J$15</f>
        <v>Empresas Publicas nacionales No Financieras - ADRES</v>
      </c>
      <c r="AJ15" s="49">
        <v>22323757500</v>
      </c>
      <c r="AK15" s="42"/>
      <c r="AL15" s="42"/>
      <c r="AM15" s="40">
        <f t="shared" si="4"/>
        <v>0</v>
      </c>
      <c r="AN15" s="40">
        <f t="shared" si="5"/>
        <v>0</v>
      </c>
      <c r="AO15" s="40">
        <f t="shared" si="6"/>
        <v>0</v>
      </c>
      <c r="AP15" s="43">
        <f t="shared" si="7"/>
        <v>0</v>
      </c>
      <c r="AQ15" s="40">
        <v>0.25</v>
      </c>
      <c r="AR15" s="35" t="str">
        <f>+$J$15</f>
        <v>Empresas Publicas nacionales No Financieras - ADRES</v>
      </c>
      <c r="AS15" s="49">
        <v>22323757500</v>
      </c>
      <c r="AT15" s="42"/>
      <c r="AU15" s="42"/>
      <c r="AV15" s="40">
        <f t="shared" si="8"/>
        <v>0</v>
      </c>
      <c r="AW15" s="40">
        <f t="shared" si="9"/>
        <v>0</v>
      </c>
      <c r="AX15" s="40">
        <f t="shared" si="10"/>
        <v>0</v>
      </c>
      <c r="AY15" s="40">
        <f t="shared" si="11"/>
        <v>0</v>
      </c>
      <c r="AZ15" s="40">
        <v>0.25</v>
      </c>
      <c r="BA15" s="35" t="str">
        <f>+$J$15</f>
        <v>Empresas Publicas nacionales No Financieras - ADRES</v>
      </c>
      <c r="BB15" s="49">
        <v>22323757500</v>
      </c>
      <c r="BC15" s="42"/>
      <c r="BD15" s="42"/>
      <c r="BE15" s="40">
        <f t="shared" si="12"/>
        <v>0</v>
      </c>
      <c r="BF15" s="40">
        <f t="shared" si="13"/>
        <v>0</v>
      </c>
      <c r="BG15" s="40">
        <f t="shared" si="14"/>
        <v>0</v>
      </c>
      <c r="BH15" s="40">
        <f t="shared" si="15"/>
        <v>0</v>
      </c>
      <c r="BI15" s="44">
        <f t="shared" si="16"/>
        <v>0</v>
      </c>
      <c r="BJ15" s="44">
        <f t="shared" si="17"/>
        <v>0</v>
      </c>
      <c r="BK15" s="44">
        <f t="shared" si="18"/>
        <v>0</v>
      </c>
      <c r="BL15" s="44">
        <f t="shared" si="19"/>
        <v>0</v>
      </c>
      <c r="BM15" s="44">
        <f t="shared" si="20"/>
        <v>0</v>
      </c>
      <c r="BN15" s="44">
        <f t="shared" si="21"/>
        <v>0</v>
      </c>
      <c r="BO15" s="44">
        <f t="shared" si="22"/>
        <v>0</v>
      </c>
      <c r="BP15" s="44">
        <f t="shared" si="23"/>
        <v>0</v>
      </c>
      <c r="BQ15" s="42"/>
    </row>
    <row r="16" spans="1:69" s="45" customFormat="1" ht="105" x14ac:dyDescent="0.25">
      <c r="A16" s="34">
        <v>11300</v>
      </c>
      <c r="B16" s="35" t="str">
        <f>+VLOOKUP(A16,'[1]TAB. REF. PA'!$A$4:$B$14,2,FALSE)</f>
        <v>Dirección de Gestión de Recursos Financieros de Salud</v>
      </c>
      <c r="C16" s="36" t="s">
        <v>160</v>
      </c>
      <c r="D16" s="35" t="s">
        <v>145</v>
      </c>
      <c r="E16" s="36" t="s">
        <v>161</v>
      </c>
      <c r="F16" s="35" t="s">
        <v>162</v>
      </c>
      <c r="G16" s="37" t="s">
        <v>123</v>
      </c>
      <c r="H16" s="46">
        <v>1</v>
      </c>
      <c r="I16" s="36" t="s">
        <v>297</v>
      </c>
      <c r="J16" s="38" t="s">
        <v>167</v>
      </c>
      <c r="K16" s="39">
        <v>3000000000</v>
      </c>
      <c r="L16" s="140">
        <v>7.0213296420096381E-5</v>
      </c>
      <c r="M16" s="41" t="s">
        <v>46</v>
      </c>
      <c r="N16" s="41" t="s">
        <v>68</v>
      </c>
      <c r="O16" s="41" t="s">
        <v>21</v>
      </c>
      <c r="P16" s="41" t="s">
        <v>36</v>
      </c>
      <c r="Q16" s="41" t="s">
        <v>213</v>
      </c>
      <c r="R16" s="42"/>
      <c r="S16" s="41" t="s">
        <v>182</v>
      </c>
      <c r="T16" s="41" t="s">
        <v>99</v>
      </c>
      <c r="U16" s="40">
        <v>1</v>
      </c>
      <c r="V16" s="35" t="str">
        <f>+$J$16</f>
        <v>Sentencias y Conciliaciones URA</v>
      </c>
      <c r="W16" s="39">
        <v>3000000000</v>
      </c>
      <c r="X16" s="34" t="s">
        <v>116</v>
      </c>
      <c r="Y16" s="40">
        <v>0.25</v>
      </c>
      <c r="Z16" s="35" t="str">
        <f>+$J$16</f>
        <v>Sentencias y Conciliaciones URA</v>
      </c>
      <c r="AA16" s="49">
        <v>750000000</v>
      </c>
      <c r="AB16" s="42"/>
      <c r="AC16" s="42"/>
      <c r="AD16" s="40">
        <f t="shared" si="0"/>
        <v>0</v>
      </c>
      <c r="AE16" s="40">
        <f t="shared" si="1"/>
        <v>0</v>
      </c>
      <c r="AF16" s="40">
        <f t="shared" si="2"/>
        <v>0</v>
      </c>
      <c r="AG16" s="40">
        <f t="shared" si="3"/>
        <v>0</v>
      </c>
      <c r="AH16" s="40">
        <v>0.25</v>
      </c>
      <c r="AI16" s="35" t="str">
        <f>+$J$16</f>
        <v>Sentencias y Conciliaciones URA</v>
      </c>
      <c r="AJ16" s="49">
        <v>750000000</v>
      </c>
      <c r="AK16" s="42"/>
      <c r="AL16" s="42"/>
      <c r="AM16" s="40">
        <f t="shared" si="4"/>
        <v>0</v>
      </c>
      <c r="AN16" s="40">
        <f t="shared" si="5"/>
        <v>0</v>
      </c>
      <c r="AO16" s="40">
        <f t="shared" si="6"/>
        <v>0</v>
      </c>
      <c r="AP16" s="43">
        <f t="shared" si="7"/>
        <v>0</v>
      </c>
      <c r="AQ16" s="40">
        <v>0.25</v>
      </c>
      <c r="AR16" s="35" t="str">
        <f>+$J$16</f>
        <v>Sentencias y Conciliaciones URA</v>
      </c>
      <c r="AS16" s="49">
        <v>750000000</v>
      </c>
      <c r="AT16" s="42"/>
      <c r="AU16" s="42"/>
      <c r="AV16" s="40">
        <f t="shared" si="8"/>
        <v>0</v>
      </c>
      <c r="AW16" s="40">
        <f t="shared" si="9"/>
        <v>0</v>
      </c>
      <c r="AX16" s="40">
        <f t="shared" si="10"/>
        <v>0</v>
      </c>
      <c r="AY16" s="40">
        <f t="shared" si="11"/>
        <v>0</v>
      </c>
      <c r="AZ16" s="40">
        <v>0.25</v>
      </c>
      <c r="BA16" s="35" t="str">
        <f>+$J$16</f>
        <v>Sentencias y Conciliaciones URA</v>
      </c>
      <c r="BB16" s="49">
        <v>750000000</v>
      </c>
      <c r="BC16" s="42"/>
      <c r="BD16" s="42"/>
      <c r="BE16" s="40">
        <f t="shared" si="12"/>
        <v>0</v>
      </c>
      <c r="BF16" s="40">
        <f t="shared" si="13"/>
        <v>0</v>
      </c>
      <c r="BG16" s="40">
        <f t="shared" si="14"/>
        <v>0</v>
      </c>
      <c r="BH16" s="40">
        <f t="shared" si="15"/>
        <v>0</v>
      </c>
      <c r="BI16" s="44">
        <f t="shared" si="16"/>
        <v>0</v>
      </c>
      <c r="BJ16" s="44">
        <f t="shared" si="17"/>
        <v>0</v>
      </c>
      <c r="BK16" s="44">
        <f t="shared" si="18"/>
        <v>0</v>
      </c>
      <c r="BL16" s="44">
        <f t="shared" si="19"/>
        <v>0</v>
      </c>
      <c r="BM16" s="44">
        <f t="shared" si="20"/>
        <v>0</v>
      </c>
      <c r="BN16" s="44">
        <f t="shared" si="21"/>
        <v>0</v>
      </c>
      <c r="BO16" s="44">
        <f t="shared" si="22"/>
        <v>0</v>
      </c>
      <c r="BP16" s="44">
        <f t="shared" si="23"/>
        <v>0</v>
      </c>
      <c r="BQ16" s="42"/>
    </row>
    <row r="17" spans="1:69" s="45" customFormat="1" ht="105" x14ac:dyDescent="0.25">
      <c r="A17" s="34">
        <v>11300</v>
      </c>
      <c r="B17" s="35" t="str">
        <f>+VLOOKUP(A17,'[1]TAB. REF. PA'!$A$4:$B$14,2,FALSE)</f>
        <v>Dirección de Gestión de Recursos Financieros de Salud</v>
      </c>
      <c r="C17" s="36" t="s">
        <v>160</v>
      </c>
      <c r="D17" s="35" t="s">
        <v>145</v>
      </c>
      <c r="E17" s="36" t="s">
        <v>161</v>
      </c>
      <c r="F17" s="35" t="s">
        <v>162</v>
      </c>
      <c r="G17" s="37" t="s">
        <v>123</v>
      </c>
      <c r="H17" s="46">
        <v>1</v>
      </c>
      <c r="I17" s="36" t="s">
        <v>298</v>
      </c>
      <c r="J17" s="38" t="s">
        <v>163</v>
      </c>
      <c r="K17" s="39">
        <v>12016226455000</v>
      </c>
      <c r="L17" s="140">
        <v>0.28123295664530629</v>
      </c>
      <c r="M17" s="41" t="s">
        <v>46</v>
      </c>
      <c r="N17" s="41" t="s">
        <v>68</v>
      </c>
      <c r="O17" s="41" t="s">
        <v>21</v>
      </c>
      <c r="P17" s="41" t="s">
        <v>36</v>
      </c>
      <c r="Q17" s="41" t="s">
        <v>213</v>
      </c>
      <c r="R17" s="42"/>
      <c r="S17" s="41" t="s">
        <v>182</v>
      </c>
      <c r="T17" s="41" t="s">
        <v>99</v>
      </c>
      <c r="U17" s="40">
        <v>1</v>
      </c>
      <c r="V17" s="35" t="str">
        <f>+$J$17</f>
        <v>Financiación UPC Régimen Contributivo SSF</v>
      </c>
      <c r="W17" s="39">
        <v>12016226455000</v>
      </c>
      <c r="X17" s="34" t="s">
        <v>116</v>
      </c>
      <c r="Y17" s="40">
        <v>0.25</v>
      </c>
      <c r="Z17" s="35" t="str">
        <f>+$J$17</f>
        <v>Financiación UPC Régimen Contributivo SSF</v>
      </c>
      <c r="AA17" s="49">
        <v>3004056613750</v>
      </c>
      <c r="AB17" s="42"/>
      <c r="AC17" s="42"/>
      <c r="AD17" s="40">
        <f t="shared" si="0"/>
        <v>0</v>
      </c>
      <c r="AE17" s="40">
        <f t="shared" si="1"/>
        <v>0</v>
      </c>
      <c r="AF17" s="40">
        <f t="shared" si="2"/>
        <v>0</v>
      </c>
      <c r="AG17" s="40">
        <f t="shared" si="3"/>
        <v>0</v>
      </c>
      <c r="AH17" s="40">
        <v>0.25</v>
      </c>
      <c r="AI17" s="35" t="str">
        <f>+$J$17</f>
        <v>Financiación UPC Régimen Contributivo SSF</v>
      </c>
      <c r="AJ17" s="49">
        <v>3004056613750</v>
      </c>
      <c r="AK17" s="42"/>
      <c r="AL17" s="42"/>
      <c r="AM17" s="40">
        <f t="shared" si="4"/>
        <v>0</v>
      </c>
      <c r="AN17" s="40">
        <f t="shared" si="5"/>
        <v>0</v>
      </c>
      <c r="AO17" s="40">
        <f t="shared" si="6"/>
        <v>0</v>
      </c>
      <c r="AP17" s="43">
        <f t="shared" si="7"/>
        <v>0</v>
      </c>
      <c r="AQ17" s="40">
        <v>0.25</v>
      </c>
      <c r="AR17" s="35" t="str">
        <f>+$J$17</f>
        <v>Financiación UPC Régimen Contributivo SSF</v>
      </c>
      <c r="AS17" s="49">
        <v>3004056613750</v>
      </c>
      <c r="AT17" s="42"/>
      <c r="AU17" s="42"/>
      <c r="AV17" s="40">
        <f t="shared" si="8"/>
        <v>0</v>
      </c>
      <c r="AW17" s="40">
        <f t="shared" si="9"/>
        <v>0</v>
      </c>
      <c r="AX17" s="40">
        <f t="shared" si="10"/>
        <v>0</v>
      </c>
      <c r="AY17" s="40">
        <f t="shared" si="11"/>
        <v>0</v>
      </c>
      <c r="AZ17" s="40">
        <v>0.25</v>
      </c>
      <c r="BA17" s="35" t="str">
        <f>+$J$17</f>
        <v>Financiación UPC Régimen Contributivo SSF</v>
      </c>
      <c r="BB17" s="49">
        <v>3004056613750</v>
      </c>
      <c r="BC17" s="42"/>
      <c r="BD17" s="42"/>
      <c r="BE17" s="40">
        <f t="shared" si="12"/>
        <v>0</v>
      </c>
      <c r="BF17" s="40">
        <f t="shared" si="13"/>
        <v>0</v>
      </c>
      <c r="BG17" s="40">
        <f t="shared" si="14"/>
        <v>0</v>
      </c>
      <c r="BH17" s="40">
        <f t="shared" si="15"/>
        <v>0</v>
      </c>
      <c r="BI17" s="44">
        <f t="shared" si="16"/>
        <v>0</v>
      </c>
      <c r="BJ17" s="44">
        <f t="shared" si="17"/>
        <v>0</v>
      </c>
      <c r="BK17" s="44">
        <f t="shared" si="18"/>
        <v>0</v>
      </c>
      <c r="BL17" s="44">
        <f t="shared" si="19"/>
        <v>0</v>
      </c>
      <c r="BM17" s="44">
        <f t="shared" si="20"/>
        <v>0</v>
      </c>
      <c r="BN17" s="44">
        <f t="shared" si="21"/>
        <v>0</v>
      </c>
      <c r="BO17" s="44">
        <f t="shared" si="22"/>
        <v>0</v>
      </c>
      <c r="BP17" s="44">
        <f t="shared" si="23"/>
        <v>0</v>
      </c>
      <c r="BQ17" s="42"/>
    </row>
    <row r="18" spans="1:69" s="45" customFormat="1" ht="105" x14ac:dyDescent="0.25">
      <c r="A18" s="34">
        <v>11300</v>
      </c>
      <c r="B18" s="35" t="str">
        <f>+VLOOKUP(A18,'[1]TAB. REF. PA'!$A$4:$B$14,2,FALSE)</f>
        <v>Dirección de Gestión de Recursos Financieros de Salud</v>
      </c>
      <c r="C18" s="36" t="s">
        <v>160</v>
      </c>
      <c r="D18" s="35" t="s">
        <v>145</v>
      </c>
      <c r="E18" s="36" t="s">
        <v>161</v>
      </c>
      <c r="F18" s="35" t="s">
        <v>162</v>
      </c>
      <c r="G18" s="37" t="s">
        <v>123</v>
      </c>
      <c r="H18" s="46">
        <v>1</v>
      </c>
      <c r="I18" s="36" t="s">
        <v>299</v>
      </c>
      <c r="J18" s="38" t="s">
        <v>164</v>
      </c>
      <c r="K18" s="39">
        <v>9042819545000</v>
      </c>
      <c r="L18" s="140">
        <v>0.2116420563955087</v>
      </c>
      <c r="M18" s="41" t="s">
        <v>46</v>
      </c>
      <c r="N18" s="41" t="s">
        <v>68</v>
      </c>
      <c r="O18" s="41" t="s">
        <v>21</v>
      </c>
      <c r="P18" s="41" t="s">
        <v>36</v>
      </c>
      <c r="Q18" s="41" t="s">
        <v>213</v>
      </c>
      <c r="R18" s="42"/>
      <c r="S18" s="41" t="s">
        <v>182</v>
      </c>
      <c r="T18" s="41" t="s">
        <v>99</v>
      </c>
      <c r="U18" s="40">
        <v>1</v>
      </c>
      <c r="V18" s="35" t="str">
        <f>+$J$18</f>
        <v>Financiación UPC Régimen Contributivo CSF</v>
      </c>
      <c r="W18" s="39">
        <v>9042819545000</v>
      </c>
      <c r="X18" s="34" t="s">
        <v>116</v>
      </c>
      <c r="Y18" s="40">
        <v>0.25</v>
      </c>
      <c r="Z18" s="35" t="str">
        <f>+$J$18</f>
        <v>Financiación UPC Régimen Contributivo CSF</v>
      </c>
      <c r="AA18" s="49">
        <v>2260704886250</v>
      </c>
      <c r="AB18" s="42"/>
      <c r="AC18" s="42"/>
      <c r="AD18" s="40">
        <f t="shared" si="0"/>
        <v>0</v>
      </c>
      <c r="AE18" s="40">
        <f t="shared" si="1"/>
        <v>0</v>
      </c>
      <c r="AF18" s="40">
        <f t="shared" si="2"/>
        <v>0</v>
      </c>
      <c r="AG18" s="40">
        <f t="shared" si="3"/>
        <v>0</v>
      </c>
      <c r="AH18" s="40">
        <v>0.25</v>
      </c>
      <c r="AI18" s="35" t="str">
        <f>+$J$18</f>
        <v>Financiación UPC Régimen Contributivo CSF</v>
      </c>
      <c r="AJ18" s="49">
        <v>2260704886250</v>
      </c>
      <c r="AK18" s="42"/>
      <c r="AL18" s="42"/>
      <c r="AM18" s="40">
        <f t="shared" si="4"/>
        <v>0</v>
      </c>
      <c r="AN18" s="40">
        <f t="shared" si="5"/>
        <v>0</v>
      </c>
      <c r="AO18" s="40">
        <f t="shared" si="6"/>
        <v>0</v>
      </c>
      <c r="AP18" s="43">
        <f t="shared" si="7"/>
        <v>0</v>
      </c>
      <c r="AQ18" s="40">
        <v>0.25</v>
      </c>
      <c r="AR18" s="35" t="str">
        <f>+$J$18</f>
        <v>Financiación UPC Régimen Contributivo CSF</v>
      </c>
      <c r="AS18" s="49">
        <v>2260704886250</v>
      </c>
      <c r="AT18" s="42"/>
      <c r="AU18" s="42"/>
      <c r="AV18" s="40">
        <f t="shared" si="8"/>
        <v>0</v>
      </c>
      <c r="AW18" s="40">
        <f t="shared" si="9"/>
        <v>0</v>
      </c>
      <c r="AX18" s="40">
        <f t="shared" si="10"/>
        <v>0</v>
      </c>
      <c r="AY18" s="40">
        <f t="shared" si="11"/>
        <v>0</v>
      </c>
      <c r="AZ18" s="40">
        <v>0.25</v>
      </c>
      <c r="BA18" s="35" t="str">
        <f>+$J$18</f>
        <v>Financiación UPC Régimen Contributivo CSF</v>
      </c>
      <c r="BB18" s="49">
        <v>2260704886250</v>
      </c>
      <c r="BC18" s="42"/>
      <c r="BD18" s="42"/>
      <c r="BE18" s="40">
        <f t="shared" si="12"/>
        <v>0</v>
      </c>
      <c r="BF18" s="40">
        <f t="shared" si="13"/>
        <v>0</v>
      </c>
      <c r="BG18" s="40">
        <f t="shared" si="14"/>
        <v>0</v>
      </c>
      <c r="BH18" s="40">
        <f t="shared" si="15"/>
        <v>0</v>
      </c>
      <c r="BI18" s="44">
        <f t="shared" si="16"/>
        <v>0</v>
      </c>
      <c r="BJ18" s="44">
        <f t="shared" si="17"/>
        <v>0</v>
      </c>
      <c r="BK18" s="44">
        <f t="shared" si="18"/>
        <v>0</v>
      </c>
      <c r="BL18" s="44">
        <f t="shared" si="19"/>
        <v>0</v>
      </c>
      <c r="BM18" s="44">
        <f t="shared" si="20"/>
        <v>0</v>
      </c>
      <c r="BN18" s="44">
        <f t="shared" si="21"/>
        <v>0</v>
      </c>
      <c r="BO18" s="44">
        <f t="shared" si="22"/>
        <v>0</v>
      </c>
      <c r="BP18" s="44">
        <f t="shared" si="23"/>
        <v>0</v>
      </c>
      <c r="BQ18" s="42"/>
    </row>
    <row r="19" spans="1:69" s="45" customFormat="1" ht="105" x14ac:dyDescent="0.25">
      <c r="A19" s="34">
        <v>11300</v>
      </c>
      <c r="B19" s="35" t="str">
        <f>+VLOOKUP(A19,'[1]TAB. REF. PA'!$A$4:$B$14,2,FALSE)</f>
        <v>Dirección de Gestión de Recursos Financieros de Salud</v>
      </c>
      <c r="C19" s="36" t="s">
        <v>160</v>
      </c>
      <c r="D19" s="35" t="s">
        <v>145</v>
      </c>
      <c r="E19" s="36" t="s">
        <v>161</v>
      </c>
      <c r="F19" s="35" t="s">
        <v>162</v>
      </c>
      <c r="G19" s="37" t="s">
        <v>123</v>
      </c>
      <c r="H19" s="46">
        <v>1</v>
      </c>
      <c r="I19" s="36" t="s">
        <v>300</v>
      </c>
      <c r="J19" s="38" t="s">
        <v>173</v>
      </c>
      <c r="K19" s="39">
        <v>80000000000</v>
      </c>
      <c r="L19" s="140">
        <v>1.8723545712025702E-3</v>
      </c>
      <c r="M19" s="41" t="s">
        <v>46</v>
      </c>
      <c r="N19" s="41" t="s">
        <v>68</v>
      </c>
      <c r="O19" s="41" t="s">
        <v>21</v>
      </c>
      <c r="P19" s="41" t="s">
        <v>36</v>
      </c>
      <c r="Q19" s="41" t="s">
        <v>213</v>
      </c>
      <c r="R19" s="42"/>
      <c r="S19" s="41" t="s">
        <v>182</v>
      </c>
      <c r="T19" s="41" t="s">
        <v>99</v>
      </c>
      <c r="U19" s="40">
        <v>1</v>
      </c>
      <c r="V19" s="35" t="str">
        <f>+$J$19</f>
        <v>Devolución de Aportes y Cotizaciones no conciliadas de vigencias anteriores</v>
      </c>
      <c r="W19" s="39">
        <v>80000000000</v>
      </c>
      <c r="X19" s="34" t="s">
        <v>116</v>
      </c>
      <c r="Y19" s="40">
        <v>0.25</v>
      </c>
      <c r="Z19" s="35" t="str">
        <f>+$J$19</f>
        <v>Devolución de Aportes y Cotizaciones no conciliadas de vigencias anteriores</v>
      </c>
      <c r="AA19" s="49">
        <v>20000000000</v>
      </c>
      <c r="AB19" s="42"/>
      <c r="AC19" s="42"/>
      <c r="AD19" s="40">
        <f t="shared" si="0"/>
        <v>0</v>
      </c>
      <c r="AE19" s="40">
        <f t="shared" si="1"/>
        <v>0</v>
      </c>
      <c r="AF19" s="40">
        <f t="shared" si="2"/>
        <v>0</v>
      </c>
      <c r="AG19" s="40">
        <f t="shared" si="3"/>
        <v>0</v>
      </c>
      <c r="AH19" s="40">
        <v>0.25</v>
      </c>
      <c r="AI19" s="35" t="str">
        <f>+$J$19</f>
        <v>Devolución de Aportes y Cotizaciones no conciliadas de vigencias anteriores</v>
      </c>
      <c r="AJ19" s="49">
        <v>20000000000</v>
      </c>
      <c r="AK19" s="42"/>
      <c r="AL19" s="42"/>
      <c r="AM19" s="40">
        <f t="shared" si="4"/>
        <v>0</v>
      </c>
      <c r="AN19" s="40">
        <f t="shared" si="5"/>
        <v>0</v>
      </c>
      <c r="AO19" s="40">
        <f t="shared" si="6"/>
        <v>0</v>
      </c>
      <c r="AP19" s="43">
        <f t="shared" si="7"/>
        <v>0</v>
      </c>
      <c r="AQ19" s="40">
        <v>0.25</v>
      </c>
      <c r="AR19" s="35" t="str">
        <f>+$J$19</f>
        <v>Devolución de Aportes y Cotizaciones no conciliadas de vigencias anteriores</v>
      </c>
      <c r="AS19" s="49">
        <v>20000000000</v>
      </c>
      <c r="AT19" s="42"/>
      <c r="AU19" s="42"/>
      <c r="AV19" s="40">
        <f t="shared" si="8"/>
        <v>0</v>
      </c>
      <c r="AW19" s="40">
        <f t="shared" si="9"/>
        <v>0</v>
      </c>
      <c r="AX19" s="40">
        <f t="shared" si="10"/>
        <v>0</v>
      </c>
      <c r="AY19" s="40">
        <f t="shared" si="11"/>
        <v>0</v>
      </c>
      <c r="AZ19" s="40">
        <v>0.25</v>
      </c>
      <c r="BA19" s="35" t="str">
        <f>+$J$19</f>
        <v>Devolución de Aportes y Cotizaciones no conciliadas de vigencias anteriores</v>
      </c>
      <c r="BB19" s="49">
        <v>20000000000</v>
      </c>
      <c r="BC19" s="42"/>
      <c r="BD19" s="42"/>
      <c r="BE19" s="40">
        <f t="shared" si="12"/>
        <v>0</v>
      </c>
      <c r="BF19" s="40">
        <f t="shared" si="13"/>
        <v>0</v>
      </c>
      <c r="BG19" s="40">
        <f t="shared" si="14"/>
        <v>0</v>
      </c>
      <c r="BH19" s="40">
        <f t="shared" si="15"/>
        <v>0</v>
      </c>
      <c r="BI19" s="44">
        <f t="shared" si="16"/>
        <v>0</v>
      </c>
      <c r="BJ19" s="44">
        <f t="shared" si="17"/>
        <v>0</v>
      </c>
      <c r="BK19" s="44">
        <f t="shared" si="18"/>
        <v>0</v>
      </c>
      <c r="BL19" s="44">
        <f t="shared" si="19"/>
        <v>0</v>
      </c>
      <c r="BM19" s="44">
        <f t="shared" si="20"/>
        <v>0</v>
      </c>
      <c r="BN19" s="44">
        <f t="shared" si="21"/>
        <v>0</v>
      </c>
      <c r="BO19" s="44">
        <f t="shared" si="22"/>
        <v>0</v>
      </c>
      <c r="BP19" s="44">
        <f t="shared" si="23"/>
        <v>0</v>
      </c>
      <c r="BQ19" s="42"/>
    </row>
    <row r="20" spans="1:69" s="45" customFormat="1" ht="105" x14ac:dyDescent="0.25">
      <c r="A20" s="34">
        <v>11300</v>
      </c>
      <c r="B20" s="35" t="str">
        <f>+VLOOKUP(A20,'[1]TAB. REF. PA'!$A$4:$B$14,2,FALSE)</f>
        <v>Dirección de Gestión de Recursos Financieros de Salud</v>
      </c>
      <c r="C20" s="36" t="s">
        <v>160</v>
      </c>
      <c r="D20" s="35" t="s">
        <v>145</v>
      </c>
      <c r="E20" s="36" t="s">
        <v>161</v>
      </c>
      <c r="F20" s="35" t="s">
        <v>162</v>
      </c>
      <c r="G20" s="37" t="s">
        <v>123</v>
      </c>
      <c r="H20" s="46">
        <v>1</v>
      </c>
      <c r="I20" s="36" t="s">
        <v>301</v>
      </c>
      <c r="J20" s="38" t="s">
        <v>174</v>
      </c>
      <c r="K20" s="39">
        <v>7000000000</v>
      </c>
      <c r="L20" s="140">
        <v>1.6383102498022489E-4</v>
      </c>
      <c r="M20" s="41" t="s">
        <v>46</v>
      </c>
      <c r="N20" s="41" t="s">
        <v>68</v>
      </c>
      <c r="O20" s="41" t="s">
        <v>21</v>
      </c>
      <c r="P20" s="41" t="s">
        <v>36</v>
      </c>
      <c r="Q20" s="41" t="s">
        <v>213</v>
      </c>
      <c r="R20" s="42"/>
      <c r="S20" s="41" t="s">
        <v>182</v>
      </c>
      <c r="T20" s="41" t="s">
        <v>99</v>
      </c>
      <c r="U20" s="40">
        <v>1</v>
      </c>
      <c r="V20" s="35" t="str">
        <f>+$J$20</f>
        <v>Rendimientos Financieros saldo de Aportes Patronales no compensados - Art, 12 Decreto 1363 de 2016</v>
      </c>
      <c r="W20" s="39">
        <v>7000000000</v>
      </c>
      <c r="X20" s="34" t="s">
        <v>116</v>
      </c>
      <c r="Y20" s="40">
        <v>0.25</v>
      </c>
      <c r="Z20" s="35" t="str">
        <f>+$J$20</f>
        <v>Rendimientos Financieros saldo de Aportes Patronales no compensados - Art, 12 Decreto 1363 de 2016</v>
      </c>
      <c r="AA20" s="49">
        <v>1750000000</v>
      </c>
      <c r="AB20" s="42"/>
      <c r="AC20" s="42"/>
      <c r="AD20" s="40">
        <f t="shared" si="0"/>
        <v>0</v>
      </c>
      <c r="AE20" s="40">
        <f t="shared" si="1"/>
        <v>0</v>
      </c>
      <c r="AF20" s="40">
        <f t="shared" si="2"/>
        <v>0</v>
      </c>
      <c r="AG20" s="40">
        <f t="shared" si="3"/>
        <v>0</v>
      </c>
      <c r="AH20" s="40">
        <v>0.25</v>
      </c>
      <c r="AI20" s="35" t="str">
        <f>+$J$20</f>
        <v>Rendimientos Financieros saldo de Aportes Patronales no compensados - Art, 12 Decreto 1363 de 2016</v>
      </c>
      <c r="AJ20" s="49">
        <v>1750000000</v>
      </c>
      <c r="AK20" s="42"/>
      <c r="AL20" s="42"/>
      <c r="AM20" s="40">
        <f t="shared" si="4"/>
        <v>0</v>
      </c>
      <c r="AN20" s="40">
        <f t="shared" si="5"/>
        <v>0</v>
      </c>
      <c r="AO20" s="40">
        <f t="shared" si="6"/>
        <v>0</v>
      </c>
      <c r="AP20" s="43">
        <f t="shared" si="7"/>
        <v>0</v>
      </c>
      <c r="AQ20" s="40">
        <v>0.25</v>
      </c>
      <c r="AR20" s="35" t="str">
        <f>+$J$20</f>
        <v>Rendimientos Financieros saldo de Aportes Patronales no compensados - Art, 12 Decreto 1363 de 2016</v>
      </c>
      <c r="AS20" s="49">
        <v>1750000000</v>
      </c>
      <c r="AT20" s="42"/>
      <c r="AU20" s="42"/>
      <c r="AV20" s="40">
        <f t="shared" si="8"/>
        <v>0</v>
      </c>
      <c r="AW20" s="40">
        <f t="shared" si="9"/>
        <v>0</v>
      </c>
      <c r="AX20" s="40">
        <f t="shared" si="10"/>
        <v>0</v>
      </c>
      <c r="AY20" s="40">
        <f t="shared" si="11"/>
        <v>0</v>
      </c>
      <c r="AZ20" s="40">
        <v>0.25</v>
      </c>
      <c r="BA20" s="35" t="str">
        <f>+$J$20</f>
        <v>Rendimientos Financieros saldo de Aportes Patronales no compensados - Art, 12 Decreto 1363 de 2016</v>
      </c>
      <c r="BB20" s="49">
        <v>1750000000</v>
      </c>
      <c r="BC20" s="42"/>
      <c r="BD20" s="42"/>
      <c r="BE20" s="40">
        <f t="shared" si="12"/>
        <v>0</v>
      </c>
      <c r="BF20" s="40">
        <f t="shared" si="13"/>
        <v>0</v>
      </c>
      <c r="BG20" s="40">
        <f t="shared" si="14"/>
        <v>0</v>
      </c>
      <c r="BH20" s="40">
        <f t="shared" si="15"/>
        <v>0</v>
      </c>
      <c r="BI20" s="44">
        <f t="shared" si="16"/>
        <v>0</v>
      </c>
      <c r="BJ20" s="44">
        <f t="shared" si="17"/>
        <v>0</v>
      </c>
      <c r="BK20" s="44">
        <f t="shared" si="18"/>
        <v>0</v>
      </c>
      <c r="BL20" s="44">
        <f t="shared" si="19"/>
        <v>0</v>
      </c>
      <c r="BM20" s="44">
        <f t="shared" si="20"/>
        <v>0</v>
      </c>
      <c r="BN20" s="44">
        <f t="shared" si="21"/>
        <v>0</v>
      </c>
      <c r="BO20" s="44">
        <f t="shared" si="22"/>
        <v>0</v>
      </c>
      <c r="BP20" s="44">
        <f t="shared" si="23"/>
        <v>0</v>
      </c>
      <c r="BQ20" s="42"/>
    </row>
    <row r="21" spans="1:69" s="45" customFormat="1" ht="105" x14ac:dyDescent="0.25">
      <c r="A21" s="34">
        <v>11300</v>
      </c>
      <c r="B21" s="35" t="str">
        <f>+VLOOKUP(A21,'[1]TAB. REF. PA'!$A$4:$B$14,2,FALSE)</f>
        <v>Dirección de Gestión de Recursos Financieros de Salud</v>
      </c>
      <c r="C21" s="36" t="s">
        <v>160</v>
      </c>
      <c r="D21" s="35" t="s">
        <v>145</v>
      </c>
      <c r="E21" s="36" t="s">
        <v>161</v>
      </c>
      <c r="F21" s="35" t="s">
        <v>162</v>
      </c>
      <c r="G21" s="37" t="s">
        <v>123</v>
      </c>
      <c r="H21" s="46">
        <v>1</v>
      </c>
      <c r="I21" s="36" t="s">
        <v>302</v>
      </c>
      <c r="J21" s="38" t="s">
        <v>573</v>
      </c>
      <c r="K21" s="39">
        <v>483767006000</v>
      </c>
      <c r="L21" s="140">
        <v>1.1322292063513515E-2</v>
      </c>
      <c r="M21" s="41" t="s">
        <v>46</v>
      </c>
      <c r="N21" s="41" t="s">
        <v>68</v>
      </c>
      <c r="O21" s="41" t="s">
        <v>21</v>
      </c>
      <c r="P21" s="41" t="s">
        <v>36</v>
      </c>
      <c r="Q21" s="41" t="s">
        <v>213</v>
      </c>
      <c r="R21" s="42"/>
      <c r="S21" s="41" t="s">
        <v>182</v>
      </c>
      <c r="T21" s="41" t="s">
        <v>99</v>
      </c>
      <c r="U21" s="40">
        <v>1</v>
      </c>
      <c r="V21" s="35" t="str">
        <f>+J21</f>
        <v>Per capita Programas de Promoción y Prevención</v>
      </c>
      <c r="W21" s="39">
        <v>483767006000</v>
      </c>
      <c r="X21" s="34" t="s">
        <v>116</v>
      </c>
      <c r="Y21" s="40">
        <v>0.25</v>
      </c>
      <c r="Z21" s="35" t="str">
        <f>+N21</f>
        <v>3.1. Gestión presupuestal y eficiencia del gasto público</v>
      </c>
      <c r="AA21" s="49">
        <v>120941751500</v>
      </c>
      <c r="AB21" s="42"/>
      <c r="AC21" s="42"/>
      <c r="AD21" s="40">
        <f t="shared" si="0"/>
        <v>0</v>
      </c>
      <c r="AE21" s="40">
        <f t="shared" si="1"/>
        <v>0</v>
      </c>
      <c r="AF21" s="40">
        <f t="shared" si="2"/>
        <v>0</v>
      </c>
      <c r="AG21" s="40">
        <f t="shared" si="3"/>
        <v>0</v>
      </c>
      <c r="AH21" s="40">
        <v>0.25</v>
      </c>
      <c r="AI21" s="35">
        <f>+W21</f>
        <v>483767006000</v>
      </c>
      <c r="AJ21" s="49">
        <v>120941751500</v>
      </c>
      <c r="AK21" s="42"/>
      <c r="AL21" s="42"/>
      <c r="AM21" s="40">
        <f t="shared" si="4"/>
        <v>0</v>
      </c>
      <c r="AN21" s="40">
        <f t="shared" si="5"/>
        <v>0</v>
      </c>
      <c r="AO21" s="40">
        <f t="shared" si="6"/>
        <v>0</v>
      </c>
      <c r="AP21" s="43">
        <f t="shared" si="7"/>
        <v>0</v>
      </c>
      <c r="AQ21" s="40">
        <v>0.25</v>
      </c>
      <c r="AR21" s="35">
        <f>+AF21</f>
        <v>0</v>
      </c>
      <c r="AS21" s="49">
        <v>120941751500</v>
      </c>
      <c r="AT21" s="42"/>
      <c r="AU21" s="42"/>
      <c r="AV21" s="40">
        <f t="shared" si="8"/>
        <v>0</v>
      </c>
      <c r="AW21" s="40">
        <f t="shared" si="9"/>
        <v>0</v>
      </c>
      <c r="AX21" s="40">
        <f t="shared" si="10"/>
        <v>0</v>
      </c>
      <c r="AY21" s="40">
        <f t="shared" si="11"/>
        <v>0</v>
      </c>
      <c r="AZ21" s="40">
        <v>0.25</v>
      </c>
      <c r="BA21" s="35">
        <f>+AO21</f>
        <v>0</v>
      </c>
      <c r="BB21" s="49">
        <v>120941751500</v>
      </c>
      <c r="BC21" s="42"/>
      <c r="BD21" s="42"/>
      <c r="BE21" s="40">
        <f t="shared" si="12"/>
        <v>0</v>
      </c>
      <c r="BF21" s="40">
        <f t="shared" si="13"/>
        <v>0</v>
      </c>
      <c r="BG21" s="40">
        <f t="shared" si="14"/>
        <v>0</v>
      </c>
      <c r="BH21" s="40">
        <f t="shared" si="15"/>
        <v>0</v>
      </c>
      <c r="BI21" s="44">
        <f t="shared" si="16"/>
        <v>0</v>
      </c>
      <c r="BJ21" s="44">
        <f t="shared" si="17"/>
        <v>0</v>
      </c>
      <c r="BK21" s="44">
        <f t="shared" si="18"/>
        <v>0</v>
      </c>
      <c r="BL21" s="44">
        <f t="shared" si="19"/>
        <v>0</v>
      </c>
      <c r="BM21" s="44">
        <f t="shared" si="20"/>
        <v>0</v>
      </c>
      <c r="BN21" s="44">
        <f t="shared" si="21"/>
        <v>0</v>
      </c>
      <c r="BO21" s="44">
        <f t="shared" si="22"/>
        <v>0</v>
      </c>
      <c r="BP21" s="44">
        <f t="shared" si="23"/>
        <v>0</v>
      </c>
      <c r="BQ21" s="42"/>
    </row>
    <row r="22" spans="1:69" s="45" customFormat="1" ht="105" x14ac:dyDescent="0.25">
      <c r="A22" s="34">
        <v>11300</v>
      </c>
      <c r="B22" s="35" t="str">
        <f>+VLOOKUP(A22,'[1]TAB. REF. PA'!$A$4:$B$14,2,FALSE)</f>
        <v>Dirección de Gestión de Recursos Financieros de Salud</v>
      </c>
      <c r="C22" s="36" t="s">
        <v>160</v>
      </c>
      <c r="D22" s="35" t="s">
        <v>145</v>
      </c>
      <c r="E22" s="36" t="s">
        <v>161</v>
      </c>
      <c r="F22" s="35" t="s">
        <v>162</v>
      </c>
      <c r="G22" s="37" t="s">
        <v>123</v>
      </c>
      <c r="H22" s="46">
        <v>1</v>
      </c>
      <c r="I22" s="36" t="s">
        <v>303</v>
      </c>
      <c r="J22" s="38" t="s">
        <v>168</v>
      </c>
      <c r="K22" s="39">
        <v>799680177000</v>
      </c>
      <c r="L22" s="140">
        <v>1.8716060436325382E-2</v>
      </c>
      <c r="M22" s="41" t="s">
        <v>46</v>
      </c>
      <c r="N22" s="41" t="s">
        <v>68</v>
      </c>
      <c r="O22" s="41" t="s">
        <v>21</v>
      </c>
      <c r="P22" s="41" t="s">
        <v>36</v>
      </c>
      <c r="Q22" s="41" t="s">
        <v>213</v>
      </c>
      <c r="R22" s="42"/>
      <c r="S22" s="41" t="s">
        <v>182</v>
      </c>
      <c r="T22" s="41" t="s">
        <v>99</v>
      </c>
      <c r="U22" s="40">
        <v>1</v>
      </c>
      <c r="V22" s="35" t="str">
        <f>+$J$22</f>
        <v>Incapacidades</v>
      </c>
      <c r="W22" s="39">
        <v>799680177000</v>
      </c>
      <c r="X22" s="34" t="s">
        <v>116</v>
      </c>
      <c r="Y22" s="40">
        <v>0.25</v>
      </c>
      <c r="Z22" s="35" t="str">
        <f>+$J$22</f>
        <v>Incapacidades</v>
      </c>
      <c r="AA22" s="49">
        <v>199920044250</v>
      </c>
      <c r="AB22" s="42"/>
      <c r="AC22" s="42"/>
      <c r="AD22" s="40">
        <f t="shared" si="0"/>
        <v>0</v>
      </c>
      <c r="AE22" s="40">
        <f t="shared" si="1"/>
        <v>0</v>
      </c>
      <c r="AF22" s="40">
        <f t="shared" si="2"/>
        <v>0</v>
      </c>
      <c r="AG22" s="40">
        <f t="shared" si="3"/>
        <v>0</v>
      </c>
      <c r="AH22" s="40">
        <v>0.25</v>
      </c>
      <c r="AI22" s="35" t="str">
        <f>+$J$22</f>
        <v>Incapacidades</v>
      </c>
      <c r="AJ22" s="49">
        <v>199920044250</v>
      </c>
      <c r="AK22" s="42"/>
      <c r="AL22" s="42"/>
      <c r="AM22" s="40">
        <f t="shared" si="4"/>
        <v>0</v>
      </c>
      <c r="AN22" s="40">
        <f t="shared" si="5"/>
        <v>0</v>
      </c>
      <c r="AO22" s="40">
        <f t="shared" si="6"/>
        <v>0</v>
      </c>
      <c r="AP22" s="43">
        <f t="shared" si="7"/>
        <v>0</v>
      </c>
      <c r="AQ22" s="40">
        <v>0.25</v>
      </c>
      <c r="AR22" s="35" t="str">
        <f>+$J$22</f>
        <v>Incapacidades</v>
      </c>
      <c r="AS22" s="49">
        <v>199920044250</v>
      </c>
      <c r="AT22" s="42"/>
      <c r="AU22" s="42"/>
      <c r="AV22" s="40">
        <f t="shared" si="8"/>
        <v>0</v>
      </c>
      <c r="AW22" s="40">
        <f t="shared" si="9"/>
        <v>0</v>
      </c>
      <c r="AX22" s="40">
        <f t="shared" si="10"/>
        <v>0</v>
      </c>
      <c r="AY22" s="40">
        <f t="shared" si="11"/>
        <v>0</v>
      </c>
      <c r="AZ22" s="40">
        <v>0.25</v>
      </c>
      <c r="BA22" s="35" t="str">
        <f>+$J$22</f>
        <v>Incapacidades</v>
      </c>
      <c r="BB22" s="49">
        <v>199920044250</v>
      </c>
      <c r="BC22" s="42"/>
      <c r="BD22" s="42"/>
      <c r="BE22" s="40">
        <f t="shared" si="12"/>
        <v>0</v>
      </c>
      <c r="BF22" s="40">
        <f t="shared" si="13"/>
        <v>0</v>
      </c>
      <c r="BG22" s="40">
        <f t="shared" si="14"/>
        <v>0</v>
      </c>
      <c r="BH22" s="40">
        <f t="shared" si="15"/>
        <v>0</v>
      </c>
      <c r="BI22" s="44">
        <f t="shared" si="16"/>
        <v>0</v>
      </c>
      <c r="BJ22" s="44">
        <f t="shared" si="17"/>
        <v>0</v>
      </c>
      <c r="BK22" s="44">
        <f t="shared" si="18"/>
        <v>0</v>
      </c>
      <c r="BL22" s="44">
        <f t="shared" si="19"/>
        <v>0</v>
      </c>
      <c r="BM22" s="44">
        <f t="shared" si="20"/>
        <v>0</v>
      </c>
      <c r="BN22" s="44">
        <f t="shared" si="21"/>
        <v>0</v>
      </c>
      <c r="BO22" s="44">
        <f t="shared" si="22"/>
        <v>0</v>
      </c>
      <c r="BP22" s="44">
        <f t="shared" si="23"/>
        <v>0</v>
      </c>
      <c r="BQ22" s="42"/>
    </row>
    <row r="23" spans="1:69" s="45" customFormat="1" ht="105" x14ac:dyDescent="0.25">
      <c r="A23" s="34">
        <v>11300</v>
      </c>
      <c r="B23" s="35" t="str">
        <f>+VLOOKUP(A23,'[1]TAB. REF. PA'!$A$4:$B$14,2,FALSE)</f>
        <v>Dirección de Gestión de Recursos Financieros de Salud</v>
      </c>
      <c r="C23" s="36" t="s">
        <v>160</v>
      </c>
      <c r="D23" s="35" t="s">
        <v>145</v>
      </c>
      <c r="E23" s="36" t="s">
        <v>161</v>
      </c>
      <c r="F23" s="35" t="s">
        <v>162</v>
      </c>
      <c r="G23" s="37" t="s">
        <v>123</v>
      </c>
      <c r="H23" s="46">
        <v>1</v>
      </c>
      <c r="I23" s="36" t="s">
        <v>304</v>
      </c>
      <c r="J23" s="38" t="s">
        <v>169</v>
      </c>
      <c r="K23" s="39">
        <v>720776535000</v>
      </c>
      <c r="L23" s="140">
        <v>1.6869365501534991E-2</v>
      </c>
      <c r="M23" s="41" t="s">
        <v>46</v>
      </c>
      <c r="N23" s="41" t="s">
        <v>68</v>
      </c>
      <c r="O23" s="41" t="s">
        <v>21</v>
      </c>
      <c r="P23" s="41" t="s">
        <v>36</v>
      </c>
      <c r="Q23" s="41" t="s">
        <v>213</v>
      </c>
      <c r="R23" s="42"/>
      <c r="S23" s="41" t="s">
        <v>182</v>
      </c>
      <c r="T23" s="41" t="s">
        <v>99</v>
      </c>
      <c r="U23" s="40">
        <v>1</v>
      </c>
      <c r="V23" s="35" t="str">
        <f>+$J$23</f>
        <v>Licencias de Maternidad y Paternidad</v>
      </c>
      <c r="W23" s="39">
        <v>720776535000</v>
      </c>
      <c r="X23" s="34" t="s">
        <v>116</v>
      </c>
      <c r="Y23" s="40">
        <v>0.25</v>
      </c>
      <c r="Z23" s="35" t="str">
        <f>+$J$23</f>
        <v>Licencias de Maternidad y Paternidad</v>
      </c>
      <c r="AA23" s="49">
        <v>180194133750</v>
      </c>
      <c r="AB23" s="42"/>
      <c r="AC23" s="42"/>
      <c r="AD23" s="40">
        <f t="shared" si="0"/>
        <v>0</v>
      </c>
      <c r="AE23" s="40">
        <f t="shared" si="1"/>
        <v>0</v>
      </c>
      <c r="AF23" s="40">
        <f t="shared" si="2"/>
        <v>0</v>
      </c>
      <c r="AG23" s="40">
        <f t="shared" si="3"/>
        <v>0</v>
      </c>
      <c r="AH23" s="40">
        <v>0.25</v>
      </c>
      <c r="AI23" s="35" t="str">
        <f>+$J$23</f>
        <v>Licencias de Maternidad y Paternidad</v>
      </c>
      <c r="AJ23" s="49">
        <v>180194133750</v>
      </c>
      <c r="AK23" s="42"/>
      <c r="AL23" s="42"/>
      <c r="AM23" s="40">
        <f t="shared" si="4"/>
        <v>0</v>
      </c>
      <c r="AN23" s="40">
        <f t="shared" si="5"/>
        <v>0</v>
      </c>
      <c r="AO23" s="40">
        <f t="shared" si="6"/>
        <v>0</v>
      </c>
      <c r="AP23" s="43">
        <f t="shared" si="7"/>
        <v>0</v>
      </c>
      <c r="AQ23" s="40">
        <v>0.25</v>
      </c>
      <c r="AR23" s="35" t="str">
        <f>+$J$23</f>
        <v>Licencias de Maternidad y Paternidad</v>
      </c>
      <c r="AS23" s="49">
        <v>180194133750</v>
      </c>
      <c r="AT23" s="42"/>
      <c r="AU23" s="42"/>
      <c r="AV23" s="40">
        <f t="shared" si="8"/>
        <v>0</v>
      </c>
      <c r="AW23" s="40">
        <f t="shared" si="9"/>
        <v>0</v>
      </c>
      <c r="AX23" s="40">
        <f t="shared" si="10"/>
        <v>0</v>
      </c>
      <c r="AY23" s="40">
        <f t="shared" si="11"/>
        <v>0</v>
      </c>
      <c r="AZ23" s="40">
        <v>0.25</v>
      </c>
      <c r="BA23" s="35" t="str">
        <f>+$J$23</f>
        <v>Licencias de Maternidad y Paternidad</v>
      </c>
      <c r="BB23" s="49">
        <v>180194133750</v>
      </c>
      <c r="BC23" s="42"/>
      <c r="BD23" s="42"/>
      <c r="BE23" s="40">
        <f t="shared" si="12"/>
        <v>0</v>
      </c>
      <c r="BF23" s="40">
        <f t="shared" si="13"/>
        <v>0</v>
      </c>
      <c r="BG23" s="40">
        <f t="shared" si="14"/>
        <v>0</v>
      </c>
      <c r="BH23" s="40">
        <f t="shared" si="15"/>
        <v>0</v>
      </c>
      <c r="BI23" s="44">
        <f t="shared" si="16"/>
        <v>0</v>
      </c>
      <c r="BJ23" s="44">
        <f t="shared" si="17"/>
        <v>0</v>
      </c>
      <c r="BK23" s="44">
        <f t="shared" si="18"/>
        <v>0</v>
      </c>
      <c r="BL23" s="44">
        <f t="shared" si="19"/>
        <v>0</v>
      </c>
      <c r="BM23" s="44">
        <f t="shared" si="20"/>
        <v>0</v>
      </c>
      <c r="BN23" s="44">
        <f t="shared" si="21"/>
        <v>0</v>
      </c>
      <c r="BO23" s="44">
        <f t="shared" si="22"/>
        <v>0</v>
      </c>
      <c r="BP23" s="44">
        <f t="shared" si="23"/>
        <v>0</v>
      </c>
      <c r="BQ23" s="42"/>
    </row>
    <row r="24" spans="1:69" s="45" customFormat="1" ht="105" x14ac:dyDescent="0.25">
      <c r="A24" s="34">
        <v>11300</v>
      </c>
      <c r="B24" s="35" t="str">
        <f>+VLOOKUP(A24,'[1]TAB. REF. PA'!$A$4:$B$14,2,FALSE)</f>
        <v>Dirección de Gestión de Recursos Financieros de Salud</v>
      </c>
      <c r="C24" s="36" t="s">
        <v>160</v>
      </c>
      <c r="D24" s="35" t="s">
        <v>145</v>
      </c>
      <c r="E24" s="36" t="s">
        <v>161</v>
      </c>
      <c r="F24" s="35" t="s">
        <v>162</v>
      </c>
      <c r="G24" s="37" t="s">
        <v>123</v>
      </c>
      <c r="H24" s="46">
        <v>1</v>
      </c>
      <c r="I24" s="36" t="s">
        <v>305</v>
      </c>
      <c r="J24" s="38" t="s">
        <v>561</v>
      </c>
      <c r="K24" s="39">
        <v>1500000000</v>
      </c>
      <c r="L24" s="140">
        <v>3.5106648210048191E-5</v>
      </c>
      <c r="M24" s="41" t="s">
        <v>46</v>
      </c>
      <c r="N24" s="41" t="s">
        <v>68</v>
      </c>
      <c r="O24" s="41" t="s">
        <v>21</v>
      </c>
      <c r="P24" s="41" t="s">
        <v>36</v>
      </c>
      <c r="Q24" s="41" t="s">
        <v>213</v>
      </c>
      <c r="R24" s="42"/>
      <c r="S24" s="41" t="s">
        <v>182</v>
      </c>
      <c r="T24" s="41" t="s">
        <v>99</v>
      </c>
      <c r="U24" s="40">
        <v>1</v>
      </c>
      <c r="V24" s="35" t="str">
        <f>+$J$24</f>
        <v>Prestaciones Económicas Regímenes Especiales de Excepción</v>
      </c>
      <c r="W24" s="39">
        <v>1500000000</v>
      </c>
      <c r="X24" s="34" t="s">
        <v>116</v>
      </c>
      <c r="Y24" s="40">
        <v>0.25</v>
      </c>
      <c r="Z24" s="35" t="str">
        <f>+$J$24</f>
        <v>Prestaciones Económicas Regímenes Especiales de Excepción</v>
      </c>
      <c r="AA24" s="49">
        <v>375000000</v>
      </c>
      <c r="AB24" s="42"/>
      <c r="AC24" s="42"/>
      <c r="AD24" s="40">
        <f>+(AB24/Y24)</f>
        <v>0</v>
      </c>
      <c r="AE24" s="40">
        <f>+(AC24/AA24)</f>
        <v>0</v>
      </c>
      <c r="AF24" s="40">
        <f>+(AB24/U24)</f>
        <v>0</v>
      </c>
      <c r="AG24" s="40">
        <f>+(AC24/W24)</f>
        <v>0</v>
      </c>
      <c r="AH24" s="40">
        <v>0.25</v>
      </c>
      <c r="AI24" s="35" t="str">
        <f>+$J$24</f>
        <v>Prestaciones Económicas Regímenes Especiales de Excepción</v>
      </c>
      <c r="AJ24" s="49">
        <v>375000000</v>
      </c>
      <c r="AK24" s="42"/>
      <c r="AL24" s="42"/>
      <c r="AM24" s="40">
        <f>+(AK24/AH24)</f>
        <v>0</v>
      </c>
      <c r="AN24" s="40">
        <f>+(AL24/AJ24)</f>
        <v>0</v>
      </c>
      <c r="AO24" s="40">
        <f>+(AK24+AB24)/U24</f>
        <v>0</v>
      </c>
      <c r="AP24" s="43">
        <f>+(AL24+AC24)/W24</f>
        <v>0</v>
      </c>
      <c r="AQ24" s="40">
        <v>0.25</v>
      </c>
      <c r="AR24" s="35" t="str">
        <f>+$J$24</f>
        <v>Prestaciones Económicas Regímenes Especiales de Excepción</v>
      </c>
      <c r="AS24" s="49">
        <v>375000000</v>
      </c>
      <c r="AT24" s="42"/>
      <c r="AU24" s="42"/>
      <c r="AV24" s="40">
        <f>+(AT24/AQ24)</f>
        <v>0</v>
      </c>
      <c r="AW24" s="40">
        <f>+(AU24/AS24)</f>
        <v>0</v>
      </c>
      <c r="AX24" s="40">
        <f>+(AK24+AB24+AT24)/U24</f>
        <v>0</v>
      </c>
      <c r="AY24" s="40">
        <f>+(AL24+AC24+AU24)/W24</f>
        <v>0</v>
      </c>
      <c r="AZ24" s="40">
        <v>0.25</v>
      </c>
      <c r="BA24" s="35" t="str">
        <f>+$J$24</f>
        <v>Prestaciones Económicas Regímenes Especiales de Excepción</v>
      </c>
      <c r="BB24" s="49">
        <v>375000000</v>
      </c>
      <c r="BC24" s="42"/>
      <c r="BD24" s="42"/>
      <c r="BE24" s="40">
        <f>+(BC24/AZ24)</f>
        <v>0</v>
      </c>
      <c r="BF24" s="40">
        <f>+(BD24/BB24)</f>
        <v>0</v>
      </c>
      <c r="BG24" s="40">
        <f>+(AK24+AB24+AT24+BC24)/U24</f>
        <v>0</v>
      </c>
      <c r="BH24" s="40">
        <f>+(AL24+AC24+AU24+BD24)/W24</f>
        <v>0</v>
      </c>
      <c r="BI24" s="44">
        <f>IF(AND(Y24=0,AB24=0),"No Prog ni Ejec",IF(Y24=0,CONCATENATE("No Prog, Ejec=  ",AB24),AB24/Y24))</f>
        <v>0</v>
      </c>
      <c r="BJ24" s="44">
        <f>IF(AND(AA24=0,AC24=0),"No Prog ni Ejec",IF(AA24=0,CONCATENATE("No Prog, Ejec=  ",AC24),AC24/AA24))</f>
        <v>0</v>
      </c>
      <c r="BK24" s="44">
        <f>IF(AND(AH24=0,AK24=0),"No Prog ni Ejec",IF(AH24=0,CONCATENATE("No Prog, Ejec=  ",AK24),AK24/AH24))</f>
        <v>0</v>
      </c>
      <c r="BL24" s="44">
        <f>IF(AND(AJ24=0,AL24=0),"No Prog ni Ejec",IF(AJ24=0,CONCATENATE("No Prog, Ejec=  ",AL24),AL24/AJ24))</f>
        <v>0</v>
      </c>
      <c r="BM24" s="44">
        <f>IF(AND(AQ24=0,AT24=0),"No Prog ni Ejec",IF(AQ24=0,CONCATENATE("No Prog, Ejec=  ",AT24),AT24/AQ24))</f>
        <v>0</v>
      </c>
      <c r="BN24" s="44">
        <f>IF(AND(AS24=0,AU24=0),"No Prog ni Ejec",IF(AS24=0,CONCATENATE("No Prog, Ejec=  ",AU24),AU24/AS24))</f>
        <v>0</v>
      </c>
      <c r="BO24" s="44">
        <f>IF(AND(AZ24=0,BC24=0),"No Prog ni Ejec",IF(AZ24=0,CONCATENATE("No Prog, Ejec=  ",BC24),BC24/AZ24))</f>
        <v>0</v>
      </c>
      <c r="BP24" s="44">
        <f>IF(AND(BB24=0,BD24=0),"No Prog ni Ejec",IF(BB24=0,CONCATENATE("No Prog, Ejec=  ",BD24),BD24/BB24))</f>
        <v>0</v>
      </c>
      <c r="BQ24" s="42"/>
    </row>
    <row r="25" spans="1:69" s="45" customFormat="1" ht="105" x14ac:dyDescent="0.25">
      <c r="A25" s="34">
        <v>11300</v>
      </c>
      <c r="B25" s="35" t="str">
        <f>+VLOOKUP(A25,'[1]TAB. REF. PA'!$A$4:$B$14,2,FALSE)</f>
        <v>Dirección de Gestión de Recursos Financieros de Salud</v>
      </c>
      <c r="C25" s="36" t="s">
        <v>160</v>
      </c>
      <c r="D25" s="35" t="s">
        <v>145</v>
      </c>
      <c r="E25" s="36" t="s">
        <v>161</v>
      </c>
      <c r="F25" s="35" t="s">
        <v>162</v>
      </c>
      <c r="G25" s="37" t="s">
        <v>123</v>
      </c>
      <c r="H25" s="46">
        <v>1</v>
      </c>
      <c r="I25" s="36" t="s">
        <v>306</v>
      </c>
      <c r="J25" s="38" t="s">
        <v>170</v>
      </c>
      <c r="K25" s="39">
        <v>18712351563000</v>
      </c>
      <c r="L25" s="140">
        <v>0.43795196233665762</v>
      </c>
      <c r="M25" s="41" t="s">
        <v>46</v>
      </c>
      <c r="N25" s="41" t="s">
        <v>68</v>
      </c>
      <c r="O25" s="41" t="s">
        <v>21</v>
      </c>
      <c r="P25" s="41" t="s">
        <v>36</v>
      </c>
      <c r="Q25" s="41" t="s">
        <v>213</v>
      </c>
      <c r="R25" s="42"/>
      <c r="S25" s="41" t="s">
        <v>182</v>
      </c>
      <c r="T25" s="41" t="s">
        <v>99</v>
      </c>
      <c r="U25" s="40">
        <v>1</v>
      </c>
      <c r="V25" s="35" t="str">
        <f>+$J$25</f>
        <v>Financiación UPC Régimen Subsidiado CSF</v>
      </c>
      <c r="W25" s="39">
        <v>18712351563000</v>
      </c>
      <c r="X25" s="34" t="s">
        <v>116</v>
      </c>
      <c r="Y25" s="40">
        <v>0.25</v>
      </c>
      <c r="Z25" s="35" t="str">
        <f>+$J$25</f>
        <v>Financiación UPC Régimen Subsidiado CSF</v>
      </c>
      <c r="AA25" s="49">
        <v>4678087890750</v>
      </c>
      <c r="AB25" s="42"/>
      <c r="AC25" s="42"/>
      <c r="AD25" s="40">
        <f t="shared" si="0"/>
        <v>0</v>
      </c>
      <c r="AE25" s="40">
        <f t="shared" si="1"/>
        <v>0</v>
      </c>
      <c r="AF25" s="40">
        <f t="shared" si="2"/>
        <v>0</v>
      </c>
      <c r="AG25" s="40">
        <f t="shared" si="3"/>
        <v>0</v>
      </c>
      <c r="AH25" s="40">
        <v>0.25</v>
      </c>
      <c r="AI25" s="35" t="str">
        <f>+$J$25</f>
        <v>Financiación UPC Régimen Subsidiado CSF</v>
      </c>
      <c r="AJ25" s="49">
        <v>4678087890750</v>
      </c>
      <c r="AK25" s="42"/>
      <c r="AL25" s="42"/>
      <c r="AM25" s="40">
        <f t="shared" si="4"/>
        <v>0</v>
      </c>
      <c r="AN25" s="40">
        <f t="shared" si="5"/>
        <v>0</v>
      </c>
      <c r="AO25" s="40">
        <f t="shared" si="6"/>
        <v>0</v>
      </c>
      <c r="AP25" s="43">
        <f t="shared" si="7"/>
        <v>0</v>
      </c>
      <c r="AQ25" s="40">
        <v>0.25</v>
      </c>
      <c r="AR25" s="35" t="str">
        <f>+$J$25</f>
        <v>Financiación UPC Régimen Subsidiado CSF</v>
      </c>
      <c r="AS25" s="49">
        <v>4678087890750</v>
      </c>
      <c r="AT25" s="42"/>
      <c r="AU25" s="42"/>
      <c r="AV25" s="40">
        <f t="shared" si="8"/>
        <v>0</v>
      </c>
      <c r="AW25" s="40">
        <f t="shared" si="9"/>
        <v>0</v>
      </c>
      <c r="AX25" s="40">
        <f t="shared" si="10"/>
        <v>0</v>
      </c>
      <c r="AY25" s="40">
        <f t="shared" si="11"/>
        <v>0</v>
      </c>
      <c r="AZ25" s="40">
        <v>0.25</v>
      </c>
      <c r="BA25" s="35" t="str">
        <f>+$J$25</f>
        <v>Financiación UPC Régimen Subsidiado CSF</v>
      </c>
      <c r="BB25" s="49">
        <v>4678087890750</v>
      </c>
      <c r="BC25" s="42"/>
      <c r="BD25" s="42"/>
      <c r="BE25" s="40">
        <f t="shared" si="12"/>
        <v>0</v>
      </c>
      <c r="BF25" s="40">
        <f t="shared" si="13"/>
        <v>0</v>
      </c>
      <c r="BG25" s="40">
        <f t="shared" si="14"/>
        <v>0</v>
      </c>
      <c r="BH25" s="40">
        <f t="shared" si="15"/>
        <v>0</v>
      </c>
      <c r="BI25" s="44">
        <f t="shared" si="16"/>
        <v>0</v>
      </c>
      <c r="BJ25" s="44">
        <f t="shared" si="17"/>
        <v>0</v>
      </c>
      <c r="BK25" s="44">
        <f t="shared" si="18"/>
        <v>0</v>
      </c>
      <c r="BL25" s="44">
        <f t="shared" si="19"/>
        <v>0</v>
      </c>
      <c r="BM25" s="44">
        <f t="shared" si="20"/>
        <v>0</v>
      </c>
      <c r="BN25" s="44">
        <f t="shared" si="21"/>
        <v>0</v>
      </c>
      <c r="BO25" s="44">
        <f t="shared" si="22"/>
        <v>0</v>
      </c>
      <c r="BP25" s="44">
        <f t="shared" si="23"/>
        <v>0</v>
      </c>
      <c r="BQ25" s="42"/>
    </row>
    <row r="26" spans="1:69" s="45" customFormat="1" ht="105" x14ac:dyDescent="0.25">
      <c r="A26" s="34">
        <v>11300</v>
      </c>
      <c r="B26" s="35" t="str">
        <f>+VLOOKUP(A26,'[1]TAB. REF. PA'!$A$4:$B$14,2,FALSE)</f>
        <v>Dirección de Gestión de Recursos Financieros de Salud</v>
      </c>
      <c r="C26" s="36" t="s">
        <v>160</v>
      </c>
      <c r="D26" s="35" t="s">
        <v>145</v>
      </c>
      <c r="E26" s="36" t="s">
        <v>161</v>
      </c>
      <c r="F26" s="35" t="s">
        <v>162</v>
      </c>
      <c r="G26" s="37" t="s">
        <v>123</v>
      </c>
      <c r="H26" s="46">
        <v>1</v>
      </c>
      <c r="I26" s="36" t="s">
        <v>307</v>
      </c>
      <c r="J26" s="38" t="s">
        <v>171</v>
      </c>
      <c r="K26" s="39">
        <v>26475329000</v>
      </c>
      <c r="L26" s="140">
        <v>6.1964004096552467E-4</v>
      </c>
      <c r="M26" s="41" t="s">
        <v>46</v>
      </c>
      <c r="N26" s="41" t="s">
        <v>68</v>
      </c>
      <c r="O26" s="41" t="s">
        <v>21</v>
      </c>
      <c r="P26" s="41" t="s">
        <v>36</v>
      </c>
      <c r="Q26" s="41" t="s">
        <v>213</v>
      </c>
      <c r="R26" s="42"/>
      <c r="S26" s="41" t="s">
        <v>182</v>
      </c>
      <c r="T26" s="41" t="s">
        <v>99</v>
      </c>
      <c r="U26" s="40">
        <v>1</v>
      </c>
      <c r="V26" s="35" t="str">
        <f>+$J$26</f>
        <v>Financiación UPC Régimen Subsidiado - CCF - SSF</v>
      </c>
      <c r="W26" s="39">
        <v>26475329000</v>
      </c>
      <c r="X26" s="34" t="s">
        <v>116</v>
      </c>
      <c r="Y26" s="40">
        <v>0.25</v>
      </c>
      <c r="Z26" s="35" t="str">
        <f>+$J$26</f>
        <v>Financiación UPC Régimen Subsidiado - CCF - SSF</v>
      </c>
      <c r="AA26" s="49">
        <v>6618832250</v>
      </c>
      <c r="AB26" s="42"/>
      <c r="AC26" s="42"/>
      <c r="AD26" s="40">
        <f t="shared" si="0"/>
        <v>0</v>
      </c>
      <c r="AE26" s="40">
        <f t="shared" si="1"/>
        <v>0</v>
      </c>
      <c r="AF26" s="40">
        <f t="shared" si="2"/>
        <v>0</v>
      </c>
      <c r="AG26" s="40">
        <f t="shared" si="3"/>
        <v>0</v>
      </c>
      <c r="AH26" s="40">
        <v>0.25</v>
      </c>
      <c r="AI26" s="35" t="str">
        <f>+$J$26</f>
        <v>Financiación UPC Régimen Subsidiado - CCF - SSF</v>
      </c>
      <c r="AJ26" s="49">
        <v>6618832250</v>
      </c>
      <c r="AK26" s="42"/>
      <c r="AL26" s="42"/>
      <c r="AM26" s="40">
        <f t="shared" si="4"/>
        <v>0</v>
      </c>
      <c r="AN26" s="40">
        <f t="shared" si="5"/>
        <v>0</v>
      </c>
      <c r="AO26" s="40">
        <f t="shared" si="6"/>
        <v>0</v>
      </c>
      <c r="AP26" s="43">
        <f t="shared" si="7"/>
        <v>0</v>
      </c>
      <c r="AQ26" s="40">
        <v>0.25</v>
      </c>
      <c r="AR26" s="35" t="str">
        <f>+$J$26</f>
        <v>Financiación UPC Régimen Subsidiado - CCF - SSF</v>
      </c>
      <c r="AS26" s="49">
        <v>6618832250</v>
      </c>
      <c r="AT26" s="42"/>
      <c r="AU26" s="42"/>
      <c r="AV26" s="40">
        <f t="shared" si="8"/>
        <v>0</v>
      </c>
      <c r="AW26" s="40">
        <f t="shared" si="9"/>
        <v>0</v>
      </c>
      <c r="AX26" s="40">
        <f t="shared" si="10"/>
        <v>0</v>
      </c>
      <c r="AY26" s="40">
        <f t="shared" si="11"/>
        <v>0</v>
      </c>
      <c r="AZ26" s="40">
        <v>0.25</v>
      </c>
      <c r="BA26" s="35" t="str">
        <f>+$J$26</f>
        <v>Financiación UPC Régimen Subsidiado - CCF - SSF</v>
      </c>
      <c r="BB26" s="49">
        <v>6618832250</v>
      </c>
      <c r="BC26" s="42"/>
      <c r="BD26" s="42"/>
      <c r="BE26" s="40">
        <f t="shared" si="12"/>
        <v>0</v>
      </c>
      <c r="BF26" s="40">
        <f t="shared" si="13"/>
        <v>0</v>
      </c>
      <c r="BG26" s="40">
        <f t="shared" si="14"/>
        <v>0</v>
      </c>
      <c r="BH26" s="40">
        <f t="shared" si="15"/>
        <v>0</v>
      </c>
      <c r="BI26" s="44">
        <f t="shared" si="16"/>
        <v>0</v>
      </c>
      <c r="BJ26" s="44">
        <f t="shared" si="17"/>
        <v>0</v>
      </c>
      <c r="BK26" s="44">
        <f t="shared" si="18"/>
        <v>0</v>
      </c>
      <c r="BL26" s="44">
        <f t="shared" si="19"/>
        <v>0</v>
      </c>
      <c r="BM26" s="44">
        <f t="shared" si="20"/>
        <v>0</v>
      </c>
      <c r="BN26" s="44">
        <f t="shared" si="21"/>
        <v>0</v>
      </c>
      <c r="BO26" s="44">
        <f t="shared" si="22"/>
        <v>0</v>
      </c>
      <c r="BP26" s="44">
        <f t="shared" si="23"/>
        <v>0</v>
      </c>
      <c r="BQ26" s="42"/>
    </row>
    <row r="27" spans="1:69" s="45" customFormat="1" ht="105" x14ac:dyDescent="0.25">
      <c r="A27" s="34">
        <v>11300</v>
      </c>
      <c r="B27" s="35" t="str">
        <f>+VLOOKUP(A27,'[1]TAB. REF. PA'!$A$4:$B$14,2,FALSE)</f>
        <v>Dirección de Gestión de Recursos Financieros de Salud</v>
      </c>
      <c r="C27" s="36" t="s">
        <v>160</v>
      </c>
      <c r="D27" s="35" t="s">
        <v>145</v>
      </c>
      <c r="E27" s="36" t="s">
        <v>161</v>
      </c>
      <c r="F27" s="35" t="s">
        <v>162</v>
      </c>
      <c r="G27" s="37" t="s">
        <v>123</v>
      </c>
      <c r="H27" s="46">
        <v>1</v>
      </c>
      <c r="I27" s="36" t="s">
        <v>308</v>
      </c>
      <c r="J27" s="38" t="s">
        <v>175</v>
      </c>
      <c r="K27" s="39">
        <v>210070791000</v>
      </c>
      <c r="L27" s="140">
        <v>4.9165875725623717E-3</v>
      </c>
      <c r="M27" s="41" t="s">
        <v>46</v>
      </c>
      <c r="N27" s="41" t="s">
        <v>68</v>
      </c>
      <c r="O27" s="41" t="s">
        <v>21</v>
      </c>
      <c r="P27" s="41" t="s">
        <v>36</v>
      </c>
      <c r="Q27" s="41" t="s">
        <v>213</v>
      </c>
      <c r="R27" s="42"/>
      <c r="S27" s="41" t="s">
        <v>182</v>
      </c>
      <c r="T27" s="41" t="s">
        <v>99</v>
      </c>
      <c r="U27" s="40">
        <v>1</v>
      </c>
      <c r="V27" s="35" t="str">
        <f>+$J$27</f>
        <v>Prestaciones Excepcionales - Recobros</v>
      </c>
      <c r="W27" s="39">
        <v>210070791000</v>
      </c>
      <c r="X27" s="34" t="s">
        <v>116</v>
      </c>
      <c r="Y27" s="40">
        <v>0.25</v>
      </c>
      <c r="Z27" s="35" t="str">
        <f>+$J$27</f>
        <v>Prestaciones Excepcionales - Recobros</v>
      </c>
      <c r="AA27" s="49">
        <v>52517697750</v>
      </c>
      <c r="AB27" s="42"/>
      <c r="AC27" s="42"/>
      <c r="AD27" s="40">
        <f t="shared" si="0"/>
        <v>0</v>
      </c>
      <c r="AE27" s="40">
        <f t="shared" si="1"/>
        <v>0</v>
      </c>
      <c r="AF27" s="40">
        <f t="shared" si="2"/>
        <v>0</v>
      </c>
      <c r="AG27" s="40">
        <f t="shared" si="3"/>
        <v>0</v>
      </c>
      <c r="AH27" s="40">
        <v>0.25</v>
      </c>
      <c r="AI27" s="35" t="str">
        <f>+$J$27</f>
        <v>Prestaciones Excepcionales - Recobros</v>
      </c>
      <c r="AJ27" s="49">
        <v>52517697750</v>
      </c>
      <c r="AK27" s="42"/>
      <c r="AL27" s="42"/>
      <c r="AM27" s="40">
        <f t="shared" si="4"/>
        <v>0</v>
      </c>
      <c r="AN27" s="40">
        <f t="shared" si="5"/>
        <v>0</v>
      </c>
      <c r="AO27" s="40">
        <f t="shared" si="6"/>
        <v>0</v>
      </c>
      <c r="AP27" s="43">
        <f t="shared" si="7"/>
        <v>0</v>
      </c>
      <c r="AQ27" s="40">
        <v>0.25</v>
      </c>
      <c r="AR27" s="35" t="str">
        <f>+$J$27</f>
        <v>Prestaciones Excepcionales - Recobros</v>
      </c>
      <c r="AS27" s="49">
        <v>52517697750</v>
      </c>
      <c r="AT27" s="42"/>
      <c r="AU27" s="42"/>
      <c r="AV27" s="40">
        <f t="shared" si="8"/>
        <v>0</v>
      </c>
      <c r="AW27" s="40">
        <f t="shared" si="9"/>
        <v>0</v>
      </c>
      <c r="AX27" s="40">
        <f t="shared" si="10"/>
        <v>0</v>
      </c>
      <c r="AY27" s="40">
        <f t="shared" si="11"/>
        <v>0</v>
      </c>
      <c r="AZ27" s="40">
        <v>0.25</v>
      </c>
      <c r="BA27" s="35" t="str">
        <f>+$J$27</f>
        <v>Prestaciones Excepcionales - Recobros</v>
      </c>
      <c r="BB27" s="49">
        <v>52517697750</v>
      </c>
      <c r="BC27" s="42"/>
      <c r="BD27" s="42"/>
      <c r="BE27" s="40">
        <f t="shared" si="12"/>
        <v>0</v>
      </c>
      <c r="BF27" s="40">
        <f t="shared" si="13"/>
        <v>0</v>
      </c>
      <c r="BG27" s="40">
        <f t="shared" si="14"/>
        <v>0</v>
      </c>
      <c r="BH27" s="40">
        <f t="shared" si="15"/>
        <v>0</v>
      </c>
      <c r="BI27" s="44">
        <f t="shared" si="16"/>
        <v>0</v>
      </c>
      <c r="BJ27" s="44">
        <f t="shared" si="17"/>
        <v>0</v>
      </c>
      <c r="BK27" s="44">
        <f t="shared" si="18"/>
        <v>0</v>
      </c>
      <c r="BL27" s="44">
        <f t="shared" si="19"/>
        <v>0</v>
      </c>
      <c r="BM27" s="44">
        <f t="shared" si="20"/>
        <v>0</v>
      </c>
      <c r="BN27" s="44">
        <f t="shared" si="21"/>
        <v>0</v>
      </c>
      <c r="BO27" s="44">
        <f t="shared" si="22"/>
        <v>0</v>
      </c>
      <c r="BP27" s="44">
        <f t="shared" si="23"/>
        <v>0</v>
      </c>
      <c r="BQ27" s="42"/>
    </row>
    <row r="28" spans="1:69" s="45" customFormat="1" ht="105" x14ac:dyDescent="0.25">
      <c r="A28" s="34">
        <v>11300</v>
      </c>
      <c r="B28" s="35" t="str">
        <f>+VLOOKUP(A28,'[1]TAB. REF. PA'!$A$4:$B$14,2,FALSE)</f>
        <v>Dirección de Gestión de Recursos Financieros de Salud</v>
      </c>
      <c r="C28" s="36" t="s">
        <v>160</v>
      </c>
      <c r="D28" s="35" t="s">
        <v>145</v>
      </c>
      <c r="E28" s="36" t="s">
        <v>161</v>
      </c>
      <c r="F28" s="35" t="s">
        <v>162</v>
      </c>
      <c r="G28" s="37" t="s">
        <v>123</v>
      </c>
      <c r="H28" s="46">
        <v>1</v>
      </c>
      <c r="I28" s="36" t="s">
        <v>309</v>
      </c>
      <c r="J28" s="38" t="s">
        <v>172</v>
      </c>
      <c r="K28" s="39">
        <v>165927919000</v>
      </c>
      <c r="L28" s="140">
        <v>3.8834487203722474E-3</v>
      </c>
      <c r="M28" s="41" t="s">
        <v>46</v>
      </c>
      <c r="N28" s="41" t="s">
        <v>68</v>
      </c>
      <c r="O28" s="41" t="s">
        <v>21</v>
      </c>
      <c r="P28" s="41" t="s">
        <v>36</v>
      </c>
      <c r="Q28" s="41" t="s">
        <v>213</v>
      </c>
      <c r="R28" s="42"/>
      <c r="S28" s="41" t="s">
        <v>182</v>
      </c>
      <c r="T28" s="41" t="s">
        <v>99</v>
      </c>
      <c r="U28" s="40">
        <v>1</v>
      </c>
      <c r="V28" s="35" t="str">
        <f>+$J$28</f>
        <v>Atención en salud, transporte primario, indemnizaciones y auxilios funerarios víctimas</v>
      </c>
      <c r="W28" s="39">
        <v>165927919000</v>
      </c>
      <c r="X28" s="34" t="s">
        <v>116</v>
      </c>
      <c r="Y28" s="40">
        <v>0.25</v>
      </c>
      <c r="Z28" s="35" t="str">
        <f>+$J$28</f>
        <v>Atención en salud, transporte primario, indemnizaciones y auxilios funerarios víctimas</v>
      </c>
      <c r="AA28" s="49">
        <v>41481979750</v>
      </c>
      <c r="AB28" s="42"/>
      <c r="AC28" s="42"/>
      <c r="AD28" s="40">
        <f t="shared" si="0"/>
        <v>0</v>
      </c>
      <c r="AE28" s="40">
        <f t="shared" si="1"/>
        <v>0</v>
      </c>
      <c r="AF28" s="40">
        <f t="shared" si="2"/>
        <v>0</v>
      </c>
      <c r="AG28" s="40">
        <f t="shared" si="3"/>
        <v>0</v>
      </c>
      <c r="AH28" s="40">
        <v>0.25</v>
      </c>
      <c r="AI28" s="35" t="str">
        <f>+$J$28</f>
        <v>Atención en salud, transporte primario, indemnizaciones y auxilios funerarios víctimas</v>
      </c>
      <c r="AJ28" s="49">
        <v>41481979750</v>
      </c>
      <c r="AK28" s="42"/>
      <c r="AL28" s="42"/>
      <c r="AM28" s="40">
        <f t="shared" si="4"/>
        <v>0</v>
      </c>
      <c r="AN28" s="40">
        <f t="shared" si="5"/>
        <v>0</v>
      </c>
      <c r="AO28" s="40">
        <f t="shared" si="6"/>
        <v>0</v>
      </c>
      <c r="AP28" s="43">
        <f t="shared" si="7"/>
        <v>0</v>
      </c>
      <c r="AQ28" s="40">
        <v>0.25</v>
      </c>
      <c r="AR28" s="35" t="str">
        <f>+$J$28</f>
        <v>Atención en salud, transporte primario, indemnizaciones y auxilios funerarios víctimas</v>
      </c>
      <c r="AS28" s="49">
        <v>41481979750</v>
      </c>
      <c r="AT28" s="42"/>
      <c r="AU28" s="42"/>
      <c r="AV28" s="40">
        <f t="shared" si="8"/>
        <v>0</v>
      </c>
      <c r="AW28" s="40">
        <f t="shared" si="9"/>
        <v>0</v>
      </c>
      <c r="AX28" s="40">
        <f t="shared" si="10"/>
        <v>0</v>
      </c>
      <c r="AY28" s="40">
        <f t="shared" si="11"/>
        <v>0</v>
      </c>
      <c r="AZ28" s="40">
        <v>0.25</v>
      </c>
      <c r="BA28" s="35" t="str">
        <f>+$J$28</f>
        <v>Atención en salud, transporte primario, indemnizaciones y auxilios funerarios víctimas</v>
      </c>
      <c r="BB28" s="49">
        <v>41481979750</v>
      </c>
      <c r="BC28" s="42"/>
      <c r="BD28" s="42"/>
      <c r="BE28" s="40">
        <f t="shared" si="12"/>
        <v>0</v>
      </c>
      <c r="BF28" s="40">
        <f t="shared" si="13"/>
        <v>0</v>
      </c>
      <c r="BG28" s="40">
        <f t="shared" si="14"/>
        <v>0</v>
      </c>
      <c r="BH28" s="40">
        <f t="shared" si="15"/>
        <v>0</v>
      </c>
      <c r="BI28" s="44">
        <f t="shared" si="16"/>
        <v>0</v>
      </c>
      <c r="BJ28" s="44">
        <f t="shared" si="17"/>
        <v>0</v>
      </c>
      <c r="BK28" s="44">
        <f t="shared" si="18"/>
        <v>0</v>
      </c>
      <c r="BL28" s="44">
        <f t="shared" si="19"/>
        <v>0</v>
      </c>
      <c r="BM28" s="44">
        <f t="shared" si="20"/>
        <v>0</v>
      </c>
      <c r="BN28" s="44">
        <f t="shared" si="21"/>
        <v>0</v>
      </c>
      <c r="BO28" s="44">
        <f t="shared" si="22"/>
        <v>0</v>
      </c>
      <c r="BP28" s="44">
        <f t="shared" si="23"/>
        <v>0</v>
      </c>
      <c r="BQ28" s="42"/>
    </row>
    <row r="29" spans="1:69" s="45" customFormat="1" ht="105" x14ac:dyDescent="0.25">
      <c r="A29" s="34">
        <v>11300</v>
      </c>
      <c r="B29" s="35" t="str">
        <f>+VLOOKUP(A29,'[1]TAB. REF. PA'!$A$4:$B$14,2,FALSE)</f>
        <v>Dirección de Gestión de Recursos Financieros de Salud</v>
      </c>
      <c r="C29" s="36" t="s">
        <v>160</v>
      </c>
      <c r="D29" s="35" t="s">
        <v>145</v>
      </c>
      <c r="E29" s="36" t="s">
        <v>161</v>
      </c>
      <c r="F29" s="35" t="s">
        <v>162</v>
      </c>
      <c r="G29" s="37" t="s">
        <v>123</v>
      </c>
      <c r="H29" s="46">
        <v>1</v>
      </c>
      <c r="I29" s="36" t="s">
        <v>310</v>
      </c>
      <c r="J29" s="38" t="s">
        <v>176</v>
      </c>
      <c r="K29" s="39">
        <v>3872113000</v>
      </c>
      <c r="L29" s="140">
        <v>9.0624605947036218E-5</v>
      </c>
      <c r="M29" s="41" t="s">
        <v>46</v>
      </c>
      <c r="N29" s="41" t="s">
        <v>68</v>
      </c>
      <c r="O29" s="41" t="s">
        <v>21</v>
      </c>
      <c r="P29" s="41" t="s">
        <v>36</v>
      </c>
      <c r="Q29" s="41" t="s">
        <v>213</v>
      </c>
      <c r="R29" s="42"/>
      <c r="S29" s="41" t="s">
        <v>182</v>
      </c>
      <c r="T29" s="41" t="s">
        <v>99</v>
      </c>
      <c r="U29" s="40">
        <v>1</v>
      </c>
      <c r="V29" s="35" t="str">
        <f>+$J$29</f>
        <v>Fortalecimiento red de urgencias nacional, emergencias sanitarias y eventos catastróficos</v>
      </c>
      <c r="W29" s="39">
        <v>3872113000</v>
      </c>
      <c r="X29" s="34" t="s">
        <v>116</v>
      </c>
      <c r="Y29" s="40">
        <v>0.25</v>
      </c>
      <c r="Z29" s="35" t="str">
        <f>+$J$29</f>
        <v>Fortalecimiento red de urgencias nacional, emergencias sanitarias y eventos catastróficos</v>
      </c>
      <c r="AA29" s="49">
        <v>968028250</v>
      </c>
      <c r="AB29" s="42"/>
      <c r="AC29" s="42"/>
      <c r="AD29" s="40">
        <f t="shared" si="0"/>
        <v>0</v>
      </c>
      <c r="AE29" s="40">
        <f t="shared" si="1"/>
        <v>0</v>
      </c>
      <c r="AF29" s="40">
        <f t="shared" si="2"/>
        <v>0</v>
      </c>
      <c r="AG29" s="40">
        <f t="shared" si="3"/>
        <v>0</v>
      </c>
      <c r="AH29" s="40">
        <v>0.25</v>
      </c>
      <c r="AI29" s="35" t="str">
        <f>+$J$29</f>
        <v>Fortalecimiento red de urgencias nacional, emergencias sanitarias y eventos catastróficos</v>
      </c>
      <c r="AJ29" s="49">
        <v>968028250</v>
      </c>
      <c r="AK29" s="42"/>
      <c r="AL29" s="42"/>
      <c r="AM29" s="40">
        <f t="shared" si="4"/>
        <v>0</v>
      </c>
      <c r="AN29" s="40">
        <f t="shared" si="5"/>
        <v>0</v>
      </c>
      <c r="AO29" s="40">
        <f t="shared" si="6"/>
        <v>0</v>
      </c>
      <c r="AP29" s="43">
        <f t="shared" si="7"/>
        <v>0</v>
      </c>
      <c r="AQ29" s="40">
        <v>0.25</v>
      </c>
      <c r="AR29" s="35" t="str">
        <f>+$J$29</f>
        <v>Fortalecimiento red de urgencias nacional, emergencias sanitarias y eventos catastróficos</v>
      </c>
      <c r="AS29" s="49">
        <v>968028250</v>
      </c>
      <c r="AT29" s="42"/>
      <c r="AU29" s="42"/>
      <c r="AV29" s="40">
        <f t="shared" si="8"/>
        <v>0</v>
      </c>
      <c r="AW29" s="40">
        <f t="shared" si="9"/>
        <v>0</v>
      </c>
      <c r="AX29" s="40">
        <f t="shared" si="10"/>
        <v>0</v>
      </c>
      <c r="AY29" s="40">
        <f t="shared" si="11"/>
        <v>0</v>
      </c>
      <c r="AZ29" s="40">
        <v>0.25</v>
      </c>
      <c r="BA29" s="35" t="str">
        <f>+$J$29</f>
        <v>Fortalecimiento red de urgencias nacional, emergencias sanitarias y eventos catastróficos</v>
      </c>
      <c r="BB29" s="49">
        <v>968028250</v>
      </c>
      <c r="BC29" s="42"/>
      <c r="BD29" s="42"/>
      <c r="BE29" s="40">
        <f t="shared" si="12"/>
        <v>0</v>
      </c>
      <c r="BF29" s="40">
        <f t="shared" si="13"/>
        <v>0</v>
      </c>
      <c r="BG29" s="40">
        <f t="shared" si="14"/>
        <v>0</v>
      </c>
      <c r="BH29" s="40">
        <f t="shared" si="15"/>
        <v>0</v>
      </c>
      <c r="BI29" s="44">
        <f t="shared" si="16"/>
        <v>0</v>
      </c>
      <c r="BJ29" s="44">
        <f t="shared" si="17"/>
        <v>0</v>
      </c>
      <c r="BK29" s="44">
        <f t="shared" si="18"/>
        <v>0</v>
      </c>
      <c r="BL29" s="44">
        <f t="shared" si="19"/>
        <v>0</v>
      </c>
      <c r="BM29" s="44">
        <f t="shared" si="20"/>
        <v>0</v>
      </c>
      <c r="BN29" s="44">
        <f t="shared" si="21"/>
        <v>0</v>
      </c>
      <c r="BO29" s="44">
        <f t="shared" si="22"/>
        <v>0</v>
      </c>
      <c r="BP29" s="44">
        <f t="shared" si="23"/>
        <v>0</v>
      </c>
      <c r="BQ29" s="42"/>
    </row>
    <row r="30" spans="1:69" s="45" customFormat="1" ht="105" x14ac:dyDescent="0.25">
      <c r="A30" s="34">
        <v>11300</v>
      </c>
      <c r="B30" s="35" t="str">
        <f>+VLOOKUP(A30,'[1]TAB. REF. PA'!$A$4:$B$14,2,FALSE)</f>
        <v>Dirección de Gestión de Recursos Financieros de Salud</v>
      </c>
      <c r="C30" s="36" t="s">
        <v>160</v>
      </c>
      <c r="D30" s="35" t="s">
        <v>145</v>
      </c>
      <c r="E30" s="36" t="s">
        <v>161</v>
      </c>
      <c r="F30" s="35" t="s">
        <v>162</v>
      </c>
      <c r="G30" s="37" t="s">
        <v>123</v>
      </c>
      <c r="H30" s="46">
        <v>1</v>
      </c>
      <c r="I30" s="36" t="s">
        <v>311</v>
      </c>
      <c r="J30" s="38" t="s">
        <v>177</v>
      </c>
      <c r="K30" s="39">
        <v>20994082000</v>
      </c>
      <c r="L30" s="140">
        <v>4.9135456751127002E-4</v>
      </c>
      <c r="M30" s="41" t="s">
        <v>46</v>
      </c>
      <c r="N30" s="41" t="s">
        <v>68</v>
      </c>
      <c r="O30" s="41" t="s">
        <v>21</v>
      </c>
      <c r="P30" s="41" t="s">
        <v>36</v>
      </c>
      <c r="Q30" s="41" t="s">
        <v>213</v>
      </c>
      <c r="R30" s="42"/>
      <c r="S30" s="41" t="s">
        <v>182</v>
      </c>
      <c r="T30" s="41" t="s">
        <v>99</v>
      </c>
      <c r="U30" s="40">
        <v>1</v>
      </c>
      <c r="V30" s="35" t="str">
        <f>+$J$30</f>
        <v>Otros programas de salud promoción y prevención</v>
      </c>
      <c r="W30" s="39">
        <v>20994082000</v>
      </c>
      <c r="X30" s="34" t="s">
        <v>116</v>
      </c>
      <c r="Y30" s="40">
        <v>0.25</v>
      </c>
      <c r="Z30" s="35" t="str">
        <f>+$J$30</f>
        <v>Otros programas de salud promoción y prevención</v>
      </c>
      <c r="AA30" s="49">
        <v>5248520500</v>
      </c>
      <c r="AB30" s="42"/>
      <c r="AC30" s="42"/>
      <c r="AD30" s="40">
        <f t="shared" si="0"/>
        <v>0</v>
      </c>
      <c r="AE30" s="40">
        <f t="shared" si="1"/>
        <v>0</v>
      </c>
      <c r="AF30" s="40">
        <f t="shared" si="2"/>
        <v>0</v>
      </c>
      <c r="AG30" s="40">
        <f t="shared" si="3"/>
        <v>0</v>
      </c>
      <c r="AH30" s="40">
        <v>0.25</v>
      </c>
      <c r="AI30" s="35" t="str">
        <f>+$J$30</f>
        <v>Otros programas de salud promoción y prevención</v>
      </c>
      <c r="AJ30" s="49">
        <v>5248520500</v>
      </c>
      <c r="AK30" s="42"/>
      <c r="AL30" s="42"/>
      <c r="AM30" s="40">
        <f t="shared" si="4"/>
        <v>0</v>
      </c>
      <c r="AN30" s="40">
        <f t="shared" si="5"/>
        <v>0</v>
      </c>
      <c r="AO30" s="40">
        <f t="shared" si="6"/>
        <v>0</v>
      </c>
      <c r="AP30" s="43">
        <f t="shared" si="7"/>
        <v>0</v>
      </c>
      <c r="AQ30" s="40">
        <v>0.25</v>
      </c>
      <c r="AR30" s="35" t="str">
        <f>+$J$30</f>
        <v>Otros programas de salud promoción y prevención</v>
      </c>
      <c r="AS30" s="49">
        <v>5248520500</v>
      </c>
      <c r="AT30" s="42"/>
      <c r="AU30" s="42"/>
      <c r="AV30" s="40">
        <f t="shared" si="8"/>
        <v>0</v>
      </c>
      <c r="AW30" s="40">
        <f t="shared" si="9"/>
        <v>0</v>
      </c>
      <c r="AX30" s="40">
        <f t="shared" si="10"/>
        <v>0</v>
      </c>
      <c r="AY30" s="40">
        <f t="shared" si="11"/>
        <v>0</v>
      </c>
      <c r="AZ30" s="40">
        <v>0.25</v>
      </c>
      <c r="BA30" s="35" t="str">
        <f>+$J$30</f>
        <v>Otros programas de salud promoción y prevención</v>
      </c>
      <c r="BB30" s="49">
        <v>5248520500</v>
      </c>
      <c r="BC30" s="42"/>
      <c r="BD30" s="42"/>
      <c r="BE30" s="40">
        <f t="shared" si="12"/>
        <v>0</v>
      </c>
      <c r="BF30" s="40">
        <f t="shared" si="13"/>
        <v>0</v>
      </c>
      <c r="BG30" s="40">
        <f t="shared" si="14"/>
        <v>0</v>
      </c>
      <c r="BH30" s="40">
        <f t="shared" si="15"/>
        <v>0</v>
      </c>
      <c r="BI30" s="44">
        <f t="shared" si="16"/>
        <v>0</v>
      </c>
      <c r="BJ30" s="44">
        <f t="shared" si="17"/>
        <v>0</v>
      </c>
      <c r="BK30" s="44">
        <f t="shared" si="18"/>
        <v>0</v>
      </c>
      <c r="BL30" s="44">
        <f t="shared" si="19"/>
        <v>0</v>
      </c>
      <c r="BM30" s="44">
        <f t="shared" si="20"/>
        <v>0</v>
      </c>
      <c r="BN30" s="44">
        <f t="shared" si="21"/>
        <v>0</v>
      </c>
      <c r="BO30" s="44">
        <f t="shared" si="22"/>
        <v>0</v>
      </c>
      <c r="BP30" s="44">
        <f t="shared" si="23"/>
        <v>0</v>
      </c>
      <c r="BQ30" s="42"/>
    </row>
    <row r="31" spans="1:69" s="45" customFormat="1" ht="105" x14ac:dyDescent="0.25">
      <c r="A31" s="34">
        <v>11300</v>
      </c>
      <c r="B31" s="35" t="str">
        <f>+VLOOKUP(A31,'[1]TAB. REF. PA'!$A$4:$B$14,2,FALSE)</f>
        <v>Dirección de Gestión de Recursos Financieros de Salud</v>
      </c>
      <c r="C31" s="36" t="s">
        <v>160</v>
      </c>
      <c r="D31" s="35" t="s">
        <v>145</v>
      </c>
      <c r="E31" s="36" t="s">
        <v>161</v>
      </c>
      <c r="F31" s="35" t="s">
        <v>162</v>
      </c>
      <c r="G31" s="37" t="s">
        <v>123</v>
      </c>
      <c r="H31" s="46">
        <v>1</v>
      </c>
      <c r="I31" s="36" t="s">
        <v>312</v>
      </c>
      <c r="J31" s="38" t="s">
        <v>178</v>
      </c>
      <c r="K31" s="39">
        <v>161564182000</v>
      </c>
      <c r="L31" s="140">
        <v>3.7813179338788E-3</v>
      </c>
      <c r="M31" s="41" t="s">
        <v>46</v>
      </c>
      <c r="N31" s="41" t="s">
        <v>68</v>
      </c>
      <c r="O31" s="41" t="s">
        <v>21</v>
      </c>
      <c r="P31" s="41" t="s">
        <v>36</v>
      </c>
      <c r="Q31" s="41" t="s">
        <v>213</v>
      </c>
      <c r="R31" s="42"/>
      <c r="S31" s="41" t="s">
        <v>182</v>
      </c>
      <c r="T31" s="41" t="s">
        <v>99</v>
      </c>
      <c r="U31" s="40">
        <v>1</v>
      </c>
      <c r="V31" s="35" t="str">
        <f>+$J$31</f>
        <v>Recursos con destinación especifica</v>
      </c>
      <c r="W31" s="39">
        <v>161564182000</v>
      </c>
      <c r="X31" s="34" t="s">
        <v>116</v>
      </c>
      <c r="Y31" s="40">
        <v>0.25</v>
      </c>
      <c r="Z31" s="35" t="str">
        <f>+$J$31</f>
        <v>Recursos con destinación especifica</v>
      </c>
      <c r="AA31" s="49">
        <v>40391045500</v>
      </c>
      <c r="AB31" s="42"/>
      <c r="AC31" s="42"/>
      <c r="AD31" s="40">
        <f t="shared" si="0"/>
        <v>0</v>
      </c>
      <c r="AE31" s="40">
        <f t="shared" si="1"/>
        <v>0</v>
      </c>
      <c r="AF31" s="40">
        <f t="shared" si="2"/>
        <v>0</v>
      </c>
      <c r="AG31" s="40">
        <f t="shared" si="3"/>
        <v>0</v>
      </c>
      <c r="AH31" s="40">
        <v>0.25</v>
      </c>
      <c r="AI31" s="35" t="str">
        <f>+$J$31</f>
        <v>Recursos con destinación especifica</v>
      </c>
      <c r="AJ31" s="49">
        <v>40391045500</v>
      </c>
      <c r="AK31" s="42"/>
      <c r="AL31" s="42"/>
      <c r="AM31" s="40">
        <f t="shared" si="4"/>
        <v>0</v>
      </c>
      <c r="AN31" s="40">
        <f t="shared" si="5"/>
        <v>0</v>
      </c>
      <c r="AO31" s="40">
        <f t="shared" si="6"/>
        <v>0</v>
      </c>
      <c r="AP31" s="43">
        <f t="shared" si="7"/>
        <v>0</v>
      </c>
      <c r="AQ31" s="40">
        <v>0.25</v>
      </c>
      <c r="AR31" s="35" t="str">
        <f>+$J$31</f>
        <v>Recursos con destinación especifica</v>
      </c>
      <c r="AS31" s="49">
        <v>40391045500</v>
      </c>
      <c r="AT31" s="42"/>
      <c r="AU31" s="42"/>
      <c r="AV31" s="40">
        <f t="shared" si="8"/>
        <v>0</v>
      </c>
      <c r="AW31" s="40">
        <f t="shared" si="9"/>
        <v>0</v>
      </c>
      <c r="AX31" s="40">
        <f t="shared" si="10"/>
        <v>0</v>
      </c>
      <c r="AY31" s="40">
        <f t="shared" si="11"/>
        <v>0</v>
      </c>
      <c r="AZ31" s="40">
        <v>0.25</v>
      </c>
      <c r="BA31" s="35" t="str">
        <f>+$J$31</f>
        <v>Recursos con destinación especifica</v>
      </c>
      <c r="BB31" s="49">
        <v>40391045500</v>
      </c>
      <c r="BC31" s="42"/>
      <c r="BD31" s="42"/>
      <c r="BE31" s="40">
        <f t="shared" si="12"/>
        <v>0</v>
      </c>
      <c r="BF31" s="40">
        <f t="shared" si="13"/>
        <v>0</v>
      </c>
      <c r="BG31" s="40">
        <f t="shared" si="14"/>
        <v>0</v>
      </c>
      <c r="BH31" s="40">
        <f t="shared" si="15"/>
        <v>0</v>
      </c>
      <c r="BI31" s="44">
        <f t="shared" si="16"/>
        <v>0</v>
      </c>
      <c r="BJ31" s="44">
        <f t="shared" si="17"/>
        <v>0</v>
      </c>
      <c r="BK31" s="44">
        <f t="shared" si="18"/>
        <v>0</v>
      </c>
      <c r="BL31" s="44">
        <f t="shared" si="19"/>
        <v>0</v>
      </c>
      <c r="BM31" s="44">
        <f t="shared" si="20"/>
        <v>0</v>
      </c>
      <c r="BN31" s="44">
        <f t="shared" si="21"/>
        <v>0</v>
      </c>
      <c r="BO31" s="44">
        <f t="shared" si="22"/>
        <v>0</v>
      </c>
      <c r="BP31" s="44">
        <f t="shared" si="23"/>
        <v>0</v>
      </c>
      <c r="BQ31" s="42"/>
    </row>
    <row r="32" spans="1:69" s="45" customFormat="1" ht="105" x14ac:dyDescent="0.25">
      <c r="A32" s="34">
        <v>11300</v>
      </c>
      <c r="B32" s="35" t="str">
        <f>+VLOOKUP(A32,'[1]TAB. REF. PA'!$A$4:$B$14,2,FALSE)</f>
        <v>Dirección de Gestión de Recursos Financieros de Salud</v>
      </c>
      <c r="C32" s="36" t="s">
        <v>160</v>
      </c>
      <c r="D32" s="35" t="s">
        <v>145</v>
      </c>
      <c r="E32" s="36" t="s">
        <v>161</v>
      </c>
      <c r="F32" s="35" t="s">
        <v>162</v>
      </c>
      <c r="G32" s="37" t="s">
        <v>123</v>
      </c>
      <c r="H32" s="46">
        <v>1</v>
      </c>
      <c r="I32" s="36" t="s">
        <v>313</v>
      </c>
      <c r="J32" s="38" t="s">
        <v>179</v>
      </c>
      <c r="K32" s="39">
        <v>51737471000</v>
      </c>
      <c r="L32" s="140">
        <v>1.2108861291163801E-3</v>
      </c>
      <c r="M32" s="41" t="s">
        <v>46</v>
      </c>
      <c r="N32" s="41" t="s">
        <v>68</v>
      </c>
      <c r="O32" s="41" t="s">
        <v>21</v>
      </c>
      <c r="P32" s="41" t="s">
        <v>36</v>
      </c>
      <c r="Q32" s="41" t="s">
        <v>213</v>
      </c>
      <c r="R32" s="42"/>
      <c r="S32" s="41" t="s">
        <v>182</v>
      </c>
      <c r="T32" s="41" t="s">
        <v>99</v>
      </c>
      <c r="U32" s="40">
        <v>1</v>
      </c>
      <c r="V32" s="35" t="str">
        <f>+$J$32</f>
        <v>FONSAET</v>
      </c>
      <c r="W32" s="39">
        <v>51737471000</v>
      </c>
      <c r="X32" s="34" t="s">
        <v>116</v>
      </c>
      <c r="Y32" s="40">
        <v>0.25</v>
      </c>
      <c r="Z32" s="35" t="str">
        <f>+$J$32</f>
        <v>FONSAET</v>
      </c>
      <c r="AA32" s="49">
        <v>12934367750</v>
      </c>
      <c r="AB32" s="42"/>
      <c r="AC32" s="42"/>
      <c r="AD32" s="40">
        <f t="shared" si="0"/>
        <v>0</v>
      </c>
      <c r="AE32" s="40">
        <f t="shared" si="1"/>
        <v>0</v>
      </c>
      <c r="AF32" s="40">
        <f t="shared" si="2"/>
        <v>0</v>
      </c>
      <c r="AG32" s="40">
        <f t="shared" si="3"/>
        <v>0</v>
      </c>
      <c r="AH32" s="40">
        <v>0.25</v>
      </c>
      <c r="AI32" s="35" t="str">
        <f>+$J$32</f>
        <v>FONSAET</v>
      </c>
      <c r="AJ32" s="49">
        <v>12934367750</v>
      </c>
      <c r="AK32" s="42"/>
      <c r="AL32" s="42"/>
      <c r="AM32" s="40">
        <f t="shared" si="4"/>
        <v>0</v>
      </c>
      <c r="AN32" s="40">
        <f t="shared" si="5"/>
        <v>0</v>
      </c>
      <c r="AO32" s="40">
        <f t="shared" si="6"/>
        <v>0</v>
      </c>
      <c r="AP32" s="43">
        <f t="shared" si="7"/>
        <v>0</v>
      </c>
      <c r="AQ32" s="40">
        <v>0.25</v>
      </c>
      <c r="AR32" s="35" t="str">
        <f>+$J$32</f>
        <v>FONSAET</v>
      </c>
      <c r="AS32" s="49">
        <v>12934367750</v>
      </c>
      <c r="AT32" s="42"/>
      <c r="AU32" s="42"/>
      <c r="AV32" s="40">
        <f t="shared" si="8"/>
        <v>0</v>
      </c>
      <c r="AW32" s="40">
        <f t="shared" si="9"/>
        <v>0</v>
      </c>
      <c r="AX32" s="40">
        <f t="shared" si="10"/>
        <v>0</v>
      </c>
      <c r="AY32" s="40">
        <f t="shared" si="11"/>
        <v>0</v>
      </c>
      <c r="AZ32" s="40">
        <v>0.25</v>
      </c>
      <c r="BA32" s="35" t="str">
        <f>+$J$32</f>
        <v>FONSAET</v>
      </c>
      <c r="BB32" s="49">
        <v>12934367750</v>
      </c>
      <c r="BC32" s="42"/>
      <c r="BD32" s="42"/>
      <c r="BE32" s="40">
        <f t="shared" si="12"/>
        <v>0</v>
      </c>
      <c r="BF32" s="40">
        <f t="shared" si="13"/>
        <v>0</v>
      </c>
      <c r="BG32" s="40">
        <f t="shared" si="14"/>
        <v>0</v>
      </c>
      <c r="BH32" s="40">
        <f t="shared" si="15"/>
        <v>0</v>
      </c>
      <c r="BI32" s="44">
        <f t="shared" si="16"/>
        <v>0</v>
      </c>
      <c r="BJ32" s="44">
        <f t="shared" si="17"/>
        <v>0</v>
      </c>
      <c r="BK32" s="44">
        <f t="shared" si="18"/>
        <v>0</v>
      </c>
      <c r="BL32" s="44">
        <f t="shared" si="19"/>
        <v>0</v>
      </c>
      <c r="BM32" s="44">
        <f t="shared" si="20"/>
        <v>0</v>
      </c>
      <c r="BN32" s="44">
        <f t="shared" si="21"/>
        <v>0</v>
      </c>
      <c r="BO32" s="44">
        <f t="shared" si="22"/>
        <v>0</v>
      </c>
      <c r="BP32" s="44">
        <f t="shared" si="23"/>
        <v>0</v>
      </c>
      <c r="BQ32" s="42"/>
    </row>
    <row r="33" spans="1:69" s="45" customFormat="1" ht="105" x14ac:dyDescent="0.25">
      <c r="A33" s="34">
        <v>11300</v>
      </c>
      <c r="B33" s="35" t="str">
        <f>+VLOOKUP(A33,'[1]TAB. REF. PA'!$A$4:$B$14,2,FALSE)</f>
        <v>Dirección de Gestión de Recursos Financieros de Salud</v>
      </c>
      <c r="C33" s="36" t="s">
        <v>160</v>
      </c>
      <c r="D33" s="35" t="s">
        <v>145</v>
      </c>
      <c r="E33" s="36" t="s">
        <v>161</v>
      </c>
      <c r="F33" s="35" t="s">
        <v>162</v>
      </c>
      <c r="G33" s="37" t="s">
        <v>123</v>
      </c>
      <c r="H33" s="46">
        <v>1</v>
      </c>
      <c r="I33" s="36" t="s">
        <v>314</v>
      </c>
      <c r="J33" s="38" t="s">
        <v>180</v>
      </c>
      <c r="K33" s="39">
        <v>4936416000</v>
      </c>
      <c r="L33" s="140">
        <v>1.1553401328696884E-4</v>
      </c>
      <c r="M33" s="41" t="s">
        <v>46</v>
      </c>
      <c r="N33" s="41" t="s">
        <v>68</v>
      </c>
      <c r="O33" s="41" t="s">
        <v>21</v>
      </c>
      <c r="P33" s="41" t="s">
        <v>36</v>
      </c>
      <c r="Q33" s="41" t="s">
        <v>213</v>
      </c>
      <c r="R33" s="42"/>
      <c r="S33" s="41" t="s">
        <v>182</v>
      </c>
      <c r="T33" s="41" t="s">
        <v>99</v>
      </c>
      <c r="U33" s="40">
        <v>1</v>
      </c>
      <c r="V33" s="35" t="str">
        <f>+$J$33</f>
        <v>Rendimientos Financieros cuentas de recaudo EPS - SSF</v>
      </c>
      <c r="W33" s="39">
        <v>4936416000</v>
      </c>
      <c r="X33" s="34" t="s">
        <v>116</v>
      </c>
      <c r="Y33" s="40">
        <v>0.25</v>
      </c>
      <c r="Z33" s="35" t="str">
        <f>+$J$33</f>
        <v>Rendimientos Financieros cuentas de recaudo EPS - SSF</v>
      </c>
      <c r="AA33" s="49">
        <v>1234104000</v>
      </c>
      <c r="AB33" s="42"/>
      <c r="AC33" s="42"/>
      <c r="AD33" s="40">
        <f t="shared" si="0"/>
        <v>0</v>
      </c>
      <c r="AE33" s="40">
        <f t="shared" si="1"/>
        <v>0</v>
      </c>
      <c r="AF33" s="40">
        <f t="shared" si="2"/>
        <v>0</v>
      </c>
      <c r="AG33" s="40">
        <f t="shared" si="3"/>
        <v>0</v>
      </c>
      <c r="AH33" s="40">
        <v>0.25</v>
      </c>
      <c r="AI33" s="35" t="str">
        <f>+$J$33</f>
        <v>Rendimientos Financieros cuentas de recaudo EPS - SSF</v>
      </c>
      <c r="AJ33" s="49">
        <v>1234104000</v>
      </c>
      <c r="AK33" s="42"/>
      <c r="AL33" s="42"/>
      <c r="AM33" s="40">
        <f t="shared" si="4"/>
        <v>0</v>
      </c>
      <c r="AN33" s="40">
        <f t="shared" si="5"/>
        <v>0</v>
      </c>
      <c r="AO33" s="40">
        <f t="shared" si="6"/>
        <v>0</v>
      </c>
      <c r="AP33" s="43">
        <f t="shared" si="7"/>
        <v>0</v>
      </c>
      <c r="AQ33" s="40">
        <v>0.25</v>
      </c>
      <c r="AR33" s="35" t="str">
        <f>+$J$33</f>
        <v>Rendimientos Financieros cuentas de recaudo EPS - SSF</v>
      </c>
      <c r="AS33" s="49">
        <v>1234104000</v>
      </c>
      <c r="AT33" s="42"/>
      <c r="AU33" s="42"/>
      <c r="AV33" s="40">
        <f t="shared" si="8"/>
        <v>0</v>
      </c>
      <c r="AW33" s="40">
        <f t="shared" si="9"/>
        <v>0</v>
      </c>
      <c r="AX33" s="40">
        <f t="shared" si="10"/>
        <v>0</v>
      </c>
      <c r="AY33" s="40">
        <f t="shared" si="11"/>
        <v>0</v>
      </c>
      <c r="AZ33" s="40">
        <v>0.25</v>
      </c>
      <c r="BA33" s="35" t="str">
        <f>+$J$33</f>
        <v>Rendimientos Financieros cuentas de recaudo EPS - SSF</v>
      </c>
      <c r="BB33" s="49">
        <v>1234104000</v>
      </c>
      <c r="BC33" s="42"/>
      <c r="BD33" s="42"/>
      <c r="BE33" s="40">
        <f t="shared" si="12"/>
        <v>0</v>
      </c>
      <c r="BF33" s="40">
        <f t="shared" si="13"/>
        <v>0</v>
      </c>
      <c r="BG33" s="40">
        <f t="shared" si="14"/>
        <v>0</v>
      </c>
      <c r="BH33" s="40">
        <f t="shared" si="15"/>
        <v>0</v>
      </c>
      <c r="BI33" s="44">
        <f t="shared" si="16"/>
        <v>0</v>
      </c>
      <c r="BJ33" s="44">
        <f t="shared" si="17"/>
        <v>0</v>
      </c>
      <c r="BK33" s="44">
        <f t="shared" si="18"/>
        <v>0</v>
      </c>
      <c r="BL33" s="44">
        <f t="shared" si="19"/>
        <v>0</v>
      </c>
      <c r="BM33" s="44">
        <f t="shared" si="20"/>
        <v>0</v>
      </c>
      <c r="BN33" s="44">
        <f t="shared" si="21"/>
        <v>0</v>
      </c>
      <c r="BO33" s="44">
        <f t="shared" si="22"/>
        <v>0</v>
      </c>
      <c r="BP33" s="44">
        <f t="shared" si="23"/>
        <v>0</v>
      </c>
      <c r="BQ33" s="42"/>
    </row>
    <row r="34" spans="1:69" s="45" customFormat="1" ht="105" x14ac:dyDescent="0.25">
      <c r="A34" s="34">
        <v>11300</v>
      </c>
      <c r="B34" s="35" t="str">
        <f>+VLOOKUP(A34,'[1]TAB. REF. PA'!$A$4:$B$14,2,FALSE)</f>
        <v>Dirección de Gestión de Recursos Financieros de Salud</v>
      </c>
      <c r="C34" s="36" t="s">
        <v>160</v>
      </c>
      <c r="D34" s="35" t="s">
        <v>145</v>
      </c>
      <c r="E34" s="36" t="s">
        <v>161</v>
      </c>
      <c r="F34" s="35" t="s">
        <v>162</v>
      </c>
      <c r="G34" s="37" t="s">
        <v>123</v>
      </c>
      <c r="H34" s="46">
        <v>1</v>
      </c>
      <c r="I34" s="36" t="s">
        <v>315</v>
      </c>
      <c r="J34" s="38" t="s">
        <v>181</v>
      </c>
      <c r="K34" s="39">
        <v>50000000000</v>
      </c>
      <c r="L34" s="140">
        <v>1.1702216070016065E-3</v>
      </c>
      <c r="M34" s="41" t="s">
        <v>46</v>
      </c>
      <c r="N34" s="41" t="s">
        <v>68</v>
      </c>
      <c r="O34" s="41" t="s">
        <v>21</v>
      </c>
      <c r="P34" s="41" t="s">
        <v>36</v>
      </c>
      <c r="Q34" s="41" t="s">
        <v>213</v>
      </c>
      <c r="R34" s="42"/>
      <c r="S34" s="41" t="s">
        <v>182</v>
      </c>
      <c r="T34" s="41" t="s">
        <v>99</v>
      </c>
      <c r="U34" s="40">
        <v>1</v>
      </c>
      <c r="V34" s="35" t="str">
        <f>+$J$34</f>
        <v>Fortalecimientos Patrimonial a las Entidades del Sector salud</v>
      </c>
      <c r="W34" s="39">
        <v>50000000000</v>
      </c>
      <c r="X34" s="34" t="s">
        <v>116</v>
      </c>
      <c r="Y34" s="40">
        <v>0.25</v>
      </c>
      <c r="Z34" s="35" t="str">
        <f>+$J$34</f>
        <v>Fortalecimientos Patrimonial a las Entidades del Sector salud</v>
      </c>
      <c r="AA34" s="49">
        <v>12500000000</v>
      </c>
      <c r="AB34" s="42"/>
      <c r="AC34" s="42"/>
      <c r="AD34" s="40">
        <f t="shared" si="0"/>
        <v>0</v>
      </c>
      <c r="AE34" s="40">
        <f t="shared" si="1"/>
        <v>0</v>
      </c>
      <c r="AF34" s="40">
        <f t="shared" si="2"/>
        <v>0</v>
      </c>
      <c r="AG34" s="40">
        <f t="shared" si="3"/>
        <v>0</v>
      </c>
      <c r="AH34" s="40">
        <v>0.25</v>
      </c>
      <c r="AI34" s="35" t="str">
        <f>+$J$34</f>
        <v>Fortalecimientos Patrimonial a las Entidades del Sector salud</v>
      </c>
      <c r="AJ34" s="49">
        <v>12500000000</v>
      </c>
      <c r="AK34" s="42"/>
      <c r="AL34" s="42"/>
      <c r="AM34" s="40">
        <f t="shared" si="4"/>
        <v>0</v>
      </c>
      <c r="AN34" s="40">
        <f t="shared" si="5"/>
        <v>0</v>
      </c>
      <c r="AO34" s="40">
        <f t="shared" si="6"/>
        <v>0</v>
      </c>
      <c r="AP34" s="43">
        <f t="shared" si="7"/>
        <v>0</v>
      </c>
      <c r="AQ34" s="40">
        <v>0.25</v>
      </c>
      <c r="AR34" s="35" t="str">
        <f>+$J$34</f>
        <v>Fortalecimientos Patrimonial a las Entidades del Sector salud</v>
      </c>
      <c r="AS34" s="49">
        <v>12500000000</v>
      </c>
      <c r="AT34" s="42"/>
      <c r="AU34" s="42"/>
      <c r="AV34" s="40">
        <f t="shared" si="8"/>
        <v>0</v>
      </c>
      <c r="AW34" s="40">
        <f t="shared" si="9"/>
        <v>0</v>
      </c>
      <c r="AX34" s="40">
        <f t="shared" si="10"/>
        <v>0</v>
      </c>
      <c r="AY34" s="40">
        <f t="shared" si="11"/>
        <v>0</v>
      </c>
      <c r="AZ34" s="40">
        <v>0.25</v>
      </c>
      <c r="BA34" s="35" t="str">
        <f>+$J$34</f>
        <v>Fortalecimientos Patrimonial a las Entidades del Sector salud</v>
      </c>
      <c r="BB34" s="49">
        <v>12500000000</v>
      </c>
      <c r="BC34" s="42"/>
      <c r="BD34" s="42"/>
      <c r="BE34" s="40">
        <f t="shared" si="12"/>
        <v>0</v>
      </c>
      <c r="BF34" s="40">
        <f t="shared" si="13"/>
        <v>0</v>
      </c>
      <c r="BG34" s="40">
        <f t="shared" si="14"/>
        <v>0</v>
      </c>
      <c r="BH34" s="40">
        <f t="shared" si="15"/>
        <v>0</v>
      </c>
      <c r="BI34" s="44">
        <f t="shared" si="16"/>
        <v>0</v>
      </c>
      <c r="BJ34" s="44">
        <f t="shared" si="17"/>
        <v>0</v>
      </c>
      <c r="BK34" s="44">
        <f t="shared" si="18"/>
        <v>0</v>
      </c>
      <c r="BL34" s="44">
        <f t="shared" si="19"/>
        <v>0</v>
      </c>
      <c r="BM34" s="44">
        <f t="shared" si="20"/>
        <v>0</v>
      </c>
      <c r="BN34" s="44">
        <f t="shared" si="21"/>
        <v>0</v>
      </c>
      <c r="BO34" s="44">
        <f t="shared" si="22"/>
        <v>0</v>
      </c>
      <c r="BP34" s="44">
        <f t="shared" si="23"/>
        <v>0</v>
      </c>
      <c r="BQ34" s="42"/>
    </row>
    <row r="35" spans="1:69" s="45" customFormat="1" ht="105" x14ac:dyDescent="0.25">
      <c r="A35" s="34">
        <v>11300</v>
      </c>
      <c r="B35" s="35" t="str">
        <f>+VLOOKUP(A35,'[1]TAB. REF. PA'!$A$4:$B$14,2,FALSE)</f>
        <v>Dirección de Gestión de Recursos Financieros de Salud</v>
      </c>
      <c r="C35" s="36" t="s">
        <v>160</v>
      </c>
      <c r="D35" s="35" t="s">
        <v>145</v>
      </c>
      <c r="E35" s="36" t="s">
        <v>578</v>
      </c>
      <c r="F35" s="35" t="s">
        <v>574</v>
      </c>
      <c r="G35" s="37" t="s">
        <v>124</v>
      </c>
      <c r="H35" s="34">
        <v>12</v>
      </c>
      <c r="I35" s="36" t="s">
        <v>579</v>
      </c>
      <c r="J35" s="35" t="s">
        <v>245</v>
      </c>
      <c r="K35" s="39">
        <v>53187356</v>
      </c>
      <c r="L35" s="40">
        <v>1</v>
      </c>
      <c r="M35" s="41" t="s">
        <v>46</v>
      </c>
      <c r="N35" s="41" t="s">
        <v>68</v>
      </c>
      <c r="O35" s="41" t="s">
        <v>21</v>
      </c>
      <c r="P35" s="41" t="s">
        <v>36</v>
      </c>
      <c r="Q35" s="41" t="s">
        <v>213</v>
      </c>
      <c r="R35" s="42"/>
      <c r="S35" s="41" t="s">
        <v>626</v>
      </c>
      <c r="T35" s="41" t="s">
        <v>99</v>
      </c>
      <c r="U35" s="39">
        <v>12</v>
      </c>
      <c r="V35" s="35" t="str">
        <f>+$J$35</f>
        <v>Realizar Informes de Ejecución Presupuestal</v>
      </c>
      <c r="W35" s="39">
        <v>53187356</v>
      </c>
      <c r="X35" s="34" t="s">
        <v>117</v>
      </c>
      <c r="Y35" s="39">
        <v>3</v>
      </c>
      <c r="Z35" s="35" t="str">
        <f>+$J$35</f>
        <v>Realizar Informes de Ejecución Presupuestal</v>
      </c>
      <c r="AA35" s="49">
        <v>12240000</v>
      </c>
      <c r="AB35" s="40"/>
      <c r="AC35" s="49"/>
      <c r="AD35" s="40">
        <f t="shared" si="0"/>
        <v>0</v>
      </c>
      <c r="AE35" s="40">
        <f t="shared" si="1"/>
        <v>0</v>
      </c>
      <c r="AF35" s="40">
        <f t="shared" si="2"/>
        <v>0</v>
      </c>
      <c r="AG35" s="40">
        <f t="shared" si="3"/>
        <v>0</v>
      </c>
      <c r="AH35" s="39">
        <v>3</v>
      </c>
      <c r="AI35" s="35" t="str">
        <f>+$J$35</f>
        <v>Realizar Informes de Ejecución Presupuestal</v>
      </c>
      <c r="AJ35" s="49">
        <v>12240000</v>
      </c>
      <c r="AK35" s="42"/>
      <c r="AL35" s="42"/>
      <c r="AM35" s="40">
        <f t="shared" si="4"/>
        <v>0</v>
      </c>
      <c r="AN35" s="40">
        <f t="shared" si="5"/>
        <v>0</v>
      </c>
      <c r="AO35" s="40">
        <f t="shared" si="6"/>
        <v>0</v>
      </c>
      <c r="AP35" s="43">
        <f t="shared" si="7"/>
        <v>0</v>
      </c>
      <c r="AQ35" s="39">
        <v>3</v>
      </c>
      <c r="AR35" s="35" t="str">
        <f>+$J$35</f>
        <v>Realizar Informes de Ejecución Presupuestal</v>
      </c>
      <c r="AS35" s="49">
        <v>13296839</v>
      </c>
      <c r="AT35" s="42"/>
      <c r="AU35" s="42"/>
      <c r="AV35" s="40">
        <f t="shared" si="8"/>
        <v>0</v>
      </c>
      <c r="AW35" s="40">
        <f t="shared" si="9"/>
        <v>0</v>
      </c>
      <c r="AX35" s="40">
        <f t="shared" si="10"/>
        <v>0</v>
      </c>
      <c r="AY35" s="40">
        <f t="shared" si="11"/>
        <v>0</v>
      </c>
      <c r="AZ35" s="39">
        <v>3</v>
      </c>
      <c r="BA35" s="35" t="str">
        <f>+$J$35</f>
        <v>Realizar Informes de Ejecución Presupuestal</v>
      </c>
      <c r="BB35" s="49">
        <v>15410517</v>
      </c>
      <c r="BC35" s="42"/>
      <c r="BD35" s="42"/>
      <c r="BE35" s="40">
        <f t="shared" si="12"/>
        <v>0</v>
      </c>
      <c r="BF35" s="40">
        <f t="shared" si="13"/>
        <v>0</v>
      </c>
      <c r="BG35" s="40">
        <f t="shared" si="14"/>
        <v>0</v>
      </c>
      <c r="BH35" s="40">
        <f t="shared" si="15"/>
        <v>0</v>
      </c>
      <c r="BI35" s="44">
        <f t="shared" si="16"/>
        <v>0</v>
      </c>
      <c r="BJ35" s="44">
        <f t="shared" si="17"/>
        <v>0</v>
      </c>
      <c r="BK35" s="44">
        <f t="shared" si="18"/>
        <v>0</v>
      </c>
      <c r="BL35" s="44">
        <f t="shared" si="19"/>
        <v>0</v>
      </c>
      <c r="BM35" s="44">
        <f t="shared" si="20"/>
        <v>0</v>
      </c>
      <c r="BN35" s="44">
        <f t="shared" si="21"/>
        <v>0</v>
      </c>
      <c r="BO35" s="44">
        <f t="shared" si="22"/>
        <v>0</v>
      </c>
      <c r="BP35" s="44">
        <f t="shared" si="23"/>
        <v>0</v>
      </c>
      <c r="BQ35" s="42"/>
    </row>
    <row r="36" spans="1:69" s="45" customFormat="1" ht="105" x14ac:dyDescent="0.25">
      <c r="A36" s="34">
        <v>11300</v>
      </c>
      <c r="B36" s="35" t="str">
        <f>+VLOOKUP(A36,'[1]TAB. REF. PA'!$A$4:$B$14,2,FALSE)</f>
        <v>Dirección de Gestión de Recursos Financieros de Salud</v>
      </c>
      <c r="C36" s="36" t="s">
        <v>160</v>
      </c>
      <c r="D36" s="35" t="s">
        <v>145</v>
      </c>
      <c r="E36" s="36" t="s">
        <v>580</v>
      </c>
      <c r="F36" s="35" t="s">
        <v>246</v>
      </c>
      <c r="G36" s="37" t="s">
        <v>123</v>
      </c>
      <c r="H36" s="47">
        <v>1</v>
      </c>
      <c r="I36" s="36" t="s">
        <v>581</v>
      </c>
      <c r="J36" s="35" t="s">
        <v>247</v>
      </c>
      <c r="K36" s="39">
        <v>243106560</v>
      </c>
      <c r="L36" s="40">
        <v>0.5</v>
      </c>
      <c r="M36" s="41" t="s">
        <v>46</v>
      </c>
      <c r="N36" s="41" t="s">
        <v>68</v>
      </c>
      <c r="O36" s="41" t="s">
        <v>21</v>
      </c>
      <c r="P36" s="41" t="s">
        <v>36</v>
      </c>
      <c r="Q36" s="41" t="s">
        <v>214</v>
      </c>
      <c r="R36" s="42"/>
      <c r="S36" s="41" t="s">
        <v>594</v>
      </c>
      <c r="T36" s="41" t="s">
        <v>99</v>
      </c>
      <c r="U36" s="40">
        <v>1</v>
      </c>
      <c r="V36" s="35" t="str">
        <f>+$J$36</f>
        <v>Seguimiento e identificación del Recaudo</v>
      </c>
      <c r="W36" s="39">
        <v>243106560</v>
      </c>
      <c r="X36" s="34" t="s">
        <v>117</v>
      </c>
      <c r="Y36" s="40">
        <v>0.25</v>
      </c>
      <c r="Z36" s="35" t="str">
        <f>+$J$36</f>
        <v>Seguimiento e identificación del Recaudo</v>
      </c>
      <c r="AA36" s="49">
        <v>60776640</v>
      </c>
      <c r="AB36" s="42"/>
      <c r="AC36" s="42"/>
      <c r="AD36" s="40">
        <f t="shared" si="0"/>
        <v>0</v>
      </c>
      <c r="AE36" s="40">
        <f t="shared" si="1"/>
        <v>0</v>
      </c>
      <c r="AF36" s="40">
        <f t="shared" si="2"/>
        <v>0</v>
      </c>
      <c r="AG36" s="40">
        <f t="shared" si="3"/>
        <v>0</v>
      </c>
      <c r="AH36" s="40">
        <v>0.25</v>
      </c>
      <c r="AI36" s="35" t="str">
        <f>+$J$36</f>
        <v>Seguimiento e identificación del Recaudo</v>
      </c>
      <c r="AJ36" s="49">
        <v>60776640</v>
      </c>
      <c r="AK36" s="42"/>
      <c r="AL36" s="42"/>
      <c r="AM36" s="40">
        <f t="shared" si="4"/>
        <v>0</v>
      </c>
      <c r="AN36" s="40">
        <f t="shared" si="5"/>
        <v>0</v>
      </c>
      <c r="AO36" s="40">
        <f t="shared" si="6"/>
        <v>0</v>
      </c>
      <c r="AP36" s="43">
        <f t="shared" si="7"/>
        <v>0</v>
      </c>
      <c r="AQ36" s="40">
        <v>0.25</v>
      </c>
      <c r="AR36" s="35" t="str">
        <f>+$J$36</f>
        <v>Seguimiento e identificación del Recaudo</v>
      </c>
      <c r="AS36" s="49">
        <v>60776640</v>
      </c>
      <c r="AT36" s="42"/>
      <c r="AU36" s="42"/>
      <c r="AV36" s="40">
        <f t="shared" si="8"/>
        <v>0</v>
      </c>
      <c r="AW36" s="40">
        <f t="shared" si="9"/>
        <v>0</v>
      </c>
      <c r="AX36" s="40">
        <f t="shared" si="10"/>
        <v>0</v>
      </c>
      <c r="AY36" s="40">
        <f t="shared" si="11"/>
        <v>0</v>
      </c>
      <c r="AZ36" s="40">
        <v>0.25</v>
      </c>
      <c r="BA36" s="35" t="str">
        <f>+$J$36</f>
        <v>Seguimiento e identificación del Recaudo</v>
      </c>
      <c r="BB36" s="49">
        <v>60776640</v>
      </c>
      <c r="BC36" s="42"/>
      <c r="BD36" s="42"/>
      <c r="BE36" s="40">
        <f t="shared" si="12"/>
        <v>0</v>
      </c>
      <c r="BF36" s="40">
        <f t="shared" si="13"/>
        <v>0</v>
      </c>
      <c r="BG36" s="40">
        <f t="shared" si="14"/>
        <v>0</v>
      </c>
      <c r="BH36" s="40">
        <f t="shared" si="15"/>
        <v>0</v>
      </c>
      <c r="BI36" s="44">
        <f t="shared" si="16"/>
        <v>0</v>
      </c>
      <c r="BJ36" s="44">
        <f t="shared" si="17"/>
        <v>0</v>
      </c>
      <c r="BK36" s="44">
        <f t="shared" si="18"/>
        <v>0</v>
      </c>
      <c r="BL36" s="44">
        <f t="shared" si="19"/>
        <v>0</v>
      </c>
      <c r="BM36" s="44">
        <f t="shared" si="20"/>
        <v>0</v>
      </c>
      <c r="BN36" s="44">
        <f t="shared" si="21"/>
        <v>0</v>
      </c>
      <c r="BO36" s="44">
        <f t="shared" si="22"/>
        <v>0</v>
      </c>
      <c r="BP36" s="44">
        <f t="shared" si="23"/>
        <v>0</v>
      </c>
      <c r="BQ36" s="42"/>
    </row>
    <row r="37" spans="1:69" s="45" customFormat="1" ht="105" x14ac:dyDescent="0.25">
      <c r="A37" s="34">
        <v>11300</v>
      </c>
      <c r="B37" s="35" t="str">
        <f>+VLOOKUP(A37,'[1]TAB. REF. PA'!$A$4:$B$14,2,FALSE)</f>
        <v>Dirección de Gestión de Recursos Financieros de Salud</v>
      </c>
      <c r="C37" s="36" t="s">
        <v>160</v>
      </c>
      <c r="D37" s="35" t="s">
        <v>145</v>
      </c>
      <c r="E37" s="36" t="s">
        <v>580</v>
      </c>
      <c r="F37" s="35" t="s">
        <v>246</v>
      </c>
      <c r="G37" s="37" t="s">
        <v>123</v>
      </c>
      <c r="H37" s="47">
        <v>1</v>
      </c>
      <c r="I37" s="36" t="s">
        <v>582</v>
      </c>
      <c r="J37" s="35" t="s">
        <v>575</v>
      </c>
      <c r="K37" s="39">
        <v>0</v>
      </c>
      <c r="L37" s="39">
        <v>12</v>
      </c>
      <c r="M37" s="41" t="s">
        <v>46</v>
      </c>
      <c r="N37" s="41" t="s">
        <v>68</v>
      </c>
      <c r="O37" s="41" t="s">
        <v>21</v>
      </c>
      <c r="P37" s="41" t="s">
        <v>36</v>
      </c>
      <c r="Q37" s="41" t="s">
        <v>214</v>
      </c>
      <c r="R37" s="42"/>
      <c r="S37" s="41"/>
      <c r="T37" s="41" t="s">
        <v>99</v>
      </c>
      <c r="U37" s="39">
        <v>12</v>
      </c>
      <c r="V37" s="35" t="str">
        <f>+$J$37</f>
        <v>Informe Mensual de Recaudo Efectivo</v>
      </c>
      <c r="W37" s="39">
        <v>0</v>
      </c>
      <c r="X37" s="34" t="s">
        <v>117</v>
      </c>
      <c r="Y37" s="39">
        <v>3</v>
      </c>
      <c r="Z37" s="35" t="str">
        <f>+$J$37</f>
        <v>Informe Mensual de Recaudo Efectivo</v>
      </c>
      <c r="AA37" s="49">
        <v>0</v>
      </c>
      <c r="AB37" s="42"/>
      <c r="AC37" s="42"/>
      <c r="AD37" s="40">
        <f t="shared" si="0"/>
        <v>0</v>
      </c>
      <c r="AE37" s="40" t="e">
        <f t="shared" si="1"/>
        <v>#DIV/0!</v>
      </c>
      <c r="AF37" s="40">
        <f t="shared" si="2"/>
        <v>0</v>
      </c>
      <c r="AG37" s="40" t="e">
        <f t="shared" si="3"/>
        <v>#DIV/0!</v>
      </c>
      <c r="AH37" s="39">
        <v>3</v>
      </c>
      <c r="AI37" s="35" t="str">
        <f>+$J$37</f>
        <v>Informe Mensual de Recaudo Efectivo</v>
      </c>
      <c r="AJ37" s="49">
        <v>0</v>
      </c>
      <c r="AK37" s="42"/>
      <c r="AL37" s="42"/>
      <c r="AM37" s="40">
        <f t="shared" si="4"/>
        <v>0</v>
      </c>
      <c r="AN37" s="40" t="e">
        <f t="shared" si="5"/>
        <v>#DIV/0!</v>
      </c>
      <c r="AO37" s="40">
        <f t="shared" si="6"/>
        <v>0</v>
      </c>
      <c r="AP37" s="43" t="e">
        <f t="shared" si="7"/>
        <v>#DIV/0!</v>
      </c>
      <c r="AQ37" s="39">
        <v>3</v>
      </c>
      <c r="AR37" s="35" t="str">
        <f>+$J$37</f>
        <v>Informe Mensual de Recaudo Efectivo</v>
      </c>
      <c r="AS37" s="49">
        <v>0</v>
      </c>
      <c r="AT37" s="42"/>
      <c r="AU37" s="42"/>
      <c r="AV37" s="40">
        <f t="shared" si="8"/>
        <v>0</v>
      </c>
      <c r="AW37" s="40" t="e">
        <f t="shared" si="9"/>
        <v>#DIV/0!</v>
      </c>
      <c r="AX37" s="40">
        <f t="shared" si="10"/>
        <v>0</v>
      </c>
      <c r="AY37" s="40" t="e">
        <f t="shared" si="11"/>
        <v>#DIV/0!</v>
      </c>
      <c r="AZ37" s="39">
        <v>3</v>
      </c>
      <c r="BA37" s="35" t="str">
        <f>+$J$37</f>
        <v>Informe Mensual de Recaudo Efectivo</v>
      </c>
      <c r="BB37" s="49">
        <v>0</v>
      </c>
      <c r="BC37" s="42"/>
      <c r="BD37" s="42"/>
      <c r="BE37" s="40">
        <f t="shared" si="12"/>
        <v>0</v>
      </c>
      <c r="BF37" s="40" t="e">
        <f t="shared" si="13"/>
        <v>#DIV/0!</v>
      </c>
      <c r="BG37" s="40">
        <f t="shared" si="14"/>
        <v>0</v>
      </c>
      <c r="BH37" s="40" t="e">
        <f t="shared" si="15"/>
        <v>#DIV/0!</v>
      </c>
      <c r="BI37" s="44">
        <f t="shared" si="16"/>
        <v>0</v>
      </c>
      <c r="BJ37" s="44" t="str">
        <f t="shared" si="17"/>
        <v>No Prog ni Ejec</v>
      </c>
      <c r="BK37" s="44">
        <f t="shared" si="18"/>
        <v>0</v>
      </c>
      <c r="BL37" s="44" t="str">
        <f t="shared" si="19"/>
        <v>No Prog ni Ejec</v>
      </c>
      <c r="BM37" s="44">
        <f t="shared" si="20"/>
        <v>0</v>
      </c>
      <c r="BN37" s="44" t="str">
        <f t="shared" si="21"/>
        <v>No Prog ni Ejec</v>
      </c>
      <c r="BO37" s="44">
        <f t="shared" si="22"/>
        <v>0</v>
      </c>
      <c r="BP37" s="44" t="str">
        <f t="shared" si="23"/>
        <v>No Prog ni Ejec</v>
      </c>
      <c r="BQ37" s="42"/>
    </row>
    <row r="38" spans="1:69" s="45" customFormat="1" ht="120" x14ac:dyDescent="0.25">
      <c r="A38" s="34">
        <v>11300</v>
      </c>
      <c r="B38" s="35" t="str">
        <f>+VLOOKUP(A38,'[1]TAB. REF. PA'!$A$4:$B$14,2,FALSE)</f>
        <v>Dirección de Gestión de Recursos Financieros de Salud</v>
      </c>
      <c r="C38" s="36" t="s">
        <v>160</v>
      </c>
      <c r="D38" s="35" t="s">
        <v>145</v>
      </c>
      <c r="E38" s="36" t="s">
        <v>580</v>
      </c>
      <c r="F38" s="35" t="s">
        <v>246</v>
      </c>
      <c r="G38" s="37" t="s">
        <v>123</v>
      </c>
      <c r="H38" s="47">
        <v>1</v>
      </c>
      <c r="I38" s="36" t="s">
        <v>583</v>
      </c>
      <c r="J38" s="35" t="s">
        <v>248</v>
      </c>
      <c r="K38" s="39">
        <v>0</v>
      </c>
      <c r="L38" s="40">
        <v>0.5</v>
      </c>
      <c r="M38" s="41" t="s">
        <v>46</v>
      </c>
      <c r="N38" s="41" t="s">
        <v>68</v>
      </c>
      <c r="O38" s="41" t="s">
        <v>21</v>
      </c>
      <c r="P38" s="41" t="s">
        <v>36</v>
      </c>
      <c r="Q38" s="41" t="s">
        <v>214</v>
      </c>
      <c r="R38" s="42"/>
      <c r="S38" s="41" t="s">
        <v>249</v>
      </c>
      <c r="T38" s="41" t="s">
        <v>99</v>
      </c>
      <c r="U38" s="40">
        <v>1</v>
      </c>
      <c r="V38" s="35" t="str">
        <f>+$J$38</f>
        <v>Seguimiento a Partidas Sin Identificar</v>
      </c>
      <c r="W38" s="39">
        <v>0</v>
      </c>
      <c r="X38" s="34" t="s">
        <v>117</v>
      </c>
      <c r="Y38" s="40">
        <v>0.25</v>
      </c>
      <c r="Z38" s="35" t="str">
        <f>+$J$38</f>
        <v>Seguimiento a Partidas Sin Identificar</v>
      </c>
      <c r="AA38" s="49">
        <v>0</v>
      </c>
      <c r="AB38" s="42"/>
      <c r="AC38" s="42"/>
      <c r="AD38" s="40">
        <f t="shared" si="0"/>
        <v>0</v>
      </c>
      <c r="AE38" s="40" t="e">
        <f t="shared" si="1"/>
        <v>#DIV/0!</v>
      </c>
      <c r="AF38" s="40">
        <f t="shared" si="2"/>
        <v>0</v>
      </c>
      <c r="AG38" s="40" t="e">
        <f t="shared" si="3"/>
        <v>#DIV/0!</v>
      </c>
      <c r="AH38" s="40">
        <v>0.25</v>
      </c>
      <c r="AI38" s="35" t="str">
        <f>+$J$38</f>
        <v>Seguimiento a Partidas Sin Identificar</v>
      </c>
      <c r="AJ38" s="49">
        <v>0</v>
      </c>
      <c r="AK38" s="42"/>
      <c r="AL38" s="42"/>
      <c r="AM38" s="40">
        <f t="shared" si="4"/>
        <v>0</v>
      </c>
      <c r="AN38" s="40" t="e">
        <f t="shared" si="5"/>
        <v>#DIV/0!</v>
      </c>
      <c r="AO38" s="40">
        <f t="shared" si="6"/>
        <v>0</v>
      </c>
      <c r="AP38" s="43" t="e">
        <f t="shared" si="7"/>
        <v>#DIV/0!</v>
      </c>
      <c r="AQ38" s="40">
        <v>0.25</v>
      </c>
      <c r="AR38" s="35" t="str">
        <f>+$J$38</f>
        <v>Seguimiento a Partidas Sin Identificar</v>
      </c>
      <c r="AS38" s="49">
        <v>0</v>
      </c>
      <c r="AT38" s="42"/>
      <c r="AU38" s="42"/>
      <c r="AV38" s="40">
        <f t="shared" si="8"/>
        <v>0</v>
      </c>
      <c r="AW38" s="40" t="e">
        <f t="shared" si="9"/>
        <v>#DIV/0!</v>
      </c>
      <c r="AX38" s="40">
        <f t="shared" si="10"/>
        <v>0</v>
      </c>
      <c r="AY38" s="40" t="e">
        <f t="shared" si="11"/>
        <v>#DIV/0!</v>
      </c>
      <c r="AZ38" s="40">
        <v>0.25</v>
      </c>
      <c r="BA38" s="35" t="str">
        <f>+$J$38</f>
        <v>Seguimiento a Partidas Sin Identificar</v>
      </c>
      <c r="BB38" s="49">
        <v>0</v>
      </c>
      <c r="BC38" s="42"/>
      <c r="BD38" s="42"/>
      <c r="BE38" s="40">
        <f t="shared" si="12"/>
        <v>0</v>
      </c>
      <c r="BF38" s="40" t="e">
        <f t="shared" si="13"/>
        <v>#DIV/0!</v>
      </c>
      <c r="BG38" s="40">
        <f t="shared" si="14"/>
        <v>0</v>
      </c>
      <c r="BH38" s="40" t="e">
        <f t="shared" si="15"/>
        <v>#DIV/0!</v>
      </c>
      <c r="BI38" s="44">
        <f t="shared" si="16"/>
        <v>0</v>
      </c>
      <c r="BJ38" s="44" t="str">
        <f t="shared" si="17"/>
        <v>No Prog ni Ejec</v>
      </c>
      <c r="BK38" s="44">
        <f t="shared" si="18"/>
        <v>0</v>
      </c>
      <c r="BL38" s="44" t="str">
        <f t="shared" si="19"/>
        <v>No Prog ni Ejec</v>
      </c>
      <c r="BM38" s="44">
        <f t="shared" si="20"/>
        <v>0</v>
      </c>
      <c r="BN38" s="44" t="str">
        <f t="shared" si="21"/>
        <v>No Prog ni Ejec</v>
      </c>
      <c r="BO38" s="44">
        <f t="shared" si="22"/>
        <v>0</v>
      </c>
      <c r="BP38" s="44" t="str">
        <f t="shared" si="23"/>
        <v>No Prog ni Ejec</v>
      </c>
      <c r="BQ38" s="42"/>
    </row>
    <row r="39" spans="1:69" s="45" customFormat="1" ht="105" x14ac:dyDescent="0.25">
      <c r="A39" s="34">
        <v>11300</v>
      </c>
      <c r="B39" s="35" t="str">
        <f>+VLOOKUP(A39,'[1]TAB. REF. PA'!$A$4:$B$14,2,FALSE)</f>
        <v>Dirección de Gestión de Recursos Financieros de Salud</v>
      </c>
      <c r="C39" s="36" t="s">
        <v>160</v>
      </c>
      <c r="D39" s="35" t="s">
        <v>145</v>
      </c>
      <c r="E39" s="36" t="s">
        <v>584</v>
      </c>
      <c r="F39" s="35" t="s">
        <v>251</v>
      </c>
      <c r="G39" s="37" t="s">
        <v>123</v>
      </c>
      <c r="H39" s="47">
        <v>1</v>
      </c>
      <c r="I39" s="36" t="s">
        <v>585</v>
      </c>
      <c r="J39" s="35" t="s">
        <v>250</v>
      </c>
      <c r="K39" s="39">
        <v>292066560</v>
      </c>
      <c r="L39" s="40">
        <v>1</v>
      </c>
      <c r="M39" s="41" t="s">
        <v>46</v>
      </c>
      <c r="N39" s="41" t="s">
        <v>68</v>
      </c>
      <c r="O39" s="41" t="s">
        <v>21</v>
      </c>
      <c r="P39" s="41" t="s">
        <v>36</v>
      </c>
      <c r="Q39" s="41" t="s">
        <v>215</v>
      </c>
      <c r="R39" s="42"/>
      <c r="S39" s="41" t="s">
        <v>595</v>
      </c>
      <c r="T39" s="41" t="s">
        <v>99</v>
      </c>
      <c r="U39" s="46">
        <v>1</v>
      </c>
      <c r="V39" s="35" t="str">
        <f>+$J$39</f>
        <v>Ordenes de Giros tramitadas</v>
      </c>
      <c r="W39" s="39">
        <v>292066560</v>
      </c>
      <c r="X39" s="34" t="s">
        <v>117</v>
      </c>
      <c r="Y39" s="50">
        <v>0.25</v>
      </c>
      <c r="Z39" s="35" t="str">
        <f>+$J$39</f>
        <v>Ordenes de Giros tramitadas</v>
      </c>
      <c r="AA39" s="49">
        <v>73016640</v>
      </c>
      <c r="AB39" s="42"/>
      <c r="AC39" s="42"/>
      <c r="AD39" s="40">
        <f t="shared" si="0"/>
        <v>0</v>
      </c>
      <c r="AE39" s="40">
        <f t="shared" si="1"/>
        <v>0</v>
      </c>
      <c r="AF39" s="40">
        <f t="shared" si="2"/>
        <v>0</v>
      </c>
      <c r="AG39" s="40">
        <f t="shared" si="3"/>
        <v>0</v>
      </c>
      <c r="AH39" s="50">
        <v>0.25</v>
      </c>
      <c r="AI39" s="35" t="str">
        <f>+$J$39</f>
        <v>Ordenes de Giros tramitadas</v>
      </c>
      <c r="AJ39" s="49">
        <v>73016640</v>
      </c>
      <c r="AK39" s="42"/>
      <c r="AL39" s="42"/>
      <c r="AM39" s="40">
        <f t="shared" si="4"/>
        <v>0</v>
      </c>
      <c r="AN39" s="40">
        <f t="shared" si="5"/>
        <v>0</v>
      </c>
      <c r="AO39" s="40">
        <f t="shared" si="6"/>
        <v>0</v>
      </c>
      <c r="AP39" s="43">
        <f t="shared" si="7"/>
        <v>0</v>
      </c>
      <c r="AQ39" s="50">
        <v>0.25</v>
      </c>
      <c r="AR39" s="35" t="str">
        <f>+$J$39</f>
        <v>Ordenes de Giros tramitadas</v>
      </c>
      <c r="AS39" s="49">
        <v>73016640</v>
      </c>
      <c r="AT39" s="42"/>
      <c r="AU39" s="42"/>
      <c r="AV39" s="40">
        <f t="shared" si="8"/>
        <v>0</v>
      </c>
      <c r="AW39" s="40">
        <f t="shared" si="9"/>
        <v>0</v>
      </c>
      <c r="AX39" s="40">
        <f t="shared" si="10"/>
        <v>0</v>
      </c>
      <c r="AY39" s="40">
        <f t="shared" si="11"/>
        <v>0</v>
      </c>
      <c r="AZ39" s="50">
        <v>0.25</v>
      </c>
      <c r="BA39" s="35" t="str">
        <f>+$J$39</f>
        <v>Ordenes de Giros tramitadas</v>
      </c>
      <c r="BB39" s="49">
        <v>73016640</v>
      </c>
      <c r="BC39" s="42"/>
      <c r="BD39" s="42"/>
      <c r="BE39" s="40">
        <f t="shared" si="12"/>
        <v>0</v>
      </c>
      <c r="BF39" s="40">
        <f t="shared" si="13"/>
        <v>0</v>
      </c>
      <c r="BG39" s="40">
        <f t="shared" si="14"/>
        <v>0</v>
      </c>
      <c r="BH39" s="40">
        <f t="shared" si="15"/>
        <v>0</v>
      </c>
      <c r="BI39" s="44">
        <f t="shared" si="16"/>
        <v>0</v>
      </c>
      <c r="BJ39" s="44">
        <f t="shared" si="17"/>
        <v>0</v>
      </c>
      <c r="BK39" s="44">
        <f t="shared" si="18"/>
        <v>0</v>
      </c>
      <c r="BL39" s="44">
        <f t="shared" si="19"/>
        <v>0</v>
      </c>
      <c r="BM39" s="44">
        <f t="shared" si="20"/>
        <v>0</v>
      </c>
      <c r="BN39" s="44">
        <f t="shared" si="21"/>
        <v>0</v>
      </c>
      <c r="BO39" s="44">
        <f t="shared" si="22"/>
        <v>0</v>
      </c>
      <c r="BP39" s="44">
        <f t="shared" si="23"/>
        <v>0</v>
      </c>
      <c r="BQ39" s="42"/>
    </row>
    <row r="40" spans="1:69" s="45" customFormat="1" ht="105" x14ac:dyDescent="0.25">
      <c r="A40" s="34">
        <v>11300</v>
      </c>
      <c r="B40" s="35" t="str">
        <f>+VLOOKUP(A40,'[1]TAB. REF. PA'!$A$4:$B$14,2,FALSE)</f>
        <v>Dirección de Gestión de Recursos Financieros de Salud</v>
      </c>
      <c r="C40" s="36" t="s">
        <v>160</v>
      </c>
      <c r="D40" s="35" t="s">
        <v>145</v>
      </c>
      <c r="E40" s="36" t="s">
        <v>586</v>
      </c>
      <c r="F40" s="35" t="s">
        <v>252</v>
      </c>
      <c r="G40" s="37" t="s">
        <v>123</v>
      </c>
      <c r="H40" s="47">
        <v>1</v>
      </c>
      <c r="I40" s="36" t="s">
        <v>587</v>
      </c>
      <c r="J40" s="35" t="s">
        <v>253</v>
      </c>
      <c r="K40" s="39">
        <v>48960000</v>
      </c>
      <c r="L40" s="40">
        <v>1</v>
      </c>
      <c r="M40" s="41" t="s">
        <v>46</v>
      </c>
      <c r="N40" s="41" t="s">
        <v>68</v>
      </c>
      <c r="O40" s="41" t="s">
        <v>21</v>
      </c>
      <c r="P40" s="41" t="s">
        <v>36</v>
      </c>
      <c r="Q40" s="41" t="s">
        <v>215</v>
      </c>
      <c r="R40" s="42"/>
      <c r="S40" s="41" t="s">
        <v>596</v>
      </c>
      <c r="T40" s="41" t="s">
        <v>99</v>
      </c>
      <c r="U40" s="46">
        <v>1</v>
      </c>
      <c r="V40" s="35" t="str">
        <f>+$J$40</f>
        <v>Boletines</v>
      </c>
      <c r="W40" s="39">
        <v>48960000</v>
      </c>
      <c r="X40" s="34" t="s">
        <v>114</v>
      </c>
      <c r="Y40" s="50">
        <v>0.25</v>
      </c>
      <c r="Z40" s="35" t="str">
        <f>+$J$40</f>
        <v>Boletines</v>
      </c>
      <c r="AA40" s="49">
        <v>12240000</v>
      </c>
      <c r="AB40" s="42"/>
      <c r="AC40" s="42"/>
      <c r="AD40" s="40">
        <f t="shared" si="0"/>
        <v>0</v>
      </c>
      <c r="AE40" s="40">
        <f t="shared" si="1"/>
        <v>0</v>
      </c>
      <c r="AF40" s="40">
        <f t="shared" si="2"/>
        <v>0</v>
      </c>
      <c r="AG40" s="40">
        <f t="shared" si="3"/>
        <v>0</v>
      </c>
      <c r="AH40" s="50">
        <v>0.25</v>
      </c>
      <c r="AI40" s="35" t="str">
        <f>+$J$40</f>
        <v>Boletines</v>
      </c>
      <c r="AJ40" s="49">
        <v>12240000</v>
      </c>
      <c r="AK40" s="42"/>
      <c r="AL40" s="42"/>
      <c r="AM40" s="40">
        <f t="shared" si="4"/>
        <v>0</v>
      </c>
      <c r="AN40" s="40">
        <f t="shared" si="5"/>
        <v>0</v>
      </c>
      <c r="AO40" s="40">
        <f t="shared" si="6"/>
        <v>0</v>
      </c>
      <c r="AP40" s="43">
        <f t="shared" si="7"/>
        <v>0</v>
      </c>
      <c r="AQ40" s="50">
        <v>0.25</v>
      </c>
      <c r="AR40" s="35" t="str">
        <f>+$J$40</f>
        <v>Boletines</v>
      </c>
      <c r="AS40" s="49">
        <v>12240000</v>
      </c>
      <c r="AT40" s="42"/>
      <c r="AU40" s="42"/>
      <c r="AV40" s="40">
        <f t="shared" si="8"/>
        <v>0</v>
      </c>
      <c r="AW40" s="40">
        <f t="shared" si="9"/>
        <v>0</v>
      </c>
      <c r="AX40" s="40">
        <f t="shared" si="10"/>
        <v>0</v>
      </c>
      <c r="AY40" s="40">
        <f t="shared" si="11"/>
        <v>0</v>
      </c>
      <c r="AZ40" s="50">
        <v>0.25</v>
      </c>
      <c r="BA40" s="35" t="str">
        <f>+$J$40</f>
        <v>Boletines</v>
      </c>
      <c r="BB40" s="49">
        <v>12240000</v>
      </c>
      <c r="BC40" s="42"/>
      <c r="BD40" s="42"/>
      <c r="BE40" s="40">
        <f t="shared" si="12"/>
        <v>0</v>
      </c>
      <c r="BF40" s="40">
        <f t="shared" si="13"/>
        <v>0</v>
      </c>
      <c r="BG40" s="40">
        <f t="shared" si="14"/>
        <v>0</v>
      </c>
      <c r="BH40" s="40">
        <f t="shared" si="15"/>
        <v>0</v>
      </c>
      <c r="BI40" s="44">
        <f t="shared" si="16"/>
        <v>0</v>
      </c>
      <c r="BJ40" s="44">
        <f t="shared" si="17"/>
        <v>0</v>
      </c>
      <c r="BK40" s="44">
        <f t="shared" si="18"/>
        <v>0</v>
      </c>
      <c r="BL40" s="44">
        <f t="shared" si="19"/>
        <v>0</v>
      </c>
      <c r="BM40" s="44">
        <f t="shared" si="20"/>
        <v>0</v>
      </c>
      <c r="BN40" s="44">
        <f t="shared" si="21"/>
        <v>0</v>
      </c>
      <c r="BO40" s="44">
        <f t="shared" si="22"/>
        <v>0</v>
      </c>
      <c r="BP40" s="44">
        <f t="shared" si="23"/>
        <v>0</v>
      </c>
      <c r="BQ40" s="42"/>
    </row>
    <row r="41" spans="1:69" s="45" customFormat="1" ht="105" x14ac:dyDescent="0.25">
      <c r="A41" s="34">
        <v>11300</v>
      </c>
      <c r="B41" s="35" t="str">
        <f>+VLOOKUP(A41,'[1]TAB. REF. PA'!$A$4:$B$14,2,FALSE)</f>
        <v>Dirección de Gestión de Recursos Financieros de Salud</v>
      </c>
      <c r="C41" s="36" t="s">
        <v>160</v>
      </c>
      <c r="D41" s="35" t="s">
        <v>145</v>
      </c>
      <c r="E41" s="36" t="s">
        <v>588</v>
      </c>
      <c r="F41" s="35" t="s">
        <v>254</v>
      </c>
      <c r="G41" s="37" t="s">
        <v>124</v>
      </c>
      <c r="H41" s="36">
        <v>4</v>
      </c>
      <c r="I41" s="36" t="s">
        <v>589</v>
      </c>
      <c r="J41" s="35" t="s">
        <v>254</v>
      </c>
      <c r="K41" s="39">
        <v>272680404</v>
      </c>
      <c r="L41" s="40">
        <v>1</v>
      </c>
      <c r="M41" s="41" t="s">
        <v>46</v>
      </c>
      <c r="N41" s="41" t="s">
        <v>68</v>
      </c>
      <c r="O41" s="41" t="s">
        <v>21</v>
      </c>
      <c r="P41" s="41" t="s">
        <v>36</v>
      </c>
      <c r="Q41" s="41" t="s">
        <v>215</v>
      </c>
      <c r="R41" s="42"/>
      <c r="S41" s="41" t="s">
        <v>255</v>
      </c>
      <c r="T41" s="41" t="s">
        <v>99</v>
      </c>
      <c r="U41" s="39">
        <f>+H41</f>
        <v>4</v>
      </c>
      <c r="V41" s="35" t="str">
        <f>+$J$41</f>
        <v>Estados Financieros</v>
      </c>
      <c r="W41" s="39">
        <v>272680404</v>
      </c>
      <c r="X41" s="34" t="s">
        <v>114</v>
      </c>
      <c r="Y41" s="39">
        <v>1</v>
      </c>
      <c r="Z41" s="35" t="str">
        <f>+$J$41</f>
        <v>Estados Financieros</v>
      </c>
      <c r="AA41" s="49">
        <v>68170101</v>
      </c>
      <c r="AB41" s="42"/>
      <c r="AC41" s="42"/>
      <c r="AD41" s="40">
        <f t="shared" si="0"/>
        <v>0</v>
      </c>
      <c r="AE41" s="40">
        <f t="shared" si="1"/>
        <v>0</v>
      </c>
      <c r="AF41" s="40">
        <f t="shared" si="2"/>
        <v>0</v>
      </c>
      <c r="AG41" s="40">
        <f t="shared" si="3"/>
        <v>0</v>
      </c>
      <c r="AH41" s="39">
        <v>1</v>
      </c>
      <c r="AI41" s="35" t="str">
        <f>+$J$41</f>
        <v>Estados Financieros</v>
      </c>
      <c r="AJ41" s="49">
        <v>68170101</v>
      </c>
      <c r="AK41" s="42"/>
      <c r="AL41" s="42"/>
      <c r="AM41" s="40">
        <f t="shared" si="4"/>
        <v>0</v>
      </c>
      <c r="AN41" s="40">
        <f t="shared" si="5"/>
        <v>0</v>
      </c>
      <c r="AO41" s="40">
        <f t="shared" si="6"/>
        <v>0</v>
      </c>
      <c r="AP41" s="43">
        <f t="shared" si="7"/>
        <v>0</v>
      </c>
      <c r="AQ41" s="39">
        <v>1</v>
      </c>
      <c r="AR41" s="35" t="str">
        <f>+$J$41</f>
        <v>Estados Financieros</v>
      </c>
      <c r="AS41" s="49">
        <v>68170101</v>
      </c>
      <c r="AT41" s="42"/>
      <c r="AU41" s="42"/>
      <c r="AV41" s="40">
        <f t="shared" si="8"/>
        <v>0</v>
      </c>
      <c r="AW41" s="40">
        <f t="shared" si="9"/>
        <v>0</v>
      </c>
      <c r="AX41" s="40">
        <f t="shared" si="10"/>
        <v>0</v>
      </c>
      <c r="AY41" s="40">
        <f t="shared" si="11"/>
        <v>0</v>
      </c>
      <c r="AZ41" s="39">
        <v>1</v>
      </c>
      <c r="BA41" s="35" t="str">
        <f>+$J$41</f>
        <v>Estados Financieros</v>
      </c>
      <c r="BB41" s="49">
        <v>68170101</v>
      </c>
      <c r="BC41" s="42"/>
      <c r="BD41" s="42"/>
      <c r="BE41" s="40">
        <f t="shared" si="12"/>
        <v>0</v>
      </c>
      <c r="BF41" s="40">
        <f t="shared" si="13"/>
        <v>0</v>
      </c>
      <c r="BG41" s="40">
        <f t="shared" si="14"/>
        <v>0</v>
      </c>
      <c r="BH41" s="40">
        <f t="shared" si="15"/>
        <v>0</v>
      </c>
      <c r="BI41" s="44">
        <f t="shared" si="16"/>
        <v>0</v>
      </c>
      <c r="BJ41" s="44">
        <f t="shared" si="17"/>
        <v>0</v>
      </c>
      <c r="BK41" s="44">
        <f t="shared" si="18"/>
        <v>0</v>
      </c>
      <c r="BL41" s="44">
        <f t="shared" si="19"/>
        <v>0</v>
      </c>
      <c r="BM41" s="44">
        <f t="shared" si="20"/>
        <v>0</v>
      </c>
      <c r="BN41" s="44">
        <f t="shared" si="21"/>
        <v>0</v>
      </c>
      <c r="BO41" s="44">
        <f t="shared" si="22"/>
        <v>0</v>
      </c>
      <c r="BP41" s="44">
        <f t="shared" si="23"/>
        <v>0</v>
      </c>
      <c r="BQ41" s="42"/>
    </row>
    <row r="42" spans="1:69" s="45" customFormat="1" ht="105" x14ac:dyDescent="0.25">
      <c r="A42" s="34">
        <v>11300</v>
      </c>
      <c r="B42" s="35" t="str">
        <f>+VLOOKUP(A42,'[1]TAB. REF. PA'!$A$4:$B$14,2,FALSE)</f>
        <v>Dirección de Gestión de Recursos Financieros de Salud</v>
      </c>
      <c r="C42" s="36" t="s">
        <v>160</v>
      </c>
      <c r="D42" s="35" t="s">
        <v>145</v>
      </c>
      <c r="E42" s="36" t="s">
        <v>590</v>
      </c>
      <c r="F42" s="35" t="s">
        <v>257</v>
      </c>
      <c r="G42" s="37" t="s">
        <v>124</v>
      </c>
      <c r="H42" s="36">
        <v>4</v>
      </c>
      <c r="I42" s="36" t="s">
        <v>591</v>
      </c>
      <c r="J42" s="35" t="s">
        <v>258</v>
      </c>
      <c r="K42" s="39">
        <v>0</v>
      </c>
      <c r="L42" s="40">
        <v>1</v>
      </c>
      <c r="M42" s="41" t="s">
        <v>46</v>
      </c>
      <c r="N42" s="41" t="s">
        <v>68</v>
      </c>
      <c r="O42" s="41" t="s">
        <v>21</v>
      </c>
      <c r="P42" s="41" t="s">
        <v>36</v>
      </c>
      <c r="Q42" s="41" t="s">
        <v>212</v>
      </c>
      <c r="R42" s="42"/>
      <c r="S42" s="41" t="s">
        <v>137</v>
      </c>
      <c r="T42" s="41" t="s">
        <v>99</v>
      </c>
      <c r="U42" s="39">
        <v>4</v>
      </c>
      <c r="V42" s="35" t="str">
        <f>+$J$42</f>
        <v>Informe</v>
      </c>
      <c r="W42" s="39">
        <v>0</v>
      </c>
      <c r="X42" s="34" t="s">
        <v>114</v>
      </c>
      <c r="Y42" s="39">
        <v>1</v>
      </c>
      <c r="Z42" s="35" t="str">
        <f>+$J$42</f>
        <v>Informe</v>
      </c>
      <c r="AA42" s="49">
        <v>0</v>
      </c>
      <c r="AB42" s="42"/>
      <c r="AC42" s="42"/>
      <c r="AD42" s="40">
        <f t="shared" si="0"/>
        <v>0</v>
      </c>
      <c r="AE42" s="40" t="e">
        <f t="shared" si="1"/>
        <v>#DIV/0!</v>
      </c>
      <c r="AF42" s="40">
        <f t="shared" si="2"/>
        <v>0</v>
      </c>
      <c r="AG42" s="40" t="e">
        <f t="shared" si="3"/>
        <v>#DIV/0!</v>
      </c>
      <c r="AH42" s="39">
        <v>1</v>
      </c>
      <c r="AI42" s="35" t="str">
        <f>+$J$42</f>
        <v>Informe</v>
      </c>
      <c r="AJ42" s="49">
        <v>0</v>
      </c>
      <c r="AK42" s="42"/>
      <c r="AL42" s="42"/>
      <c r="AM42" s="40">
        <f t="shared" si="4"/>
        <v>0</v>
      </c>
      <c r="AN42" s="40" t="e">
        <f t="shared" si="5"/>
        <v>#DIV/0!</v>
      </c>
      <c r="AO42" s="40">
        <f t="shared" si="6"/>
        <v>0</v>
      </c>
      <c r="AP42" s="43" t="e">
        <f t="shared" si="7"/>
        <v>#DIV/0!</v>
      </c>
      <c r="AQ42" s="39">
        <v>1</v>
      </c>
      <c r="AR42" s="35" t="str">
        <f>+$J$42</f>
        <v>Informe</v>
      </c>
      <c r="AS42" s="49">
        <v>0</v>
      </c>
      <c r="AT42" s="42"/>
      <c r="AU42" s="42"/>
      <c r="AV42" s="40">
        <f t="shared" si="8"/>
        <v>0</v>
      </c>
      <c r="AW42" s="40" t="e">
        <f t="shared" si="9"/>
        <v>#DIV/0!</v>
      </c>
      <c r="AX42" s="40">
        <f t="shared" si="10"/>
        <v>0</v>
      </c>
      <c r="AY42" s="40" t="e">
        <f t="shared" si="11"/>
        <v>#DIV/0!</v>
      </c>
      <c r="AZ42" s="39">
        <v>1</v>
      </c>
      <c r="BA42" s="35" t="str">
        <f>+$J$42</f>
        <v>Informe</v>
      </c>
      <c r="BB42" s="49">
        <v>0</v>
      </c>
      <c r="BC42" s="42"/>
      <c r="BD42" s="42"/>
      <c r="BE42" s="40">
        <f t="shared" si="12"/>
        <v>0</v>
      </c>
      <c r="BF42" s="40" t="e">
        <f t="shared" si="13"/>
        <v>#DIV/0!</v>
      </c>
      <c r="BG42" s="40">
        <f t="shared" si="14"/>
        <v>0</v>
      </c>
      <c r="BH42" s="40" t="e">
        <f t="shared" si="15"/>
        <v>#DIV/0!</v>
      </c>
      <c r="BI42" s="44">
        <f t="shared" si="16"/>
        <v>0</v>
      </c>
      <c r="BJ42" s="44" t="str">
        <f t="shared" si="17"/>
        <v>No Prog ni Ejec</v>
      </c>
      <c r="BK42" s="44">
        <f t="shared" si="18"/>
        <v>0</v>
      </c>
      <c r="BL42" s="44" t="str">
        <f t="shared" si="19"/>
        <v>No Prog ni Ejec</v>
      </c>
      <c r="BM42" s="44">
        <f t="shared" si="20"/>
        <v>0</v>
      </c>
      <c r="BN42" s="44" t="str">
        <f t="shared" si="21"/>
        <v>No Prog ni Ejec</v>
      </c>
      <c r="BO42" s="44">
        <f t="shared" si="22"/>
        <v>0</v>
      </c>
      <c r="BP42" s="44" t="str">
        <f t="shared" si="23"/>
        <v>No Prog ni Ejec</v>
      </c>
      <c r="BQ42" s="42"/>
    </row>
    <row r="43" spans="1:69" s="45" customFormat="1" ht="105" x14ac:dyDescent="0.25">
      <c r="A43" s="34">
        <v>11300</v>
      </c>
      <c r="B43" s="35" t="str">
        <f>+VLOOKUP(A43,'[1]TAB. REF. PA'!$A$4:$B$14,2,FALSE)</f>
        <v>Dirección de Gestión de Recursos Financieros de Salud</v>
      </c>
      <c r="C43" s="36" t="s">
        <v>160</v>
      </c>
      <c r="D43" s="35" t="s">
        <v>145</v>
      </c>
      <c r="E43" s="36" t="s">
        <v>592</v>
      </c>
      <c r="F43" s="35" t="s">
        <v>571</v>
      </c>
      <c r="G43" s="37" t="s">
        <v>123</v>
      </c>
      <c r="H43" s="36">
        <v>1</v>
      </c>
      <c r="I43" s="36" t="s">
        <v>593</v>
      </c>
      <c r="J43" s="35" t="s">
        <v>571</v>
      </c>
      <c r="K43" s="39">
        <v>580945500</v>
      </c>
      <c r="L43" s="40">
        <v>1</v>
      </c>
      <c r="M43" s="41" t="s">
        <v>46</v>
      </c>
      <c r="N43" s="41" t="s">
        <v>68</v>
      </c>
      <c r="O43" s="41" t="s">
        <v>21</v>
      </c>
      <c r="P43" s="41" t="s">
        <v>36</v>
      </c>
      <c r="Q43" s="41" t="s">
        <v>212</v>
      </c>
      <c r="R43" s="42"/>
      <c r="S43" s="41" t="s">
        <v>379</v>
      </c>
      <c r="T43" s="41" t="s">
        <v>99</v>
      </c>
      <c r="U43" s="40">
        <v>1</v>
      </c>
      <c r="V43" s="35" t="str">
        <f>+$J$43</f>
        <v>Administración y Custodia del Portafolio de Inversión</v>
      </c>
      <c r="W43" s="39">
        <v>580945500</v>
      </c>
      <c r="X43" s="34" t="s">
        <v>117</v>
      </c>
      <c r="Y43" s="50">
        <v>0.25</v>
      </c>
      <c r="Z43" s="35" t="str">
        <f>+$J$43</f>
        <v>Administración y Custodia del Portafolio de Inversión</v>
      </c>
      <c r="AA43" s="49">
        <v>0</v>
      </c>
      <c r="AB43" s="42"/>
      <c r="AC43" s="42"/>
      <c r="AD43" s="40">
        <f t="shared" si="0"/>
        <v>0</v>
      </c>
      <c r="AE43" s="40" t="e">
        <f t="shared" si="1"/>
        <v>#DIV/0!</v>
      </c>
      <c r="AF43" s="40">
        <f t="shared" si="2"/>
        <v>0</v>
      </c>
      <c r="AG43" s="40">
        <f t="shared" si="3"/>
        <v>0</v>
      </c>
      <c r="AH43" s="50">
        <v>0.25</v>
      </c>
      <c r="AI43" s="35" t="str">
        <f>+$J$43</f>
        <v>Administración y Custodia del Portafolio de Inversión</v>
      </c>
      <c r="AJ43" s="49">
        <v>193648499.99999997</v>
      </c>
      <c r="AK43" s="42"/>
      <c r="AL43" s="42"/>
      <c r="AM43" s="40">
        <f t="shared" si="4"/>
        <v>0</v>
      </c>
      <c r="AN43" s="40">
        <f t="shared" si="5"/>
        <v>0</v>
      </c>
      <c r="AO43" s="40">
        <f t="shared" si="6"/>
        <v>0</v>
      </c>
      <c r="AP43" s="43">
        <f t="shared" si="7"/>
        <v>0</v>
      </c>
      <c r="AQ43" s="50">
        <v>0.25</v>
      </c>
      <c r="AR43" s="35" t="str">
        <f>+$J$43</f>
        <v>Administración y Custodia del Portafolio de Inversión</v>
      </c>
      <c r="AS43" s="49">
        <v>193648499.99999997</v>
      </c>
      <c r="AT43" s="42"/>
      <c r="AU43" s="42"/>
      <c r="AV43" s="40">
        <f t="shared" si="8"/>
        <v>0</v>
      </c>
      <c r="AW43" s="40">
        <f t="shared" si="9"/>
        <v>0</v>
      </c>
      <c r="AX43" s="40">
        <f t="shared" si="10"/>
        <v>0</v>
      </c>
      <c r="AY43" s="40">
        <f t="shared" si="11"/>
        <v>0</v>
      </c>
      <c r="AZ43" s="50">
        <v>0.25</v>
      </c>
      <c r="BA43" s="35" t="str">
        <f>+$J$43</f>
        <v>Administración y Custodia del Portafolio de Inversión</v>
      </c>
      <c r="BB43" s="49">
        <v>193648499.99999997</v>
      </c>
      <c r="BC43" s="42"/>
      <c r="BD43" s="42"/>
      <c r="BE43" s="40">
        <f t="shared" si="12"/>
        <v>0</v>
      </c>
      <c r="BF43" s="40">
        <f t="shared" si="13"/>
        <v>0</v>
      </c>
      <c r="BG43" s="40">
        <f t="shared" si="14"/>
        <v>0</v>
      </c>
      <c r="BH43" s="40">
        <f t="shared" si="15"/>
        <v>0</v>
      </c>
      <c r="BI43" s="44">
        <f t="shared" si="16"/>
        <v>0</v>
      </c>
      <c r="BJ43" s="44" t="str">
        <f t="shared" si="17"/>
        <v>No Prog ni Ejec</v>
      </c>
      <c r="BK43" s="44">
        <f t="shared" si="18"/>
        <v>0</v>
      </c>
      <c r="BL43" s="44">
        <f t="shared" si="19"/>
        <v>0</v>
      </c>
      <c r="BM43" s="44">
        <f t="shared" si="20"/>
        <v>0</v>
      </c>
      <c r="BN43" s="44">
        <f t="shared" si="21"/>
        <v>0</v>
      </c>
      <c r="BO43" s="44">
        <f t="shared" si="22"/>
        <v>0</v>
      </c>
      <c r="BP43" s="44">
        <f t="shared" si="23"/>
        <v>0</v>
      </c>
      <c r="BQ43" s="42"/>
    </row>
    <row r="44" spans="1:69" s="45" customFormat="1" ht="105" x14ac:dyDescent="0.25">
      <c r="A44" s="34">
        <v>11400</v>
      </c>
      <c r="B44" s="35" t="str">
        <f>+VLOOKUP(A44,'[1]TAB. REF. PA'!$A$4:$B$14,2,FALSE)</f>
        <v>Dirección de Liquidaciones y Garantías</v>
      </c>
      <c r="C44" s="36" t="s">
        <v>183</v>
      </c>
      <c r="D44" s="35" t="s">
        <v>153</v>
      </c>
      <c r="E44" s="36" t="s">
        <v>185</v>
      </c>
      <c r="F44" s="35" t="s">
        <v>133</v>
      </c>
      <c r="G44" s="37" t="s">
        <v>124</v>
      </c>
      <c r="H44" s="36">
        <v>4</v>
      </c>
      <c r="I44" s="36" t="s">
        <v>316</v>
      </c>
      <c r="J44" s="38" t="s">
        <v>24</v>
      </c>
      <c r="K44" s="39">
        <v>0</v>
      </c>
      <c r="L44" s="40">
        <v>1</v>
      </c>
      <c r="M44" s="41" t="s">
        <v>51</v>
      </c>
      <c r="N44" s="41" t="s">
        <v>68</v>
      </c>
      <c r="O44" s="41" t="s">
        <v>21</v>
      </c>
      <c r="P44" s="41" t="s">
        <v>36</v>
      </c>
      <c r="Q44" s="41" t="s">
        <v>75</v>
      </c>
      <c r="R44" s="42"/>
      <c r="S44" s="41" t="s">
        <v>631</v>
      </c>
      <c r="T44" s="41" t="s">
        <v>98</v>
      </c>
      <c r="U44" s="34">
        <v>4</v>
      </c>
      <c r="V44" s="35" t="str">
        <f>+$J$11</f>
        <v>Reportar el cumplimiento del Plan de Acción de la Dependencia</v>
      </c>
      <c r="W44" s="39">
        <v>0</v>
      </c>
      <c r="X44" s="34" t="s">
        <v>117</v>
      </c>
      <c r="Y44" s="34">
        <v>1</v>
      </c>
      <c r="Z44" s="35" t="str">
        <f>+$J$11</f>
        <v>Reportar el cumplimiento del Plan de Acción de la Dependencia</v>
      </c>
      <c r="AA44" s="39">
        <v>0</v>
      </c>
      <c r="AB44" s="42"/>
      <c r="AC44" s="42"/>
      <c r="AD44" s="40">
        <f t="shared" si="0"/>
        <v>0</v>
      </c>
      <c r="AE44" s="40" t="e">
        <f t="shared" si="1"/>
        <v>#DIV/0!</v>
      </c>
      <c r="AF44" s="40">
        <f t="shared" si="2"/>
        <v>0</v>
      </c>
      <c r="AG44" s="40" t="e">
        <f t="shared" si="3"/>
        <v>#DIV/0!</v>
      </c>
      <c r="AH44" s="34">
        <v>1</v>
      </c>
      <c r="AI44" s="35" t="str">
        <f>+$J$11</f>
        <v>Reportar el cumplimiento del Plan de Acción de la Dependencia</v>
      </c>
      <c r="AJ44" s="39">
        <v>0</v>
      </c>
      <c r="AK44" s="42"/>
      <c r="AL44" s="42"/>
      <c r="AM44" s="40">
        <f t="shared" si="4"/>
        <v>0</v>
      </c>
      <c r="AN44" s="40" t="e">
        <f t="shared" si="5"/>
        <v>#DIV/0!</v>
      </c>
      <c r="AO44" s="40">
        <f t="shared" si="6"/>
        <v>0</v>
      </c>
      <c r="AP44" s="43" t="e">
        <f t="shared" si="7"/>
        <v>#DIV/0!</v>
      </c>
      <c r="AQ44" s="34">
        <v>1</v>
      </c>
      <c r="AR44" s="35" t="str">
        <f>+$J$11</f>
        <v>Reportar el cumplimiento del Plan de Acción de la Dependencia</v>
      </c>
      <c r="AS44" s="39">
        <v>0</v>
      </c>
      <c r="AT44" s="42"/>
      <c r="AU44" s="42"/>
      <c r="AV44" s="40">
        <f t="shared" si="8"/>
        <v>0</v>
      </c>
      <c r="AW44" s="40" t="e">
        <f t="shared" si="9"/>
        <v>#DIV/0!</v>
      </c>
      <c r="AX44" s="40">
        <f t="shared" si="10"/>
        <v>0</v>
      </c>
      <c r="AY44" s="40" t="e">
        <f t="shared" si="11"/>
        <v>#DIV/0!</v>
      </c>
      <c r="AZ44" s="36">
        <v>1</v>
      </c>
      <c r="BA44" s="35" t="str">
        <f>+$J$11</f>
        <v>Reportar el cumplimiento del Plan de Acción de la Dependencia</v>
      </c>
      <c r="BB44" s="39">
        <v>0</v>
      </c>
      <c r="BC44" s="42"/>
      <c r="BD44" s="42"/>
      <c r="BE44" s="40">
        <f t="shared" si="12"/>
        <v>0</v>
      </c>
      <c r="BF44" s="40" t="e">
        <f t="shared" si="13"/>
        <v>#DIV/0!</v>
      </c>
      <c r="BG44" s="40">
        <f t="shared" si="14"/>
        <v>0</v>
      </c>
      <c r="BH44" s="40" t="e">
        <f t="shared" si="15"/>
        <v>#DIV/0!</v>
      </c>
      <c r="BI44" s="44">
        <f t="shared" si="16"/>
        <v>0</v>
      </c>
      <c r="BJ44" s="44" t="str">
        <f t="shared" si="17"/>
        <v>No Prog ni Ejec</v>
      </c>
      <c r="BK44" s="44">
        <f t="shared" si="18"/>
        <v>0</v>
      </c>
      <c r="BL44" s="44" t="str">
        <f t="shared" si="19"/>
        <v>No Prog ni Ejec</v>
      </c>
      <c r="BM44" s="44">
        <f t="shared" si="20"/>
        <v>0</v>
      </c>
      <c r="BN44" s="44" t="str">
        <f t="shared" si="21"/>
        <v>No Prog ni Ejec</v>
      </c>
      <c r="BO44" s="44">
        <f t="shared" si="22"/>
        <v>0</v>
      </c>
      <c r="BP44" s="44" t="str">
        <f t="shared" si="23"/>
        <v>No Prog ni Ejec</v>
      </c>
      <c r="BQ44" s="42"/>
    </row>
    <row r="45" spans="1:69" s="45" customFormat="1" ht="105" x14ac:dyDescent="0.25">
      <c r="A45" s="34">
        <v>11400</v>
      </c>
      <c r="B45" s="35" t="str">
        <f>+VLOOKUP(A45,'[1]TAB. REF. PA'!$A$4:$B$14,2,FALSE)</f>
        <v>Dirección de Liquidaciones y Garantías</v>
      </c>
      <c r="C45" s="36" t="s">
        <v>184</v>
      </c>
      <c r="D45" s="35" t="s">
        <v>256</v>
      </c>
      <c r="E45" s="36" t="s">
        <v>186</v>
      </c>
      <c r="F45" s="35" t="s">
        <v>159</v>
      </c>
      <c r="G45" s="37" t="s">
        <v>123</v>
      </c>
      <c r="H45" s="46">
        <v>1</v>
      </c>
      <c r="I45" s="36" t="s">
        <v>317</v>
      </c>
      <c r="J45" s="38" t="s">
        <v>156</v>
      </c>
      <c r="K45" s="39">
        <v>0</v>
      </c>
      <c r="L45" s="40">
        <v>1</v>
      </c>
      <c r="M45" s="41" t="s">
        <v>51</v>
      </c>
      <c r="N45" s="41" t="s">
        <v>68</v>
      </c>
      <c r="O45" s="41" t="s">
        <v>21</v>
      </c>
      <c r="P45" s="41" t="s">
        <v>36</v>
      </c>
      <c r="Q45" s="41" t="s">
        <v>75</v>
      </c>
      <c r="R45" s="42"/>
      <c r="S45" s="41" t="s">
        <v>672</v>
      </c>
      <c r="T45" s="41" t="s">
        <v>98</v>
      </c>
      <c r="U45" s="40">
        <v>1</v>
      </c>
      <c r="V45" s="35" t="str">
        <f>+$J$12</f>
        <v>Formular los proceso y procedimientos en el marco del MIPG</v>
      </c>
      <c r="W45" s="39">
        <v>0</v>
      </c>
      <c r="X45" s="34" t="s">
        <v>117</v>
      </c>
      <c r="Y45" s="40">
        <v>0.25</v>
      </c>
      <c r="Z45" s="35" t="str">
        <f>+$J$12</f>
        <v>Formular los proceso y procedimientos en el marco del MIPG</v>
      </c>
      <c r="AA45" s="39">
        <v>0</v>
      </c>
      <c r="AB45" s="42"/>
      <c r="AC45" s="42"/>
      <c r="AD45" s="40">
        <f t="shared" si="0"/>
        <v>0</v>
      </c>
      <c r="AE45" s="40" t="e">
        <f t="shared" si="1"/>
        <v>#DIV/0!</v>
      </c>
      <c r="AF45" s="40">
        <f t="shared" si="2"/>
        <v>0</v>
      </c>
      <c r="AG45" s="40" t="e">
        <f t="shared" si="3"/>
        <v>#DIV/0!</v>
      </c>
      <c r="AH45" s="40">
        <v>0.25</v>
      </c>
      <c r="AI45" s="35" t="str">
        <f>+$J$12</f>
        <v>Formular los proceso y procedimientos en el marco del MIPG</v>
      </c>
      <c r="AJ45" s="39">
        <v>0</v>
      </c>
      <c r="AK45" s="42"/>
      <c r="AL45" s="42"/>
      <c r="AM45" s="40">
        <f t="shared" si="4"/>
        <v>0</v>
      </c>
      <c r="AN45" s="40" t="e">
        <f t="shared" si="5"/>
        <v>#DIV/0!</v>
      </c>
      <c r="AO45" s="40">
        <f t="shared" si="6"/>
        <v>0</v>
      </c>
      <c r="AP45" s="43" t="e">
        <f t="shared" si="7"/>
        <v>#DIV/0!</v>
      </c>
      <c r="AQ45" s="40">
        <v>0.25</v>
      </c>
      <c r="AR45" s="35" t="str">
        <f>+$J$12</f>
        <v>Formular los proceso y procedimientos en el marco del MIPG</v>
      </c>
      <c r="AS45" s="39">
        <v>0</v>
      </c>
      <c r="AT45" s="42"/>
      <c r="AU45" s="42"/>
      <c r="AV45" s="40">
        <f t="shared" si="8"/>
        <v>0</v>
      </c>
      <c r="AW45" s="40" t="e">
        <f t="shared" si="9"/>
        <v>#DIV/0!</v>
      </c>
      <c r="AX45" s="40">
        <f t="shared" si="10"/>
        <v>0</v>
      </c>
      <c r="AY45" s="40" t="e">
        <f t="shared" si="11"/>
        <v>#DIV/0!</v>
      </c>
      <c r="AZ45" s="47">
        <v>0.25</v>
      </c>
      <c r="BA45" s="35" t="str">
        <f>+$J$12</f>
        <v>Formular los proceso y procedimientos en el marco del MIPG</v>
      </c>
      <c r="BB45" s="39">
        <v>0</v>
      </c>
      <c r="BC45" s="42"/>
      <c r="BD45" s="42"/>
      <c r="BE45" s="40">
        <f t="shared" si="12"/>
        <v>0</v>
      </c>
      <c r="BF45" s="40" t="e">
        <f t="shared" si="13"/>
        <v>#DIV/0!</v>
      </c>
      <c r="BG45" s="40">
        <f t="shared" si="14"/>
        <v>0</v>
      </c>
      <c r="BH45" s="40" t="e">
        <f t="shared" si="15"/>
        <v>#DIV/0!</v>
      </c>
      <c r="BI45" s="44">
        <f t="shared" si="16"/>
        <v>0</v>
      </c>
      <c r="BJ45" s="44" t="str">
        <f t="shared" si="17"/>
        <v>No Prog ni Ejec</v>
      </c>
      <c r="BK45" s="44">
        <f t="shared" si="18"/>
        <v>0</v>
      </c>
      <c r="BL45" s="44" t="str">
        <f t="shared" si="19"/>
        <v>No Prog ni Ejec</v>
      </c>
      <c r="BM45" s="44">
        <f t="shared" si="20"/>
        <v>0</v>
      </c>
      <c r="BN45" s="44" t="str">
        <f t="shared" si="21"/>
        <v>No Prog ni Ejec</v>
      </c>
      <c r="BO45" s="44">
        <f t="shared" si="22"/>
        <v>0</v>
      </c>
      <c r="BP45" s="44" t="str">
        <f t="shared" si="23"/>
        <v>No Prog ni Ejec</v>
      </c>
      <c r="BQ45" s="42"/>
    </row>
    <row r="46" spans="1:69" s="45" customFormat="1" ht="105" x14ac:dyDescent="0.25">
      <c r="A46" s="34">
        <v>11400</v>
      </c>
      <c r="B46" s="35" t="str">
        <f>+VLOOKUP(A46,'[1]TAB. REF. PA'!$A$4:$B$14,2,FALSE)</f>
        <v>Dirección de Liquidaciones y Garantías</v>
      </c>
      <c r="C46" s="36" t="s">
        <v>184</v>
      </c>
      <c r="D46" s="35" t="s">
        <v>256</v>
      </c>
      <c r="E46" s="36" t="s">
        <v>187</v>
      </c>
      <c r="F46" s="35" t="s">
        <v>127</v>
      </c>
      <c r="G46" s="37" t="s">
        <v>124</v>
      </c>
      <c r="H46" s="36">
        <v>4</v>
      </c>
      <c r="I46" s="36" t="s">
        <v>318</v>
      </c>
      <c r="J46" s="41" t="s">
        <v>128</v>
      </c>
      <c r="K46" s="39">
        <v>0</v>
      </c>
      <c r="L46" s="40">
        <v>1</v>
      </c>
      <c r="M46" s="41" t="s">
        <v>51</v>
      </c>
      <c r="N46" s="41" t="s">
        <v>68</v>
      </c>
      <c r="O46" s="41" t="s">
        <v>21</v>
      </c>
      <c r="P46" s="41" t="s">
        <v>36</v>
      </c>
      <c r="Q46" s="41" t="s">
        <v>75</v>
      </c>
      <c r="R46" s="42"/>
      <c r="S46" s="41" t="s">
        <v>570</v>
      </c>
      <c r="T46" s="41" t="s">
        <v>98</v>
      </c>
      <c r="U46" s="47">
        <v>1</v>
      </c>
      <c r="V46" s="35" t="str">
        <f>+$J$13</f>
        <v>Remitir informes trimestrales de los indicadores formulados y las acciones de mejoras</v>
      </c>
      <c r="W46" s="39">
        <v>0</v>
      </c>
      <c r="X46" s="34" t="s">
        <v>117</v>
      </c>
      <c r="Y46" s="39">
        <v>0</v>
      </c>
      <c r="Z46" s="35" t="str">
        <f>+$J$13</f>
        <v>Remitir informes trimestrales de los indicadores formulados y las acciones de mejoras</v>
      </c>
      <c r="AA46" s="39">
        <v>0</v>
      </c>
      <c r="AB46" s="42"/>
      <c r="AC46" s="42"/>
      <c r="AD46" s="40" t="e">
        <f t="shared" si="0"/>
        <v>#DIV/0!</v>
      </c>
      <c r="AE46" s="40" t="e">
        <f t="shared" si="1"/>
        <v>#DIV/0!</v>
      </c>
      <c r="AF46" s="40">
        <f t="shared" si="2"/>
        <v>0</v>
      </c>
      <c r="AG46" s="40" t="e">
        <f t="shared" si="3"/>
        <v>#DIV/0!</v>
      </c>
      <c r="AH46" s="39">
        <v>0</v>
      </c>
      <c r="AI46" s="35" t="str">
        <f>+$J$13</f>
        <v>Remitir informes trimestrales de los indicadores formulados y las acciones de mejoras</v>
      </c>
      <c r="AJ46" s="39">
        <v>0</v>
      </c>
      <c r="AK46" s="42"/>
      <c r="AL46" s="42"/>
      <c r="AM46" s="40" t="e">
        <f t="shared" si="4"/>
        <v>#DIV/0!</v>
      </c>
      <c r="AN46" s="40" t="e">
        <f t="shared" si="5"/>
        <v>#DIV/0!</v>
      </c>
      <c r="AO46" s="40">
        <f t="shared" si="6"/>
        <v>0</v>
      </c>
      <c r="AP46" s="43" t="e">
        <f t="shared" si="7"/>
        <v>#DIV/0!</v>
      </c>
      <c r="AQ46" s="39">
        <v>0</v>
      </c>
      <c r="AR46" s="35" t="str">
        <f>+$J$13</f>
        <v>Remitir informes trimestrales de los indicadores formulados y las acciones de mejoras</v>
      </c>
      <c r="AS46" s="39">
        <v>0</v>
      </c>
      <c r="AT46" s="42"/>
      <c r="AU46" s="42"/>
      <c r="AV46" s="40" t="e">
        <f t="shared" si="8"/>
        <v>#DIV/0!</v>
      </c>
      <c r="AW46" s="40" t="e">
        <f t="shared" si="9"/>
        <v>#DIV/0!</v>
      </c>
      <c r="AX46" s="40">
        <f t="shared" si="10"/>
        <v>0</v>
      </c>
      <c r="AY46" s="40" t="e">
        <f t="shared" si="11"/>
        <v>#DIV/0!</v>
      </c>
      <c r="AZ46" s="47">
        <v>1</v>
      </c>
      <c r="BA46" s="35" t="str">
        <f>+$J$13</f>
        <v>Remitir informes trimestrales de los indicadores formulados y las acciones de mejoras</v>
      </c>
      <c r="BB46" s="39">
        <v>0</v>
      </c>
      <c r="BC46" s="42"/>
      <c r="BD46" s="42"/>
      <c r="BE46" s="40">
        <f t="shared" si="12"/>
        <v>0</v>
      </c>
      <c r="BF46" s="40" t="e">
        <f t="shared" si="13"/>
        <v>#DIV/0!</v>
      </c>
      <c r="BG46" s="40">
        <f t="shared" si="14"/>
        <v>0</v>
      </c>
      <c r="BH46" s="40" t="e">
        <f t="shared" si="15"/>
        <v>#DIV/0!</v>
      </c>
      <c r="BI46" s="44" t="str">
        <f t="shared" si="16"/>
        <v>No Prog ni Ejec</v>
      </c>
      <c r="BJ46" s="44" t="str">
        <f t="shared" si="17"/>
        <v>No Prog ni Ejec</v>
      </c>
      <c r="BK46" s="44" t="str">
        <f t="shared" si="18"/>
        <v>No Prog ni Ejec</v>
      </c>
      <c r="BL46" s="44" t="str">
        <f t="shared" si="19"/>
        <v>No Prog ni Ejec</v>
      </c>
      <c r="BM46" s="44" t="str">
        <f t="shared" si="20"/>
        <v>No Prog ni Ejec</v>
      </c>
      <c r="BN46" s="44" t="str">
        <f t="shared" si="21"/>
        <v>No Prog ni Ejec</v>
      </c>
      <c r="BO46" s="44">
        <f t="shared" si="22"/>
        <v>0</v>
      </c>
      <c r="BP46" s="44" t="str">
        <f t="shared" si="23"/>
        <v>No Prog ni Ejec</v>
      </c>
      <c r="BQ46" s="42"/>
    </row>
    <row r="47" spans="1:69" s="45" customFormat="1" ht="105" x14ac:dyDescent="0.25">
      <c r="A47" s="34">
        <v>11400</v>
      </c>
      <c r="B47" s="35" t="str">
        <f>+VLOOKUP(A47,'[1]TAB. REF. PA'!$A$4:$B$14,2,FALSE)</f>
        <v>Dirección de Liquidaciones y Garantías</v>
      </c>
      <c r="C47" s="36" t="s">
        <v>188</v>
      </c>
      <c r="D47" s="35" t="s">
        <v>144</v>
      </c>
      <c r="E47" s="36" t="s">
        <v>192</v>
      </c>
      <c r="F47" s="35" t="s">
        <v>189</v>
      </c>
      <c r="G47" s="37" t="s">
        <v>124</v>
      </c>
      <c r="H47" s="52">
        <v>48</v>
      </c>
      <c r="I47" s="36" t="s">
        <v>237</v>
      </c>
      <c r="J47" s="38" t="s">
        <v>190</v>
      </c>
      <c r="K47" s="39">
        <v>100516376</v>
      </c>
      <c r="L47" s="40">
        <v>1</v>
      </c>
      <c r="M47" s="41" t="s">
        <v>46</v>
      </c>
      <c r="N47" s="41" t="s">
        <v>68</v>
      </c>
      <c r="O47" s="41" t="s">
        <v>21</v>
      </c>
      <c r="P47" s="41" t="s">
        <v>36</v>
      </c>
      <c r="Q47" s="41" t="s">
        <v>216</v>
      </c>
      <c r="R47" s="42"/>
      <c r="S47" s="41" t="s">
        <v>209</v>
      </c>
      <c r="T47" s="41" t="s">
        <v>99</v>
      </c>
      <c r="U47" s="53">
        <f t="shared" ref="U47:U57" si="24">+H47</f>
        <v>48</v>
      </c>
      <c r="V47" s="35" t="str">
        <f>+$J$47</f>
        <v>No. de Procesos de Compensación Ejecutados</v>
      </c>
      <c r="W47" s="39">
        <f>+K47</f>
        <v>100516376</v>
      </c>
      <c r="X47" s="34" t="s">
        <v>117</v>
      </c>
      <c r="Y47" s="36">
        <v>12</v>
      </c>
      <c r="Z47" s="35" t="str">
        <f>+$J$47</f>
        <v>No. de Procesos de Compensación Ejecutados</v>
      </c>
      <c r="AA47" s="39">
        <v>43249020</v>
      </c>
      <c r="AB47" s="42"/>
      <c r="AC47" s="42"/>
      <c r="AD47" s="40">
        <f t="shared" si="0"/>
        <v>0</v>
      </c>
      <c r="AE47" s="40">
        <f t="shared" si="1"/>
        <v>0</v>
      </c>
      <c r="AF47" s="40">
        <f t="shared" si="2"/>
        <v>0</v>
      </c>
      <c r="AG47" s="40">
        <f t="shared" si="3"/>
        <v>0</v>
      </c>
      <c r="AH47" s="36">
        <v>12</v>
      </c>
      <c r="AI47" s="35" t="str">
        <f>+$J$47</f>
        <v>No. de Procesos de Compensación Ejecutados</v>
      </c>
      <c r="AJ47" s="39">
        <v>12240000</v>
      </c>
      <c r="AK47" s="42"/>
      <c r="AL47" s="42"/>
      <c r="AM47" s="40">
        <f t="shared" si="4"/>
        <v>0</v>
      </c>
      <c r="AN47" s="40">
        <f t="shared" si="5"/>
        <v>0</v>
      </c>
      <c r="AO47" s="40">
        <f t="shared" si="6"/>
        <v>0</v>
      </c>
      <c r="AP47" s="43">
        <f t="shared" si="7"/>
        <v>0</v>
      </c>
      <c r="AQ47" s="36">
        <v>12</v>
      </c>
      <c r="AR47" s="35" t="str">
        <f>+$J$47</f>
        <v>No. de Procesos de Compensación Ejecutados</v>
      </c>
      <c r="AS47" s="39">
        <v>17376839</v>
      </c>
      <c r="AT47" s="42"/>
      <c r="AU47" s="42"/>
      <c r="AV47" s="40">
        <f t="shared" si="8"/>
        <v>0</v>
      </c>
      <c r="AW47" s="40">
        <f t="shared" si="9"/>
        <v>0</v>
      </c>
      <c r="AX47" s="40">
        <f t="shared" si="10"/>
        <v>0</v>
      </c>
      <c r="AY47" s="40">
        <f t="shared" si="11"/>
        <v>0</v>
      </c>
      <c r="AZ47" s="36">
        <v>12</v>
      </c>
      <c r="BA47" s="35" t="str">
        <f>+$J$47</f>
        <v>No. de Procesos de Compensación Ejecutados</v>
      </c>
      <c r="BB47" s="39">
        <v>27650517</v>
      </c>
      <c r="BC47" s="42"/>
      <c r="BD47" s="42"/>
      <c r="BE47" s="40">
        <f t="shared" si="12"/>
        <v>0</v>
      </c>
      <c r="BF47" s="40">
        <f t="shared" si="13"/>
        <v>0</v>
      </c>
      <c r="BG47" s="40">
        <f t="shared" si="14"/>
        <v>0</v>
      </c>
      <c r="BH47" s="40">
        <f t="shared" si="15"/>
        <v>0</v>
      </c>
      <c r="BI47" s="44">
        <f t="shared" si="16"/>
        <v>0</v>
      </c>
      <c r="BJ47" s="44">
        <f t="shared" si="17"/>
        <v>0</v>
      </c>
      <c r="BK47" s="44">
        <f t="shared" si="18"/>
        <v>0</v>
      </c>
      <c r="BL47" s="44">
        <f t="shared" si="19"/>
        <v>0</v>
      </c>
      <c r="BM47" s="44">
        <f t="shared" si="20"/>
        <v>0</v>
      </c>
      <c r="BN47" s="44">
        <f t="shared" si="21"/>
        <v>0</v>
      </c>
      <c r="BO47" s="44">
        <f t="shared" si="22"/>
        <v>0</v>
      </c>
      <c r="BP47" s="44">
        <f t="shared" si="23"/>
        <v>0</v>
      </c>
      <c r="BQ47" s="42"/>
    </row>
    <row r="48" spans="1:69" s="45" customFormat="1" ht="105" x14ac:dyDescent="0.25">
      <c r="A48" s="34">
        <v>11400</v>
      </c>
      <c r="B48" s="35" t="str">
        <f>+VLOOKUP(A48,'[1]TAB. REF. PA'!$A$4:$B$14,2,FALSE)</f>
        <v>Dirección de Liquidaciones y Garantías</v>
      </c>
      <c r="C48" s="36" t="s">
        <v>188</v>
      </c>
      <c r="D48" s="35" t="s">
        <v>144</v>
      </c>
      <c r="E48" s="36" t="s">
        <v>479</v>
      </c>
      <c r="F48" s="35" t="s">
        <v>191</v>
      </c>
      <c r="G48" s="37" t="s">
        <v>124</v>
      </c>
      <c r="H48" s="36">
        <v>12</v>
      </c>
      <c r="I48" s="36" t="s">
        <v>480</v>
      </c>
      <c r="J48" s="38" t="s">
        <v>597</v>
      </c>
      <c r="K48" s="39">
        <v>0</v>
      </c>
      <c r="L48" s="40">
        <v>1</v>
      </c>
      <c r="M48" s="41" t="s">
        <v>46</v>
      </c>
      <c r="N48" s="41" t="s">
        <v>68</v>
      </c>
      <c r="O48" s="41" t="s">
        <v>21</v>
      </c>
      <c r="P48" s="41" t="s">
        <v>36</v>
      </c>
      <c r="Q48" s="41" t="s">
        <v>223</v>
      </c>
      <c r="R48" s="42"/>
      <c r="S48" s="41" t="s">
        <v>231</v>
      </c>
      <c r="T48" s="41" t="s">
        <v>99</v>
      </c>
      <c r="U48" s="53">
        <f t="shared" si="24"/>
        <v>12</v>
      </c>
      <c r="V48" s="35" t="str">
        <f>+$J$48</f>
        <v>No. de Procesos de LMA Ejecutados</v>
      </c>
      <c r="W48" s="39">
        <v>0</v>
      </c>
      <c r="X48" s="34" t="s">
        <v>117</v>
      </c>
      <c r="Y48" s="53">
        <v>3</v>
      </c>
      <c r="Z48" s="35" t="str">
        <f>+$J$48</f>
        <v>No. de Procesos de LMA Ejecutados</v>
      </c>
      <c r="AA48" s="39">
        <v>0</v>
      </c>
      <c r="AB48" s="42"/>
      <c r="AC48" s="42"/>
      <c r="AD48" s="40">
        <f t="shared" si="0"/>
        <v>0</v>
      </c>
      <c r="AE48" s="40" t="e">
        <f t="shared" si="1"/>
        <v>#DIV/0!</v>
      </c>
      <c r="AF48" s="40">
        <f t="shared" si="2"/>
        <v>0</v>
      </c>
      <c r="AG48" s="40" t="e">
        <f t="shared" si="3"/>
        <v>#DIV/0!</v>
      </c>
      <c r="AH48" s="53">
        <v>3</v>
      </c>
      <c r="AI48" s="35" t="str">
        <f>+$J$48</f>
        <v>No. de Procesos de LMA Ejecutados</v>
      </c>
      <c r="AJ48" s="39">
        <v>0</v>
      </c>
      <c r="AK48" s="42"/>
      <c r="AL48" s="42"/>
      <c r="AM48" s="40">
        <f t="shared" si="4"/>
        <v>0</v>
      </c>
      <c r="AN48" s="40" t="e">
        <f t="shared" si="5"/>
        <v>#DIV/0!</v>
      </c>
      <c r="AO48" s="40">
        <f t="shared" si="6"/>
        <v>0</v>
      </c>
      <c r="AP48" s="43" t="e">
        <f t="shared" si="7"/>
        <v>#DIV/0!</v>
      </c>
      <c r="AQ48" s="53">
        <v>3</v>
      </c>
      <c r="AR48" s="35" t="str">
        <f>+$J$48</f>
        <v>No. de Procesos de LMA Ejecutados</v>
      </c>
      <c r="AS48" s="39">
        <v>0</v>
      </c>
      <c r="AT48" s="42"/>
      <c r="AU48" s="42"/>
      <c r="AV48" s="40">
        <f t="shared" si="8"/>
        <v>0</v>
      </c>
      <c r="AW48" s="40" t="e">
        <f t="shared" si="9"/>
        <v>#DIV/0!</v>
      </c>
      <c r="AX48" s="40">
        <f t="shared" si="10"/>
        <v>0</v>
      </c>
      <c r="AY48" s="40" t="e">
        <f t="shared" si="11"/>
        <v>#DIV/0!</v>
      </c>
      <c r="AZ48" s="53">
        <v>3</v>
      </c>
      <c r="BA48" s="35" t="str">
        <f>+$J$48</f>
        <v>No. de Procesos de LMA Ejecutados</v>
      </c>
      <c r="BB48" s="39">
        <v>0</v>
      </c>
      <c r="BC48" s="42"/>
      <c r="BD48" s="42"/>
      <c r="BE48" s="40">
        <f t="shared" si="12"/>
        <v>0</v>
      </c>
      <c r="BF48" s="40" t="e">
        <f t="shared" si="13"/>
        <v>#DIV/0!</v>
      </c>
      <c r="BG48" s="40">
        <f t="shared" si="14"/>
        <v>0</v>
      </c>
      <c r="BH48" s="40" t="e">
        <f t="shared" si="15"/>
        <v>#DIV/0!</v>
      </c>
      <c r="BI48" s="44">
        <f t="shared" si="16"/>
        <v>0</v>
      </c>
      <c r="BJ48" s="44" t="str">
        <f t="shared" si="17"/>
        <v>No Prog ni Ejec</v>
      </c>
      <c r="BK48" s="44">
        <f t="shared" si="18"/>
        <v>0</v>
      </c>
      <c r="BL48" s="44" t="str">
        <f t="shared" si="19"/>
        <v>No Prog ni Ejec</v>
      </c>
      <c r="BM48" s="44">
        <f t="shared" si="20"/>
        <v>0</v>
      </c>
      <c r="BN48" s="44" t="str">
        <f t="shared" si="21"/>
        <v>No Prog ni Ejec</v>
      </c>
      <c r="BO48" s="44">
        <f t="shared" si="22"/>
        <v>0</v>
      </c>
      <c r="BP48" s="44" t="str">
        <f t="shared" si="23"/>
        <v>No Prog ni Ejec</v>
      </c>
      <c r="BQ48" s="42"/>
    </row>
    <row r="49" spans="1:69" s="45" customFormat="1" ht="105" x14ac:dyDescent="0.25">
      <c r="A49" s="34">
        <v>11400</v>
      </c>
      <c r="B49" s="35" t="str">
        <f>+VLOOKUP(A49,'[1]TAB. REF. PA'!$A$4:$B$14,2,FALSE)</f>
        <v>Dirección de Liquidaciones y Garantías</v>
      </c>
      <c r="C49" s="36" t="s">
        <v>188</v>
      </c>
      <c r="D49" s="35" t="s">
        <v>144</v>
      </c>
      <c r="E49" s="36" t="s">
        <v>481</v>
      </c>
      <c r="F49" s="35" t="s">
        <v>233</v>
      </c>
      <c r="G49" s="37" t="s">
        <v>124</v>
      </c>
      <c r="H49" s="52">
        <v>48</v>
      </c>
      <c r="I49" s="36" t="s">
        <v>482</v>
      </c>
      <c r="J49" s="38" t="s">
        <v>193</v>
      </c>
      <c r="K49" s="39">
        <v>0</v>
      </c>
      <c r="L49" s="40">
        <v>0.5</v>
      </c>
      <c r="M49" s="41" t="s">
        <v>46</v>
      </c>
      <c r="N49" s="41" t="s">
        <v>68</v>
      </c>
      <c r="O49" s="41" t="s">
        <v>21</v>
      </c>
      <c r="P49" s="41" t="s">
        <v>36</v>
      </c>
      <c r="Q49" s="41" t="s">
        <v>216</v>
      </c>
      <c r="R49" s="42"/>
      <c r="S49" s="41" t="s">
        <v>232</v>
      </c>
      <c r="T49" s="41" t="s">
        <v>99</v>
      </c>
      <c r="U49" s="53">
        <f t="shared" si="24"/>
        <v>48</v>
      </c>
      <c r="V49" s="35" t="str">
        <f>+$J$49</f>
        <v>Publicación Giro Directo Régimen Contributivo</v>
      </c>
      <c r="W49" s="39">
        <v>0</v>
      </c>
      <c r="X49" s="34" t="s">
        <v>117</v>
      </c>
      <c r="Y49" s="36">
        <v>12</v>
      </c>
      <c r="Z49" s="35" t="str">
        <f>+$J$49</f>
        <v>Publicación Giro Directo Régimen Contributivo</v>
      </c>
      <c r="AA49" s="39">
        <v>0</v>
      </c>
      <c r="AB49" s="42"/>
      <c r="AC49" s="42"/>
      <c r="AD49" s="40">
        <f t="shared" si="0"/>
        <v>0</v>
      </c>
      <c r="AE49" s="40" t="e">
        <f t="shared" si="1"/>
        <v>#DIV/0!</v>
      </c>
      <c r="AF49" s="40">
        <f t="shared" si="2"/>
        <v>0</v>
      </c>
      <c r="AG49" s="40" t="e">
        <f t="shared" si="3"/>
        <v>#DIV/0!</v>
      </c>
      <c r="AH49" s="36">
        <v>12</v>
      </c>
      <c r="AI49" s="35" t="str">
        <f>+$J$49</f>
        <v>Publicación Giro Directo Régimen Contributivo</v>
      </c>
      <c r="AJ49" s="39">
        <v>0</v>
      </c>
      <c r="AK49" s="42"/>
      <c r="AL49" s="42"/>
      <c r="AM49" s="40">
        <f t="shared" si="4"/>
        <v>0</v>
      </c>
      <c r="AN49" s="40" t="e">
        <f t="shared" si="5"/>
        <v>#DIV/0!</v>
      </c>
      <c r="AO49" s="40">
        <f t="shared" si="6"/>
        <v>0</v>
      </c>
      <c r="AP49" s="43" t="e">
        <f t="shared" si="7"/>
        <v>#DIV/0!</v>
      </c>
      <c r="AQ49" s="36">
        <v>12</v>
      </c>
      <c r="AR49" s="35" t="str">
        <f>+$J$49</f>
        <v>Publicación Giro Directo Régimen Contributivo</v>
      </c>
      <c r="AS49" s="39">
        <v>0</v>
      </c>
      <c r="AT49" s="42"/>
      <c r="AU49" s="42"/>
      <c r="AV49" s="40">
        <f t="shared" si="8"/>
        <v>0</v>
      </c>
      <c r="AW49" s="40" t="e">
        <f t="shared" si="9"/>
        <v>#DIV/0!</v>
      </c>
      <c r="AX49" s="40">
        <f t="shared" si="10"/>
        <v>0</v>
      </c>
      <c r="AY49" s="40" t="e">
        <f t="shared" si="11"/>
        <v>#DIV/0!</v>
      </c>
      <c r="AZ49" s="36">
        <v>12</v>
      </c>
      <c r="BA49" s="35" t="str">
        <f>+$J$49</f>
        <v>Publicación Giro Directo Régimen Contributivo</v>
      </c>
      <c r="BB49" s="39">
        <v>0</v>
      </c>
      <c r="BC49" s="42"/>
      <c r="BD49" s="42"/>
      <c r="BE49" s="40">
        <f t="shared" si="12"/>
        <v>0</v>
      </c>
      <c r="BF49" s="40" t="e">
        <f t="shared" si="13"/>
        <v>#DIV/0!</v>
      </c>
      <c r="BG49" s="40">
        <f t="shared" si="14"/>
        <v>0</v>
      </c>
      <c r="BH49" s="40" t="e">
        <f t="shared" si="15"/>
        <v>#DIV/0!</v>
      </c>
      <c r="BI49" s="44">
        <f t="shared" si="16"/>
        <v>0</v>
      </c>
      <c r="BJ49" s="44" t="str">
        <f t="shared" si="17"/>
        <v>No Prog ni Ejec</v>
      </c>
      <c r="BK49" s="44">
        <f t="shared" si="18"/>
        <v>0</v>
      </c>
      <c r="BL49" s="44" t="str">
        <f t="shared" si="19"/>
        <v>No Prog ni Ejec</v>
      </c>
      <c r="BM49" s="44">
        <f t="shared" si="20"/>
        <v>0</v>
      </c>
      <c r="BN49" s="44" t="str">
        <f t="shared" si="21"/>
        <v>No Prog ni Ejec</v>
      </c>
      <c r="BO49" s="44">
        <f t="shared" si="22"/>
        <v>0</v>
      </c>
      <c r="BP49" s="44" t="str">
        <f t="shared" si="23"/>
        <v>No Prog ni Ejec</v>
      </c>
      <c r="BQ49" s="42"/>
    </row>
    <row r="50" spans="1:69" s="45" customFormat="1" ht="105" x14ac:dyDescent="0.25">
      <c r="A50" s="34">
        <v>11400</v>
      </c>
      <c r="B50" s="35" t="str">
        <f>+VLOOKUP(A50,'[1]TAB. REF. PA'!$A$4:$B$14,2,FALSE)</f>
        <v>Dirección de Liquidaciones y Garantías</v>
      </c>
      <c r="C50" s="36" t="s">
        <v>188</v>
      </c>
      <c r="D50" s="35" t="s">
        <v>144</v>
      </c>
      <c r="E50" s="36" t="s">
        <v>481</v>
      </c>
      <c r="F50" s="35" t="s">
        <v>234</v>
      </c>
      <c r="G50" s="37" t="s">
        <v>124</v>
      </c>
      <c r="H50" s="36">
        <v>12</v>
      </c>
      <c r="I50" s="36" t="s">
        <v>483</v>
      </c>
      <c r="J50" s="38" t="s">
        <v>194</v>
      </c>
      <c r="K50" s="39">
        <v>0</v>
      </c>
      <c r="L50" s="40">
        <v>0.5</v>
      </c>
      <c r="M50" s="41" t="s">
        <v>46</v>
      </c>
      <c r="N50" s="41" t="s">
        <v>68</v>
      </c>
      <c r="O50" s="41" t="s">
        <v>21</v>
      </c>
      <c r="P50" s="41" t="s">
        <v>36</v>
      </c>
      <c r="Q50" s="41" t="s">
        <v>223</v>
      </c>
      <c r="R50" s="42"/>
      <c r="S50" s="41" t="s">
        <v>232</v>
      </c>
      <c r="T50" s="41" t="s">
        <v>99</v>
      </c>
      <c r="U50" s="53">
        <f t="shared" si="24"/>
        <v>12</v>
      </c>
      <c r="V50" s="35" t="str">
        <f>+$J$50</f>
        <v>Publicación Giro Directo Régimen Subsidiado</v>
      </c>
      <c r="W50" s="39">
        <v>0</v>
      </c>
      <c r="X50" s="34" t="s">
        <v>117</v>
      </c>
      <c r="Y50" s="53">
        <v>3</v>
      </c>
      <c r="Z50" s="35" t="str">
        <f>+$J$50</f>
        <v>Publicación Giro Directo Régimen Subsidiado</v>
      </c>
      <c r="AA50" s="39">
        <v>0</v>
      </c>
      <c r="AB50" s="42"/>
      <c r="AC50" s="42"/>
      <c r="AD50" s="40">
        <f t="shared" si="0"/>
        <v>0</v>
      </c>
      <c r="AE50" s="40" t="e">
        <f t="shared" si="1"/>
        <v>#DIV/0!</v>
      </c>
      <c r="AF50" s="40">
        <f t="shared" si="2"/>
        <v>0</v>
      </c>
      <c r="AG50" s="40" t="e">
        <f t="shared" si="3"/>
        <v>#DIV/0!</v>
      </c>
      <c r="AH50" s="53">
        <v>3</v>
      </c>
      <c r="AI50" s="35" t="str">
        <f>+$J$50</f>
        <v>Publicación Giro Directo Régimen Subsidiado</v>
      </c>
      <c r="AJ50" s="39">
        <v>0</v>
      </c>
      <c r="AK50" s="42"/>
      <c r="AL50" s="42"/>
      <c r="AM50" s="40">
        <f t="shared" si="4"/>
        <v>0</v>
      </c>
      <c r="AN50" s="40" t="e">
        <f t="shared" si="5"/>
        <v>#DIV/0!</v>
      </c>
      <c r="AO50" s="40">
        <f t="shared" si="6"/>
        <v>0</v>
      </c>
      <c r="AP50" s="43" t="e">
        <f t="shared" si="7"/>
        <v>#DIV/0!</v>
      </c>
      <c r="AQ50" s="53">
        <v>3</v>
      </c>
      <c r="AR50" s="35" t="str">
        <f>+$J$50</f>
        <v>Publicación Giro Directo Régimen Subsidiado</v>
      </c>
      <c r="AS50" s="39">
        <v>0</v>
      </c>
      <c r="AT50" s="42"/>
      <c r="AU50" s="42"/>
      <c r="AV50" s="40">
        <f t="shared" si="8"/>
        <v>0</v>
      </c>
      <c r="AW50" s="40" t="e">
        <f t="shared" si="9"/>
        <v>#DIV/0!</v>
      </c>
      <c r="AX50" s="40">
        <f t="shared" si="10"/>
        <v>0</v>
      </c>
      <c r="AY50" s="40" t="e">
        <f t="shared" si="11"/>
        <v>#DIV/0!</v>
      </c>
      <c r="AZ50" s="53">
        <v>3</v>
      </c>
      <c r="BA50" s="35" t="str">
        <f>+$J$50</f>
        <v>Publicación Giro Directo Régimen Subsidiado</v>
      </c>
      <c r="BB50" s="39">
        <v>0</v>
      </c>
      <c r="BC50" s="42"/>
      <c r="BD50" s="42"/>
      <c r="BE50" s="40">
        <f t="shared" si="12"/>
        <v>0</v>
      </c>
      <c r="BF50" s="40" t="e">
        <f t="shared" si="13"/>
        <v>#DIV/0!</v>
      </c>
      <c r="BG50" s="40">
        <f t="shared" si="14"/>
        <v>0</v>
      </c>
      <c r="BH50" s="40" t="e">
        <f t="shared" si="15"/>
        <v>#DIV/0!</v>
      </c>
      <c r="BI50" s="44">
        <f t="shared" si="16"/>
        <v>0</v>
      </c>
      <c r="BJ50" s="44" t="str">
        <f t="shared" si="17"/>
        <v>No Prog ni Ejec</v>
      </c>
      <c r="BK50" s="44">
        <f t="shared" si="18"/>
        <v>0</v>
      </c>
      <c r="BL50" s="44" t="str">
        <f t="shared" si="19"/>
        <v>No Prog ni Ejec</v>
      </c>
      <c r="BM50" s="44">
        <f t="shared" si="20"/>
        <v>0</v>
      </c>
      <c r="BN50" s="44" t="str">
        <f t="shared" si="21"/>
        <v>No Prog ni Ejec</v>
      </c>
      <c r="BO50" s="44">
        <f t="shared" si="22"/>
        <v>0</v>
      </c>
      <c r="BP50" s="44" t="str">
        <f t="shared" si="23"/>
        <v>No Prog ni Ejec</v>
      </c>
      <c r="BQ50" s="42"/>
    </row>
    <row r="51" spans="1:69" s="45" customFormat="1" ht="120" x14ac:dyDescent="0.25">
      <c r="A51" s="34">
        <v>11400</v>
      </c>
      <c r="B51" s="35" t="str">
        <f>+VLOOKUP(A51,'[1]TAB. REF. PA'!$A$4:$B$14,2,FALSE)</f>
        <v>Dirección de Liquidaciones y Garantías</v>
      </c>
      <c r="C51" s="36" t="s">
        <v>188</v>
      </c>
      <c r="D51" s="35" t="s">
        <v>144</v>
      </c>
      <c r="E51" s="36" t="s">
        <v>484</v>
      </c>
      <c r="F51" s="35" t="s">
        <v>195</v>
      </c>
      <c r="G51" s="37" t="s">
        <v>123</v>
      </c>
      <c r="H51" s="50">
        <v>1</v>
      </c>
      <c r="I51" s="36" t="s">
        <v>485</v>
      </c>
      <c r="J51" s="38" t="s">
        <v>196</v>
      </c>
      <c r="K51" s="39">
        <v>0</v>
      </c>
      <c r="L51" s="40">
        <v>0.5</v>
      </c>
      <c r="M51" s="41" t="s">
        <v>46</v>
      </c>
      <c r="N51" s="41" t="s">
        <v>68</v>
      </c>
      <c r="O51" s="41" t="s">
        <v>21</v>
      </c>
      <c r="P51" s="41" t="s">
        <v>36</v>
      </c>
      <c r="Q51" s="41" t="s">
        <v>216</v>
      </c>
      <c r="R51" s="42"/>
      <c r="S51" s="41" t="s">
        <v>235</v>
      </c>
      <c r="T51" s="41" t="s">
        <v>99</v>
      </c>
      <c r="U51" s="47">
        <v>1</v>
      </c>
      <c r="V51" s="35" t="str">
        <f>+$J$51</f>
        <v>Trámite de prestaciones económicas REX</v>
      </c>
      <c r="W51" s="39">
        <v>0</v>
      </c>
      <c r="X51" s="34" t="s">
        <v>117</v>
      </c>
      <c r="Y51" s="47">
        <v>1</v>
      </c>
      <c r="Z51" s="35" t="str">
        <f>+$J$51</f>
        <v>Trámite de prestaciones económicas REX</v>
      </c>
      <c r="AA51" s="39">
        <v>0</v>
      </c>
      <c r="AB51" s="42"/>
      <c r="AC51" s="42"/>
      <c r="AD51" s="40">
        <f t="shared" si="0"/>
        <v>0</v>
      </c>
      <c r="AE51" s="40" t="e">
        <f t="shared" si="1"/>
        <v>#DIV/0!</v>
      </c>
      <c r="AF51" s="40">
        <f t="shared" si="2"/>
        <v>0</v>
      </c>
      <c r="AG51" s="40" t="e">
        <f t="shared" si="3"/>
        <v>#DIV/0!</v>
      </c>
      <c r="AH51" s="54">
        <v>1</v>
      </c>
      <c r="AI51" s="35" t="str">
        <f>+$J$51</f>
        <v>Trámite de prestaciones económicas REX</v>
      </c>
      <c r="AJ51" s="39">
        <v>0</v>
      </c>
      <c r="AK51" s="54"/>
      <c r="AL51" s="42"/>
      <c r="AM51" s="40">
        <f t="shared" si="4"/>
        <v>0</v>
      </c>
      <c r="AN51" s="40" t="e">
        <f t="shared" si="5"/>
        <v>#DIV/0!</v>
      </c>
      <c r="AO51" s="40">
        <f t="shared" si="6"/>
        <v>0</v>
      </c>
      <c r="AP51" s="43" t="e">
        <f t="shared" si="7"/>
        <v>#DIV/0!</v>
      </c>
      <c r="AQ51" s="54">
        <v>1</v>
      </c>
      <c r="AR51" s="35" t="str">
        <f>+$J$51</f>
        <v>Trámite de prestaciones económicas REX</v>
      </c>
      <c r="AS51" s="39">
        <v>0</v>
      </c>
      <c r="AT51" s="54">
        <v>1</v>
      </c>
      <c r="AU51" s="42"/>
      <c r="AV51" s="40">
        <f t="shared" si="8"/>
        <v>1</v>
      </c>
      <c r="AW51" s="40" t="e">
        <f t="shared" si="9"/>
        <v>#DIV/0!</v>
      </c>
      <c r="AX51" s="40">
        <f t="shared" si="10"/>
        <v>1</v>
      </c>
      <c r="AY51" s="40" t="e">
        <f t="shared" si="11"/>
        <v>#DIV/0!</v>
      </c>
      <c r="AZ51" s="54">
        <v>1</v>
      </c>
      <c r="BA51" s="35" t="str">
        <f>+$J$51</f>
        <v>Trámite de prestaciones económicas REX</v>
      </c>
      <c r="BB51" s="39">
        <v>0</v>
      </c>
      <c r="BC51" s="47"/>
      <c r="BD51" s="42"/>
      <c r="BE51" s="40">
        <f t="shared" si="12"/>
        <v>0</v>
      </c>
      <c r="BF51" s="40" t="e">
        <f t="shared" si="13"/>
        <v>#DIV/0!</v>
      </c>
      <c r="BG51" s="40">
        <f t="shared" si="14"/>
        <v>1</v>
      </c>
      <c r="BH51" s="40" t="e">
        <f t="shared" si="15"/>
        <v>#DIV/0!</v>
      </c>
      <c r="BI51" s="44">
        <f t="shared" si="16"/>
        <v>0</v>
      </c>
      <c r="BJ51" s="44" t="str">
        <f t="shared" si="17"/>
        <v>No Prog ni Ejec</v>
      </c>
      <c r="BK51" s="44">
        <f t="shared" si="18"/>
        <v>0</v>
      </c>
      <c r="BL51" s="44" t="str">
        <f t="shared" si="19"/>
        <v>No Prog ni Ejec</v>
      </c>
      <c r="BM51" s="44">
        <f t="shared" si="20"/>
        <v>1</v>
      </c>
      <c r="BN51" s="44" t="str">
        <f t="shared" si="21"/>
        <v>No Prog ni Ejec</v>
      </c>
      <c r="BO51" s="44">
        <f t="shared" si="22"/>
        <v>0</v>
      </c>
      <c r="BP51" s="44" t="str">
        <f t="shared" si="23"/>
        <v>No Prog ni Ejec</v>
      </c>
      <c r="BQ51" s="42"/>
    </row>
    <row r="52" spans="1:69" s="45" customFormat="1" ht="120" x14ac:dyDescent="0.25">
      <c r="A52" s="34">
        <v>11400</v>
      </c>
      <c r="B52" s="35" t="str">
        <f>+VLOOKUP(A52,'[1]TAB. REF. PA'!$A$4:$B$14,2,FALSE)</f>
        <v>Dirección de Liquidaciones y Garantías</v>
      </c>
      <c r="C52" s="36" t="s">
        <v>188</v>
      </c>
      <c r="D52" s="35" t="s">
        <v>144</v>
      </c>
      <c r="E52" s="36" t="s">
        <v>484</v>
      </c>
      <c r="F52" s="35" t="s">
        <v>195</v>
      </c>
      <c r="G52" s="37" t="s">
        <v>123</v>
      </c>
      <c r="H52" s="50">
        <v>1</v>
      </c>
      <c r="I52" s="36" t="s">
        <v>486</v>
      </c>
      <c r="J52" s="38" t="s">
        <v>197</v>
      </c>
      <c r="K52" s="39">
        <v>48960000</v>
      </c>
      <c r="L52" s="40">
        <v>0.5</v>
      </c>
      <c r="M52" s="41" t="s">
        <v>46</v>
      </c>
      <c r="N52" s="41" t="s">
        <v>68</v>
      </c>
      <c r="O52" s="41" t="s">
        <v>21</v>
      </c>
      <c r="P52" s="41" t="s">
        <v>36</v>
      </c>
      <c r="Q52" s="41" t="s">
        <v>216</v>
      </c>
      <c r="R52" s="42"/>
      <c r="S52" s="41" t="s">
        <v>236</v>
      </c>
      <c r="T52" s="41" t="s">
        <v>99</v>
      </c>
      <c r="U52" s="47">
        <v>1</v>
      </c>
      <c r="V52" s="35" t="str">
        <f>+$J$52</f>
        <v>Trámite de devolución de aportes REX</v>
      </c>
      <c r="W52" s="39">
        <f>+K52</f>
        <v>48960000</v>
      </c>
      <c r="X52" s="34" t="s">
        <v>114</v>
      </c>
      <c r="Y52" s="54">
        <v>1</v>
      </c>
      <c r="Z52" s="35" t="str">
        <f>+$J$52</f>
        <v>Trámite de devolución de aportes REX</v>
      </c>
      <c r="AA52" s="39">
        <v>12240000</v>
      </c>
      <c r="AB52" s="55"/>
      <c r="AC52" s="42"/>
      <c r="AD52" s="40">
        <f t="shared" si="0"/>
        <v>0</v>
      </c>
      <c r="AE52" s="40">
        <f t="shared" si="1"/>
        <v>0</v>
      </c>
      <c r="AF52" s="40">
        <f t="shared" si="2"/>
        <v>0</v>
      </c>
      <c r="AG52" s="40">
        <f t="shared" si="3"/>
        <v>0</v>
      </c>
      <c r="AH52" s="54">
        <v>1</v>
      </c>
      <c r="AI52" s="35" t="str">
        <f>+$J$52</f>
        <v>Trámite de devolución de aportes REX</v>
      </c>
      <c r="AJ52" s="39">
        <v>12240000</v>
      </c>
      <c r="AK52" s="54"/>
      <c r="AL52" s="42"/>
      <c r="AM52" s="40">
        <f t="shared" si="4"/>
        <v>0</v>
      </c>
      <c r="AN52" s="40">
        <f t="shared" si="5"/>
        <v>0</v>
      </c>
      <c r="AO52" s="40">
        <f t="shared" si="6"/>
        <v>0</v>
      </c>
      <c r="AP52" s="43">
        <f t="shared" si="7"/>
        <v>0</v>
      </c>
      <c r="AQ52" s="54">
        <v>1</v>
      </c>
      <c r="AR52" s="35" t="str">
        <f>+$J$52</f>
        <v>Trámite de devolución de aportes REX</v>
      </c>
      <c r="AS52" s="39">
        <v>12240000</v>
      </c>
      <c r="AT52" s="54"/>
      <c r="AU52" s="42"/>
      <c r="AV52" s="40">
        <f t="shared" si="8"/>
        <v>0</v>
      </c>
      <c r="AW52" s="40">
        <f t="shared" si="9"/>
        <v>0</v>
      </c>
      <c r="AX52" s="40">
        <f t="shared" si="10"/>
        <v>0</v>
      </c>
      <c r="AY52" s="40">
        <f t="shared" si="11"/>
        <v>0</v>
      </c>
      <c r="AZ52" s="54">
        <v>1</v>
      </c>
      <c r="BA52" s="35" t="str">
        <f>+$J$52</f>
        <v>Trámite de devolución de aportes REX</v>
      </c>
      <c r="BB52" s="39">
        <v>12240000</v>
      </c>
      <c r="BC52" s="47"/>
      <c r="BD52" s="42"/>
      <c r="BE52" s="40">
        <f t="shared" si="12"/>
        <v>0</v>
      </c>
      <c r="BF52" s="40">
        <f t="shared" si="13"/>
        <v>0</v>
      </c>
      <c r="BG52" s="40">
        <f t="shared" si="14"/>
        <v>0</v>
      </c>
      <c r="BH52" s="40">
        <f t="shared" si="15"/>
        <v>0</v>
      </c>
      <c r="BI52" s="44">
        <f t="shared" si="16"/>
        <v>0</v>
      </c>
      <c r="BJ52" s="44">
        <f t="shared" si="17"/>
        <v>0</v>
      </c>
      <c r="BK52" s="44">
        <f t="shared" si="18"/>
        <v>0</v>
      </c>
      <c r="BL52" s="44">
        <f t="shared" si="19"/>
        <v>0</v>
      </c>
      <c r="BM52" s="44">
        <f t="shared" si="20"/>
        <v>0</v>
      </c>
      <c r="BN52" s="44">
        <f t="shared" si="21"/>
        <v>0</v>
      </c>
      <c r="BO52" s="44">
        <f t="shared" si="22"/>
        <v>0</v>
      </c>
      <c r="BP52" s="44">
        <f t="shared" si="23"/>
        <v>0</v>
      </c>
      <c r="BQ52" s="42"/>
    </row>
    <row r="53" spans="1:69" s="45" customFormat="1" ht="105" x14ac:dyDescent="0.25">
      <c r="A53" s="34">
        <v>11400</v>
      </c>
      <c r="B53" s="35" t="str">
        <f>+VLOOKUP(A53,'[1]TAB. REF. PA'!$A$4:$B$14,2,FALSE)</f>
        <v>Dirección de Liquidaciones y Garantías</v>
      </c>
      <c r="C53" s="36" t="s">
        <v>188</v>
      </c>
      <c r="D53" s="35" t="s">
        <v>144</v>
      </c>
      <c r="E53" s="36" t="s">
        <v>487</v>
      </c>
      <c r="F53" s="35" t="s">
        <v>476</v>
      </c>
      <c r="G53" s="37" t="s">
        <v>123</v>
      </c>
      <c r="H53" s="50">
        <v>1</v>
      </c>
      <c r="I53" s="36" t="s">
        <v>488</v>
      </c>
      <c r="J53" s="38" t="s">
        <v>473</v>
      </c>
      <c r="K53" s="39">
        <v>164378848</v>
      </c>
      <c r="L53" s="40">
        <v>1</v>
      </c>
      <c r="M53" s="41" t="s">
        <v>46</v>
      </c>
      <c r="N53" s="41" t="s">
        <v>68</v>
      </c>
      <c r="O53" s="41" t="s">
        <v>21</v>
      </c>
      <c r="P53" s="41" t="s">
        <v>36</v>
      </c>
      <c r="Q53" s="41" t="s">
        <v>216</v>
      </c>
      <c r="R53" s="42"/>
      <c r="S53" s="41" t="s">
        <v>474</v>
      </c>
      <c r="T53" s="41" t="s">
        <v>99</v>
      </c>
      <c r="U53" s="47">
        <v>1</v>
      </c>
      <c r="V53" s="35" t="str">
        <f>+$J$53</f>
        <v>Elaboración de solicitudes de aclaración sobre apropiaciones sin justa causa</v>
      </c>
      <c r="W53" s="39">
        <f>+K53</f>
        <v>164378848</v>
      </c>
      <c r="X53" s="34" t="s">
        <v>117</v>
      </c>
      <c r="Y53" s="54">
        <v>1</v>
      </c>
      <c r="Z53" s="35" t="str">
        <f>+$J$53</f>
        <v>Elaboración de solicitudes de aclaración sobre apropiaciones sin justa causa</v>
      </c>
      <c r="AA53" s="39">
        <v>46231551</v>
      </c>
      <c r="AB53" s="42"/>
      <c r="AC53" s="42"/>
      <c r="AD53" s="40">
        <f t="shared" si="0"/>
        <v>0</v>
      </c>
      <c r="AE53" s="40">
        <f t="shared" si="1"/>
        <v>0</v>
      </c>
      <c r="AF53" s="40">
        <f t="shared" si="2"/>
        <v>0</v>
      </c>
      <c r="AG53" s="40">
        <f t="shared" si="3"/>
        <v>0</v>
      </c>
      <c r="AH53" s="54">
        <v>1</v>
      </c>
      <c r="AI53" s="35" t="str">
        <f>+$J$53</f>
        <v>Elaboración de solicitudes de aclaración sobre apropiaciones sin justa causa</v>
      </c>
      <c r="AJ53" s="39">
        <v>46231551</v>
      </c>
      <c r="AK53" s="54"/>
      <c r="AL53" s="42"/>
      <c r="AM53" s="40">
        <f t="shared" si="4"/>
        <v>0</v>
      </c>
      <c r="AN53" s="40">
        <f t="shared" si="5"/>
        <v>0</v>
      </c>
      <c r="AO53" s="40">
        <f t="shared" si="6"/>
        <v>0</v>
      </c>
      <c r="AP53" s="43">
        <f t="shared" si="7"/>
        <v>0</v>
      </c>
      <c r="AQ53" s="54">
        <v>1</v>
      </c>
      <c r="AR53" s="35" t="str">
        <f>+$J$53</f>
        <v>Elaboración de solicitudes de aclaración sobre apropiaciones sin justa causa</v>
      </c>
      <c r="AS53" s="39">
        <v>41094712</v>
      </c>
      <c r="AT53" s="54"/>
      <c r="AU53" s="42"/>
      <c r="AV53" s="40">
        <f t="shared" si="8"/>
        <v>0</v>
      </c>
      <c r="AW53" s="40">
        <f t="shared" si="9"/>
        <v>0</v>
      </c>
      <c r="AX53" s="40">
        <f t="shared" si="10"/>
        <v>0</v>
      </c>
      <c r="AY53" s="40">
        <f t="shared" si="11"/>
        <v>0</v>
      </c>
      <c r="AZ53" s="54">
        <v>1</v>
      </c>
      <c r="BA53" s="35" t="str">
        <f>+$J$53</f>
        <v>Elaboración de solicitudes de aclaración sobre apropiaciones sin justa causa</v>
      </c>
      <c r="BB53" s="39">
        <v>30821034</v>
      </c>
      <c r="BC53" s="47"/>
      <c r="BD53" s="42"/>
      <c r="BE53" s="40">
        <f t="shared" si="12"/>
        <v>0</v>
      </c>
      <c r="BF53" s="40">
        <f t="shared" si="13"/>
        <v>0</v>
      </c>
      <c r="BG53" s="40">
        <f t="shared" si="14"/>
        <v>0</v>
      </c>
      <c r="BH53" s="40">
        <f t="shared" si="15"/>
        <v>0</v>
      </c>
      <c r="BI53" s="44">
        <f t="shared" si="16"/>
        <v>0</v>
      </c>
      <c r="BJ53" s="44">
        <f t="shared" si="17"/>
        <v>0</v>
      </c>
      <c r="BK53" s="44">
        <f t="shared" si="18"/>
        <v>0</v>
      </c>
      <c r="BL53" s="44">
        <f t="shared" si="19"/>
        <v>0</v>
      </c>
      <c r="BM53" s="44">
        <f t="shared" si="20"/>
        <v>0</v>
      </c>
      <c r="BN53" s="44">
        <f t="shared" si="21"/>
        <v>0</v>
      </c>
      <c r="BO53" s="44">
        <f t="shared" si="22"/>
        <v>0</v>
      </c>
      <c r="BP53" s="44">
        <f t="shared" si="23"/>
        <v>0</v>
      </c>
      <c r="BQ53" s="42"/>
    </row>
    <row r="54" spans="1:69" s="45" customFormat="1" ht="120" x14ac:dyDescent="0.25">
      <c r="A54" s="34">
        <v>11400</v>
      </c>
      <c r="B54" s="35" t="str">
        <f>+VLOOKUP(A54,'[1]TAB. REF. PA'!$A$4:$B$14,2,FALSE)</f>
        <v>Dirección de Liquidaciones y Garantías</v>
      </c>
      <c r="C54" s="36" t="s">
        <v>188</v>
      </c>
      <c r="D54" s="35" t="s">
        <v>144</v>
      </c>
      <c r="E54" s="36" t="s">
        <v>489</v>
      </c>
      <c r="F54" s="35" t="s">
        <v>198</v>
      </c>
      <c r="G54" s="37" t="s">
        <v>123</v>
      </c>
      <c r="H54" s="50">
        <v>1</v>
      </c>
      <c r="I54" s="36" t="s">
        <v>490</v>
      </c>
      <c r="J54" s="38" t="s">
        <v>199</v>
      </c>
      <c r="K54" s="39">
        <v>0</v>
      </c>
      <c r="L54" s="40">
        <v>1</v>
      </c>
      <c r="M54" s="41" t="s">
        <v>46</v>
      </c>
      <c r="N54" s="41" t="s">
        <v>68</v>
      </c>
      <c r="O54" s="41" t="s">
        <v>21</v>
      </c>
      <c r="P54" s="41" t="s">
        <v>36</v>
      </c>
      <c r="Q54" s="41" t="s">
        <v>223</v>
      </c>
      <c r="R54" s="42"/>
      <c r="S54" s="41" t="s">
        <v>475</v>
      </c>
      <c r="T54" s="41" t="s">
        <v>99</v>
      </c>
      <c r="U54" s="47">
        <v>1</v>
      </c>
      <c r="V54" s="35" t="str">
        <f>+$J$54</f>
        <v>Elaboración de Informes de auditoría de reintegro de recursos</v>
      </c>
      <c r="W54" s="39">
        <v>0</v>
      </c>
      <c r="X54" s="34" t="s">
        <v>117</v>
      </c>
      <c r="Y54" s="47">
        <v>1</v>
      </c>
      <c r="Z54" s="35" t="str">
        <f>+$J$54</f>
        <v>Elaboración de Informes de auditoría de reintegro de recursos</v>
      </c>
      <c r="AA54" s="39">
        <v>0</v>
      </c>
      <c r="AB54" s="42"/>
      <c r="AC54" s="42"/>
      <c r="AD54" s="40">
        <f t="shared" si="0"/>
        <v>0</v>
      </c>
      <c r="AE54" s="40" t="e">
        <f t="shared" si="1"/>
        <v>#DIV/0!</v>
      </c>
      <c r="AF54" s="40">
        <f t="shared" si="2"/>
        <v>0</v>
      </c>
      <c r="AG54" s="40" t="e">
        <f t="shared" si="3"/>
        <v>#DIV/0!</v>
      </c>
      <c r="AH54" s="54">
        <v>1</v>
      </c>
      <c r="AI54" s="35" t="str">
        <f>+$J$54</f>
        <v>Elaboración de Informes de auditoría de reintegro de recursos</v>
      </c>
      <c r="AJ54" s="39">
        <v>0</v>
      </c>
      <c r="AK54" s="54"/>
      <c r="AL54" s="42"/>
      <c r="AM54" s="40">
        <f t="shared" si="4"/>
        <v>0</v>
      </c>
      <c r="AN54" s="40" t="e">
        <f t="shared" si="5"/>
        <v>#DIV/0!</v>
      </c>
      <c r="AO54" s="40">
        <f t="shared" si="6"/>
        <v>0</v>
      </c>
      <c r="AP54" s="43" t="e">
        <f t="shared" si="7"/>
        <v>#DIV/0!</v>
      </c>
      <c r="AQ54" s="54">
        <v>1</v>
      </c>
      <c r="AR54" s="35" t="str">
        <f>+$J$54</f>
        <v>Elaboración de Informes de auditoría de reintegro de recursos</v>
      </c>
      <c r="AS54" s="39">
        <v>0</v>
      </c>
      <c r="AT54" s="54"/>
      <c r="AU54" s="42"/>
      <c r="AV54" s="40">
        <f t="shared" si="8"/>
        <v>0</v>
      </c>
      <c r="AW54" s="40" t="e">
        <f t="shared" si="9"/>
        <v>#DIV/0!</v>
      </c>
      <c r="AX54" s="40">
        <f t="shared" si="10"/>
        <v>0</v>
      </c>
      <c r="AY54" s="40" t="e">
        <f t="shared" si="11"/>
        <v>#DIV/0!</v>
      </c>
      <c r="AZ54" s="54">
        <v>1</v>
      </c>
      <c r="BA54" s="35" t="str">
        <f>+$J$54</f>
        <v>Elaboración de Informes de auditoría de reintegro de recursos</v>
      </c>
      <c r="BB54" s="39">
        <v>0</v>
      </c>
      <c r="BC54" s="47"/>
      <c r="BD54" s="42"/>
      <c r="BE54" s="40">
        <f t="shared" si="12"/>
        <v>0</v>
      </c>
      <c r="BF54" s="40" t="e">
        <f t="shared" si="13"/>
        <v>#DIV/0!</v>
      </c>
      <c r="BG54" s="40">
        <f t="shared" si="14"/>
        <v>0</v>
      </c>
      <c r="BH54" s="40" t="e">
        <f t="shared" si="15"/>
        <v>#DIV/0!</v>
      </c>
      <c r="BI54" s="44">
        <f t="shared" si="16"/>
        <v>0</v>
      </c>
      <c r="BJ54" s="44" t="str">
        <f t="shared" si="17"/>
        <v>No Prog ni Ejec</v>
      </c>
      <c r="BK54" s="44">
        <f t="shared" si="18"/>
        <v>0</v>
      </c>
      <c r="BL54" s="44" t="str">
        <f t="shared" si="19"/>
        <v>No Prog ni Ejec</v>
      </c>
      <c r="BM54" s="44">
        <f t="shared" si="20"/>
        <v>0</v>
      </c>
      <c r="BN54" s="44" t="str">
        <f t="shared" si="21"/>
        <v>No Prog ni Ejec</v>
      </c>
      <c r="BO54" s="44">
        <f t="shared" si="22"/>
        <v>0</v>
      </c>
      <c r="BP54" s="44" t="str">
        <f t="shared" si="23"/>
        <v>No Prog ni Ejec</v>
      </c>
      <c r="BQ54" s="42"/>
    </row>
    <row r="55" spans="1:69" s="45" customFormat="1" ht="137.25" customHeight="1" x14ac:dyDescent="0.25">
      <c r="A55" s="34">
        <v>11400</v>
      </c>
      <c r="B55" s="35" t="str">
        <f>+VLOOKUP(A55,'[1]TAB. REF. PA'!$A$4:$B$14,2,FALSE)</f>
        <v>Dirección de Liquidaciones y Garantías</v>
      </c>
      <c r="C55" s="36" t="s">
        <v>188</v>
      </c>
      <c r="D55" s="35" t="s">
        <v>144</v>
      </c>
      <c r="E55" s="36" t="s">
        <v>491</v>
      </c>
      <c r="F55" s="35" t="s">
        <v>478</v>
      </c>
      <c r="G55" s="37" t="s">
        <v>123</v>
      </c>
      <c r="H55" s="50">
        <v>1</v>
      </c>
      <c r="I55" s="36" t="s">
        <v>492</v>
      </c>
      <c r="J55" s="38" t="s">
        <v>477</v>
      </c>
      <c r="K55" s="39">
        <v>0</v>
      </c>
      <c r="L55" s="40">
        <v>1</v>
      </c>
      <c r="M55" s="41" t="s">
        <v>46</v>
      </c>
      <c r="N55" s="41" t="s">
        <v>68</v>
      </c>
      <c r="O55" s="41" t="s">
        <v>21</v>
      </c>
      <c r="P55" s="41" t="s">
        <v>36</v>
      </c>
      <c r="Q55" s="41" t="s">
        <v>223</v>
      </c>
      <c r="R55" s="42"/>
      <c r="S55" s="41" t="s">
        <v>507</v>
      </c>
      <c r="T55" s="41" t="s">
        <v>99</v>
      </c>
      <c r="U55" s="47">
        <v>1</v>
      </c>
      <c r="V55" s="35" t="str">
        <f>+$J$55</f>
        <v>Elaboración de comunicaciones con las conclusiones del procedimiento de la auditoría de reintegro de recursos</v>
      </c>
      <c r="W55" s="39">
        <v>0</v>
      </c>
      <c r="X55" s="34" t="s">
        <v>117</v>
      </c>
      <c r="Y55" s="47">
        <v>1</v>
      </c>
      <c r="Z55" s="35" t="str">
        <f>+$J$55</f>
        <v>Elaboración de comunicaciones con las conclusiones del procedimiento de la auditoría de reintegro de recursos</v>
      </c>
      <c r="AA55" s="39">
        <v>0</v>
      </c>
      <c r="AB55" s="42"/>
      <c r="AC55" s="42"/>
      <c r="AD55" s="40">
        <f t="shared" si="0"/>
        <v>0</v>
      </c>
      <c r="AE55" s="40" t="e">
        <f t="shared" si="1"/>
        <v>#DIV/0!</v>
      </c>
      <c r="AF55" s="40">
        <f t="shared" si="2"/>
        <v>0</v>
      </c>
      <c r="AG55" s="40" t="e">
        <f t="shared" si="3"/>
        <v>#DIV/0!</v>
      </c>
      <c r="AH55" s="54">
        <v>1</v>
      </c>
      <c r="AI55" s="35" t="str">
        <f>+$J$55</f>
        <v>Elaboración de comunicaciones con las conclusiones del procedimiento de la auditoría de reintegro de recursos</v>
      </c>
      <c r="AJ55" s="39">
        <v>0</v>
      </c>
      <c r="AK55" s="54"/>
      <c r="AL55" s="42"/>
      <c r="AM55" s="40">
        <f t="shared" si="4"/>
        <v>0</v>
      </c>
      <c r="AN55" s="40" t="e">
        <f t="shared" si="5"/>
        <v>#DIV/0!</v>
      </c>
      <c r="AO55" s="40">
        <f t="shared" si="6"/>
        <v>0</v>
      </c>
      <c r="AP55" s="43" t="e">
        <f t="shared" si="7"/>
        <v>#DIV/0!</v>
      </c>
      <c r="AQ55" s="54">
        <v>1</v>
      </c>
      <c r="AR55" s="35" t="str">
        <f>+$J$55</f>
        <v>Elaboración de comunicaciones con las conclusiones del procedimiento de la auditoría de reintegro de recursos</v>
      </c>
      <c r="AS55" s="39">
        <v>0</v>
      </c>
      <c r="AT55" s="54"/>
      <c r="AU55" s="42"/>
      <c r="AV55" s="40">
        <f t="shared" si="8"/>
        <v>0</v>
      </c>
      <c r="AW55" s="40" t="e">
        <f t="shared" si="9"/>
        <v>#DIV/0!</v>
      </c>
      <c r="AX55" s="40">
        <f t="shared" si="10"/>
        <v>0</v>
      </c>
      <c r="AY55" s="40" t="e">
        <f t="shared" si="11"/>
        <v>#DIV/0!</v>
      </c>
      <c r="AZ55" s="54">
        <v>1</v>
      </c>
      <c r="BA55" s="35" t="str">
        <f>+$J$55</f>
        <v>Elaboración de comunicaciones con las conclusiones del procedimiento de la auditoría de reintegro de recursos</v>
      </c>
      <c r="BB55" s="39">
        <v>0</v>
      </c>
      <c r="BC55" s="47"/>
      <c r="BD55" s="42"/>
      <c r="BE55" s="40">
        <f t="shared" si="12"/>
        <v>0</v>
      </c>
      <c r="BF55" s="40" t="e">
        <f t="shared" si="13"/>
        <v>#DIV/0!</v>
      </c>
      <c r="BG55" s="40">
        <f t="shared" si="14"/>
        <v>0</v>
      </c>
      <c r="BH55" s="40" t="e">
        <f t="shared" si="15"/>
        <v>#DIV/0!</v>
      </c>
      <c r="BI55" s="44">
        <f t="shared" si="16"/>
        <v>0</v>
      </c>
      <c r="BJ55" s="44" t="str">
        <f t="shared" si="17"/>
        <v>No Prog ni Ejec</v>
      </c>
      <c r="BK55" s="44">
        <f t="shared" si="18"/>
        <v>0</v>
      </c>
      <c r="BL55" s="44" t="str">
        <f t="shared" si="19"/>
        <v>No Prog ni Ejec</v>
      </c>
      <c r="BM55" s="44">
        <f t="shared" si="20"/>
        <v>0</v>
      </c>
      <c r="BN55" s="44" t="str">
        <f t="shared" si="21"/>
        <v>No Prog ni Ejec</v>
      </c>
      <c r="BO55" s="44">
        <f t="shared" si="22"/>
        <v>0</v>
      </c>
      <c r="BP55" s="44" t="str">
        <f t="shared" si="23"/>
        <v>No Prog ni Ejec</v>
      </c>
      <c r="BQ55" s="42"/>
    </row>
    <row r="56" spans="1:69" s="45" customFormat="1" ht="105" x14ac:dyDescent="0.25">
      <c r="A56" s="34">
        <v>11400</v>
      </c>
      <c r="B56" s="35" t="str">
        <f>+VLOOKUP(A56,'[1]TAB. REF. PA'!$A$4:$B$14,2,FALSE)</f>
        <v>Dirección de Liquidaciones y Garantías</v>
      </c>
      <c r="C56" s="36" t="s">
        <v>188</v>
      </c>
      <c r="D56" s="35" t="s">
        <v>144</v>
      </c>
      <c r="E56" s="36" t="s">
        <v>493</v>
      </c>
      <c r="F56" s="35" t="s">
        <v>200</v>
      </c>
      <c r="G56" s="37" t="s">
        <v>123</v>
      </c>
      <c r="H56" s="50">
        <v>1</v>
      </c>
      <c r="I56" s="36" t="s">
        <v>494</v>
      </c>
      <c r="J56" s="38" t="s">
        <v>201</v>
      </c>
      <c r="K56" s="39">
        <v>0</v>
      </c>
      <c r="L56" s="40">
        <v>1</v>
      </c>
      <c r="M56" s="41" t="s">
        <v>46</v>
      </c>
      <c r="N56" s="41" t="s">
        <v>68</v>
      </c>
      <c r="O56" s="41" t="s">
        <v>21</v>
      </c>
      <c r="P56" s="41" t="s">
        <v>36</v>
      </c>
      <c r="Q56" s="41" t="s">
        <v>223</v>
      </c>
      <c r="R56" s="42"/>
      <c r="S56" s="41" t="s">
        <v>238</v>
      </c>
      <c r="T56" s="41" t="s">
        <v>99</v>
      </c>
      <c r="U56" s="47">
        <f t="shared" si="24"/>
        <v>1</v>
      </c>
      <c r="V56" s="35" t="str">
        <f>+$J$56</f>
        <v>Solicitud de aclaraciones a las EPS con saldos a favor de ADRES en el proceso LMA</v>
      </c>
      <c r="W56" s="39">
        <v>0</v>
      </c>
      <c r="X56" s="34" t="s">
        <v>117</v>
      </c>
      <c r="Y56" s="54">
        <v>1</v>
      </c>
      <c r="Z56" s="35" t="str">
        <f>+$J$56</f>
        <v>Solicitud de aclaraciones a las EPS con saldos a favor de ADRES en el proceso LMA</v>
      </c>
      <c r="AA56" s="39">
        <v>0</v>
      </c>
      <c r="AB56" s="42"/>
      <c r="AC56" s="42"/>
      <c r="AD56" s="40">
        <f t="shared" si="0"/>
        <v>0</v>
      </c>
      <c r="AE56" s="40" t="e">
        <f t="shared" si="1"/>
        <v>#DIV/0!</v>
      </c>
      <c r="AF56" s="40">
        <f t="shared" si="2"/>
        <v>0</v>
      </c>
      <c r="AG56" s="40" t="e">
        <f t="shared" si="3"/>
        <v>#DIV/0!</v>
      </c>
      <c r="AH56" s="54">
        <v>1</v>
      </c>
      <c r="AI56" s="35" t="str">
        <f>+$J$56</f>
        <v>Solicitud de aclaraciones a las EPS con saldos a favor de ADRES en el proceso LMA</v>
      </c>
      <c r="AJ56" s="39">
        <v>0</v>
      </c>
      <c r="AK56" s="54"/>
      <c r="AL56" s="42"/>
      <c r="AM56" s="40">
        <f t="shared" si="4"/>
        <v>0</v>
      </c>
      <c r="AN56" s="40" t="e">
        <f t="shared" si="5"/>
        <v>#DIV/0!</v>
      </c>
      <c r="AO56" s="40">
        <f t="shared" si="6"/>
        <v>0</v>
      </c>
      <c r="AP56" s="43" t="e">
        <f t="shared" si="7"/>
        <v>#DIV/0!</v>
      </c>
      <c r="AQ56" s="54">
        <v>1</v>
      </c>
      <c r="AR56" s="35" t="str">
        <f>+$J$56</f>
        <v>Solicitud de aclaraciones a las EPS con saldos a favor de ADRES en el proceso LMA</v>
      </c>
      <c r="AS56" s="39">
        <v>0</v>
      </c>
      <c r="AT56" s="54"/>
      <c r="AU56" s="42"/>
      <c r="AV56" s="40">
        <f t="shared" si="8"/>
        <v>0</v>
      </c>
      <c r="AW56" s="40" t="e">
        <f t="shared" si="9"/>
        <v>#DIV/0!</v>
      </c>
      <c r="AX56" s="40">
        <f t="shared" si="10"/>
        <v>0</v>
      </c>
      <c r="AY56" s="40" t="e">
        <f t="shared" si="11"/>
        <v>#DIV/0!</v>
      </c>
      <c r="AZ56" s="54">
        <v>1</v>
      </c>
      <c r="BA56" s="35" t="str">
        <f>+$J$56</f>
        <v>Solicitud de aclaraciones a las EPS con saldos a favor de ADRES en el proceso LMA</v>
      </c>
      <c r="BB56" s="39">
        <v>0</v>
      </c>
      <c r="BC56" s="47"/>
      <c r="BD56" s="42"/>
      <c r="BE56" s="40">
        <f t="shared" si="12"/>
        <v>0</v>
      </c>
      <c r="BF56" s="40" t="e">
        <f t="shared" si="13"/>
        <v>#DIV/0!</v>
      </c>
      <c r="BG56" s="40">
        <f t="shared" si="14"/>
        <v>0</v>
      </c>
      <c r="BH56" s="40" t="e">
        <f t="shared" si="15"/>
        <v>#DIV/0!</v>
      </c>
      <c r="BI56" s="44">
        <f t="shared" si="16"/>
        <v>0</v>
      </c>
      <c r="BJ56" s="44" t="str">
        <f t="shared" si="17"/>
        <v>No Prog ni Ejec</v>
      </c>
      <c r="BK56" s="44">
        <f t="shared" si="18"/>
        <v>0</v>
      </c>
      <c r="BL56" s="44" t="str">
        <f t="shared" si="19"/>
        <v>No Prog ni Ejec</v>
      </c>
      <c r="BM56" s="44">
        <f t="shared" si="20"/>
        <v>0</v>
      </c>
      <c r="BN56" s="44" t="str">
        <f t="shared" si="21"/>
        <v>No Prog ni Ejec</v>
      </c>
      <c r="BO56" s="44">
        <f t="shared" si="22"/>
        <v>0</v>
      </c>
      <c r="BP56" s="44" t="str">
        <f t="shared" si="23"/>
        <v>No Prog ni Ejec</v>
      </c>
      <c r="BQ56" s="42"/>
    </row>
    <row r="57" spans="1:69" s="45" customFormat="1" ht="90" x14ac:dyDescent="0.25">
      <c r="A57" s="34">
        <v>11400</v>
      </c>
      <c r="B57" s="35" t="str">
        <f>+VLOOKUP(A57,'[1]TAB. REF. PA'!$A$4:$B$14,2,FALSE)</f>
        <v>Dirección de Liquidaciones y Garantías</v>
      </c>
      <c r="C57" s="36" t="s">
        <v>188</v>
      </c>
      <c r="D57" s="35" t="s">
        <v>144</v>
      </c>
      <c r="E57" s="36" t="s">
        <v>495</v>
      </c>
      <c r="F57" s="35" t="s">
        <v>202</v>
      </c>
      <c r="G57" s="37" t="s">
        <v>124</v>
      </c>
      <c r="H57" s="36">
        <v>1</v>
      </c>
      <c r="I57" s="36" t="s">
        <v>496</v>
      </c>
      <c r="J57" s="38" t="s">
        <v>203</v>
      </c>
      <c r="K57" s="39">
        <v>0</v>
      </c>
      <c r="L57" s="40">
        <v>1</v>
      </c>
      <c r="M57" s="41" t="s">
        <v>46</v>
      </c>
      <c r="N57" s="41" t="s">
        <v>68</v>
      </c>
      <c r="O57" s="41" t="s">
        <v>34</v>
      </c>
      <c r="P57" s="41" t="s">
        <v>35</v>
      </c>
      <c r="Q57" s="41" t="s">
        <v>225</v>
      </c>
      <c r="R57" s="42"/>
      <c r="S57" s="41" t="s">
        <v>508</v>
      </c>
      <c r="T57" s="41" t="s">
        <v>99</v>
      </c>
      <c r="U57" s="53">
        <f t="shared" si="24"/>
        <v>1</v>
      </c>
      <c r="V57" s="35" t="str">
        <f>+$J$57</f>
        <v>No. De Compras de Carteras realizadas</v>
      </c>
      <c r="W57" s="39">
        <v>0</v>
      </c>
      <c r="X57" s="34" t="s">
        <v>117</v>
      </c>
      <c r="Y57" s="39">
        <v>0</v>
      </c>
      <c r="Z57" s="35" t="str">
        <f>+$J$57</f>
        <v>No. De Compras de Carteras realizadas</v>
      </c>
      <c r="AA57" s="39">
        <v>0</v>
      </c>
      <c r="AB57" s="42"/>
      <c r="AC57" s="42"/>
      <c r="AD57" s="40" t="e">
        <f t="shared" si="0"/>
        <v>#DIV/0!</v>
      </c>
      <c r="AE57" s="40" t="e">
        <f t="shared" si="1"/>
        <v>#DIV/0!</v>
      </c>
      <c r="AF57" s="40">
        <f t="shared" si="2"/>
        <v>0</v>
      </c>
      <c r="AG57" s="40" t="e">
        <f t="shared" si="3"/>
        <v>#DIV/0!</v>
      </c>
      <c r="AH57" s="39">
        <v>0</v>
      </c>
      <c r="AI57" s="35" t="str">
        <f>+$J$57</f>
        <v>No. De Compras de Carteras realizadas</v>
      </c>
      <c r="AJ57" s="39">
        <v>0</v>
      </c>
      <c r="AK57" s="39"/>
      <c r="AL57" s="42"/>
      <c r="AM57" s="40" t="e">
        <f t="shared" si="4"/>
        <v>#DIV/0!</v>
      </c>
      <c r="AN57" s="40" t="e">
        <f t="shared" si="5"/>
        <v>#DIV/0!</v>
      </c>
      <c r="AO57" s="40">
        <f t="shared" si="6"/>
        <v>0</v>
      </c>
      <c r="AP57" s="43" t="e">
        <f t="shared" si="7"/>
        <v>#DIV/0!</v>
      </c>
      <c r="AQ57" s="39">
        <v>0</v>
      </c>
      <c r="AR57" s="35" t="str">
        <f>+$J$57</f>
        <v>No. De Compras de Carteras realizadas</v>
      </c>
      <c r="AS57" s="39">
        <v>0</v>
      </c>
      <c r="AT57" s="47"/>
      <c r="AU57" s="42"/>
      <c r="AV57" s="40" t="e">
        <f t="shared" si="8"/>
        <v>#DIV/0!</v>
      </c>
      <c r="AW57" s="40" t="e">
        <f t="shared" si="9"/>
        <v>#DIV/0!</v>
      </c>
      <c r="AX57" s="40">
        <f t="shared" si="10"/>
        <v>0</v>
      </c>
      <c r="AY57" s="40" t="e">
        <f t="shared" si="11"/>
        <v>#DIV/0!</v>
      </c>
      <c r="AZ57" s="51">
        <v>1</v>
      </c>
      <c r="BA57" s="35" t="str">
        <f>+$J$57</f>
        <v>No. De Compras de Carteras realizadas</v>
      </c>
      <c r="BB57" s="39">
        <v>0</v>
      </c>
      <c r="BC57" s="47"/>
      <c r="BD57" s="42"/>
      <c r="BE57" s="40">
        <f t="shared" si="12"/>
        <v>0</v>
      </c>
      <c r="BF57" s="40" t="e">
        <f t="shared" si="13"/>
        <v>#DIV/0!</v>
      </c>
      <c r="BG57" s="40">
        <f t="shared" si="14"/>
        <v>0</v>
      </c>
      <c r="BH57" s="40" t="e">
        <f t="shared" si="15"/>
        <v>#DIV/0!</v>
      </c>
      <c r="BI57" s="44" t="str">
        <f t="shared" si="16"/>
        <v>No Prog ni Ejec</v>
      </c>
      <c r="BJ57" s="44" t="str">
        <f t="shared" si="17"/>
        <v>No Prog ni Ejec</v>
      </c>
      <c r="BK57" s="44" t="str">
        <f t="shared" si="18"/>
        <v>No Prog ni Ejec</v>
      </c>
      <c r="BL57" s="44" t="str">
        <f t="shared" si="19"/>
        <v>No Prog ni Ejec</v>
      </c>
      <c r="BM57" s="44" t="str">
        <f t="shared" si="20"/>
        <v>No Prog ni Ejec</v>
      </c>
      <c r="BN57" s="44" t="str">
        <f t="shared" si="21"/>
        <v>No Prog ni Ejec</v>
      </c>
      <c r="BO57" s="44">
        <f t="shared" si="22"/>
        <v>0</v>
      </c>
      <c r="BP57" s="44" t="str">
        <f t="shared" si="23"/>
        <v>No Prog ni Ejec</v>
      </c>
      <c r="BQ57" s="42"/>
    </row>
    <row r="58" spans="1:69" s="45" customFormat="1" ht="120" x14ac:dyDescent="0.25">
      <c r="A58" s="34">
        <v>11400</v>
      </c>
      <c r="B58" s="35" t="str">
        <f>+VLOOKUP(A58,'[1]TAB. REF. PA'!$A$4:$B$14,2,FALSE)</f>
        <v>Dirección de Liquidaciones y Garantías</v>
      </c>
      <c r="C58" s="36" t="s">
        <v>188</v>
      </c>
      <c r="D58" s="35" t="s">
        <v>144</v>
      </c>
      <c r="E58" s="36" t="s">
        <v>497</v>
      </c>
      <c r="F58" s="35" t="s">
        <v>204</v>
      </c>
      <c r="G58" s="37" t="s">
        <v>123</v>
      </c>
      <c r="H58" s="50">
        <v>1</v>
      </c>
      <c r="I58" s="36" t="s">
        <v>498</v>
      </c>
      <c r="J58" s="38" t="s">
        <v>205</v>
      </c>
      <c r="K58" s="39">
        <v>0</v>
      </c>
      <c r="L58" s="40">
        <v>1</v>
      </c>
      <c r="M58" s="41" t="s">
        <v>46</v>
      </c>
      <c r="N58" s="41" t="s">
        <v>68</v>
      </c>
      <c r="O58" s="41" t="s">
        <v>34</v>
      </c>
      <c r="P58" s="41" t="s">
        <v>35</v>
      </c>
      <c r="Q58" s="41" t="s">
        <v>225</v>
      </c>
      <c r="R58" s="42"/>
      <c r="S58" s="41" t="s">
        <v>509</v>
      </c>
      <c r="T58" s="41" t="s">
        <v>99</v>
      </c>
      <c r="U58" s="47">
        <v>1</v>
      </c>
      <c r="V58" s="35" t="str">
        <f>+$J$58</f>
        <v>Certificaciones remitidas</v>
      </c>
      <c r="W58" s="39">
        <v>0</v>
      </c>
      <c r="X58" s="34" t="s">
        <v>117</v>
      </c>
      <c r="Y58" s="54">
        <v>1</v>
      </c>
      <c r="Z58" s="35" t="str">
        <f>+$J$58</f>
        <v>Certificaciones remitidas</v>
      </c>
      <c r="AA58" s="39">
        <v>0</v>
      </c>
      <c r="AB58" s="42"/>
      <c r="AC58" s="42"/>
      <c r="AD58" s="40">
        <f t="shared" si="0"/>
        <v>0</v>
      </c>
      <c r="AE58" s="40" t="e">
        <f t="shared" si="1"/>
        <v>#DIV/0!</v>
      </c>
      <c r="AF58" s="40">
        <f t="shared" si="2"/>
        <v>0</v>
      </c>
      <c r="AG58" s="40" t="e">
        <f t="shared" si="3"/>
        <v>#DIV/0!</v>
      </c>
      <c r="AH58" s="54">
        <v>1</v>
      </c>
      <c r="AI58" s="35" t="str">
        <f>+$J$58</f>
        <v>Certificaciones remitidas</v>
      </c>
      <c r="AJ58" s="39">
        <v>0</v>
      </c>
      <c r="AK58" s="54"/>
      <c r="AL58" s="42"/>
      <c r="AM58" s="40">
        <f t="shared" si="4"/>
        <v>0</v>
      </c>
      <c r="AN58" s="40" t="e">
        <f t="shared" si="5"/>
        <v>#DIV/0!</v>
      </c>
      <c r="AO58" s="40">
        <f t="shared" si="6"/>
        <v>0</v>
      </c>
      <c r="AP58" s="43" t="e">
        <f t="shared" si="7"/>
        <v>#DIV/0!</v>
      </c>
      <c r="AQ58" s="54">
        <v>1</v>
      </c>
      <c r="AR58" s="35" t="str">
        <f>+$J$58</f>
        <v>Certificaciones remitidas</v>
      </c>
      <c r="AS58" s="39">
        <v>0</v>
      </c>
      <c r="AT58" s="54"/>
      <c r="AU58" s="42"/>
      <c r="AV58" s="40">
        <f t="shared" si="8"/>
        <v>0</v>
      </c>
      <c r="AW58" s="40" t="e">
        <f t="shared" si="9"/>
        <v>#DIV/0!</v>
      </c>
      <c r="AX58" s="40">
        <f t="shared" si="10"/>
        <v>0</v>
      </c>
      <c r="AY58" s="40" t="e">
        <f t="shared" si="11"/>
        <v>#DIV/0!</v>
      </c>
      <c r="AZ58" s="54">
        <v>1</v>
      </c>
      <c r="BA58" s="35" t="str">
        <f>+$J$58</f>
        <v>Certificaciones remitidas</v>
      </c>
      <c r="BB58" s="39">
        <v>0</v>
      </c>
      <c r="BC58" s="47"/>
      <c r="BD58" s="42"/>
      <c r="BE58" s="40">
        <f t="shared" si="12"/>
        <v>0</v>
      </c>
      <c r="BF58" s="40" t="e">
        <f t="shared" si="13"/>
        <v>#DIV/0!</v>
      </c>
      <c r="BG58" s="40">
        <f t="shared" si="14"/>
        <v>0</v>
      </c>
      <c r="BH58" s="40" t="e">
        <f t="shared" si="15"/>
        <v>#DIV/0!</v>
      </c>
      <c r="BI58" s="44">
        <f t="shared" si="16"/>
        <v>0</v>
      </c>
      <c r="BJ58" s="44" t="str">
        <f t="shared" si="17"/>
        <v>No Prog ni Ejec</v>
      </c>
      <c r="BK58" s="44">
        <f t="shared" si="18"/>
        <v>0</v>
      </c>
      <c r="BL58" s="44" t="str">
        <f t="shared" si="19"/>
        <v>No Prog ni Ejec</v>
      </c>
      <c r="BM58" s="44">
        <f t="shared" si="20"/>
        <v>0</v>
      </c>
      <c r="BN58" s="44" t="str">
        <f t="shared" si="21"/>
        <v>No Prog ni Ejec</v>
      </c>
      <c r="BO58" s="44">
        <f t="shared" si="22"/>
        <v>0</v>
      </c>
      <c r="BP58" s="44" t="str">
        <f t="shared" si="23"/>
        <v>No Prog ni Ejec</v>
      </c>
      <c r="BQ58" s="42"/>
    </row>
    <row r="59" spans="1:69" s="45" customFormat="1" ht="120" x14ac:dyDescent="0.25">
      <c r="A59" s="34">
        <v>11400</v>
      </c>
      <c r="B59" s="35" t="str">
        <f>+VLOOKUP(A59,'[1]TAB. REF. PA'!$A$4:$B$14,2,FALSE)</f>
        <v>Dirección de Liquidaciones y Garantías</v>
      </c>
      <c r="C59" s="36" t="s">
        <v>239</v>
      </c>
      <c r="D59" s="35" t="s">
        <v>144</v>
      </c>
      <c r="E59" s="36" t="s">
        <v>499</v>
      </c>
      <c r="F59" s="35" t="s">
        <v>206</v>
      </c>
      <c r="G59" s="37" t="s">
        <v>123</v>
      </c>
      <c r="H59" s="50">
        <v>1</v>
      </c>
      <c r="I59" s="36" t="s">
        <v>500</v>
      </c>
      <c r="J59" s="38" t="s">
        <v>205</v>
      </c>
      <c r="K59" s="39">
        <v>0</v>
      </c>
      <c r="L59" s="40">
        <v>1</v>
      </c>
      <c r="M59" s="41" t="s">
        <v>46</v>
      </c>
      <c r="N59" s="41" t="s">
        <v>68</v>
      </c>
      <c r="O59" s="41" t="s">
        <v>34</v>
      </c>
      <c r="P59" s="41" t="s">
        <v>35</v>
      </c>
      <c r="Q59" s="41" t="s">
        <v>225</v>
      </c>
      <c r="R59" s="42"/>
      <c r="S59" s="41" t="s">
        <v>509</v>
      </c>
      <c r="T59" s="41" t="s">
        <v>99</v>
      </c>
      <c r="U59" s="47">
        <v>1</v>
      </c>
      <c r="V59" s="35" t="str">
        <f>+$J$59</f>
        <v>Certificaciones remitidas</v>
      </c>
      <c r="W59" s="39">
        <v>0</v>
      </c>
      <c r="X59" s="34" t="s">
        <v>117</v>
      </c>
      <c r="Y59" s="54">
        <v>1</v>
      </c>
      <c r="Z59" s="35" t="str">
        <f>+$J$59</f>
        <v>Certificaciones remitidas</v>
      </c>
      <c r="AA59" s="39">
        <v>0</v>
      </c>
      <c r="AB59" s="42"/>
      <c r="AC59" s="42"/>
      <c r="AD59" s="40">
        <f t="shared" si="0"/>
        <v>0</v>
      </c>
      <c r="AE59" s="40" t="e">
        <f t="shared" si="1"/>
        <v>#DIV/0!</v>
      </c>
      <c r="AF59" s="40">
        <f t="shared" si="2"/>
        <v>0</v>
      </c>
      <c r="AG59" s="40" t="e">
        <f t="shared" si="3"/>
        <v>#DIV/0!</v>
      </c>
      <c r="AH59" s="54">
        <v>1</v>
      </c>
      <c r="AI59" s="35" t="str">
        <f>+$J$59</f>
        <v>Certificaciones remitidas</v>
      </c>
      <c r="AJ59" s="39">
        <v>0</v>
      </c>
      <c r="AK59" s="54"/>
      <c r="AL59" s="42"/>
      <c r="AM59" s="40">
        <f t="shared" si="4"/>
        <v>0</v>
      </c>
      <c r="AN59" s="40" t="e">
        <f t="shared" si="5"/>
        <v>#DIV/0!</v>
      </c>
      <c r="AO59" s="40">
        <f t="shared" si="6"/>
        <v>0</v>
      </c>
      <c r="AP59" s="43" t="e">
        <f t="shared" si="7"/>
        <v>#DIV/0!</v>
      </c>
      <c r="AQ59" s="54">
        <v>1</v>
      </c>
      <c r="AR59" s="35" t="str">
        <f>+$J$59</f>
        <v>Certificaciones remitidas</v>
      </c>
      <c r="AS59" s="39">
        <v>0</v>
      </c>
      <c r="AT59" s="54"/>
      <c r="AU59" s="42"/>
      <c r="AV59" s="40">
        <f t="shared" si="8"/>
        <v>0</v>
      </c>
      <c r="AW59" s="40" t="e">
        <f t="shared" si="9"/>
        <v>#DIV/0!</v>
      </c>
      <c r="AX59" s="40">
        <f t="shared" si="10"/>
        <v>0</v>
      </c>
      <c r="AY59" s="40" t="e">
        <f t="shared" si="11"/>
        <v>#DIV/0!</v>
      </c>
      <c r="AZ59" s="54">
        <v>1</v>
      </c>
      <c r="BA59" s="35" t="str">
        <f>+$J$59</f>
        <v>Certificaciones remitidas</v>
      </c>
      <c r="BB59" s="39">
        <v>0</v>
      </c>
      <c r="BC59" s="47"/>
      <c r="BD59" s="42"/>
      <c r="BE59" s="40">
        <f t="shared" si="12"/>
        <v>0</v>
      </c>
      <c r="BF59" s="40" t="e">
        <f t="shared" si="13"/>
        <v>#DIV/0!</v>
      </c>
      <c r="BG59" s="40">
        <f t="shared" si="14"/>
        <v>0</v>
      </c>
      <c r="BH59" s="40" t="e">
        <f t="shared" si="15"/>
        <v>#DIV/0!</v>
      </c>
      <c r="BI59" s="44">
        <f t="shared" si="16"/>
        <v>0</v>
      </c>
      <c r="BJ59" s="44" t="str">
        <f t="shared" si="17"/>
        <v>No Prog ni Ejec</v>
      </c>
      <c r="BK59" s="44">
        <f t="shared" si="18"/>
        <v>0</v>
      </c>
      <c r="BL59" s="44" t="str">
        <f t="shared" si="19"/>
        <v>No Prog ni Ejec</v>
      </c>
      <c r="BM59" s="44">
        <f t="shared" si="20"/>
        <v>0</v>
      </c>
      <c r="BN59" s="44" t="str">
        <f t="shared" si="21"/>
        <v>No Prog ni Ejec</v>
      </c>
      <c r="BO59" s="44">
        <f t="shared" si="22"/>
        <v>0</v>
      </c>
      <c r="BP59" s="44" t="str">
        <f t="shared" si="23"/>
        <v>No Prog ni Ejec</v>
      </c>
      <c r="BQ59" s="42"/>
    </row>
    <row r="60" spans="1:69" s="45" customFormat="1" ht="120" x14ac:dyDescent="0.25">
      <c r="A60" s="34">
        <v>11400</v>
      </c>
      <c r="B60" s="35" t="str">
        <f>+VLOOKUP(A60,'[1]TAB. REF. PA'!$A$4:$B$14,2,FALSE)</f>
        <v>Dirección de Liquidaciones y Garantías</v>
      </c>
      <c r="C60" s="36" t="s">
        <v>240</v>
      </c>
      <c r="D60" s="35" t="s">
        <v>144</v>
      </c>
      <c r="E60" s="36" t="s">
        <v>501</v>
      </c>
      <c r="F60" s="35" t="s">
        <v>207</v>
      </c>
      <c r="G60" s="37" t="s">
        <v>123</v>
      </c>
      <c r="H60" s="50">
        <v>1</v>
      </c>
      <c r="I60" s="36" t="s">
        <v>502</v>
      </c>
      <c r="J60" s="38" t="s">
        <v>205</v>
      </c>
      <c r="K60" s="39">
        <v>0</v>
      </c>
      <c r="L60" s="40">
        <v>1</v>
      </c>
      <c r="M60" s="41" t="s">
        <v>46</v>
      </c>
      <c r="N60" s="41" t="s">
        <v>68</v>
      </c>
      <c r="O60" s="41" t="s">
        <v>34</v>
      </c>
      <c r="P60" s="41" t="s">
        <v>35</v>
      </c>
      <c r="Q60" s="41" t="s">
        <v>225</v>
      </c>
      <c r="R60" s="42"/>
      <c r="S60" s="41" t="s">
        <v>509</v>
      </c>
      <c r="T60" s="41" t="s">
        <v>99</v>
      </c>
      <c r="U60" s="47">
        <v>1</v>
      </c>
      <c r="V60" s="35" t="str">
        <f>+$J$60</f>
        <v>Certificaciones remitidas</v>
      </c>
      <c r="W60" s="39">
        <v>0</v>
      </c>
      <c r="X60" s="34" t="s">
        <v>117</v>
      </c>
      <c r="Y60" s="54">
        <v>1</v>
      </c>
      <c r="Z60" s="35" t="str">
        <f>+$J$60</f>
        <v>Certificaciones remitidas</v>
      </c>
      <c r="AA60" s="39">
        <v>0</v>
      </c>
      <c r="AB60" s="54"/>
      <c r="AC60" s="42"/>
      <c r="AD60" s="40">
        <f t="shared" si="0"/>
        <v>0</v>
      </c>
      <c r="AE60" s="40" t="e">
        <f t="shared" si="1"/>
        <v>#DIV/0!</v>
      </c>
      <c r="AF60" s="40">
        <f t="shared" si="2"/>
        <v>0</v>
      </c>
      <c r="AG60" s="40" t="e">
        <f t="shared" si="3"/>
        <v>#DIV/0!</v>
      </c>
      <c r="AH60" s="54">
        <v>1</v>
      </c>
      <c r="AI60" s="35" t="str">
        <f>+$J$60</f>
        <v>Certificaciones remitidas</v>
      </c>
      <c r="AJ60" s="39">
        <v>0</v>
      </c>
      <c r="AK60" s="54"/>
      <c r="AL60" s="42"/>
      <c r="AM60" s="40">
        <f t="shared" si="4"/>
        <v>0</v>
      </c>
      <c r="AN60" s="40" t="e">
        <f t="shared" si="5"/>
        <v>#DIV/0!</v>
      </c>
      <c r="AO60" s="40">
        <f t="shared" si="6"/>
        <v>0</v>
      </c>
      <c r="AP60" s="43" t="e">
        <f t="shared" si="7"/>
        <v>#DIV/0!</v>
      </c>
      <c r="AQ60" s="54">
        <v>1</v>
      </c>
      <c r="AR60" s="35" t="str">
        <f>+$J$60</f>
        <v>Certificaciones remitidas</v>
      </c>
      <c r="AS60" s="39">
        <v>0</v>
      </c>
      <c r="AT60" s="54"/>
      <c r="AU60" s="42"/>
      <c r="AV60" s="40">
        <f t="shared" si="8"/>
        <v>0</v>
      </c>
      <c r="AW60" s="40" t="e">
        <f t="shared" si="9"/>
        <v>#DIV/0!</v>
      </c>
      <c r="AX60" s="40">
        <f t="shared" si="10"/>
        <v>0</v>
      </c>
      <c r="AY60" s="40" t="e">
        <f t="shared" si="11"/>
        <v>#DIV/0!</v>
      </c>
      <c r="AZ60" s="54">
        <v>1</v>
      </c>
      <c r="BA60" s="35" t="str">
        <f>+$J$60</f>
        <v>Certificaciones remitidas</v>
      </c>
      <c r="BB60" s="39">
        <v>0</v>
      </c>
      <c r="BC60" s="47"/>
      <c r="BD60" s="42"/>
      <c r="BE60" s="40">
        <f t="shared" si="12"/>
        <v>0</v>
      </c>
      <c r="BF60" s="40" t="e">
        <f t="shared" si="13"/>
        <v>#DIV/0!</v>
      </c>
      <c r="BG60" s="40">
        <f t="shared" si="14"/>
        <v>0</v>
      </c>
      <c r="BH60" s="40" t="e">
        <f t="shared" si="15"/>
        <v>#DIV/0!</v>
      </c>
      <c r="BI60" s="44">
        <f t="shared" si="16"/>
        <v>0</v>
      </c>
      <c r="BJ60" s="44" t="str">
        <f t="shared" si="17"/>
        <v>No Prog ni Ejec</v>
      </c>
      <c r="BK60" s="44">
        <f t="shared" si="18"/>
        <v>0</v>
      </c>
      <c r="BL60" s="44" t="str">
        <f t="shared" si="19"/>
        <v>No Prog ni Ejec</v>
      </c>
      <c r="BM60" s="44">
        <f t="shared" si="20"/>
        <v>0</v>
      </c>
      <c r="BN60" s="44" t="str">
        <f t="shared" si="21"/>
        <v>No Prog ni Ejec</v>
      </c>
      <c r="BO60" s="44">
        <f t="shared" si="22"/>
        <v>0</v>
      </c>
      <c r="BP60" s="44" t="str">
        <f t="shared" si="23"/>
        <v>No Prog ni Ejec</v>
      </c>
      <c r="BQ60" s="42"/>
    </row>
    <row r="61" spans="1:69" s="45" customFormat="1" ht="120" x14ac:dyDescent="0.25">
      <c r="A61" s="34">
        <v>11400</v>
      </c>
      <c r="B61" s="35" t="str">
        <f>+VLOOKUP(A61,'[1]TAB. REF. PA'!$A$4:$B$14,2,FALSE)</f>
        <v>Dirección de Liquidaciones y Garantías</v>
      </c>
      <c r="C61" s="36" t="s">
        <v>241</v>
      </c>
      <c r="D61" s="35" t="s">
        <v>144</v>
      </c>
      <c r="E61" s="36" t="s">
        <v>503</v>
      </c>
      <c r="F61" s="35" t="s">
        <v>208</v>
      </c>
      <c r="G61" s="37" t="s">
        <v>123</v>
      </c>
      <c r="H61" s="50">
        <v>1</v>
      </c>
      <c r="I61" s="36" t="s">
        <v>504</v>
      </c>
      <c r="J61" s="38" t="s">
        <v>205</v>
      </c>
      <c r="K61" s="39">
        <v>0</v>
      </c>
      <c r="L61" s="40">
        <v>1</v>
      </c>
      <c r="M61" s="41" t="s">
        <v>46</v>
      </c>
      <c r="N61" s="41" t="s">
        <v>68</v>
      </c>
      <c r="O61" s="41" t="s">
        <v>34</v>
      </c>
      <c r="P61" s="41" t="s">
        <v>35</v>
      </c>
      <c r="Q61" s="41" t="s">
        <v>225</v>
      </c>
      <c r="R61" s="42"/>
      <c r="S61" s="41" t="s">
        <v>509</v>
      </c>
      <c r="T61" s="41" t="s">
        <v>99</v>
      </c>
      <c r="U61" s="47">
        <v>1</v>
      </c>
      <c r="V61" s="35" t="str">
        <f>+$J$61</f>
        <v>Certificaciones remitidas</v>
      </c>
      <c r="W61" s="39">
        <v>0</v>
      </c>
      <c r="X61" s="34" t="s">
        <v>117</v>
      </c>
      <c r="Y61" s="54">
        <v>1</v>
      </c>
      <c r="Z61" s="35" t="str">
        <f>+$J$61</f>
        <v>Certificaciones remitidas</v>
      </c>
      <c r="AA61" s="39">
        <v>0</v>
      </c>
      <c r="AB61" s="42"/>
      <c r="AC61" s="42"/>
      <c r="AD61" s="40">
        <f t="shared" si="0"/>
        <v>0</v>
      </c>
      <c r="AE61" s="40" t="e">
        <f t="shared" si="1"/>
        <v>#DIV/0!</v>
      </c>
      <c r="AF61" s="40">
        <f t="shared" si="2"/>
        <v>0</v>
      </c>
      <c r="AG61" s="40" t="e">
        <f t="shared" si="3"/>
        <v>#DIV/0!</v>
      </c>
      <c r="AH61" s="54">
        <v>1</v>
      </c>
      <c r="AI61" s="35" t="str">
        <f>+$J$61</f>
        <v>Certificaciones remitidas</v>
      </c>
      <c r="AJ61" s="39">
        <v>0</v>
      </c>
      <c r="AK61" s="47"/>
      <c r="AL61" s="42"/>
      <c r="AM61" s="40">
        <f t="shared" si="4"/>
        <v>0</v>
      </c>
      <c r="AN61" s="40" t="e">
        <f t="shared" si="5"/>
        <v>#DIV/0!</v>
      </c>
      <c r="AO61" s="40">
        <f t="shared" si="6"/>
        <v>0</v>
      </c>
      <c r="AP61" s="43" t="e">
        <f t="shared" si="7"/>
        <v>#DIV/0!</v>
      </c>
      <c r="AQ61" s="54">
        <v>1</v>
      </c>
      <c r="AR61" s="35" t="str">
        <f>+$J$61</f>
        <v>Certificaciones remitidas</v>
      </c>
      <c r="AS61" s="39">
        <v>0</v>
      </c>
      <c r="AT61" s="47"/>
      <c r="AU61" s="42"/>
      <c r="AV61" s="40">
        <f t="shared" si="8"/>
        <v>0</v>
      </c>
      <c r="AW61" s="40" t="e">
        <f t="shared" si="9"/>
        <v>#DIV/0!</v>
      </c>
      <c r="AX61" s="40">
        <f t="shared" si="10"/>
        <v>0</v>
      </c>
      <c r="AY61" s="40" t="e">
        <f t="shared" si="11"/>
        <v>#DIV/0!</v>
      </c>
      <c r="AZ61" s="54">
        <v>1</v>
      </c>
      <c r="BA61" s="35" t="str">
        <f>+$J$61</f>
        <v>Certificaciones remitidas</v>
      </c>
      <c r="BB61" s="39">
        <v>0</v>
      </c>
      <c r="BC61" s="47"/>
      <c r="BD61" s="42"/>
      <c r="BE61" s="40">
        <f t="shared" si="12"/>
        <v>0</v>
      </c>
      <c r="BF61" s="40" t="e">
        <f t="shared" si="13"/>
        <v>#DIV/0!</v>
      </c>
      <c r="BG61" s="40">
        <f t="shared" si="14"/>
        <v>0</v>
      </c>
      <c r="BH61" s="40" t="e">
        <f t="shared" si="15"/>
        <v>#DIV/0!</v>
      </c>
      <c r="BI61" s="44">
        <f t="shared" si="16"/>
        <v>0</v>
      </c>
      <c r="BJ61" s="44" t="str">
        <f t="shared" si="17"/>
        <v>No Prog ni Ejec</v>
      </c>
      <c r="BK61" s="44">
        <f t="shared" si="18"/>
        <v>0</v>
      </c>
      <c r="BL61" s="44" t="str">
        <f t="shared" si="19"/>
        <v>No Prog ni Ejec</v>
      </c>
      <c r="BM61" s="44">
        <f t="shared" si="20"/>
        <v>0</v>
      </c>
      <c r="BN61" s="44" t="str">
        <f t="shared" si="21"/>
        <v>No Prog ni Ejec</v>
      </c>
      <c r="BO61" s="44">
        <f t="shared" si="22"/>
        <v>0</v>
      </c>
      <c r="BP61" s="44" t="str">
        <f t="shared" si="23"/>
        <v>No Prog ni Ejec</v>
      </c>
      <c r="BQ61" s="42"/>
    </row>
    <row r="62" spans="1:69" s="45" customFormat="1" ht="105" x14ac:dyDescent="0.25">
      <c r="A62" s="34">
        <v>11400</v>
      </c>
      <c r="B62" s="35" t="str">
        <f>+VLOOKUP(A62,'[1]TAB. REF. PA'!$A$4:$B$14,2,FALSE)</f>
        <v>Dirección de Liquidaciones y Garantías</v>
      </c>
      <c r="C62" s="36" t="s">
        <v>242</v>
      </c>
      <c r="D62" s="35" t="s">
        <v>144</v>
      </c>
      <c r="E62" s="36" t="s">
        <v>505</v>
      </c>
      <c r="F62" s="35" t="s">
        <v>243</v>
      </c>
      <c r="G62" s="37" t="s">
        <v>124</v>
      </c>
      <c r="H62" s="34">
        <v>2</v>
      </c>
      <c r="I62" s="36" t="s">
        <v>506</v>
      </c>
      <c r="J62" s="38" t="s">
        <v>244</v>
      </c>
      <c r="K62" s="39">
        <v>55000000</v>
      </c>
      <c r="L62" s="40">
        <v>1</v>
      </c>
      <c r="M62" s="41" t="s">
        <v>46</v>
      </c>
      <c r="N62" s="41" t="s">
        <v>68</v>
      </c>
      <c r="O62" s="41" t="s">
        <v>34</v>
      </c>
      <c r="P62" s="41" t="s">
        <v>36</v>
      </c>
      <c r="Q62" s="41"/>
      <c r="R62" s="42"/>
      <c r="S62" s="41" t="s">
        <v>510</v>
      </c>
      <c r="T62" s="41" t="s">
        <v>99</v>
      </c>
      <c r="U62" s="53">
        <v>2</v>
      </c>
      <c r="V62" s="35" t="str">
        <f>+$J$62</f>
        <v>Elaboración de Estudios del Sector</v>
      </c>
      <c r="W62" s="39">
        <f>+K62</f>
        <v>55000000</v>
      </c>
      <c r="X62" s="34" t="s">
        <v>114</v>
      </c>
      <c r="Y62" s="51">
        <v>0</v>
      </c>
      <c r="Z62" s="35" t="str">
        <f>+$J$62</f>
        <v>Elaboración de Estudios del Sector</v>
      </c>
      <c r="AA62" s="39">
        <v>55000000</v>
      </c>
      <c r="AB62" s="42"/>
      <c r="AC62" s="39"/>
      <c r="AD62" s="40" t="e">
        <f t="shared" si="0"/>
        <v>#DIV/0!</v>
      </c>
      <c r="AE62" s="40">
        <f t="shared" si="1"/>
        <v>0</v>
      </c>
      <c r="AF62" s="40">
        <f t="shared" si="2"/>
        <v>0</v>
      </c>
      <c r="AG62" s="40">
        <f t="shared" si="3"/>
        <v>0</v>
      </c>
      <c r="AH62" s="53">
        <v>1</v>
      </c>
      <c r="AI62" s="35" t="str">
        <f>+$J$62</f>
        <v>Elaboración de Estudios del Sector</v>
      </c>
      <c r="AJ62" s="39">
        <v>0</v>
      </c>
      <c r="AK62" s="42"/>
      <c r="AL62" s="42"/>
      <c r="AM62" s="40">
        <f t="shared" si="4"/>
        <v>0</v>
      </c>
      <c r="AN62" s="40" t="e">
        <f t="shared" si="5"/>
        <v>#DIV/0!</v>
      </c>
      <c r="AO62" s="40">
        <f t="shared" si="6"/>
        <v>0</v>
      </c>
      <c r="AP62" s="43">
        <f t="shared" si="7"/>
        <v>0</v>
      </c>
      <c r="AQ62" s="53">
        <v>0</v>
      </c>
      <c r="AR62" s="35" t="str">
        <f>+$J$62</f>
        <v>Elaboración de Estudios del Sector</v>
      </c>
      <c r="AS62" s="39">
        <v>0</v>
      </c>
      <c r="AT62" s="53"/>
      <c r="AU62" s="42"/>
      <c r="AV62" s="40" t="e">
        <f t="shared" si="8"/>
        <v>#DIV/0!</v>
      </c>
      <c r="AW62" s="40" t="e">
        <f t="shared" si="9"/>
        <v>#DIV/0!</v>
      </c>
      <c r="AX62" s="40">
        <f t="shared" si="10"/>
        <v>0</v>
      </c>
      <c r="AY62" s="40">
        <f t="shared" si="11"/>
        <v>0</v>
      </c>
      <c r="AZ62" s="51">
        <v>1</v>
      </c>
      <c r="BA62" s="35" t="str">
        <f>+$J$62</f>
        <v>Elaboración de Estudios del Sector</v>
      </c>
      <c r="BB62" s="39">
        <v>0</v>
      </c>
      <c r="BC62" s="51"/>
      <c r="BD62" s="42"/>
      <c r="BE62" s="40">
        <f t="shared" si="12"/>
        <v>0</v>
      </c>
      <c r="BF62" s="40" t="e">
        <f t="shared" si="13"/>
        <v>#DIV/0!</v>
      </c>
      <c r="BG62" s="40">
        <f t="shared" si="14"/>
        <v>0</v>
      </c>
      <c r="BH62" s="40">
        <f t="shared" si="15"/>
        <v>0</v>
      </c>
      <c r="BI62" s="44" t="str">
        <f t="shared" si="16"/>
        <v>No Prog ni Ejec</v>
      </c>
      <c r="BJ62" s="44">
        <f t="shared" si="17"/>
        <v>0</v>
      </c>
      <c r="BK62" s="44">
        <f t="shared" si="18"/>
        <v>0</v>
      </c>
      <c r="BL62" s="44" t="str">
        <f t="shared" si="19"/>
        <v>No Prog ni Ejec</v>
      </c>
      <c r="BM62" s="44" t="str">
        <f t="shared" si="20"/>
        <v>No Prog ni Ejec</v>
      </c>
      <c r="BN62" s="44" t="str">
        <f t="shared" si="21"/>
        <v>No Prog ni Ejec</v>
      </c>
      <c r="BO62" s="44">
        <f t="shared" si="22"/>
        <v>0</v>
      </c>
      <c r="BP62" s="44" t="str">
        <f t="shared" si="23"/>
        <v>No Prog ni Ejec</v>
      </c>
      <c r="BQ62" s="42"/>
    </row>
    <row r="63" spans="1:69" s="73" customFormat="1" ht="105" x14ac:dyDescent="0.25">
      <c r="A63" s="62">
        <v>11500</v>
      </c>
      <c r="B63" s="63" t="str">
        <f>+VLOOKUP(A63,'[1]TAB. REF. PA'!$A$4:$B$14,2,FALSE)</f>
        <v xml:space="preserve">Dirección de Otras Prestaciones  </v>
      </c>
      <c r="C63" s="64" t="s">
        <v>259</v>
      </c>
      <c r="D63" s="63" t="s">
        <v>153</v>
      </c>
      <c r="E63" s="64" t="s">
        <v>290</v>
      </c>
      <c r="F63" s="63" t="s">
        <v>133</v>
      </c>
      <c r="G63" s="65" t="s">
        <v>124</v>
      </c>
      <c r="H63" s="64">
        <v>4</v>
      </c>
      <c r="I63" s="64" t="s">
        <v>276</v>
      </c>
      <c r="J63" s="66" t="s">
        <v>24</v>
      </c>
      <c r="K63" s="67">
        <v>0</v>
      </c>
      <c r="L63" s="68">
        <v>1</v>
      </c>
      <c r="M63" s="69" t="s">
        <v>51</v>
      </c>
      <c r="N63" s="69" t="s">
        <v>68</v>
      </c>
      <c r="O63" s="69" t="s">
        <v>21</v>
      </c>
      <c r="P63" s="69" t="s">
        <v>36</v>
      </c>
      <c r="Q63" s="69" t="s">
        <v>75</v>
      </c>
      <c r="R63" s="70"/>
      <c r="S63" s="69" t="s">
        <v>631</v>
      </c>
      <c r="T63" s="69" t="s">
        <v>98</v>
      </c>
      <c r="U63" s="62">
        <v>4</v>
      </c>
      <c r="V63" s="63" t="str">
        <f>+$J$63</f>
        <v>Reportar el cumplimiento del Plan de Acción de la Dependencia</v>
      </c>
      <c r="W63" s="67">
        <v>0</v>
      </c>
      <c r="X63" s="62" t="s">
        <v>117</v>
      </c>
      <c r="Y63" s="62">
        <v>1</v>
      </c>
      <c r="Z63" s="63" t="str">
        <f>+$J$63</f>
        <v>Reportar el cumplimiento del Plan de Acción de la Dependencia</v>
      </c>
      <c r="AA63" s="67">
        <v>0</v>
      </c>
      <c r="AB63" s="70"/>
      <c r="AC63" s="70"/>
      <c r="AD63" s="68">
        <f t="shared" si="0"/>
        <v>0</v>
      </c>
      <c r="AE63" s="68" t="e">
        <f t="shared" si="1"/>
        <v>#DIV/0!</v>
      </c>
      <c r="AF63" s="68">
        <f t="shared" si="2"/>
        <v>0</v>
      </c>
      <c r="AG63" s="68" t="e">
        <f t="shared" si="3"/>
        <v>#DIV/0!</v>
      </c>
      <c r="AH63" s="62">
        <v>1</v>
      </c>
      <c r="AI63" s="63" t="str">
        <f>+$J$63</f>
        <v>Reportar el cumplimiento del Plan de Acción de la Dependencia</v>
      </c>
      <c r="AJ63" s="67">
        <v>0</v>
      </c>
      <c r="AK63" s="70"/>
      <c r="AL63" s="70"/>
      <c r="AM63" s="68">
        <f t="shared" si="4"/>
        <v>0</v>
      </c>
      <c r="AN63" s="68" t="e">
        <f t="shared" si="5"/>
        <v>#DIV/0!</v>
      </c>
      <c r="AO63" s="68">
        <f t="shared" si="6"/>
        <v>0</v>
      </c>
      <c r="AP63" s="71" t="e">
        <f t="shared" si="7"/>
        <v>#DIV/0!</v>
      </c>
      <c r="AQ63" s="62">
        <v>1</v>
      </c>
      <c r="AR63" s="63" t="str">
        <f>+$J$63</f>
        <v>Reportar el cumplimiento del Plan de Acción de la Dependencia</v>
      </c>
      <c r="AS63" s="67">
        <v>0</v>
      </c>
      <c r="AT63" s="70"/>
      <c r="AU63" s="70"/>
      <c r="AV63" s="68">
        <f t="shared" si="8"/>
        <v>0</v>
      </c>
      <c r="AW63" s="68" t="e">
        <f t="shared" si="9"/>
        <v>#DIV/0!</v>
      </c>
      <c r="AX63" s="68">
        <f t="shared" si="10"/>
        <v>0</v>
      </c>
      <c r="AY63" s="68" t="e">
        <f t="shared" si="11"/>
        <v>#DIV/0!</v>
      </c>
      <c r="AZ63" s="62">
        <v>1</v>
      </c>
      <c r="BA63" s="63" t="str">
        <f>+$J$63</f>
        <v>Reportar el cumplimiento del Plan de Acción de la Dependencia</v>
      </c>
      <c r="BB63" s="67">
        <v>0</v>
      </c>
      <c r="BC63" s="70"/>
      <c r="BD63" s="70"/>
      <c r="BE63" s="68">
        <f t="shared" si="12"/>
        <v>0</v>
      </c>
      <c r="BF63" s="68" t="e">
        <f t="shared" si="13"/>
        <v>#DIV/0!</v>
      </c>
      <c r="BG63" s="68">
        <f t="shared" si="14"/>
        <v>0</v>
      </c>
      <c r="BH63" s="68" t="e">
        <f t="shared" si="15"/>
        <v>#DIV/0!</v>
      </c>
      <c r="BI63" s="72">
        <f t="shared" si="16"/>
        <v>0</v>
      </c>
      <c r="BJ63" s="72" t="str">
        <f t="shared" si="17"/>
        <v>No Prog ni Ejec</v>
      </c>
      <c r="BK63" s="72">
        <f t="shared" si="18"/>
        <v>0</v>
      </c>
      <c r="BL63" s="72" t="str">
        <f t="shared" si="19"/>
        <v>No Prog ni Ejec</v>
      </c>
      <c r="BM63" s="72">
        <f t="shared" si="20"/>
        <v>0</v>
      </c>
      <c r="BN63" s="72" t="str">
        <f t="shared" si="21"/>
        <v>No Prog ni Ejec</v>
      </c>
      <c r="BO63" s="72">
        <f t="shared" si="22"/>
        <v>0</v>
      </c>
      <c r="BP63" s="72" t="str">
        <f t="shared" si="23"/>
        <v>No Prog ni Ejec</v>
      </c>
      <c r="BQ63" s="70"/>
    </row>
    <row r="64" spans="1:69" s="73" customFormat="1" ht="105" x14ac:dyDescent="0.25">
      <c r="A64" s="62">
        <v>11500</v>
      </c>
      <c r="B64" s="63" t="str">
        <f>+VLOOKUP(A64,'[1]TAB. REF. PA'!$A$4:$B$14,2,FALSE)</f>
        <v xml:space="preserve">Dirección de Otras Prestaciones  </v>
      </c>
      <c r="C64" s="64" t="s">
        <v>260</v>
      </c>
      <c r="D64" s="63" t="s">
        <v>256</v>
      </c>
      <c r="E64" s="64" t="s">
        <v>261</v>
      </c>
      <c r="F64" s="63" t="s">
        <v>159</v>
      </c>
      <c r="G64" s="65" t="s">
        <v>123</v>
      </c>
      <c r="H64" s="74">
        <v>1</v>
      </c>
      <c r="I64" s="64" t="s">
        <v>274</v>
      </c>
      <c r="J64" s="66" t="s">
        <v>598</v>
      </c>
      <c r="K64" s="67">
        <v>0</v>
      </c>
      <c r="L64" s="68">
        <v>1</v>
      </c>
      <c r="M64" s="69" t="s">
        <v>51</v>
      </c>
      <c r="N64" s="69" t="s">
        <v>68</v>
      </c>
      <c r="O64" s="69" t="s">
        <v>21</v>
      </c>
      <c r="P64" s="69" t="s">
        <v>36</v>
      </c>
      <c r="Q64" s="69" t="s">
        <v>75</v>
      </c>
      <c r="R64" s="70"/>
      <c r="S64" s="69" t="s">
        <v>672</v>
      </c>
      <c r="T64" s="69" t="s">
        <v>98</v>
      </c>
      <c r="U64" s="68">
        <v>1</v>
      </c>
      <c r="V64" s="63" t="str">
        <f>+$J$64</f>
        <v>Formular los procesos y procedimientos en el marco del MIPG</v>
      </c>
      <c r="W64" s="67">
        <v>0</v>
      </c>
      <c r="X64" s="62" t="s">
        <v>117</v>
      </c>
      <c r="Y64" s="68">
        <v>0.25</v>
      </c>
      <c r="Z64" s="63" t="str">
        <f>+$J$64</f>
        <v>Formular los procesos y procedimientos en el marco del MIPG</v>
      </c>
      <c r="AA64" s="67">
        <v>0</v>
      </c>
      <c r="AB64" s="68">
        <v>0.25</v>
      </c>
      <c r="AC64" s="70"/>
      <c r="AD64" s="68">
        <f t="shared" si="0"/>
        <v>1</v>
      </c>
      <c r="AE64" s="68" t="e">
        <f t="shared" si="1"/>
        <v>#DIV/0!</v>
      </c>
      <c r="AF64" s="68">
        <f t="shared" si="2"/>
        <v>0.25</v>
      </c>
      <c r="AG64" s="68" t="e">
        <f t="shared" si="3"/>
        <v>#DIV/0!</v>
      </c>
      <c r="AH64" s="68">
        <v>0.25</v>
      </c>
      <c r="AI64" s="63" t="str">
        <f>+$J$64</f>
        <v>Formular los procesos y procedimientos en el marco del MIPG</v>
      </c>
      <c r="AJ64" s="67">
        <v>0</v>
      </c>
      <c r="AK64" s="70"/>
      <c r="AL64" s="70"/>
      <c r="AM64" s="68">
        <f t="shared" si="4"/>
        <v>0</v>
      </c>
      <c r="AN64" s="68" t="e">
        <f t="shared" si="5"/>
        <v>#DIV/0!</v>
      </c>
      <c r="AO64" s="68">
        <f t="shared" si="6"/>
        <v>0.25</v>
      </c>
      <c r="AP64" s="71" t="e">
        <f t="shared" si="7"/>
        <v>#DIV/0!</v>
      </c>
      <c r="AQ64" s="68">
        <v>0.25</v>
      </c>
      <c r="AR64" s="63" t="str">
        <f>+$J$64</f>
        <v>Formular los procesos y procedimientos en el marco del MIPG</v>
      </c>
      <c r="AS64" s="67">
        <v>0</v>
      </c>
      <c r="AT64" s="70"/>
      <c r="AU64" s="70"/>
      <c r="AV64" s="68">
        <f t="shared" si="8"/>
        <v>0</v>
      </c>
      <c r="AW64" s="68" t="e">
        <f t="shared" si="9"/>
        <v>#DIV/0!</v>
      </c>
      <c r="AX64" s="68">
        <f t="shared" si="10"/>
        <v>0.25</v>
      </c>
      <c r="AY64" s="68" t="e">
        <f t="shared" si="11"/>
        <v>#DIV/0!</v>
      </c>
      <c r="AZ64" s="68">
        <v>0.25</v>
      </c>
      <c r="BA64" s="63" t="str">
        <f>+$J$64</f>
        <v>Formular los procesos y procedimientos en el marco del MIPG</v>
      </c>
      <c r="BB64" s="67">
        <v>0</v>
      </c>
      <c r="BC64" s="70"/>
      <c r="BD64" s="70"/>
      <c r="BE64" s="68">
        <f t="shared" si="12"/>
        <v>0</v>
      </c>
      <c r="BF64" s="68" t="e">
        <f t="shared" si="13"/>
        <v>#DIV/0!</v>
      </c>
      <c r="BG64" s="68">
        <f t="shared" si="14"/>
        <v>0.25</v>
      </c>
      <c r="BH64" s="68" t="e">
        <f t="shared" si="15"/>
        <v>#DIV/0!</v>
      </c>
      <c r="BI64" s="72">
        <f t="shared" si="16"/>
        <v>1</v>
      </c>
      <c r="BJ64" s="72" t="str">
        <f t="shared" si="17"/>
        <v>No Prog ni Ejec</v>
      </c>
      <c r="BK64" s="72">
        <f t="shared" si="18"/>
        <v>0</v>
      </c>
      <c r="BL64" s="72" t="str">
        <f t="shared" si="19"/>
        <v>No Prog ni Ejec</v>
      </c>
      <c r="BM64" s="72">
        <f t="shared" si="20"/>
        <v>0</v>
      </c>
      <c r="BN64" s="72" t="str">
        <f t="shared" si="21"/>
        <v>No Prog ni Ejec</v>
      </c>
      <c r="BO64" s="72">
        <f t="shared" si="22"/>
        <v>0</v>
      </c>
      <c r="BP64" s="72" t="str">
        <f t="shared" si="23"/>
        <v>No Prog ni Ejec</v>
      </c>
      <c r="BQ64" s="70"/>
    </row>
    <row r="65" spans="1:69" s="73" customFormat="1" ht="105" x14ac:dyDescent="0.25">
      <c r="A65" s="62">
        <v>11500</v>
      </c>
      <c r="B65" s="63" t="str">
        <f>+VLOOKUP(A65,'[1]TAB. REF. PA'!$A$4:$B$14,2,FALSE)</f>
        <v xml:space="preserve">Dirección de Otras Prestaciones  </v>
      </c>
      <c r="C65" s="64" t="s">
        <v>260</v>
      </c>
      <c r="D65" s="63" t="s">
        <v>256</v>
      </c>
      <c r="E65" s="64" t="s">
        <v>262</v>
      </c>
      <c r="F65" s="63" t="s">
        <v>127</v>
      </c>
      <c r="G65" s="65" t="s">
        <v>124</v>
      </c>
      <c r="H65" s="64">
        <v>4</v>
      </c>
      <c r="I65" s="64" t="s">
        <v>275</v>
      </c>
      <c r="J65" s="69" t="s">
        <v>599</v>
      </c>
      <c r="K65" s="67">
        <v>0</v>
      </c>
      <c r="L65" s="68">
        <v>1</v>
      </c>
      <c r="M65" s="69" t="s">
        <v>51</v>
      </c>
      <c r="N65" s="69" t="s">
        <v>68</v>
      </c>
      <c r="O65" s="69" t="s">
        <v>21</v>
      </c>
      <c r="P65" s="69" t="s">
        <v>36</v>
      </c>
      <c r="Q65" s="69" t="s">
        <v>75</v>
      </c>
      <c r="R65" s="70"/>
      <c r="S65" s="69" t="s">
        <v>570</v>
      </c>
      <c r="T65" s="69" t="s">
        <v>98</v>
      </c>
      <c r="U65" s="75">
        <v>1</v>
      </c>
      <c r="V65" s="63" t="str">
        <f>+$J$65</f>
        <v>Remitir informe trimestral de los indicadores formulados y las acciones de mejoras</v>
      </c>
      <c r="W65" s="67">
        <v>0</v>
      </c>
      <c r="X65" s="62" t="s">
        <v>117</v>
      </c>
      <c r="Y65" s="67">
        <v>0</v>
      </c>
      <c r="Z65" s="63" t="str">
        <f>+$J$65</f>
        <v>Remitir informe trimestral de los indicadores formulados y las acciones de mejoras</v>
      </c>
      <c r="AA65" s="67">
        <v>0</v>
      </c>
      <c r="AB65" s="70"/>
      <c r="AC65" s="70"/>
      <c r="AD65" s="68" t="e">
        <f t="shared" si="0"/>
        <v>#DIV/0!</v>
      </c>
      <c r="AE65" s="68" t="e">
        <f t="shared" si="1"/>
        <v>#DIV/0!</v>
      </c>
      <c r="AF65" s="68">
        <f t="shared" si="2"/>
        <v>0</v>
      </c>
      <c r="AG65" s="68" t="e">
        <f t="shared" si="3"/>
        <v>#DIV/0!</v>
      </c>
      <c r="AH65" s="67">
        <v>0</v>
      </c>
      <c r="AI65" s="63" t="str">
        <f>+$J$65</f>
        <v>Remitir informe trimestral de los indicadores formulados y las acciones de mejoras</v>
      </c>
      <c r="AJ65" s="67">
        <v>0</v>
      </c>
      <c r="AK65" s="70"/>
      <c r="AL65" s="70"/>
      <c r="AM65" s="68" t="e">
        <f t="shared" si="4"/>
        <v>#DIV/0!</v>
      </c>
      <c r="AN65" s="68" t="e">
        <f t="shared" si="5"/>
        <v>#DIV/0!</v>
      </c>
      <c r="AO65" s="68">
        <f t="shared" si="6"/>
        <v>0</v>
      </c>
      <c r="AP65" s="71" t="e">
        <f t="shared" si="7"/>
        <v>#DIV/0!</v>
      </c>
      <c r="AQ65" s="67">
        <v>0</v>
      </c>
      <c r="AR65" s="63" t="str">
        <f>+$J$65</f>
        <v>Remitir informe trimestral de los indicadores formulados y las acciones de mejoras</v>
      </c>
      <c r="AS65" s="67">
        <v>0</v>
      </c>
      <c r="AT65" s="70"/>
      <c r="AU65" s="70"/>
      <c r="AV65" s="68" t="e">
        <f t="shared" si="8"/>
        <v>#DIV/0!</v>
      </c>
      <c r="AW65" s="68" t="e">
        <f t="shared" si="9"/>
        <v>#DIV/0!</v>
      </c>
      <c r="AX65" s="68">
        <f t="shared" si="10"/>
        <v>0</v>
      </c>
      <c r="AY65" s="68" t="e">
        <f t="shared" si="11"/>
        <v>#DIV/0!</v>
      </c>
      <c r="AZ65" s="75">
        <v>1</v>
      </c>
      <c r="BA65" s="63" t="str">
        <f>+$J$65</f>
        <v>Remitir informe trimestral de los indicadores formulados y las acciones de mejoras</v>
      </c>
      <c r="BB65" s="67">
        <v>0</v>
      </c>
      <c r="BC65" s="70"/>
      <c r="BD65" s="70"/>
      <c r="BE65" s="68">
        <f t="shared" si="12"/>
        <v>0</v>
      </c>
      <c r="BF65" s="68" t="e">
        <f t="shared" si="13"/>
        <v>#DIV/0!</v>
      </c>
      <c r="BG65" s="68">
        <f t="shared" si="14"/>
        <v>0</v>
      </c>
      <c r="BH65" s="68" t="e">
        <f t="shared" si="15"/>
        <v>#DIV/0!</v>
      </c>
      <c r="BI65" s="72" t="str">
        <f t="shared" si="16"/>
        <v>No Prog ni Ejec</v>
      </c>
      <c r="BJ65" s="72" t="str">
        <f t="shared" si="17"/>
        <v>No Prog ni Ejec</v>
      </c>
      <c r="BK65" s="72" t="str">
        <f t="shared" si="18"/>
        <v>No Prog ni Ejec</v>
      </c>
      <c r="BL65" s="72" t="str">
        <f t="shared" si="19"/>
        <v>No Prog ni Ejec</v>
      </c>
      <c r="BM65" s="72" t="str">
        <f t="shared" si="20"/>
        <v>No Prog ni Ejec</v>
      </c>
      <c r="BN65" s="72" t="str">
        <f t="shared" si="21"/>
        <v>No Prog ni Ejec</v>
      </c>
      <c r="BO65" s="72">
        <f t="shared" si="22"/>
        <v>0</v>
      </c>
      <c r="BP65" s="72" t="str">
        <f t="shared" si="23"/>
        <v>No Prog ni Ejec</v>
      </c>
      <c r="BQ65" s="70"/>
    </row>
    <row r="66" spans="1:69" s="73" customFormat="1" ht="105" x14ac:dyDescent="0.25">
      <c r="A66" s="62">
        <v>11500</v>
      </c>
      <c r="B66" s="63" t="str">
        <f>+VLOOKUP(A66,'[1]TAB. REF. PA'!$A$4:$B$14,2,FALSE)</f>
        <v xml:space="preserve">Dirección de Otras Prestaciones  </v>
      </c>
      <c r="C66" s="64" t="s">
        <v>263</v>
      </c>
      <c r="D66" s="63" t="s">
        <v>144</v>
      </c>
      <c r="E66" s="64" t="s">
        <v>264</v>
      </c>
      <c r="F66" s="63" t="s">
        <v>600</v>
      </c>
      <c r="G66" s="65" t="s">
        <v>124</v>
      </c>
      <c r="H66" s="64">
        <v>12</v>
      </c>
      <c r="I66" s="64" t="s">
        <v>265</v>
      </c>
      <c r="J66" s="63" t="s">
        <v>601</v>
      </c>
      <c r="K66" s="67">
        <f>(48960000)*0.75</f>
        <v>36720000</v>
      </c>
      <c r="L66" s="68">
        <v>1</v>
      </c>
      <c r="M66" s="69" t="s">
        <v>46</v>
      </c>
      <c r="N66" s="69" t="s">
        <v>68</v>
      </c>
      <c r="O66" s="69" t="s">
        <v>21</v>
      </c>
      <c r="P66" s="69" t="s">
        <v>36</v>
      </c>
      <c r="Q66" s="69" t="s">
        <v>211</v>
      </c>
      <c r="R66" s="70"/>
      <c r="S66" s="69" t="s">
        <v>673</v>
      </c>
      <c r="T66" s="69" t="s">
        <v>98</v>
      </c>
      <c r="U66" s="67">
        <v>12</v>
      </c>
      <c r="V66" s="63" t="str">
        <f>+$J$66</f>
        <v>Realizar el giro previo efectuados a favor de las entidades recobrantes y proveedores de servicios y tecnologías no incluidas en el PB con cargo a la UPC</v>
      </c>
      <c r="W66" s="67">
        <f>+K66</f>
        <v>36720000</v>
      </c>
      <c r="X66" s="62" t="s">
        <v>117</v>
      </c>
      <c r="Y66" s="67">
        <v>3</v>
      </c>
      <c r="Z66" s="63" t="str">
        <f>+$J$66</f>
        <v>Realizar el giro previo efectuados a favor de las entidades recobrantes y proveedores de servicios y tecnologías no incluidas en el PB con cargo a la UPC</v>
      </c>
      <c r="AA66" s="115">
        <f>+W66*0.25</f>
        <v>9180000</v>
      </c>
      <c r="AB66" s="70"/>
      <c r="AC66" s="70"/>
      <c r="AD66" s="114">
        <f t="shared" si="0"/>
        <v>0</v>
      </c>
      <c r="AE66" s="68">
        <f t="shared" si="1"/>
        <v>0</v>
      </c>
      <c r="AF66" s="68">
        <f t="shared" si="2"/>
        <v>0</v>
      </c>
      <c r="AG66" s="68">
        <f t="shared" si="3"/>
        <v>0</v>
      </c>
      <c r="AH66" s="67">
        <v>3</v>
      </c>
      <c r="AI66" s="63" t="str">
        <f>+$J$66</f>
        <v>Realizar el giro previo efectuados a favor de las entidades recobrantes y proveedores de servicios y tecnologías no incluidas en el PB con cargo a la UPC</v>
      </c>
      <c r="AJ66" s="115">
        <v>6120000</v>
      </c>
      <c r="AK66" s="70"/>
      <c r="AL66" s="70"/>
      <c r="AM66" s="68">
        <f t="shared" si="4"/>
        <v>0</v>
      </c>
      <c r="AN66" s="68">
        <f t="shared" si="5"/>
        <v>0</v>
      </c>
      <c r="AO66" s="68">
        <f t="shared" si="6"/>
        <v>0</v>
      </c>
      <c r="AP66" s="71">
        <f t="shared" si="7"/>
        <v>0</v>
      </c>
      <c r="AQ66" s="67">
        <v>3</v>
      </c>
      <c r="AR66" s="63" t="str">
        <f>+$J$66</f>
        <v>Realizar el giro previo efectuados a favor de las entidades recobrantes y proveedores de servicios y tecnologías no incluidas en el PB con cargo a la UPC</v>
      </c>
      <c r="AS66" s="115">
        <v>6120000</v>
      </c>
      <c r="AT66" s="70"/>
      <c r="AU66" s="70"/>
      <c r="AV66" s="68">
        <f t="shared" si="8"/>
        <v>0</v>
      </c>
      <c r="AW66" s="68">
        <f t="shared" si="9"/>
        <v>0</v>
      </c>
      <c r="AX66" s="68">
        <f t="shared" si="10"/>
        <v>0</v>
      </c>
      <c r="AY66" s="68">
        <f t="shared" si="11"/>
        <v>0</v>
      </c>
      <c r="AZ66" s="67">
        <v>3</v>
      </c>
      <c r="BA66" s="63" t="str">
        <f>+$J$66</f>
        <v>Realizar el giro previo efectuados a favor de las entidades recobrantes y proveedores de servicios y tecnologías no incluidas en el PB con cargo a la UPC</v>
      </c>
      <c r="BB66" s="115">
        <v>6120000</v>
      </c>
      <c r="BC66" s="70"/>
      <c r="BD66" s="70"/>
      <c r="BE66" s="68">
        <f t="shared" si="12"/>
        <v>0</v>
      </c>
      <c r="BF66" s="68">
        <f t="shared" si="13"/>
        <v>0</v>
      </c>
      <c r="BG66" s="68">
        <f t="shared" si="14"/>
        <v>0</v>
      </c>
      <c r="BH66" s="68">
        <f t="shared" si="15"/>
        <v>0</v>
      </c>
      <c r="BI66" s="72">
        <f t="shared" si="16"/>
        <v>0</v>
      </c>
      <c r="BJ66" s="72">
        <f t="shared" si="17"/>
        <v>0</v>
      </c>
      <c r="BK66" s="72">
        <f t="shared" si="18"/>
        <v>0</v>
      </c>
      <c r="BL66" s="72">
        <f t="shared" si="19"/>
        <v>0</v>
      </c>
      <c r="BM66" s="72">
        <f t="shared" si="20"/>
        <v>0</v>
      </c>
      <c r="BN66" s="72">
        <f t="shared" si="21"/>
        <v>0</v>
      </c>
      <c r="BO66" s="72">
        <f t="shared" si="22"/>
        <v>0</v>
      </c>
      <c r="BP66" s="72">
        <f t="shared" si="23"/>
        <v>0</v>
      </c>
      <c r="BQ66" s="70" t="s">
        <v>717</v>
      </c>
    </row>
    <row r="67" spans="1:69" s="58" customFormat="1" ht="165" x14ac:dyDescent="0.25">
      <c r="A67" s="62">
        <v>11500</v>
      </c>
      <c r="B67" s="63" t="str">
        <f>+VLOOKUP(A67,'[1]TAB. REF. PA'!$A$4:$B$14,2,FALSE)</f>
        <v xml:space="preserve">Dirección de Otras Prestaciones  </v>
      </c>
      <c r="C67" s="64" t="s">
        <v>263</v>
      </c>
      <c r="D67" s="63" t="s">
        <v>144</v>
      </c>
      <c r="E67" s="64" t="s">
        <v>529</v>
      </c>
      <c r="F67" s="63" t="s">
        <v>602</v>
      </c>
      <c r="G67" s="65" t="s">
        <v>123</v>
      </c>
      <c r="H67" s="74">
        <v>1</v>
      </c>
      <c r="I67" s="64" t="s">
        <v>530</v>
      </c>
      <c r="J67" s="63" t="s">
        <v>603</v>
      </c>
      <c r="K67" s="115">
        <v>30882027540</v>
      </c>
      <c r="L67" s="68">
        <v>1</v>
      </c>
      <c r="M67" s="69" t="s">
        <v>46</v>
      </c>
      <c r="N67" s="69" t="s">
        <v>68</v>
      </c>
      <c r="O67" s="69" t="s">
        <v>21</v>
      </c>
      <c r="P67" s="69" t="s">
        <v>36</v>
      </c>
      <c r="Q67" s="69" t="s">
        <v>211</v>
      </c>
      <c r="R67" s="70"/>
      <c r="S67" s="69" t="s">
        <v>674</v>
      </c>
      <c r="T67" s="69" t="s">
        <v>98</v>
      </c>
      <c r="U67" s="68">
        <v>1</v>
      </c>
      <c r="V67" s="63" t="str">
        <f>+$J$67</f>
        <v>Paquetes de recobros cuyo trámite de auditoría haya culminado, para el trámite de reconocimiento y pago por parte de ADRES.</v>
      </c>
      <c r="W67" s="115">
        <f>+K67</f>
        <v>30882027540</v>
      </c>
      <c r="X67" s="62" t="s">
        <v>117</v>
      </c>
      <c r="Y67" s="68">
        <v>0.25</v>
      </c>
      <c r="Z67" s="63" t="str">
        <f>+$J$67</f>
        <v>Paquetes de recobros cuyo trámite de auditoría haya culminado, para el trámite de reconocimiento y pago por parte de ADRES.</v>
      </c>
      <c r="AA67" s="115">
        <f>+W67*Y67</f>
        <v>7720506885</v>
      </c>
      <c r="AB67" s="70"/>
      <c r="AC67" s="70"/>
      <c r="AD67" s="68">
        <f t="shared" si="0"/>
        <v>0</v>
      </c>
      <c r="AE67" s="68">
        <f t="shared" si="1"/>
        <v>0</v>
      </c>
      <c r="AF67" s="68">
        <f t="shared" si="2"/>
        <v>0</v>
      </c>
      <c r="AG67" s="68">
        <f t="shared" si="3"/>
        <v>0</v>
      </c>
      <c r="AH67" s="68">
        <v>0.25</v>
      </c>
      <c r="AI67" s="63" t="str">
        <f>+$J$67</f>
        <v>Paquetes de recobros cuyo trámite de auditoría haya culminado, para el trámite de reconocimiento y pago por parte de ADRES.</v>
      </c>
      <c r="AJ67" s="115">
        <v>7720506885</v>
      </c>
      <c r="AK67" s="70"/>
      <c r="AL67" s="70"/>
      <c r="AM67" s="68">
        <f t="shared" si="4"/>
        <v>0</v>
      </c>
      <c r="AN67" s="68">
        <f t="shared" si="5"/>
        <v>0</v>
      </c>
      <c r="AO67" s="68">
        <f t="shared" si="6"/>
        <v>0</v>
      </c>
      <c r="AP67" s="71">
        <f t="shared" si="7"/>
        <v>0</v>
      </c>
      <c r="AQ67" s="68">
        <v>0.25</v>
      </c>
      <c r="AR67" s="63" t="str">
        <f>+$J$67</f>
        <v>Paquetes de recobros cuyo trámite de auditoría haya culminado, para el trámite de reconocimiento y pago por parte de ADRES.</v>
      </c>
      <c r="AS67" s="115">
        <v>7720506885</v>
      </c>
      <c r="AT67" s="70"/>
      <c r="AU67" s="70"/>
      <c r="AV67" s="68">
        <f t="shared" si="8"/>
        <v>0</v>
      </c>
      <c r="AW67" s="68">
        <f t="shared" si="9"/>
        <v>0</v>
      </c>
      <c r="AX67" s="68">
        <f t="shared" si="10"/>
        <v>0</v>
      </c>
      <c r="AY67" s="68">
        <f t="shared" si="11"/>
        <v>0</v>
      </c>
      <c r="AZ67" s="68">
        <v>0.25</v>
      </c>
      <c r="BA67" s="63" t="str">
        <f>+$J$67</f>
        <v>Paquetes de recobros cuyo trámite de auditoría haya culminado, para el trámite de reconocimiento y pago por parte de ADRES.</v>
      </c>
      <c r="BB67" s="115">
        <v>7720506885</v>
      </c>
      <c r="BC67" s="70"/>
      <c r="BD67" s="70"/>
      <c r="BE67" s="68">
        <f t="shared" si="12"/>
        <v>0</v>
      </c>
      <c r="BF67" s="68">
        <f t="shared" si="13"/>
        <v>0</v>
      </c>
      <c r="BG67" s="68">
        <f t="shared" si="14"/>
        <v>0</v>
      </c>
      <c r="BH67" s="68">
        <f t="shared" si="15"/>
        <v>0</v>
      </c>
      <c r="BI67" s="57">
        <f t="shared" si="16"/>
        <v>0</v>
      </c>
      <c r="BJ67" s="57">
        <f t="shared" si="17"/>
        <v>0</v>
      </c>
      <c r="BK67" s="57">
        <f t="shared" si="18"/>
        <v>0</v>
      </c>
      <c r="BL67" s="57">
        <f t="shared" si="19"/>
        <v>0</v>
      </c>
      <c r="BM67" s="57">
        <f t="shared" si="20"/>
        <v>0</v>
      </c>
      <c r="BN67" s="57">
        <f t="shared" si="21"/>
        <v>0</v>
      </c>
      <c r="BO67" s="57">
        <f t="shared" si="22"/>
        <v>0</v>
      </c>
      <c r="BP67" s="57">
        <f t="shared" si="23"/>
        <v>0</v>
      </c>
      <c r="BQ67" s="70" t="s">
        <v>717</v>
      </c>
    </row>
    <row r="68" spans="1:69" s="73" customFormat="1" ht="105" x14ac:dyDescent="0.25">
      <c r="A68" s="62">
        <v>11500</v>
      </c>
      <c r="B68" s="63" t="str">
        <f>+VLOOKUP(A68,'[1]TAB. REF. PA'!$A$4:$B$14,2,FALSE)</f>
        <v xml:space="preserve">Dirección de Otras Prestaciones  </v>
      </c>
      <c r="C68" s="64" t="s">
        <v>263</v>
      </c>
      <c r="D68" s="63" t="s">
        <v>144</v>
      </c>
      <c r="E68" s="64" t="s">
        <v>531</v>
      </c>
      <c r="F68" s="63" t="s">
        <v>604</v>
      </c>
      <c r="G68" s="65" t="s">
        <v>605</v>
      </c>
      <c r="H68" s="76">
        <v>12</v>
      </c>
      <c r="I68" s="64" t="s">
        <v>532</v>
      </c>
      <c r="J68" s="63" t="s">
        <v>606</v>
      </c>
      <c r="K68" s="67">
        <v>0</v>
      </c>
      <c r="L68" s="68">
        <v>1</v>
      </c>
      <c r="M68" s="69" t="s">
        <v>46</v>
      </c>
      <c r="N68" s="69" t="s">
        <v>68</v>
      </c>
      <c r="O68" s="69" t="s">
        <v>21</v>
      </c>
      <c r="P68" s="69" t="s">
        <v>36</v>
      </c>
      <c r="Q68" s="69" t="s">
        <v>211</v>
      </c>
      <c r="R68" s="70"/>
      <c r="S68" s="69" t="s">
        <v>675</v>
      </c>
      <c r="T68" s="69" t="s">
        <v>98</v>
      </c>
      <c r="U68" s="67">
        <v>3</v>
      </c>
      <c r="V68" s="63" t="str">
        <f>+$J$68</f>
        <v>Publicación del Giro Directo del giro previo</v>
      </c>
      <c r="W68" s="67">
        <f>+K68</f>
        <v>0</v>
      </c>
      <c r="X68" s="62" t="s">
        <v>117</v>
      </c>
      <c r="Y68" s="67">
        <v>3</v>
      </c>
      <c r="Z68" s="63" t="str">
        <f>+$J$68</f>
        <v>Publicación del Giro Directo del giro previo</v>
      </c>
      <c r="AA68" s="67">
        <v>0</v>
      </c>
      <c r="AB68" s="70"/>
      <c r="AC68" s="70"/>
      <c r="AD68" s="68">
        <f t="shared" si="0"/>
        <v>0</v>
      </c>
      <c r="AE68" s="68" t="e">
        <f t="shared" si="1"/>
        <v>#DIV/0!</v>
      </c>
      <c r="AF68" s="68">
        <f t="shared" si="2"/>
        <v>0</v>
      </c>
      <c r="AG68" s="68" t="e">
        <f t="shared" si="3"/>
        <v>#DIV/0!</v>
      </c>
      <c r="AH68" s="67">
        <v>3</v>
      </c>
      <c r="AI68" s="63" t="str">
        <f>+$J$68</f>
        <v>Publicación del Giro Directo del giro previo</v>
      </c>
      <c r="AJ68" s="67">
        <v>0</v>
      </c>
      <c r="AK68" s="70"/>
      <c r="AL68" s="70"/>
      <c r="AM68" s="68">
        <f t="shared" si="4"/>
        <v>0</v>
      </c>
      <c r="AN68" s="68" t="e">
        <f t="shared" si="5"/>
        <v>#DIV/0!</v>
      </c>
      <c r="AO68" s="68">
        <f t="shared" si="6"/>
        <v>0</v>
      </c>
      <c r="AP68" s="71" t="e">
        <f t="shared" si="7"/>
        <v>#DIV/0!</v>
      </c>
      <c r="AQ68" s="67">
        <v>3</v>
      </c>
      <c r="AR68" s="63" t="str">
        <f>+$J$68</f>
        <v>Publicación del Giro Directo del giro previo</v>
      </c>
      <c r="AS68" s="67">
        <v>0</v>
      </c>
      <c r="AT68" s="70"/>
      <c r="AU68" s="70"/>
      <c r="AV68" s="68">
        <f t="shared" si="8"/>
        <v>0</v>
      </c>
      <c r="AW68" s="68" t="e">
        <f t="shared" si="9"/>
        <v>#DIV/0!</v>
      </c>
      <c r="AX68" s="68">
        <f t="shared" si="10"/>
        <v>0</v>
      </c>
      <c r="AY68" s="68" t="e">
        <f t="shared" si="11"/>
        <v>#DIV/0!</v>
      </c>
      <c r="AZ68" s="67">
        <v>3</v>
      </c>
      <c r="BA68" s="63" t="str">
        <f>+$J$68</f>
        <v>Publicación del Giro Directo del giro previo</v>
      </c>
      <c r="BB68" s="67">
        <v>0</v>
      </c>
      <c r="BC68" s="70"/>
      <c r="BD68" s="70"/>
      <c r="BE68" s="68">
        <f t="shared" si="12"/>
        <v>0</v>
      </c>
      <c r="BF68" s="68" t="e">
        <f t="shared" si="13"/>
        <v>#DIV/0!</v>
      </c>
      <c r="BG68" s="68">
        <f t="shared" si="14"/>
        <v>0</v>
      </c>
      <c r="BH68" s="68" t="e">
        <f t="shared" si="15"/>
        <v>#DIV/0!</v>
      </c>
      <c r="BI68" s="72">
        <f t="shared" si="16"/>
        <v>0</v>
      </c>
      <c r="BJ68" s="72" t="str">
        <f t="shared" si="17"/>
        <v>No Prog ni Ejec</v>
      </c>
      <c r="BK68" s="72">
        <f t="shared" si="18"/>
        <v>0</v>
      </c>
      <c r="BL68" s="72" t="str">
        <f t="shared" si="19"/>
        <v>No Prog ni Ejec</v>
      </c>
      <c r="BM68" s="72">
        <f t="shared" si="20"/>
        <v>0</v>
      </c>
      <c r="BN68" s="72" t="str">
        <f t="shared" si="21"/>
        <v>No Prog ni Ejec</v>
      </c>
      <c r="BO68" s="72">
        <f t="shared" si="22"/>
        <v>0</v>
      </c>
      <c r="BP68" s="72" t="str">
        <f t="shared" si="23"/>
        <v>No Prog ni Ejec</v>
      </c>
      <c r="BQ68" s="70"/>
    </row>
    <row r="69" spans="1:69" s="73" customFormat="1" ht="107.25" customHeight="1" x14ac:dyDescent="0.25">
      <c r="A69" s="62">
        <v>11500</v>
      </c>
      <c r="B69" s="63" t="str">
        <f>+VLOOKUP(A69,'[1]TAB. REF. PA'!$A$4:$B$14,2,FALSE)</f>
        <v xml:space="preserve">Dirección de Otras Prestaciones  </v>
      </c>
      <c r="C69" s="64" t="s">
        <v>263</v>
      </c>
      <c r="D69" s="63" t="s">
        <v>144</v>
      </c>
      <c r="E69" s="64" t="s">
        <v>533</v>
      </c>
      <c r="F69" s="63" t="s">
        <v>607</v>
      </c>
      <c r="G69" s="65" t="s">
        <v>123</v>
      </c>
      <c r="H69" s="74">
        <v>1</v>
      </c>
      <c r="I69" s="64" t="s">
        <v>534</v>
      </c>
      <c r="J69" s="63" t="s">
        <v>608</v>
      </c>
      <c r="K69" s="67">
        <v>0</v>
      </c>
      <c r="L69" s="68">
        <v>1</v>
      </c>
      <c r="M69" s="69" t="s">
        <v>46</v>
      </c>
      <c r="N69" s="69" t="s">
        <v>68</v>
      </c>
      <c r="O69" s="69" t="s">
        <v>21</v>
      </c>
      <c r="P69" s="69" t="s">
        <v>36</v>
      </c>
      <c r="Q69" s="69" t="s">
        <v>211</v>
      </c>
      <c r="R69" s="70"/>
      <c r="S69" s="69" t="s">
        <v>622</v>
      </c>
      <c r="T69" s="69" t="s">
        <v>98</v>
      </c>
      <c r="U69" s="68">
        <v>1</v>
      </c>
      <c r="V69" s="63" t="str">
        <f>+$J$69</f>
        <v>Realizar infomes de supervisión en el período</v>
      </c>
      <c r="W69" s="67">
        <v>0</v>
      </c>
      <c r="X69" s="62" t="s">
        <v>117</v>
      </c>
      <c r="Y69" s="68">
        <v>0.25</v>
      </c>
      <c r="Z69" s="63" t="str">
        <f>+$J$69</f>
        <v>Realizar infomes de supervisión en el período</v>
      </c>
      <c r="AA69" s="67">
        <v>0</v>
      </c>
      <c r="AB69" s="70"/>
      <c r="AC69" s="70"/>
      <c r="AD69" s="68">
        <f t="shared" si="0"/>
        <v>0</v>
      </c>
      <c r="AE69" s="68" t="e">
        <f t="shared" si="1"/>
        <v>#DIV/0!</v>
      </c>
      <c r="AF69" s="68">
        <f t="shared" si="2"/>
        <v>0</v>
      </c>
      <c r="AG69" s="68" t="e">
        <f t="shared" si="3"/>
        <v>#DIV/0!</v>
      </c>
      <c r="AH69" s="68">
        <v>0.25</v>
      </c>
      <c r="AI69" s="63" t="str">
        <f>+$J$69</f>
        <v>Realizar infomes de supervisión en el período</v>
      </c>
      <c r="AJ69" s="67">
        <v>0</v>
      </c>
      <c r="AK69" s="70"/>
      <c r="AL69" s="70"/>
      <c r="AM69" s="68">
        <f t="shared" si="4"/>
        <v>0</v>
      </c>
      <c r="AN69" s="68" t="e">
        <f t="shared" si="5"/>
        <v>#DIV/0!</v>
      </c>
      <c r="AO69" s="68">
        <f t="shared" si="6"/>
        <v>0</v>
      </c>
      <c r="AP69" s="71" t="e">
        <f t="shared" si="7"/>
        <v>#DIV/0!</v>
      </c>
      <c r="AQ69" s="68">
        <v>0.25</v>
      </c>
      <c r="AR69" s="63" t="str">
        <f>+$J$69</f>
        <v>Realizar infomes de supervisión en el período</v>
      </c>
      <c r="AS69" s="67">
        <v>0</v>
      </c>
      <c r="AT69" s="70"/>
      <c r="AU69" s="70"/>
      <c r="AV69" s="68">
        <f t="shared" si="8"/>
        <v>0</v>
      </c>
      <c r="AW69" s="68" t="e">
        <f t="shared" si="9"/>
        <v>#DIV/0!</v>
      </c>
      <c r="AX69" s="68">
        <f t="shared" si="10"/>
        <v>0</v>
      </c>
      <c r="AY69" s="68" t="e">
        <f t="shared" si="11"/>
        <v>#DIV/0!</v>
      </c>
      <c r="AZ69" s="68">
        <v>0.25</v>
      </c>
      <c r="BA69" s="63" t="str">
        <f>+$J$69</f>
        <v>Realizar infomes de supervisión en el período</v>
      </c>
      <c r="BB69" s="67">
        <v>0</v>
      </c>
      <c r="BC69" s="70"/>
      <c r="BD69" s="70"/>
      <c r="BE69" s="68">
        <f t="shared" si="12"/>
        <v>0</v>
      </c>
      <c r="BF69" s="68" t="e">
        <f t="shared" si="13"/>
        <v>#DIV/0!</v>
      </c>
      <c r="BG69" s="68">
        <f t="shared" si="14"/>
        <v>0</v>
      </c>
      <c r="BH69" s="68" t="e">
        <f t="shared" si="15"/>
        <v>#DIV/0!</v>
      </c>
      <c r="BI69" s="72">
        <f t="shared" si="16"/>
        <v>0</v>
      </c>
      <c r="BJ69" s="72" t="str">
        <f t="shared" si="17"/>
        <v>No Prog ni Ejec</v>
      </c>
      <c r="BK69" s="72">
        <f t="shared" si="18"/>
        <v>0</v>
      </c>
      <c r="BL69" s="72" t="str">
        <f t="shared" si="19"/>
        <v>No Prog ni Ejec</v>
      </c>
      <c r="BM69" s="72">
        <f t="shared" si="20"/>
        <v>0</v>
      </c>
      <c r="BN69" s="72" t="str">
        <f t="shared" si="21"/>
        <v>No Prog ni Ejec</v>
      </c>
      <c r="BO69" s="72">
        <f t="shared" si="22"/>
        <v>0</v>
      </c>
      <c r="BP69" s="72" t="str">
        <f t="shared" si="23"/>
        <v>No Prog ni Ejec</v>
      </c>
      <c r="BQ69" s="70"/>
    </row>
    <row r="70" spans="1:69" s="73" customFormat="1" ht="105" x14ac:dyDescent="0.25">
      <c r="A70" s="62">
        <v>11500</v>
      </c>
      <c r="B70" s="63" t="str">
        <f>+VLOOKUP(A70,'[1]TAB. REF. PA'!$A$4:$B$14,2,FALSE)</f>
        <v xml:space="preserve">Dirección de Otras Prestaciones  </v>
      </c>
      <c r="C70" s="64" t="s">
        <v>263</v>
      </c>
      <c r="D70" s="63" t="s">
        <v>144</v>
      </c>
      <c r="E70" s="64" t="s">
        <v>535</v>
      </c>
      <c r="F70" s="63" t="s">
        <v>609</v>
      </c>
      <c r="G70" s="65" t="s">
        <v>384</v>
      </c>
      <c r="H70" s="76">
        <v>4</v>
      </c>
      <c r="I70" s="64" t="s">
        <v>536</v>
      </c>
      <c r="J70" s="63" t="s">
        <v>610</v>
      </c>
      <c r="K70" s="67">
        <v>0</v>
      </c>
      <c r="L70" s="68">
        <v>1</v>
      </c>
      <c r="M70" s="69" t="s">
        <v>46</v>
      </c>
      <c r="N70" s="69" t="s">
        <v>68</v>
      </c>
      <c r="O70" s="69" t="s">
        <v>21</v>
      </c>
      <c r="P70" s="69" t="s">
        <v>36</v>
      </c>
      <c r="Q70" s="69" t="s">
        <v>211</v>
      </c>
      <c r="R70" s="70"/>
      <c r="S70" s="69" t="s">
        <v>623</v>
      </c>
      <c r="T70" s="69" t="s">
        <v>98</v>
      </c>
      <c r="U70" s="67">
        <v>4</v>
      </c>
      <c r="V70" s="63" t="str">
        <f>+$J$70</f>
        <v xml:space="preserve">Realizar boletines con resultados del proceso de reconocimiento y pago de recobros por concepto de servicios y tecnologías no cubiertos por el plan de beneficios con cargo a la UPC </v>
      </c>
      <c r="W70" s="67">
        <v>0</v>
      </c>
      <c r="X70" s="62" t="s">
        <v>117</v>
      </c>
      <c r="Y70" s="67">
        <v>1</v>
      </c>
      <c r="Z70" s="63" t="str">
        <f>+$J$70</f>
        <v xml:space="preserve">Realizar boletines con resultados del proceso de reconocimiento y pago de recobros por concepto de servicios y tecnologías no cubiertos por el plan de beneficios con cargo a la UPC </v>
      </c>
      <c r="AA70" s="67">
        <v>0</v>
      </c>
      <c r="AB70" s="70"/>
      <c r="AC70" s="70"/>
      <c r="AD70" s="68">
        <f t="shared" si="0"/>
        <v>0</v>
      </c>
      <c r="AE70" s="68" t="e">
        <f t="shared" si="1"/>
        <v>#DIV/0!</v>
      </c>
      <c r="AF70" s="68">
        <f t="shared" si="2"/>
        <v>0</v>
      </c>
      <c r="AG70" s="68" t="e">
        <f t="shared" si="3"/>
        <v>#DIV/0!</v>
      </c>
      <c r="AH70" s="67">
        <v>1</v>
      </c>
      <c r="AI70" s="63" t="str">
        <f>+$J$70</f>
        <v xml:space="preserve">Realizar boletines con resultados del proceso de reconocimiento y pago de recobros por concepto de servicios y tecnologías no cubiertos por el plan de beneficios con cargo a la UPC </v>
      </c>
      <c r="AJ70" s="67">
        <v>0</v>
      </c>
      <c r="AK70" s="70"/>
      <c r="AL70" s="70"/>
      <c r="AM70" s="68">
        <f t="shared" si="4"/>
        <v>0</v>
      </c>
      <c r="AN70" s="68" t="e">
        <f t="shared" si="5"/>
        <v>#DIV/0!</v>
      </c>
      <c r="AO70" s="68">
        <f t="shared" si="6"/>
        <v>0</v>
      </c>
      <c r="AP70" s="71" t="e">
        <f t="shared" si="7"/>
        <v>#DIV/0!</v>
      </c>
      <c r="AQ70" s="67">
        <v>1</v>
      </c>
      <c r="AR70" s="63" t="str">
        <f>+$J$70</f>
        <v xml:space="preserve">Realizar boletines con resultados del proceso de reconocimiento y pago de recobros por concepto de servicios y tecnologías no cubiertos por el plan de beneficios con cargo a la UPC </v>
      </c>
      <c r="AS70" s="67">
        <v>0</v>
      </c>
      <c r="AT70" s="70"/>
      <c r="AU70" s="70"/>
      <c r="AV70" s="68">
        <f t="shared" si="8"/>
        <v>0</v>
      </c>
      <c r="AW70" s="68" t="e">
        <f t="shared" si="9"/>
        <v>#DIV/0!</v>
      </c>
      <c r="AX70" s="68">
        <f t="shared" si="10"/>
        <v>0</v>
      </c>
      <c r="AY70" s="68" t="e">
        <f t="shared" si="11"/>
        <v>#DIV/0!</v>
      </c>
      <c r="AZ70" s="67">
        <v>1</v>
      </c>
      <c r="BA70" s="63" t="str">
        <f>+$J$70</f>
        <v xml:space="preserve">Realizar boletines con resultados del proceso de reconocimiento y pago de recobros por concepto de servicios y tecnologías no cubiertos por el plan de beneficios con cargo a la UPC </v>
      </c>
      <c r="BB70" s="67">
        <v>0</v>
      </c>
      <c r="BC70" s="70"/>
      <c r="BD70" s="70"/>
      <c r="BE70" s="68">
        <f t="shared" si="12"/>
        <v>0</v>
      </c>
      <c r="BF70" s="68" t="e">
        <f t="shared" si="13"/>
        <v>#DIV/0!</v>
      </c>
      <c r="BG70" s="68">
        <f t="shared" si="14"/>
        <v>0</v>
      </c>
      <c r="BH70" s="68" t="e">
        <f t="shared" si="15"/>
        <v>#DIV/0!</v>
      </c>
      <c r="BI70" s="72">
        <f t="shared" si="16"/>
        <v>0</v>
      </c>
      <c r="BJ70" s="72" t="str">
        <f t="shared" si="17"/>
        <v>No Prog ni Ejec</v>
      </c>
      <c r="BK70" s="72">
        <f t="shared" si="18"/>
        <v>0</v>
      </c>
      <c r="BL70" s="72" t="str">
        <f t="shared" si="19"/>
        <v>No Prog ni Ejec</v>
      </c>
      <c r="BM70" s="72">
        <f t="shared" si="20"/>
        <v>0</v>
      </c>
      <c r="BN70" s="72" t="str">
        <f t="shared" si="21"/>
        <v>No Prog ni Ejec</v>
      </c>
      <c r="BO70" s="72">
        <f t="shared" si="22"/>
        <v>0</v>
      </c>
      <c r="BP70" s="72" t="str">
        <f t="shared" si="23"/>
        <v>No Prog ni Ejec</v>
      </c>
      <c r="BQ70" s="70"/>
    </row>
    <row r="71" spans="1:69" s="58" customFormat="1" ht="105" x14ac:dyDescent="0.25">
      <c r="A71" s="62">
        <v>11500</v>
      </c>
      <c r="B71" s="63" t="str">
        <f>+VLOOKUP(A71,'[1]TAB. REF. PA'!$A$4:$B$14,2,FALSE)</f>
        <v xml:space="preserve">Dirección de Otras Prestaciones  </v>
      </c>
      <c r="C71" s="64" t="s">
        <v>611</v>
      </c>
      <c r="D71" s="63" t="s">
        <v>146</v>
      </c>
      <c r="E71" s="64" t="s">
        <v>537</v>
      </c>
      <c r="F71" s="63" t="s">
        <v>612</v>
      </c>
      <c r="G71" s="65" t="s">
        <v>123</v>
      </c>
      <c r="H71" s="74">
        <v>1</v>
      </c>
      <c r="I71" s="64" t="s">
        <v>538</v>
      </c>
      <c r="J71" s="63" t="s">
        <v>613</v>
      </c>
      <c r="K71" s="67">
        <v>195840000</v>
      </c>
      <c r="L71" s="99">
        <v>1</v>
      </c>
      <c r="M71" s="69" t="s">
        <v>46</v>
      </c>
      <c r="N71" s="69" t="s">
        <v>68</v>
      </c>
      <c r="O71" s="69" t="s">
        <v>21</v>
      </c>
      <c r="P71" s="69" t="s">
        <v>36</v>
      </c>
      <c r="Q71" s="69" t="s">
        <v>211</v>
      </c>
      <c r="R71" s="70"/>
      <c r="S71" s="69" t="s">
        <v>624</v>
      </c>
      <c r="T71" s="69" t="s">
        <v>98</v>
      </c>
      <c r="U71" s="68">
        <v>1</v>
      </c>
      <c r="V71" s="63" t="str">
        <f>+$J$71</f>
        <v>Entregar apoyos técnicos a la OAJ en recobros y reclamaciones una vez son resueltos por la Dirección de Tecnología de la Información</v>
      </c>
      <c r="W71" s="115">
        <f>+K71</f>
        <v>195840000</v>
      </c>
      <c r="X71" s="62" t="s">
        <v>117</v>
      </c>
      <c r="Y71" s="68">
        <v>0.25</v>
      </c>
      <c r="Z71" s="63" t="str">
        <f>+$J$71</f>
        <v>Entregar apoyos técnicos a la OAJ en recobros y reclamaciones una vez son resueltos por la Dirección de Tecnología de la Información</v>
      </c>
      <c r="AA71" s="115">
        <f>+W71*Y71</f>
        <v>48960000</v>
      </c>
      <c r="AB71" s="70"/>
      <c r="AC71" s="70"/>
      <c r="AD71" s="68">
        <f t="shared" si="0"/>
        <v>0</v>
      </c>
      <c r="AE71" s="68">
        <f t="shared" si="1"/>
        <v>0</v>
      </c>
      <c r="AF71" s="68">
        <f t="shared" si="2"/>
        <v>0</v>
      </c>
      <c r="AG71" s="68">
        <f t="shared" si="3"/>
        <v>0</v>
      </c>
      <c r="AH71" s="68">
        <v>0.25</v>
      </c>
      <c r="AI71" s="63" t="str">
        <f>+$J$71</f>
        <v>Entregar apoyos técnicos a la OAJ en recobros y reclamaciones una vez son resueltos por la Dirección de Tecnología de la Información</v>
      </c>
      <c r="AJ71" s="115">
        <v>48960000</v>
      </c>
      <c r="AK71" s="70"/>
      <c r="AL71" s="70"/>
      <c r="AM71" s="68">
        <f t="shared" si="4"/>
        <v>0</v>
      </c>
      <c r="AN71" s="68">
        <f t="shared" si="5"/>
        <v>0</v>
      </c>
      <c r="AO71" s="68">
        <f t="shared" si="6"/>
        <v>0</v>
      </c>
      <c r="AP71" s="71">
        <f t="shared" si="7"/>
        <v>0</v>
      </c>
      <c r="AQ71" s="68">
        <v>0.25</v>
      </c>
      <c r="AR71" s="63" t="str">
        <f>+$J$71</f>
        <v>Entregar apoyos técnicos a la OAJ en recobros y reclamaciones una vez son resueltos por la Dirección de Tecnología de la Información</v>
      </c>
      <c r="AS71" s="115">
        <v>48960000</v>
      </c>
      <c r="AT71" s="70"/>
      <c r="AU71" s="70"/>
      <c r="AV71" s="68">
        <f t="shared" si="8"/>
        <v>0</v>
      </c>
      <c r="AW71" s="68">
        <f t="shared" si="9"/>
        <v>0</v>
      </c>
      <c r="AX71" s="68">
        <f t="shared" si="10"/>
        <v>0</v>
      </c>
      <c r="AY71" s="68">
        <f t="shared" si="11"/>
        <v>0</v>
      </c>
      <c r="AZ71" s="68">
        <v>0.25</v>
      </c>
      <c r="BA71" s="63" t="str">
        <f>+$J$71</f>
        <v>Entregar apoyos técnicos a la OAJ en recobros y reclamaciones una vez son resueltos por la Dirección de Tecnología de la Información</v>
      </c>
      <c r="BB71" s="115">
        <v>48960000</v>
      </c>
      <c r="BC71" s="70"/>
      <c r="BD71" s="70"/>
      <c r="BE71" s="68">
        <f t="shared" si="12"/>
        <v>0</v>
      </c>
      <c r="BF71" s="68">
        <f t="shared" si="13"/>
        <v>0</v>
      </c>
      <c r="BG71" s="68">
        <f t="shared" si="14"/>
        <v>0</v>
      </c>
      <c r="BH71" s="68">
        <f t="shared" si="15"/>
        <v>0</v>
      </c>
      <c r="BI71" s="57">
        <f t="shared" si="16"/>
        <v>0</v>
      </c>
      <c r="BJ71" s="57">
        <f t="shared" si="17"/>
        <v>0</v>
      </c>
      <c r="BK71" s="57">
        <f t="shared" si="18"/>
        <v>0</v>
      </c>
      <c r="BL71" s="57">
        <f t="shared" si="19"/>
        <v>0</v>
      </c>
      <c r="BM71" s="57">
        <f t="shared" si="20"/>
        <v>0</v>
      </c>
      <c r="BN71" s="57">
        <f t="shared" si="21"/>
        <v>0</v>
      </c>
      <c r="BO71" s="57">
        <f t="shared" si="22"/>
        <v>0</v>
      </c>
      <c r="BP71" s="57">
        <f t="shared" si="23"/>
        <v>0</v>
      </c>
      <c r="BQ71" s="21"/>
    </row>
    <row r="72" spans="1:69" s="73" customFormat="1" ht="150" x14ac:dyDescent="0.25">
      <c r="A72" s="62">
        <v>11500</v>
      </c>
      <c r="B72" s="63" t="str">
        <f>+VLOOKUP(A72,'[1]TAB. REF. PA'!$A$4:$B$14,2,FALSE)</f>
        <v xml:space="preserve">Dirección de Otras Prestaciones  </v>
      </c>
      <c r="C72" s="64" t="s">
        <v>263</v>
      </c>
      <c r="D72" s="63" t="s">
        <v>144</v>
      </c>
      <c r="E72" s="64" t="s">
        <v>618</v>
      </c>
      <c r="F72" s="63" t="s">
        <v>614</v>
      </c>
      <c r="G72" s="65" t="s">
        <v>123</v>
      </c>
      <c r="H72" s="74">
        <v>1</v>
      </c>
      <c r="I72" s="64" t="s">
        <v>620</v>
      </c>
      <c r="J72" s="63" t="s">
        <v>615</v>
      </c>
      <c r="K72" s="67">
        <f>(48960000)*0.25</f>
        <v>12240000</v>
      </c>
      <c r="L72" s="68">
        <v>1</v>
      </c>
      <c r="M72" s="69" t="s">
        <v>46</v>
      </c>
      <c r="N72" s="69" t="s">
        <v>68</v>
      </c>
      <c r="O72" s="69" t="s">
        <v>21</v>
      </c>
      <c r="P72" s="69" t="s">
        <v>36</v>
      </c>
      <c r="Q72" s="69" t="s">
        <v>211</v>
      </c>
      <c r="R72" s="70"/>
      <c r="S72" s="69" t="s">
        <v>676</v>
      </c>
      <c r="T72" s="69" t="s">
        <v>98</v>
      </c>
      <c r="U72" s="68">
        <v>1</v>
      </c>
      <c r="V72" s="63" t="str">
        <f>+$J$72</f>
        <v>Pagar paquetes de reclamaciones de acuerdo con lo definido en la normativa vigente</v>
      </c>
      <c r="W72" s="67">
        <f>48960000*0.25</f>
        <v>12240000</v>
      </c>
      <c r="X72" s="62" t="s">
        <v>117</v>
      </c>
      <c r="Y72" s="68">
        <v>0.25</v>
      </c>
      <c r="Z72" s="63" t="str">
        <f>+$J$72</f>
        <v>Pagar paquetes de reclamaciones de acuerdo con lo definido en la normativa vigente</v>
      </c>
      <c r="AA72" s="115">
        <f>+W72*Y72</f>
        <v>3060000</v>
      </c>
      <c r="AB72" s="70"/>
      <c r="AC72" s="70"/>
      <c r="AD72" s="68">
        <f t="shared" si="0"/>
        <v>0</v>
      </c>
      <c r="AE72" s="68">
        <f t="shared" si="1"/>
        <v>0</v>
      </c>
      <c r="AF72" s="68">
        <f t="shared" si="2"/>
        <v>0</v>
      </c>
      <c r="AG72" s="68">
        <f t="shared" si="3"/>
        <v>0</v>
      </c>
      <c r="AH72" s="68">
        <v>0.25</v>
      </c>
      <c r="AI72" s="63" t="str">
        <f>+$J$72</f>
        <v>Pagar paquetes de reclamaciones de acuerdo con lo definido en la normativa vigente</v>
      </c>
      <c r="AJ72" s="115">
        <v>6120000</v>
      </c>
      <c r="AK72" s="70"/>
      <c r="AL72" s="70"/>
      <c r="AM72" s="68">
        <f t="shared" si="4"/>
        <v>0</v>
      </c>
      <c r="AN72" s="68">
        <f t="shared" si="5"/>
        <v>0</v>
      </c>
      <c r="AO72" s="68">
        <f t="shared" si="6"/>
        <v>0</v>
      </c>
      <c r="AP72" s="71">
        <f t="shared" si="7"/>
        <v>0</v>
      </c>
      <c r="AQ72" s="68">
        <v>0.25</v>
      </c>
      <c r="AR72" s="63" t="str">
        <f>+$J$72</f>
        <v>Pagar paquetes de reclamaciones de acuerdo con lo definido en la normativa vigente</v>
      </c>
      <c r="AS72" s="115">
        <v>6120000</v>
      </c>
      <c r="AT72" s="70"/>
      <c r="AU72" s="70"/>
      <c r="AV72" s="68">
        <f t="shared" si="8"/>
        <v>0</v>
      </c>
      <c r="AW72" s="68">
        <f t="shared" si="9"/>
        <v>0</v>
      </c>
      <c r="AX72" s="68">
        <f t="shared" si="10"/>
        <v>0</v>
      </c>
      <c r="AY72" s="68">
        <f t="shared" si="11"/>
        <v>0</v>
      </c>
      <c r="AZ72" s="68">
        <v>0.25</v>
      </c>
      <c r="BA72" s="63" t="str">
        <f>+$J$72</f>
        <v>Pagar paquetes de reclamaciones de acuerdo con lo definido en la normativa vigente</v>
      </c>
      <c r="BB72" s="115">
        <v>6120000</v>
      </c>
      <c r="BC72" s="70"/>
      <c r="BD72" s="70"/>
      <c r="BE72" s="68">
        <f t="shared" si="12"/>
        <v>0</v>
      </c>
      <c r="BF72" s="68">
        <f t="shared" si="13"/>
        <v>0</v>
      </c>
      <c r="BG72" s="68">
        <f t="shared" si="14"/>
        <v>0</v>
      </c>
      <c r="BH72" s="68">
        <f t="shared" si="15"/>
        <v>0</v>
      </c>
      <c r="BI72" s="72">
        <f t="shared" si="16"/>
        <v>0</v>
      </c>
      <c r="BJ72" s="72">
        <f t="shared" si="17"/>
        <v>0</v>
      </c>
      <c r="BK72" s="72">
        <f t="shared" si="18"/>
        <v>0</v>
      </c>
      <c r="BL72" s="72">
        <f t="shared" si="19"/>
        <v>0</v>
      </c>
      <c r="BM72" s="72">
        <f t="shared" si="20"/>
        <v>0</v>
      </c>
      <c r="BN72" s="72">
        <f t="shared" si="21"/>
        <v>0</v>
      </c>
      <c r="BO72" s="72">
        <f t="shared" si="22"/>
        <v>0</v>
      </c>
      <c r="BP72" s="72">
        <f t="shared" si="23"/>
        <v>0</v>
      </c>
      <c r="BQ72" s="70" t="s">
        <v>717</v>
      </c>
    </row>
    <row r="73" spans="1:69" s="73" customFormat="1" ht="105" x14ac:dyDescent="0.25">
      <c r="A73" s="62">
        <v>11500</v>
      </c>
      <c r="B73" s="63" t="str">
        <f>+VLOOKUP(A73,'[1]TAB. REF. PA'!$A$4:$B$14,2,FALSE)</f>
        <v xml:space="preserve">Dirección de Otras Prestaciones  </v>
      </c>
      <c r="C73" s="64" t="s">
        <v>263</v>
      </c>
      <c r="D73" s="63" t="s">
        <v>144</v>
      </c>
      <c r="E73" s="64" t="s">
        <v>619</v>
      </c>
      <c r="F73" s="63" t="s">
        <v>616</v>
      </c>
      <c r="G73" s="65" t="s">
        <v>384</v>
      </c>
      <c r="H73" s="76">
        <v>4</v>
      </c>
      <c r="I73" s="64" t="s">
        <v>621</v>
      </c>
      <c r="J73" s="63" t="s">
        <v>617</v>
      </c>
      <c r="K73" s="67">
        <v>0</v>
      </c>
      <c r="L73" s="68">
        <v>1</v>
      </c>
      <c r="M73" s="69" t="s">
        <v>46</v>
      </c>
      <c r="N73" s="69" t="s">
        <v>68</v>
      </c>
      <c r="O73" s="69" t="s">
        <v>21</v>
      </c>
      <c r="P73" s="69" t="s">
        <v>36</v>
      </c>
      <c r="Q73" s="69" t="s">
        <v>211</v>
      </c>
      <c r="R73" s="70"/>
      <c r="S73" s="69" t="s">
        <v>623</v>
      </c>
      <c r="T73" s="69" t="s">
        <v>98</v>
      </c>
      <c r="U73" s="67">
        <v>4</v>
      </c>
      <c r="V73" s="63" t="str">
        <f>+$J$73</f>
        <v>Generar boletines con resultados del proceso reclamaciones</v>
      </c>
      <c r="W73" s="67">
        <v>0</v>
      </c>
      <c r="X73" s="62" t="s">
        <v>117</v>
      </c>
      <c r="Y73" s="67">
        <v>1</v>
      </c>
      <c r="Z73" s="63" t="str">
        <f>+$J$73</f>
        <v>Generar boletines con resultados del proceso reclamaciones</v>
      </c>
      <c r="AA73" s="67">
        <v>0</v>
      </c>
      <c r="AB73" s="70"/>
      <c r="AC73" s="70"/>
      <c r="AD73" s="68">
        <f t="shared" si="0"/>
        <v>0</v>
      </c>
      <c r="AE73" s="68" t="e">
        <f t="shared" si="1"/>
        <v>#DIV/0!</v>
      </c>
      <c r="AF73" s="68">
        <f t="shared" si="2"/>
        <v>0</v>
      </c>
      <c r="AG73" s="68" t="e">
        <f t="shared" si="3"/>
        <v>#DIV/0!</v>
      </c>
      <c r="AH73" s="67">
        <v>1</v>
      </c>
      <c r="AI73" s="63" t="str">
        <f>+$J$73</f>
        <v>Generar boletines con resultados del proceso reclamaciones</v>
      </c>
      <c r="AJ73" s="67">
        <v>0</v>
      </c>
      <c r="AK73" s="70"/>
      <c r="AL73" s="70"/>
      <c r="AM73" s="68">
        <f t="shared" si="4"/>
        <v>0</v>
      </c>
      <c r="AN73" s="68" t="e">
        <f t="shared" si="5"/>
        <v>#DIV/0!</v>
      </c>
      <c r="AO73" s="68">
        <f t="shared" si="6"/>
        <v>0</v>
      </c>
      <c r="AP73" s="71" t="e">
        <f t="shared" si="7"/>
        <v>#DIV/0!</v>
      </c>
      <c r="AQ73" s="67">
        <v>1</v>
      </c>
      <c r="AR73" s="63" t="str">
        <f>+$J$73</f>
        <v>Generar boletines con resultados del proceso reclamaciones</v>
      </c>
      <c r="AS73" s="67">
        <v>0</v>
      </c>
      <c r="AT73" s="70"/>
      <c r="AU73" s="70"/>
      <c r="AV73" s="68">
        <f t="shared" si="8"/>
        <v>0</v>
      </c>
      <c r="AW73" s="68" t="e">
        <f t="shared" si="9"/>
        <v>#DIV/0!</v>
      </c>
      <c r="AX73" s="68">
        <f t="shared" si="10"/>
        <v>0</v>
      </c>
      <c r="AY73" s="68" t="e">
        <f t="shared" si="11"/>
        <v>#DIV/0!</v>
      </c>
      <c r="AZ73" s="67">
        <v>1</v>
      </c>
      <c r="BA73" s="63" t="str">
        <f>+$J$73</f>
        <v>Generar boletines con resultados del proceso reclamaciones</v>
      </c>
      <c r="BB73" s="67">
        <v>0</v>
      </c>
      <c r="BC73" s="70"/>
      <c r="BD73" s="70"/>
      <c r="BE73" s="68">
        <f t="shared" si="12"/>
        <v>0</v>
      </c>
      <c r="BF73" s="68" t="e">
        <f t="shared" si="13"/>
        <v>#DIV/0!</v>
      </c>
      <c r="BG73" s="68">
        <f t="shared" si="14"/>
        <v>0</v>
      </c>
      <c r="BH73" s="68" t="e">
        <f t="shared" si="15"/>
        <v>#DIV/0!</v>
      </c>
      <c r="BI73" s="72">
        <f t="shared" si="16"/>
        <v>0</v>
      </c>
      <c r="BJ73" s="72" t="str">
        <f t="shared" si="17"/>
        <v>No Prog ni Ejec</v>
      </c>
      <c r="BK73" s="72">
        <f t="shared" si="18"/>
        <v>0</v>
      </c>
      <c r="BL73" s="72" t="str">
        <f t="shared" si="19"/>
        <v>No Prog ni Ejec</v>
      </c>
      <c r="BM73" s="72">
        <f t="shared" si="20"/>
        <v>0</v>
      </c>
      <c r="BN73" s="72" t="str">
        <f t="shared" si="21"/>
        <v>No Prog ni Ejec</v>
      </c>
      <c r="BO73" s="72">
        <f t="shared" si="22"/>
        <v>0</v>
      </c>
      <c r="BP73" s="72" t="str">
        <f t="shared" si="23"/>
        <v>No Prog ni Ejec</v>
      </c>
      <c r="BQ73" s="70"/>
    </row>
    <row r="74" spans="1:69" ht="105" x14ac:dyDescent="0.25">
      <c r="A74" s="62">
        <v>11600</v>
      </c>
      <c r="B74" s="63" t="str">
        <f>+VLOOKUP(A74,'[2]TAB. REF. PA'!$A$5:$B$15,2,FALSE)</f>
        <v>Dirección de Gestión de Tecnología de la Información y la Comunicación</v>
      </c>
      <c r="C74" s="64" t="s">
        <v>266</v>
      </c>
      <c r="D74" s="63" t="s">
        <v>153</v>
      </c>
      <c r="E74" s="64" t="s">
        <v>268</v>
      </c>
      <c r="F74" s="63" t="s">
        <v>133</v>
      </c>
      <c r="G74" s="65" t="s">
        <v>124</v>
      </c>
      <c r="H74" s="64">
        <v>4</v>
      </c>
      <c r="I74" s="64" t="s">
        <v>271</v>
      </c>
      <c r="J74" s="66" t="s">
        <v>24</v>
      </c>
      <c r="K74" s="67">
        <v>0</v>
      </c>
      <c r="L74" s="68">
        <v>1</v>
      </c>
      <c r="M74" s="69" t="s">
        <v>51</v>
      </c>
      <c r="N74" s="69" t="s">
        <v>68</v>
      </c>
      <c r="O74" s="69" t="s">
        <v>21</v>
      </c>
      <c r="P74" s="69" t="s">
        <v>36</v>
      </c>
      <c r="Q74" s="69" t="s">
        <v>75</v>
      </c>
      <c r="R74" s="70"/>
      <c r="S74" s="69" t="s">
        <v>631</v>
      </c>
      <c r="T74" s="69" t="s">
        <v>98</v>
      </c>
      <c r="U74" s="62">
        <v>4</v>
      </c>
      <c r="V74" s="63" t="str">
        <f>+$J$73</f>
        <v>Generar boletines con resultados del proceso reclamaciones</v>
      </c>
      <c r="W74" s="77">
        <v>0</v>
      </c>
      <c r="X74" s="62" t="s">
        <v>117</v>
      </c>
      <c r="Y74" s="62">
        <v>1</v>
      </c>
      <c r="Z74" s="63" t="str">
        <f>+$J$73</f>
        <v>Generar boletines con resultados del proceso reclamaciones</v>
      </c>
      <c r="AA74" s="77">
        <v>0</v>
      </c>
      <c r="AB74" s="70"/>
      <c r="AC74" s="70"/>
      <c r="AD74" s="68">
        <f t="shared" ref="AD74:AD89" si="25">+(AB74/Y74)</f>
        <v>0</v>
      </c>
      <c r="AE74" s="68" t="e">
        <f t="shared" ref="AE74:AE131" si="26">+(AC74/AA74)</f>
        <v>#DIV/0!</v>
      </c>
      <c r="AF74" s="68">
        <f t="shared" ref="AF74:AF131" si="27">+(AB74/U74)</f>
        <v>0</v>
      </c>
      <c r="AG74" s="68" t="e">
        <f t="shared" ref="AG74:AG131" si="28">+(AC74/W74)</f>
        <v>#DIV/0!</v>
      </c>
      <c r="AH74" s="62">
        <v>1</v>
      </c>
      <c r="AI74" s="63" t="str">
        <f>+$J$73</f>
        <v>Generar boletines con resultados del proceso reclamaciones</v>
      </c>
      <c r="AJ74" s="77">
        <v>0</v>
      </c>
      <c r="AK74" s="70"/>
      <c r="AL74" s="70"/>
      <c r="AM74" s="68">
        <f t="shared" ref="AM74:AM131" si="29">+(AK74/AH74)</f>
        <v>0</v>
      </c>
      <c r="AN74" s="68" t="e">
        <f t="shared" ref="AN74:AN131" si="30">+(AL74/AJ74)</f>
        <v>#DIV/0!</v>
      </c>
      <c r="AO74" s="68">
        <f t="shared" ref="AO74:AO131" si="31">+(AK74+AB74)/U74</f>
        <v>0</v>
      </c>
      <c r="AP74" s="71" t="e">
        <f t="shared" ref="AP74:AP131" si="32">+(AL74+AC74)/W74</f>
        <v>#DIV/0!</v>
      </c>
      <c r="AQ74" s="62">
        <v>1</v>
      </c>
      <c r="AR74" s="63" t="str">
        <f>+$J$73</f>
        <v>Generar boletines con resultados del proceso reclamaciones</v>
      </c>
      <c r="AS74" s="77">
        <v>0</v>
      </c>
      <c r="AT74" s="70"/>
      <c r="AU74" s="70"/>
      <c r="AV74" s="68">
        <f t="shared" ref="AV74:AV131" si="33">+(AT74/AQ74)</f>
        <v>0</v>
      </c>
      <c r="AW74" s="68" t="e">
        <f t="shared" ref="AW74:AW131" si="34">+(AU74/AS74)</f>
        <v>#DIV/0!</v>
      </c>
      <c r="AX74" s="68">
        <f t="shared" ref="AX74:AX131" si="35">+(AK74+AB74+AT74)/U74</f>
        <v>0</v>
      </c>
      <c r="AY74" s="68" t="e">
        <f t="shared" ref="AY74:AY131" si="36">+(AL74+AC74+AU74)/W74</f>
        <v>#DIV/0!</v>
      </c>
      <c r="AZ74" s="62">
        <v>1</v>
      </c>
      <c r="BA74" s="63" t="str">
        <f>+$J$73</f>
        <v>Generar boletines con resultados del proceso reclamaciones</v>
      </c>
      <c r="BB74" s="77">
        <v>0</v>
      </c>
      <c r="BC74" s="70"/>
      <c r="BD74" s="70"/>
      <c r="BE74" s="68">
        <f t="shared" ref="BE74:BE131" si="37">+(BC74/AZ74)</f>
        <v>0</v>
      </c>
      <c r="BF74" s="68" t="e">
        <f t="shared" ref="BF74:BF131" si="38">+(BD74/BB74)</f>
        <v>#DIV/0!</v>
      </c>
      <c r="BG74" s="68">
        <f t="shared" ref="BG74:BG131" si="39">+(AK74+AB74+AT74+BC74)/U74</f>
        <v>0</v>
      </c>
      <c r="BH74" s="68" t="e">
        <f t="shared" ref="BH74:BH131" si="40">+(AL74+AC74+AU74+BD74)/W74</f>
        <v>#DIV/0!</v>
      </c>
      <c r="BI74" s="13">
        <f t="shared" ref="BI74:BI127" si="41">IF(AND(Y74=0,AB74=0),"No Prog ni Ejec",IF(Y74=0,CONCATENATE("No Prog, Ejec=  ",AB74),AB74/Y74))</f>
        <v>0</v>
      </c>
      <c r="BJ74" s="13" t="str">
        <f t="shared" ref="BJ74:BJ127" si="42">IF(AND(AA74=0,AC74=0),"No Prog ni Ejec",IF(AA74=0,CONCATENATE("No Prog, Ejec=  ",AC74),AC74/AA74))</f>
        <v>No Prog ni Ejec</v>
      </c>
      <c r="BK74" s="17">
        <f t="shared" ref="BK74:BK127" si="43">IF(AND(AH74=0,AK74=0),"No Prog ni Ejec",IF(AH74=0,CONCATENATE("No Prog, Ejec=  ",AK74),AK74/AH74))</f>
        <v>0</v>
      </c>
      <c r="BL74" s="13" t="str">
        <f t="shared" ref="BL74:BL127" si="44">IF(AND(AJ74=0,AL74=0),"No Prog ni Ejec",IF(AJ74=0,CONCATENATE("No Prog, Ejec=  ",AL74),AL74/AJ74))</f>
        <v>No Prog ni Ejec</v>
      </c>
      <c r="BM74" s="15">
        <f t="shared" ref="BM74:BM127" si="45">IF(AND(AQ74=0,AT74=0),"No Prog ni Ejec",IF(AQ74=0,CONCATENATE("No Prog, Ejec=  ",AT74),AT74/AQ74))</f>
        <v>0</v>
      </c>
      <c r="BN74" s="13" t="str">
        <f t="shared" ref="BN74:BN127" si="46">IF(AND(AS74=0,AU74=0),"No Prog ni Ejec",IF(AS74=0,CONCATENATE("No Prog, Ejec=  ",AU74),AU74/AS74))</f>
        <v>No Prog ni Ejec</v>
      </c>
      <c r="BO74" s="13">
        <f t="shared" ref="BO74:BO127" si="47">IF(AND(AZ74=0,BC74=0),"No Prog ni Ejec",IF(AZ74=0,CONCATENATE("No Prog, Ejec=  ",BC74),BC74/AZ74))</f>
        <v>0</v>
      </c>
      <c r="BP74" s="13" t="str">
        <f t="shared" ref="BP74:BP127" si="48">IF(AND(BB74=0,BD74=0),"No Prog ni Ejec",IF(BB74=0,CONCATENATE("No Prog, Ejec=  ",BD74),BD74/BB74))</f>
        <v>No Prog ni Ejec</v>
      </c>
      <c r="BQ74" s="1"/>
    </row>
    <row r="75" spans="1:69" ht="105" x14ac:dyDescent="0.25">
      <c r="A75" s="62">
        <v>11600</v>
      </c>
      <c r="B75" s="63" t="str">
        <f>+VLOOKUP(A75,'[2]TAB. REF. PA'!$A$5:$B$15,2,FALSE)</f>
        <v>Dirección de Gestión de Tecnología de la Información y la Comunicación</v>
      </c>
      <c r="C75" s="64" t="s">
        <v>267</v>
      </c>
      <c r="D75" s="63" t="s">
        <v>256</v>
      </c>
      <c r="E75" s="64" t="s">
        <v>269</v>
      </c>
      <c r="F75" s="63" t="s">
        <v>159</v>
      </c>
      <c r="G75" s="65" t="s">
        <v>123</v>
      </c>
      <c r="H75" s="74">
        <v>1</v>
      </c>
      <c r="I75" s="64" t="s">
        <v>272</v>
      </c>
      <c r="J75" s="66" t="s">
        <v>598</v>
      </c>
      <c r="K75" s="67">
        <v>0</v>
      </c>
      <c r="L75" s="68">
        <v>1</v>
      </c>
      <c r="M75" s="69" t="s">
        <v>51</v>
      </c>
      <c r="N75" s="69" t="s">
        <v>68</v>
      </c>
      <c r="O75" s="69" t="s">
        <v>21</v>
      </c>
      <c r="P75" s="69" t="s">
        <v>36</v>
      </c>
      <c r="Q75" s="69" t="s">
        <v>75</v>
      </c>
      <c r="R75" s="70"/>
      <c r="S75" s="69" t="s">
        <v>632</v>
      </c>
      <c r="T75" s="69" t="s">
        <v>98</v>
      </c>
      <c r="U75" s="68">
        <v>1</v>
      </c>
      <c r="V75" s="63" t="str">
        <f>+$J$74</f>
        <v>Reportar el cumplimiento del Plan de Acción de la Dependencia</v>
      </c>
      <c r="W75" s="77">
        <v>0</v>
      </c>
      <c r="X75" s="62" t="s">
        <v>117</v>
      </c>
      <c r="Y75" s="68">
        <v>0.25</v>
      </c>
      <c r="Z75" s="63" t="str">
        <f>+$J$74</f>
        <v>Reportar el cumplimiento del Plan de Acción de la Dependencia</v>
      </c>
      <c r="AA75" s="77">
        <v>0</v>
      </c>
      <c r="AB75" s="70"/>
      <c r="AC75" s="70"/>
      <c r="AD75" s="68">
        <f t="shared" si="25"/>
        <v>0</v>
      </c>
      <c r="AE75" s="68" t="e">
        <f t="shared" si="26"/>
        <v>#DIV/0!</v>
      </c>
      <c r="AF75" s="68">
        <f t="shared" si="27"/>
        <v>0</v>
      </c>
      <c r="AG75" s="68" t="e">
        <f t="shared" si="28"/>
        <v>#DIV/0!</v>
      </c>
      <c r="AH75" s="68">
        <v>0.25</v>
      </c>
      <c r="AI75" s="63" t="str">
        <f>+$J$74</f>
        <v>Reportar el cumplimiento del Plan de Acción de la Dependencia</v>
      </c>
      <c r="AJ75" s="77">
        <v>0</v>
      </c>
      <c r="AK75" s="70"/>
      <c r="AL75" s="70"/>
      <c r="AM75" s="68">
        <f t="shared" si="29"/>
        <v>0</v>
      </c>
      <c r="AN75" s="68" t="e">
        <f t="shared" si="30"/>
        <v>#DIV/0!</v>
      </c>
      <c r="AO75" s="68">
        <f t="shared" si="31"/>
        <v>0</v>
      </c>
      <c r="AP75" s="71" t="e">
        <f t="shared" si="32"/>
        <v>#DIV/0!</v>
      </c>
      <c r="AQ75" s="68">
        <v>0.25</v>
      </c>
      <c r="AR75" s="63" t="str">
        <f>+$J$74</f>
        <v>Reportar el cumplimiento del Plan de Acción de la Dependencia</v>
      </c>
      <c r="AS75" s="77">
        <v>0</v>
      </c>
      <c r="AT75" s="70"/>
      <c r="AU75" s="70"/>
      <c r="AV75" s="68">
        <f t="shared" si="33"/>
        <v>0</v>
      </c>
      <c r="AW75" s="68" t="e">
        <f t="shared" si="34"/>
        <v>#DIV/0!</v>
      </c>
      <c r="AX75" s="68">
        <f t="shared" si="35"/>
        <v>0</v>
      </c>
      <c r="AY75" s="68" t="e">
        <f t="shared" si="36"/>
        <v>#DIV/0!</v>
      </c>
      <c r="AZ75" s="68">
        <v>0.25</v>
      </c>
      <c r="BA75" s="63" t="str">
        <f>+$J$74</f>
        <v>Reportar el cumplimiento del Plan de Acción de la Dependencia</v>
      </c>
      <c r="BB75" s="77">
        <v>0</v>
      </c>
      <c r="BC75" s="70"/>
      <c r="BD75" s="70"/>
      <c r="BE75" s="68">
        <f t="shared" si="37"/>
        <v>0</v>
      </c>
      <c r="BF75" s="68" t="e">
        <f t="shared" si="38"/>
        <v>#DIV/0!</v>
      </c>
      <c r="BG75" s="68">
        <f t="shared" si="39"/>
        <v>0</v>
      </c>
      <c r="BH75" s="68" t="e">
        <f t="shared" si="40"/>
        <v>#DIV/0!</v>
      </c>
      <c r="BI75" s="13">
        <f t="shared" si="41"/>
        <v>0</v>
      </c>
      <c r="BJ75" s="13" t="str">
        <f t="shared" si="42"/>
        <v>No Prog ni Ejec</v>
      </c>
      <c r="BK75" s="17">
        <f t="shared" si="43"/>
        <v>0</v>
      </c>
      <c r="BL75" s="13" t="str">
        <f t="shared" si="44"/>
        <v>No Prog ni Ejec</v>
      </c>
      <c r="BM75" s="15">
        <f t="shared" si="45"/>
        <v>0</v>
      </c>
      <c r="BN75" s="13" t="str">
        <f t="shared" si="46"/>
        <v>No Prog ni Ejec</v>
      </c>
      <c r="BO75" s="13">
        <f t="shared" si="47"/>
        <v>0</v>
      </c>
      <c r="BP75" s="13" t="str">
        <f t="shared" si="48"/>
        <v>No Prog ni Ejec</v>
      </c>
      <c r="BQ75" s="1"/>
    </row>
    <row r="76" spans="1:69" ht="105" x14ac:dyDescent="0.25">
      <c r="A76" s="62">
        <v>11600</v>
      </c>
      <c r="B76" s="63" t="str">
        <f>+VLOOKUP(A76,'[2]TAB. REF. PA'!$A$5:$B$15,2,FALSE)</f>
        <v>Dirección de Gestión de Tecnología de la Información y la Comunicación</v>
      </c>
      <c r="C76" s="64" t="s">
        <v>267</v>
      </c>
      <c r="D76" s="63" t="s">
        <v>256</v>
      </c>
      <c r="E76" s="64" t="s">
        <v>270</v>
      </c>
      <c r="F76" s="63" t="s">
        <v>127</v>
      </c>
      <c r="G76" s="65" t="s">
        <v>124</v>
      </c>
      <c r="H76" s="64">
        <v>4</v>
      </c>
      <c r="I76" s="64" t="s">
        <v>273</v>
      </c>
      <c r="J76" s="66" t="s">
        <v>128</v>
      </c>
      <c r="K76" s="67">
        <v>0</v>
      </c>
      <c r="L76" s="68">
        <v>1</v>
      </c>
      <c r="M76" s="69" t="s">
        <v>51</v>
      </c>
      <c r="N76" s="69" t="s">
        <v>68</v>
      </c>
      <c r="O76" s="69" t="s">
        <v>21</v>
      </c>
      <c r="P76" s="69" t="s">
        <v>36</v>
      </c>
      <c r="Q76" s="69" t="s">
        <v>75</v>
      </c>
      <c r="R76" s="70"/>
      <c r="S76" s="69" t="s">
        <v>137</v>
      </c>
      <c r="T76" s="69" t="s">
        <v>98</v>
      </c>
      <c r="U76" s="64">
        <v>4</v>
      </c>
      <c r="V76" s="63" t="str">
        <f>+$J$75</f>
        <v>Formular los procesos y procedimientos en el marco del MIPG</v>
      </c>
      <c r="W76" s="77">
        <v>0</v>
      </c>
      <c r="X76" s="62"/>
      <c r="Y76" s="64">
        <v>1</v>
      </c>
      <c r="Z76" s="63" t="str">
        <f>+$J$75</f>
        <v>Formular los procesos y procedimientos en el marco del MIPG</v>
      </c>
      <c r="AA76" s="77">
        <v>0</v>
      </c>
      <c r="AB76" s="70"/>
      <c r="AC76" s="70"/>
      <c r="AD76" s="68">
        <f t="shared" si="25"/>
        <v>0</v>
      </c>
      <c r="AE76" s="68" t="e">
        <f t="shared" si="26"/>
        <v>#DIV/0!</v>
      </c>
      <c r="AF76" s="68">
        <f t="shared" si="27"/>
        <v>0</v>
      </c>
      <c r="AG76" s="68" t="e">
        <f t="shared" si="28"/>
        <v>#DIV/0!</v>
      </c>
      <c r="AH76" s="64">
        <v>1</v>
      </c>
      <c r="AI76" s="63" t="str">
        <f>+$J$75</f>
        <v>Formular los procesos y procedimientos en el marco del MIPG</v>
      </c>
      <c r="AJ76" s="77">
        <v>0</v>
      </c>
      <c r="AK76" s="70"/>
      <c r="AL76" s="70"/>
      <c r="AM76" s="68">
        <f t="shared" si="29"/>
        <v>0</v>
      </c>
      <c r="AN76" s="68" t="e">
        <f t="shared" si="30"/>
        <v>#DIV/0!</v>
      </c>
      <c r="AO76" s="68">
        <f t="shared" si="31"/>
        <v>0</v>
      </c>
      <c r="AP76" s="71" t="e">
        <f t="shared" si="32"/>
        <v>#DIV/0!</v>
      </c>
      <c r="AQ76" s="64">
        <v>1</v>
      </c>
      <c r="AR76" s="63" t="str">
        <f>+$J$75</f>
        <v>Formular los procesos y procedimientos en el marco del MIPG</v>
      </c>
      <c r="AS76" s="77">
        <v>0</v>
      </c>
      <c r="AT76" s="70"/>
      <c r="AU76" s="70"/>
      <c r="AV76" s="68">
        <f t="shared" si="33"/>
        <v>0</v>
      </c>
      <c r="AW76" s="68" t="e">
        <f t="shared" si="34"/>
        <v>#DIV/0!</v>
      </c>
      <c r="AX76" s="68">
        <f t="shared" si="35"/>
        <v>0</v>
      </c>
      <c r="AY76" s="68" t="e">
        <f t="shared" si="36"/>
        <v>#DIV/0!</v>
      </c>
      <c r="AZ76" s="64">
        <v>1</v>
      </c>
      <c r="BA76" s="63" t="str">
        <f>+$J$75</f>
        <v>Formular los procesos y procedimientos en el marco del MIPG</v>
      </c>
      <c r="BB76" s="77">
        <v>0</v>
      </c>
      <c r="BC76" s="70"/>
      <c r="BD76" s="70"/>
      <c r="BE76" s="68">
        <f t="shared" si="37"/>
        <v>0</v>
      </c>
      <c r="BF76" s="68" t="e">
        <f t="shared" si="38"/>
        <v>#DIV/0!</v>
      </c>
      <c r="BG76" s="68">
        <f t="shared" si="39"/>
        <v>0</v>
      </c>
      <c r="BH76" s="68" t="e">
        <f t="shared" si="40"/>
        <v>#DIV/0!</v>
      </c>
      <c r="BI76" s="13">
        <f t="shared" si="41"/>
        <v>0</v>
      </c>
      <c r="BJ76" s="13" t="str">
        <f t="shared" si="42"/>
        <v>No Prog ni Ejec</v>
      </c>
      <c r="BK76" s="17">
        <f t="shared" si="43"/>
        <v>0</v>
      </c>
      <c r="BL76" s="13" t="str">
        <f t="shared" si="44"/>
        <v>No Prog ni Ejec</v>
      </c>
      <c r="BM76" s="15">
        <f t="shared" si="45"/>
        <v>0</v>
      </c>
      <c r="BN76" s="13" t="str">
        <f t="shared" si="46"/>
        <v>No Prog ni Ejec</v>
      </c>
      <c r="BO76" s="13">
        <f t="shared" si="47"/>
        <v>0</v>
      </c>
      <c r="BP76" s="13" t="str">
        <f t="shared" si="48"/>
        <v>No Prog ni Ejec</v>
      </c>
      <c r="BQ76" s="1"/>
    </row>
    <row r="77" spans="1:69" ht="75" x14ac:dyDescent="0.25">
      <c r="A77" s="62">
        <v>11600</v>
      </c>
      <c r="B77" s="63" t="str">
        <f>+VLOOKUP(A77,'[2]TAB. REF. PA'!$A$5:$B$15,2,FALSE)</f>
        <v>Dirección de Gestión de Tecnología de la Información y la Comunicación</v>
      </c>
      <c r="C77" s="64" t="s">
        <v>278</v>
      </c>
      <c r="D77" s="63" t="s">
        <v>147</v>
      </c>
      <c r="E77" s="64" t="s">
        <v>279</v>
      </c>
      <c r="F77" s="63" t="s">
        <v>277</v>
      </c>
      <c r="G77" s="65" t="s">
        <v>124</v>
      </c>
      <c r="H77" s="64">
        <v>1</v>
      </c>
      <c r="I77" s="64" t="s">
        <v>282</v>
      </c>
      <c r="J77" s="66" t="s">
        <v>280</v>
      </c>
      <c r="K77" s="67">
        <v>0</v>
      </c>
      <c r="L77" s="68">
        <v>1</v>
      </c>
      <c r="M77" s="69" t="s">
        <v>46</v>
      </c>
      <c r="N77" s="69" t="s">
        <v>73</v>
      </c>
      <c r="O77" s="69" t="s">
        <v>37</v>
      </c>
      <c r="P77" s="69" t="s">
        <v>40</v>
      </c>
      <c r="Q77" s="69" t="s">
        <v>228</v>
      </c>
      <c r="R77" s="70"/>
      <c r="S77" s="69" t="s">
        <v>633</v>
      </c>
      <c r="T77" s="69" t="s">
        <v>99</v>
      </c>
      <c r="U77" s="70">
        <v>1</v>
      </c>
      <c r="V77" s="63" t="str">
        <f>$J$76</f>
        <v>Remitir informes trimestrales de los indicadores formulados y las acciones de mejoras</v>
      </c>
      <c r="W77" s="77">
        <v>0</v>
      </c>
      <c r="X77" s="62" t="s">
        <v>117</v>
      </c>
      <c r="Y77" s="70">
        <v>0</v>
      </c>
      <c r="Z77" s="63" t="str">
        <f>V77</f>
        <v>Remitir informes trimestrales de los indicadores formulados y las acciones de mejoras</v>
      </c>
      <c r="AA77" s="77">
        <v>0</v>
      </c>
      <c r="AB77" s="70"/>
      <c r="AC77" s="70"/>
      <c r="AD77" s="68" t="e">
        <f t="shared" si="25"/>
        <v>#DIV/0!</v>
      </c>
      <c r="AE77" s="68" t="e">
        <f t="shared" si="26"/>
        <v>#DIV/0!</v>
      </c>
      <c r="AF77" s="68">
        <f t="shared" si="27"/>
        <v>0</v>
      </c>
      <c r="AG77" s="68" t="e">
        <f t="shared" si="28"/>
        <v>#DIV/0!</v>
      </c>
      <c r="AH77" s="70">
        <v>1</v>
      </c>
      <c r="AI77" s="63" t="str">
        <f>$V$76</f>
        <v>Formular los procesos y procedimientos en el marco del MIPG</v>
      </c>
      <c r="AJ77" s="77">
        <v>0</v>
      </c>
      <c r="AK77" s="70"/>
      <c r="AL77" s="70"/>
      <c r="AM77" s="68">
        <f t="shared" si="29"/>
        <v>0</v>
      </c>
      <c r="AN77" s="68" t="e">
        <f t="shared" si="30"/>
        <v>#DIV/0!</v>
      </c>
      <c r="AO77" s="68">
        <f t="shared" si="31"/>
        <v>0</v>
      </c>
      <c r="AP77" s="71" t="e">
        <f t="shared" si="32"/>
        <v>#DIV/0!</v>
      </c>
      <c r="AQ77" s="77">
        <v>0</v>
      </c>
      <c r="AR77" s="63" t="str">
        <f>$V$76</f>
        <v>Formular los procesos y procedimientos en el marco del MIPG</v>
      </c>
      <c r="AS77" s="77">
        <v>0</v>
      </c>
      <c r="AT77" s="70"/>
      <c r="AU77" s="70"/>
      <c r="AV77" s="68" t="e">
        <f t="shared" si="33"/>
        <v>#DIV/0!</v>
      </c>
      <c r="AW77" s="68" t="e">
        <f t="shared" si="34"/>
        <v>#DIV/0!</v>
      </c>
      <c r="AX77" s="68">
        <f t="shared" si="35"/>
        <v>0</v>
      </c>
      <c r="AY77" s="68" t="e">
        <f t="shared" si="36"/>
        <v>#DIV/0!</v>
      </c>
      <c r="AZ77" s="77">
        <v>0</v>
      </c>
      <c r="BA77" s="63" t="str">
        <f>$V$76</f>
        <v>Formular los procesos y procedimientos en el marco del MIPG</v>
      </c>
      <c r="BB77" s="77">
        <v>0</v>
      </c>
      <c r="BC77" s="70"/>
      <c r="BD77" s="70"/>
      <c r="BE77" s="68" t="e">
        <f t="shared" si="37"/>
        <v>#DIV/0!</v>
      </c>
      <c r="BF77" s="68" t="e">
        <f t="shared" si="38"/>
        <v>#DIV/0!</v>
      </c>
      <c r="BG77" s="68">
        <f t="shared" si="39"/>
        <v>0</v>
      </c>
      <c r="BH77" s="68" t="e">
        <f t="shared" si="40"/>
        <v>#DIV/0!</v>
      </c>
      <c r="BI77" s="13" t="str">
        <f t="shared" si="41"/>
        <v>No Prog ni Ejec</v>
      </c>
      <c r="BJ77" s="13" t="str">
        <f t="shared" si="42"/>
        <v>No Prog ni Ejec</v>
      </c>
      <c r="BK77" s="17">
        <f t="shared" si="43"/>
        <v>0</v>
      </c>
      <c r="BL77" s="13" t="str">
        <f t="shared" si="44"/>
        <v>No Prog ni Ejec</v>
      </c>
      <c r="BM77" s="15" t="str">
        <f t="shared" si="45"/>
        <v>No Prog ni Ejec</v>
      </c>
      <c r="BN77" s="13" t="str">
        <f t="shared" si="46"/>
        <v>No Prog ni Ejec</v>
      </c>
      <c r="BO77" s="13" t="str">
        <f t="shared" si="47"/>
        <v>No Prog ni Ejec</v>
      </c>
      <c r="BP77" s="13" t="str">
        <f t="shared" si="48"/>
        <v>No Prog ni Ejec</v>
      </c>
      <c r="BQ77" s="1"/>
    </row>
    <row r="78" spans="1:69" ht="150" x14ac:dyDescent="0.25">
      <c r="A78" s="62">
        <v>11600</v>
      </c>
      <c r="B78" s="63" t="str">
        <f>+VLOOKUP(A78,'[2]TAB. REF. PA'!$A$5:$B$15,2,FALSE)</f>
        <v>Dirección de Gestión de Tecnología de la Información y la Comunicación</v>
      </c>
      <c r="C78" s="64" t="s">
        <v>278</v>
      </c>
      <c r="D78" s="63" t="s">
        <v>147</v>
      </c>
      <c r="E78" s="64" t="s">
        <v>513</v>
      </c>
      <c r="F78" s="63" t="s">
        <v>283</v>
      </c>
      <c r="G78" s="65" t="s">
        <v>123</v>
      </c>
      <c r="H78" s="74">
        <v>1</v>
      </c>
      <c r="I78" s="64" t="s">
        <v>514</v>
      </c>
      <c r="J78" s="66" t="s">
        <v>281</v>
      </c>
      <c r="K78" s="67">
        <f>5811090979-737488220</f>
        <v>5073602759</v>
      </c>
      <c r="L78" s="68">
        <v>1</v>
      </c>
      <c r="M78" s="69" t="s">
        <v>46</v>
      </c>
      <c r="N78" s="69" t="s">
        <v>73</v>
      </c>
      <c r="O78" s="69" t="s">
        <v>37</v>
      </c>
      <c r="P78" s="69" t="s">
        <v>40</v>
      </c>
      <c r="Q78" s="69" t="s">
        <v>228</v>
      </c>
      <c r="R78" s="70"/>
      <c r="S78" s="69" t="s">
        <v>634</v>
      </c>
      <c r="T78" s="69" t="s">
        <v>99</v>
      </c>
      <c r="U78" s="68">
        <v>1</v>
      </c>
      <c r="V78" s="63" t="str">
        <f>+$J$77</f>
        <v>Desarrollo e implementación del PETI</v>
      </c>
      <c r="W78" s="77">
        <v>5073602759</v>
      </c>
      <c r="X78" s="62" t="s">
        <v>114</v>
      </c>
      <c r="Y78" s="68">
        <f>+AA78/W78</f>
        <v>0.13219897304087358</v>
      </c>
      <c r="Z78" s="63" t="str">
        <f>+$J$77</f>
        <v>Desarrollo e implementación del PETI</v>
      </c>
      <c r="AA78" s="77">
        <v>670725074.35714281</v>
      </c>
      <c r="AB78" s="104"/>
      <c r="AC78" s="70"/>
      <c r="AD78" s="68">
        <f t="shared" si="25"/>
        <v>0</v>
      </c>
      <c r="AE78" s="68">
        <f t="shared" si="26"/>
        <v>0</v>
      </c>
      <c r="AF78" s="68">
        <f t="shared" si="27"/>
        <v>0</v>
      </c>
      <c r="AG78" s="68">
        <f t="shared" si="28"/>
        <v>0</v>
      </c>
      <c r="AH78" s="68">
        <f>+AJ78/W78</f>
        <v>0.15915595257019777</v>
      </c>
      <c r="AI78" s="63" t="str">
        <f>+$J$77</f>
        <v>Desarrollo e implementación del PETI</v>
      </c>
      <c r="AJ78" s="77">
        <v>807494080.07142854</v>
      </c>
      <c r="AK78" s="104"/>
      <c r="AL78" s="70"/>
      <c r="AM78" s="68">
        <f t="shared" si="29"/>
        <v>0</v>
      </c>
      <c r="AN78" s="68">
        <f t="shared" si="30"/>
        <v>0</v>
      </c>
      <c r="AO78" s="68">
        <f t="shared" si="31"/>
        <v>0</v>
      </c>
      <c r="AP78" s="71">
        <f t="shared" si="32"/>
        <v>0</v>
      </c>
      <c r="AQ78" s="68">
        <f>+AS78/W78</f>
        <v>0.32737162236934764</v>
      </c>
      <c r="AR78" s="63" t="str">
        <f>+$J$77</f>
        <v>Desarrollo e implementación del PETI</v>
      </c>
      <c r="AS78" s="77">
        <v>1660953566.4714284</v>
      </c>
      <c r="AT78" s="104"/>
      <c r="AU78" s="70"/>
      <c r="AV78" s="68">
        <f t="shared" si="33"/>
        <v>0</v>
      </c>
      <c r="AW78" s="68">
        <f t="shared" si="34"/>
        <v>0</v>
      </c>
      <c r="AX78" s="68">
        <f t="shared" si="35"/>
        <v>0</v>
      </c>
      <c r="AY78" s="68">
        <f t="shared" si="36"/>
        <v>0</v>
      </c>
      <c r="AZ78" s="68">
        <f>+BB78/W78</f>
        <v>0.38127345201958091</v>
      </c>
      <c r="BA78" s="63" t="str">
        <f>+$J$77</f>
        <v>Desarrollo e implementación del PETI</v>
      </c>
      <c r="BB78" s="77">
        <v>1934430038.0999999</v>
      </c>
      <c r="BC78" s="104"/>
      <c r="BD78" s="70"/>
      <c r="BE78" s="68">
        <f t="shared" si="37"/>
        <v>0</v>
      </c>
      <c r="BF78" s="68">
        <f t="shared" si="38"/>
        <v>0</v>
      </c>
      <c r="BG78" s="68">
        <f t="shared" si="39"/>
        <v>0</v>
      </c>
      <c r="BH78" s="68">
        <f t="shared" si="40"/>
        <v>0</v>
      </c>
      <c r="BI78" s="13">
        <f t="shared" si="41"/>
        <v>0</v>
      </c>
      <c r="BJ78" s="13">
        <f t="shared" si="42"/>
        <v>0</v>
      </c>
      <c r="BK78" s="17">
        <f t="shared" si="43"/>
        <v>0</v>
      </c>
      <c r="BL78" s="13">
        <f t="shared" si="44"/>
        <v>0</v>
      </c>
      <c r="BM78" s="15">
        <f t="shared" si="45"/>
        <v>0</v>
      </c>
      <c r="BN78" s="13">
        <f t="shared" si="46"/>
        <v>0</v>
      </c>
      <c r="BO78" s="13">
        <f t="shared" si="47"/>
        <v>0</v>
      </c>
      <c r="BP78" s="13">
        <f t="shared" si="48"/>
        <v>0</v>
      </c>
      <c r="BQ78" s="1"/>
    </row>
    <row r="79" spans="1:69" ht="210" x14ac:dyDescent="0.25">
      <c r="A79" s="62">
        <v>11600</v>
      </c>
      <c r="B79" s="63" t="str">
        <f>+VLOOKUP(A79,'[2]TAB. REF. PA'!$A$5:$B$15,2,FALSE)</f>
        <v>Dirección de Gestión de Tecnología de la Información y la Comunicación</v>
      </c>
      <c r="C79" s="64" t="s">
        <v>278</v>
      </c>
      <c r="D79" s="63" t="s">
        <v>147</v>
      </c>
      <c r="E79" s="64" t="s">
        <v>516</v>
      </c>
      <c r="F79" s="63" t="s">
        <v>285</v>
      </c>
      <c r="G79" s="65" t="s">
        <v>123</v>
      </c>
      <c r="H79" s="74">
        <v>1</v>
      </c>
      <c r="I79" s="64" t="s">
        <v>517</v>
      </c>
      <c r="J79" s="66" t="s">
        <v>284</v>
      </c>
      <c r="K79" s="67">
        <v>1024732093</v>
      </c>
      <c r="L79" s="68">
        <v>1</v>
      </c>
      <c r="M79" s="69" t="s">
        <v>46</v>
      </c>
      <c r="N79" s="69" t="s">
        <v>73</v>
      </c>
      <c r="O79" s="69" t="s">
        <v>37</v>
      </c>
      <c r="P79" s="69" t="s">
        <v>40</v>
      </c>
      <c r="Q79" s="69" t="s">
        <v>228</v>
      </c>
      <c r="R79" s="70"/>
      <c r="S79" s="69" t="s">
        <v>379</v>
      </c>
      <c r="T79" s="69" t="s">
        <v>99</v>
      </c>
      <c r="U79" s="68">
        <v>1</v>
      </c>
      <c r="V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W79" s="77">
        <v>1024732093</v>
      </c>
      <c r="X79" s="62" t="s">
        <v>114</v>
      </c>
      <c r="Y79" s="68">
        <v>0</v>
      </c>
      <c r="Z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A79" s="77">
        <f>+W79*Y79</f>
        <v>0</v>
      </c>
      <c r="AB79" s="70"/>
      <c r="AC79" s="70"/>
      <c r="AD79" s="68" t="e">
        <f t="shared" si="25"/>
        <v>#DIV/0!</v>
      </c>
      <c r="AE79" s="68" t="e">
        <f t="shared" si="26"/>
        <v>#DIV/0!</v>
      </c>
      <c r="AF79" s="68">
        <f t="shared" si="27"/>
        <v>0</v>
      </c>
      <c r="AG79" s="68">
        <f t="shared" si="28"/>
        <v>0</v>
      </c>
      <c r="AH79" s="68">
        <f>AJ79/$W$79</f>
        <v>0.10208131541362782</v>
      </c>
      <c r="AI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J79" s="77">
        <v>104606000</v>
      </c>
      <c r="AK79" s="113"/>
      <c r="AL79" s="70"/>
      <c r="AM79" s="68">
        <f t="shared" si="29"/>
        <v>0</v>
      </c>
      <c r="AN79" s="68">
        <f t="shared" si="30"/>
        <v>0</v>
      </c>
      <c r="AO79" s="68">
        <f t="shared" si="31"/>
        <v>0</v>
      </c>
      <c r="AP79" s="71">
        <f t="shared" si="32"/>
        <v>0</v>
      </c>
      <c r="AQ79" s="68">
        <f>AS79/$W$79</f>
        <v>0.33293564174533957</v>
      </c>
      <c r="AR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S79" s="77">
        <v>341169837</v>
      </c>
      <c r="AT79" s="104"/>
      <c r="AU79" s="113"/>
      <c r="AV79" s="68">
        <f t="shared" si="33"/>
        <v>0</v>
      </c>
      <c r="AW79" s="68">
        <f t="shared" si="34"/>
        <v>0</v>
      </c>
      <c r="AX79" s="68">
        <f t="shared" si="35"/>
        <v>0</v>
      </c>
      <c r="AY79" s="68">
        <f t="shared" si="36"/>
        <v>0</v>
      </c>
      <c r="AZ79" s="68">
        <f>BB79/$W$79</f>
        <v>0.56498304284103262</v>
      </c>
      <c r="BA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B79" s="77">
        <v>578956256</v>
      </c>
      <c r="BC79" s="104"/>
      <c r="BD79" s="113"/>
      <c r="BE79" s="68">
        <f t="shared" si="37"/>
        <v>0</v>
      </c>
      <c r="BF79" s="68">
        <f t="shared" si="38"/>
        <v>0</v>
      </c>
      <c r="BG79" s="68">
        <f t="shared" si="39"/>
        <v>0</v>
      </c>
      <c r="BH79" s="68">
        <f t="shared" si="40"/>
        <v>0</v>
      </c>
      <c r="BI79" s="13" t="str">
        <f t="shared" si="41"/>
        <v>No Prog ni Ejec</v>
      </c>
      <c r="BJ79" s="13" t="str">
        <f t="shared" si="42"/>
        <v>No Prog ni Ejec</v>
      </c>
      <c r="BK79" s="17">
        <f t="shared" si="43"/>
        <v>0</v>
      </c>
      <c r="BL79" s="13">
        <f t="shared" si="44"/>
        <v>0</v>
      </c>
      <c r="BM79" s="15">
        <f t="shared" si="45"/>
        <v>0</v>
      </c>
      <c r="BN79" s="13">
        <f t="shared" si="46"/>
        <v>0</v>
      </c>
      <c r="BO79" s="13">
        <f t="shared" si="47"/>
        <v>0</v>
      </c>
      <c r="BP79" s="13">
        <f t="shared" si="48"/>
        <v>0</v>
      </c>
      <c r="BQ79" s="1"/>
    </row>
    <row r="80" spans="1:69" ht="90" x14ac:dyDescent="0.25">
      <c r="A80" s="62">
        <v>11600</v>
      </c>
      <c r="B80" s="63" t="str">
        <f>+VLOOKUP(A80,'[2]TAB. REF. PA'!$A$5:$B$15,2,FALSE)</f>
        <v>Dirección de Gestión de Tecnología de la Información y la Comunicación</v>
      </c>
      <c r="C80" s="64" t="s">
        <v>278</v>
      </c>
      <c r="D80" s="63" t="s">
        <v>147</v>
      </c>
      <c r="E80" s="64" t="s">
        <v>518</v>
      </c>
      <c r="F80" s="63" t="s">
        <v>287</v>
      </c>
      <c r="G80" s="65" t="s">
        <v>123</v>
      </c>
      <c r="H80" s="74">
        <v>1</v>
      </c>
      <c r="I80" s="64" t="s">
        <v>519</v>
      </c>
      <c r="J80" s="66" t="s">
        <v>287</v>
      </c>
      <c r="K80" s="67">
        <v>180000000</v>
      </c>
      <c r="L80" s="68">
        <v>1</v>
      </c>
      <c r="M80" s="69" t="s">
        <v>46</v>
      </c>
      <c r="N80" s="69" t="s">
        <v>73</v>
      </c>
      <c r="O80" s="69" t="s">
        <v>37</v>
      </c>
      <c r="P80" s="69" t="s">
        <v>40</v>
      </c>
      <c r="Q80" s="69" t="s">
        <v>228</v>
      </c>
      <c r="R80" s="70"/>
      <c r="S80" s="69" t="s">
        <v>634</v>
      </c>
      <c r="T80" s="69" t="s">
        <v>99</v>
      </c>
      <c r="U80" s="68">
        <v>1</v>
      </c>
      <c r="V80" s="63" t="str">
        <f>+$J$79</f>
        <v>Gestionar y administrar los procesos de adquisición y actualización del licenciamiento, requerido para el desarrollo de las actividades de la Entidad.</v>
      </c>
      <c r="W80" s="77">
        <v>180000000</v>
      </c>
      <c r="X80" s="62" t="s">
        <v>114</v>
      </c>
      <c r="Y80" s="68">
        <v>0</v>
      </c>
      <c r="Z80" s="63" t="str">
        <f>+$J$79</f>
        <v>Gestionar y administrar los procesos de adquisición y actualización del licenciamiento, requerido para el desarrollo de las actividades de la Entidad.</v>
      </c>
      <c r="AA80" s="77">
        <v>0</v>
      </c>
      <c r="AB80" s="70"/>
      <c r="AC80" s="70"/>
      <c r="AD80" s="68" t="e">
        <f t="shared" si="25"/>
        <v>#DIV/0!</v>
      </c>
      <c r="AE80" s="68" t="e">
        <f t="shared" si="26"/>
        <v>#DIV/0!</v>
      </c>
      <c r="AF80" s="68">
        <f t="shared" si="27"/>
        <v>0</v>
      </c>
      <c r="AG80" s="68">
        <f t="shared" si="28"/>
        <v>0</v>
      </c>
      <c r="AH80" s="68">
        <v>0</v>
      </c>
      <c r="AI80" s="63" t="str">
        <f>+$J$79</f>
        <v>Gestionar y administrar los procesos de adquisición y actualización del licenciamiento, requerido para el desarrollo de las actividades de la Entidad.</v>
      </c>
      <c r="AJ80" s="77">
        <v>0</v>
      </c>
      <c r="AK80" s="70"/>
      <c r="AL80" s="70"/>
      <c r="AM80" s="68" t="e">
        <f t="shared" si="29"/>
        <v>#DIV/0!</v>
      </c>
      <c r="AN80" s="68" t="e">
        <f t="shared" si="30"/>
        <v>#DIV/0!</v>
      </c>
      <c r="AO80" s="68">
        <f t="shared" si="31"/>
        <v>0</v>
      </c>
      <c r="AP80" s="71">
        <f t="shared" si="32"/>
        <v>0</v>
      </c>
      <c r="AQ80" s="68">
        <v>0.5</v>
      </c>
      <c r="AR80" s="63" t="str">
        <f>+$J$79</f>
        <v>Gestionar y administrar los procesos de adquisición y actualización del licenciamiento, requerido para el desarrollo de las actividades de la Entidad.</v>
      </c>
      <c r="AS80" s="77">
        <v>90000000</v>
      </c>
      <c r="AT80" s="70"/>
      <c r="AU80" s="70"/>
      <c r="AV80" s="68">
        <f t="shared" si="33"/>
        <v>0</v>
      </c>
      <c r="AW80" s="68">
        <f t="shared" si="34"/>
        <v>0</v>
      </c>
      <c r="AX80" s="68">
        <f t="shared" si="35"/>
        <v>0</v>
      </c>
      <c r="AY80" s="68">
        <f t="shared" si="36"/>
        <v>0</v>
      </c>
      <c r="AZ80" s="68">
        <v>0.5</v>
      </c>
      <c r="BA80" s="63" t="str">
        <f>+$J$79</f>
        <v>Gestionar y administrar los procesos de adquisición y actualización del licenciamiento, requerido para el desarrollo de las actividades de la Entidad.</v>
      </c>
      <c r="BB80" s="77">
        <v>90000000</v>
      </c>
      <c r="BC80" s="70"/>
      <c r="BD80" s="70"/>
      <c r="BE80" s="68">
        <f t="shared" si="37"/>
        <v>0</v>
      </c>
      <c r="BF80" s="68">
        <f t="shared" si="38"/>
        <v>0</v>
      </c>
      <c r="BG80" s="68">
        <f t="shared" si="39"/>
        <v>0</v>
      </c>
      <c r="BH80" s="68">
        <f t="shared" si="40"/>
        <v>0</v>
      </c>
      <c r="BI80" s="13" t="str">
        <f t="shared" si="41"/>
        <v>No Prog ni Ejec</v>
      </c>
      <c r="BJ80" s="13" t="str">
        <f t="shared" si="42"/>
        <v>No Prog ni Ejec</v>
      </c>
      <c r="BK80" s="17" t="str">
        <f t="shared" si="43"/>
        <v>No Prog ni Ejec</v>
      </c>
      <c r="BL80" s="13" t="str">
        <f t="shared" si="44"/>
        <v>No Prog ni Ejec</v>
      </c>
      <c r="BM80" s="15">
        <f t="shared" si="45"/>
        <v>0</v>
      </c>
      <c r="BN80" s="13">
        <f t="shared" si="46"/>
        <v>0</v>
      </c>
      <c r="BO80" s="13">
        <f t="shared" si="47"/>
        <v>0</v>
      </c>
      <c r="BP80" s="13">
        <f t="shared" si="48"/>
        <v>0</v>
      </c>
      <c r="BQ80" s="1"/>
    </row>
    <row r="81" spans="1:69" ht="129.75" customHeight="1" x14ac:dyDescent="0.25">
      <c r="A81" s="62">
        <v>11600</v>
      </c>
      <c r="B81" s="63" t="str">
        <f>+VLOOKUP(A81,'[2]TAB. REF. PA'!$A$5:$B$15,2,FALSE)</f>
        <v>Dirección de Gestión de Tecnología de la Información y la Comunicación</v>
      </c>
      <c r="C81" s="64" t="s">
        <v>278</v>
      </c>
      <c r="D81" s="63" t="s">
        <v>147</v>
      </c>
      <c r="E81" s="64" t="s">
        <v>520</v>
      </c>
      <c r="F81" s="63" t="s">
        <v>562</v>
      </c>
      <c r="G81" s="65" t="s">
        <v>123</v>
      </c>
      <c r="H81" s="74">
        <v>1</v>
      </c>
      <c r="I81" s="64" t="s">
        <v>521</v>
      </c>
      <c r="J81" s="66" t="s">
        <v>635</v>
      </c>
      <c r="K81" s="67">
        <v>815594000</v>
      </c>
      <c r="L81" s="68">
        <v>1</v>
      </c>
      <c r="M81" s="69" t="s">
        <v>46</v>
      </c>
      <c r="N81" s="69" t="s">
        <v>73</v>
      </c>
      <c r="O81" s="69" t="s">
        <v>37</v>
      </c>
      <c r="P81" s="69" t="s">
        <v>40</v>
      </c>
      <c r="Q81" s="69" t="s">
        <v>228</v>
      </c>
      <c r="R81" s="70"/>
      <c r="S81" s="69" t="s">
        <v>636</v>
      </c>
      <c r="T81" s="69" t="s">
        <v>99</v>
      </c>
      <c r="U81" s="68">
        <v>1</v>
      </c>
      <c r="V81" s="63" t="str">
        <f>+$J$80</f>
        <v>Adquisición de bienes y/o servicios para la seguridad de la información</v>
      </c>
      <c r="W81" s="77">
        <v>815594000</v>
      </c>
      <c r="X81" s="62" t="s">
        <v>114</v>
      </c>
      <c r="Y81" s="68">
        <f>AA81/W81</f>
        <v>0</v>
      </c>
      <c r="Z81" s="63" t="str">
        <f>+$J$80</f>
        <v>Adquisición de bienes y/o servicios para la seguridad de la información</v>
      </c>
      <c r="AA81" s="77">
        <f>+VLOOKUP($I$80,'[2]Plan Adquisiciones'!$Z$5:$AD$47,5,FALSE)</f>
        <v>0</v>
      </c>
      <c r="AB81" s="77"/>
      <c r="AC81" s="70"/>
      <c r="AD81" s="68" t="e">
        <f t="shared" si="25"/>
        <v>#DIV/0!</v>
      </c>
      <c r="AE81" s="68" t="e">
        <f t="shared" si="26"/>
        <v>#DIV/0!</v>
      </c>
      <c r="AF81" s="68">
        <f t="shared" si="27"/>
        <v>0</v>
      </c>
      <c r="AG81" s="68">
        <f t="shared" si="28"/>
        <v>0</v>
      </c>
      <c r="AH81" s="68">
        <f>AJ81/W81</f>
        <v>0.27325720280548299</v>
      </c>
      <c r="AI81" s="63" t="str">
        <f>+$J$80</f>
        <v>Adquisición de bienes y/o servicios para la seguridad de la información</v>
      </c>
      <c r="AJ81" s="77">
        <v>222866935.06493509</v>
      </c>
      <c r="AK81" s="70"/>
      <c r="AL81" s="70"/>
      <c r="AM81" s="68">
        <f t="shared" si="29"/>
        <v>0</v>
      </c>
      <c r="AN81" s="68">
        <f t="shared" si="30"/>
        <v>0</v>
      </c>
      <c r="AO81" s="68">
        <f t="shared" si="31"/>
        <v>0</v>
      </c>
      <c r="AP81" s="71">
        <f t="shared" si="32"/>
        <v>0</v>
      </c>
      <c r="AQ81" s="68">
        <f>AS81/W81</f>
        <v>0.34988846787118971</v>
      </c>
      <c r="AR81" s="63" t="str">
        <f>+$J$80</f>
        <v>Adquisición de bienes y/o servicios para la seguridad de la información</v>
      </c>
      <c r="AS81" s="77">
        <v>285366935.06493509</v>
      </c>
      <c r="AT81" s="70"/>
      <c r="AU81" s="70"/>
      <c r="AV81" s="68">
        <f t="shared" si="33"/>
        <v>0</v>
      </c>
      <c r="AW81" s="68">
        <f t="shared" si="34"/>
        <v>0</v>
      </c>
      <c r="AX81" s="68">
        <f t="shared" si="35"/>
        <v>0</v>
      </c>
      <c r="AY81" s="68">
        <f t="shared" si="36"/>
        <v>0</v>
      </c>
      <c r="AZ81" s="68">
        <f>BB81/W81</f>
        <v>0.31011552762325817</v>
      </c>
      <c r="BA81" s="63" t="str">
        <f>+$J$80</f>
        <v>Adquisición de bienes y/o servicios para la seguridad de la información</v>
      </c>
      <c r="BB81" s="77">
        <v>252928363.63636363</v>
      </c>
      <c r="BC81" s="70"/>
      <c r="BD81" s="70"/>
      <c r="BE81" s="68">
        <f t="shared" si="37"/>
        <v>0</v>
      </c>
      <c r="BF81" s="68">
        <f t="shared" si="38"/>
        <v>0</v>
      </c>
      <c r="BG81" s="68">
        <f t="shared" si="39"/>
        <v>0</v>
      </c>
      <c r="BH81" s="68">
        <f t="shared" si="40"/>
        <v>0</v>
      </c>
      <c r="BI81" s="13" t="str">
        <f t="shared" si="41"/>
        <v>No Prog ni Ejec</v>
      </c>
      <c r="BJ81" s="13" t="str">
        <f t="shared" si="42"/>
        <v>No Prog ni Ejec</v>
      </c>
      <c r="BK81" s="17">
        <f t="shared" si="43"/>
        <v>0</v>
      </c>
      <c r="BL81" s="13">
        <f t="shared" si="44"/>
        <v>0</v>
      </c>
      <c r="BM81" s="15">
        <f t="shared" si="45"/>
        <v>0</v>
      </c>
      <c r="BN81" s="13">
        <f t="shared" si="46"/>
        <v>0</v>
      </c>
      <c r="BO81" s="13">
        <f t="shared" si="47"/>
        <v>0</v>
      </c>
      <c r="BP81" s="13">
        <f t="shared" si="48"/>
        <v>0</v>
      </c>
      <c r="BQ81" s="1"/>
    </row>
    <row r="82" spans="1:69" ht="90" x14ac:dyDescent="0.25">
      <c r="A82" s="62">
        <v>11600</v>
      </c>
      <c r="B82" s="63" t="str">
        <f>+VLOOKUP(A82,'[2]TAB. REF. PA'!$A$5:$B$15,2,FALSE)</f>
        <v>Dirección de Gestión de Tecnología de la Información y la Comunicación</v>
      </c>
      <c r="C82" s="64" t="s">
        <v>278</v>
      </c>
      <c r="D82" s="63" t="s">
        <v>147</v>
      </c>
      <c r="E82" s="64" t="s">
        <v>515</v>
      </c>
      <c r="F82" s="63" t="s">
        <v>637</v>
      </c>
      <c r="G82" s="65" t="s">
        <v>123</v>
      </c>
      <c r="H82" s="74">
        <v>1</v>
      </c>
      <c r="I82" s="64" t="s">
        <v>522</v>
      </c>
      <c r="J82" s="66" t="s">
        <v>637</v>
      </c>
      <c r="K82" s="67">
        <v>816000000</v>
      </c>
      <c r="L82" s="68">
        <v>1</v>
      </c>
      <c r="M82" s="69" t="s">
        <v>46</v>
      </c>
      <c r="N82" s="69" t="s">
        <v>73</v>
      </c>
      <c r="O82" s="69" t="s">
        <v>37</v>
      </c>
      <c r="P82" s="69" t="s">
        <v>40</v>
      </c>
      <c r="Q82" s="69" t="s">
        <v>228</v>
      </c>
      <c r="R82" s="70"/>
      <c r="S82" s="69" t="s">
        <v>638</v>
      </c>
      <c r="T82" s="69" t="s">
        <v>99</v>
      </c>
      <c r="U82" s="68">
        <v>1</v>
      </c>
      <c r="V82" s="63" t="str">
        <f>+$J$80</f>
        <v>Adquisición de bienes y/o servicios para la seguridad de la información</v>
      </c>
      <c r="W82" s="77">
        <v>816000000</v>
      </c>
      <c r="X82" s="62" t="s">
        <v>114</v>
      </c>
      <c r="Y82" s="68">
        <v>0</v>
      </c>
      <c r="Z82" s="63" t="str">
        <f>+$J$80</f>
        <v>Adquisición de bienes y/o servicios para la seguridad de la información</v>
      </c>
      <c r="AA82" s="77">
        <f>+VLOOKUP($I$81,'[2]Plan Adquisiciones'!$Z$5:$AD$47,5,FALSE)</f>
        <v>54431766.233766235</v>
      </c>
      <c r="AB82" s="70"/>
      <c r="AC82" s="70"/>
      <c r="AD82" s="68" t="e">
        <f t="shared" si="25"/>
        <v>#DIV/0!</v>
      </c>
      <c r="AE82" s="68">
        <f t="shared" si="26"/>
        <v>0</v>
      </c>
      <c r="AF82" s="68">
        <f t="shared" si="27"/>
        <v>0</v>
      </c>
      <c r="AG82" s="68">
        <f t="shared" si="28"/>
        <v>0</v>
      </c>
      <c r="AH82" s="68">
        <v>0</v>
      </c>
      <c r="AI82" s="63" t="str">
        <f>+$J$80</f>
        <v>Adquisición de bienes y/o servicios para la seguridad de la información</v>
      </c>
      <c r="AJ82" s="77">
        <v>0</v>
      </c>
      <c r="AK82" s="70"/>
      <c r="AL82" s="70"/>
      <c r="AM82" s="68" t="e">
        <f t="shared" si="29"/>
        <v>#DIV/0!</v>
      </c>
      <c r="AN82" s="68" t="e">
        <f t="shared" si="30"/>
        <v>#DIV/0!</v>
      </c>
      <c r="AO82" s="68">
        <f t="shared" si="31"/>
        <v>0</v>
      </c>
      <c r="AP82" s="71">
        <f t="shared" si="32"/>
        <v>0</v>
      </c>
      <c r="AQ82" s="68">
        <v>0.5</v>
      </c>
      <c r="AR82" s="63" t="str">
        <f>+$J$80</f>
        <v>Adquisición de bienes y/o servicios para la seguridad de la información</v>
      </c>
      <c r="AS82" s="77">
        <v>408000000</v>
      </c>
      <c r="AT82" s="70"/>
      <c r="AU82" s="70"/>
      <c r="AV82" s="68">
        <f t="shared" si="33"/>
        <v>0</v>
      </c>
      <c r="AW82" s="68">
        <f t="shared" si="34"/>
        <v>0</v>
      </c>
      <c r="AX82" s="68">
        <f t="shared" si="35"/>
        <v>0</v>
      </c>
      <c r="AY82" s="68">
        <f t="shared" si="36"/>
        <v>0</v>
      </c>
      <c r="AZ82" s="68">
        <v>0.5</v>
      </c>
      <c r="BA82" s="63" t="str">
        <f>+$J$80</f>
        <v>Adquisición de bienes y/o servicios para la seguridad de la información</v>
      </c>
      <c r="BB82" s="77">
        <v>408000000</v>
      </c>
      <c r="BC82" s="70"/>
      <c r="BD82" s="70"/>
      <c r="BE82" s="68">
        <f t="shared" si="37"/>
        <v>0</v>
      </c>
      <c r="BF82" s="68">
        <f t="shared" si="38"/>
        <v>0</v>
      </c>
      <c r="BG82" s="68">
        <f t="shared" si="39"/>
        <v>0</v>
      </c>
      <c r="BH82" s="68">
        <f t="shared" si="40"/>
        <v>0</v>
      </c>
      <c r="BI82" s="13" t="str">
        <f t="shared" si="41"/>
        <v>No Prog ni Ejec</v>
      </c>
      <c r="BJ82" s="13">
        <f t="shared" si="42"/>
        <v>0</v>
      </c>
      <c r="BK82" s="17" t="str">
        <f t="shared" si="43"/>
        <v>No Prog ni Ejec</v>
      </c>
      <c r="BL82" s="13" t="str">
        <f t="shared" si="44"/>
        <v>No Prog ni Ejec</v>
      </c>
      <c r="BM82" s="15">
        <f t="shared" si="45"/>
        <v>0</v>
      </c>
      <c r="BN82" s="13">
        <f t="shared" si="46"/>
        <v>0</v>
      </c>
      <c r="BO82" s="13">
        <f t="shared" si="47"/>
        <v>0</v>
      </c>
      <c r="BP82" s="13">
        <f t="shared" si="48"/>
        <v>0</v>
      </c>
      <c r="BQ82" s="1"/>
    </row>
    <row r="83" spans="1:69" ht="75" x14ac:dyDescent="0.25">
      <c r="A83" s="62">
        <v>11600</v>
      </c>
      <c r="B83" s="63" t="str">
        <f>+VLOOKUP(A83,'[2]TAB. REF. PA'!$A$5:$B$15,2,FALSE)</f>
        <v>Dirección de Gestión de Tecnología de la Información y la Comunicación</v>
      </c>
      <c r="C83" s="64" t="s">
        <v>278</v>
      </c>
      <c r="D83" s="63" t="s">
        <v>147</v>
      </c>
      <c r="E83" s="64" t="s">
        <v>523</v>
      </c>
      <c r="F83" s="63" t="s">
        <v>286</v>
      </c>
      <c r="G83" s="65" t="s">
        <v>123</v>
      </c>
      <c r="H83" s="74">
        <v>1</v>
      </c>
      <c r="I83" s="64" t="s">
        <v>524</v>
      </c>
      <c r="J83" s="66" t="str">
        <f>+$F$82</f>
        <v>Desarrollo de nuevos Sistemas de información</v>
      </c>
      <c r="K83" s="67">
        <v>48960000</v>
      </c>
      <c r="L83" s="68">
        <v>1</v>
      </c>
      <c r="M83" s="69" t="s">
        <v>46</v>
      </c>
      <c r="N83" s="69" t="s">
        <v>73</v>
      </c>
      <c r="O83" s="69" t="s">
        <v>37</v>
      </c>
      <c r="P83" s="69" t="s">
        <v>40</v>
      </c>
      <c r="Q83" s="69" t="s">
        <v>228</v>
      </c>
      <c r="R83" s="70"/>
      <c r="S83" s="69" t="s">
        <v>379</v>
      </c>
      <c r="T83" s="69" t="s">
        <v>99</v>
      </c>
      <c r="U83" s="68">
        <v>1</v>
      </c>
      <c r="V83" s="63" t="str">
        <f>+$J$82</f>
        <v>Desarrollo de nuevos Sistemas de información</v>
      </c>
      <c r="W83" s="77">
        <v>48960000</v>
      </c>
      <c r="X83" s="62" t="s">
        <v>114</v>
      </c>
      <c r="Y83" s="68">
        <v>0.25</v>
      </c>
      <c r="Z83" s="63" t="str">
        <f>+$J$82</f>
        <v>Desarrollo de nuevos Sistemas de información</v>
      </c>
      <c r="AA83" s="77">
        <f>+VLOOKUP($I$82,'[2]Plan Adquisiciones'!$Z$5:$AD$47,5,FALSE)</f>
        <v>0</v>
      </c>
      <c r="AB83" s="70"/>
      <c r="AC83" s="70"/>
      <c r="AD83" s="68">
        <f t="shared" si="25"/>
        <v>0</v>
      </c>
      <c r="AE83" s="68" t="e">
        <f t="shared" si="26"/>
        <v>#DIV/0!</v>
      </c>
      <c r="AF83" s="68">
        <f t="shared" si="27"/>
        <v>0</v>
      </c>
      <c r="AG83" s="68">
        <f t="shared" si="28"/>
        <v>0</v>
      </c>
      <c r="AH83" s="68">
        <v>0.25</v>
      </c>
      <c r="AI83" s="63" t="str">
        <f>+$J$82</f>
        <v>Desarrollo de nuevos Sistemas de información</v>
      </c>
      <c r="AJ83" s="77">
        <v>12240000</v>
      </c>
      <c r="AK83" s="70"/>
      <c r="AL83" s="70"/>
      <c r="AM83" s="68">
        <f t="shared" si="29"/>
        <v>0</v>
      </c>
      <c r="AN83" s="68">
        <f t="shared" si="30"/>
        <v>0</v>
      </c>
      <c r="AO83" s="68">
        <f t="shared" si="31"/>
        <v>0</v>
      </c>
      <c r="AP83" s="71">
        <f t="shared" si="32"/>
        <v>0</v>
      </c>
      <c r="AQ83" s="68">
        <v>0.25</v>
      </c>
      <c r="AR83" s="63" t="str">
        <f>+$J$82</f>
        <v>Desarrollo de nuevos Sistemas de información</v>
      </c>
      <c r="AS83" s="77">
        <v>12240000</v>
      </c>
      <c r="AT83" s="70"/>
      <c r="AU83" s="70"/>
      <c r="AV83" s="68">
        <f t="shared" si="33"/>
        <v>0</v>
      </c>
      <c r="AW83" s="68">
        <f t="shared" si="34"/>
        <v>0</v>
      </c>
      <c r="AX83" s="68">
        <f t="shared" si="35"/>
        <v>0</v>
      </c>
      <c r="AY83" s="68">
        <f t="shared" si="36"/>
        <v>0</v>
      </c>
      <c r="AZ83" s="68">
        <v>0.25</v>
      </c>
      <c r="BA83" s="63" t="str">
        <f>+$J$82</f>
        <v>Desarrollo de nuevos Sistemas de información</v>
      </c>
      <c r="BB83" s="77">
        <v>12240000</v>
      </c>
      <c r="BC83" s="70"/>
      <c r="BD83" s="70"/>
      <c r="BE83" s="68">
        <f t="shared" si="37"/>
        <v>0</v>
      </c>
      <c r="BF83" s="68">
        <f t="shared" si="38"/>
        <v>0</v>
      </c>
      <c r="BG83" s="68">
        <f t="shared" si="39"/>
        <v>0</v>
      </c>
      <c r="BH83" s="68">
        <f t="shared" si="40"/>
        <v>0</v>
      </c>
      <c r="BI83" s="13">
        <f t="shared" si="41"/>
        <v>0</v>
      </c>
      <c r="BJ83" s="13" t="str">
        <f t="shared" si="42"/>
        <v>No Prog ni Ejec</v>
      </c>
      <c r="BK83" s="17">
        <f t="shared" si="43"/>
        <v>0</v>
      </c>
      <c r="BL83" s="13">
        <f t="shared" si="44"/>
        <v>0</v>
      </c>
      <c r="BM83" s="15">
        <f t="shared" si="45"/>
        <v>0</v>
      </c>
      <c r="BN83" s="13">
        <f t="shared" si="46"/>
        <v>0</v>
      </c>
      <c r="BO83" s="13">
        <f t="shared" si="47"/>
        <v>0</v>
      </c>
      <c r="BP83" s="13">
        <f t="shared" si="48"/>
        <v>0</v>
      </c>
      <c r="BQ83" s="1"/>
    </row>
    <row r="84" spans="1:69" ht="75" x14ac:dyDescent="0.25">
      <c r="A84" s="62">
        <v>11600</v>
      </c>
      <c r="B84" s="63" t="str">
        <f>+VLOOKUP(A84,'[2]TAB. REF. PA'!$A$5:$B$15,2,FALSE)</f>
        <v>Dirección de Gestión de Tecnología de la Información y la Comunicación</v>
      </c>
      <c r="C84" s="64" t="s">
        <v>278</v>
      </c>
      <c r="D84" s="63" t="s">
        <v>147</v>
      </c>
      <c r="E84" s="64" t="s">
        <v>525</v>
      </c>
      <c r="F84" s="63" t="s">
        <v>288</v>
      </c>
      <c r="G84" s="65" t="s">
        <v>123</v>
      </c>
      <c r="H84" s="74">
        <v>1</v>
      </c>
      <c r="I84" s="64" t="s">
        <v>526</v>
      </c>
      <c r="J84" s="66" t="s">
        <v>288</v>
      </c>
      <c r="K84" s="67">
        <v>146880000</v>
      </c>
      <c r="L84" s="68">
        <v>1</v>
      </c>
      <c r="M84" s="69" t="s">
        <v>46</v>
      </c>
      <c r="N84" s="69" t="s">
        <v>73</v>
      </c>
      <c r="O84" s="69" t="s">
        <v>37</v>
      </c>
      <c r="P84" s="69" t="s">
        <v>40</v>
      </c>
      <c r="Q84" s="69" t="s">
        <v>228</v>
      </c>
      <c r="R84" s="70"/>
      <c r="S84" s="69" t="s">
        <v>379</v>
      </c>
      <c r="T84" s="69" t="s">
        <v>99</v>
      </c>
      <c r="U84" s="68">
        <v>1</v>
      </c>
      <c r="V84" s="63" t="str">
        <f>+$J$83</f>
        <v>Desarrollo de nuevos Sistemas de información</v>
      </c>
      <c r="W84" s="77">
        <v>146880000</v>
      </c>
      <c r="X84" s="62" t="s">
        <v>114</v>
      </c>
      <c r="Y84" s="68">
        <v>0.25</v>
      </c>
      <c r="Z84" s="63" t="str">
        <f>+$V$83</f>
        <v>Desarrollo de nuevos Sistemas de información</v>
      </c>
      <c r="AA84" s="77">
        <f>+VLOOKUP($I$83,'[2]Plan Adquisiciones'!$Z$5:$AD$47,5,FALSE)</f>
        <v>12240000</v>
      </c>
      <c r="AB84" s="70"/>
      <c r="AC84" s="70"/>
      <c r="AD84" s="68">
        <f t="shared" si="25"/>
        <v>0</v>
      </c>
      <c r="AE84" s="68">
        <f t="shared" si="26"/>
        <v>0</v>
      </c>
      <c r="AF84" s="68">
        <f t="shared" si="27"/>
        <v>0</v>
      </c>
      <c r="AG84" s="68">
        <f t="shared" si="28"/>
        <v>0</v>
      </c>
      <c r="AH84" s="68">
        <v>0.25</v>
      </c>
      <c r="AI84" s="63" t="str">
        <f>+$V$83</f>
        <v>Desarrollo de nuevos Sistemas de información</v>
      </c>
      <c r="AJ84" s="77">
        <v>36720000</v>
      </c>
      <c r="AK84" s="70"/>
      <c r="AL84" s="70"/>
      <c r="AM84" s="68">
        <f t="shared" si="29"/>
        <v>0</v>
      </c>
      <c r="AN84" s="68">
        <f t="shared" si="30"/>
        <v>0</v>
      </c>
      <c r="AO84" s="68">
        <f t="shared" si="31"/>
        <v>0</v>
      </c>
      <c r="AP84" s="71">
        <f t="shared" si="32"/>
        <v>0</v>
      </c>
      <c r="AQ84" s="68">
        <v>0.25</v>
      </c>
      <c r="AR84" s="63" t="str">
        <f>+$V$83</f>
        <v>Desarrollo de nuevos Sistemas de información</v>
      </c>
      <c r="AS84" s="77">
        <v>36720000</v>
      </c>
      <c r="AT84" s="70"/>
      <c r="AU84" s="70"/>
      <c r="AV84" s="68">
        <f t="shared" si="33"/>
        <v>0</v>
      </c>
      <c r="AW84" s="68">
        <f t="shared" si="34"/>
        <v>0</v>
      </c>
      <c r="AX84" s="68">
        <f t="shared" si="35"/>
        <v>0</v>
      </c>
      <c r="AY84" s="68">
        <f t="shared" si="36"/>
        <v>0</v>
      </c>
      <c r="AZ84" s="68">
        <v>0.25</v>
      </c>
      <c r="BA84" s="63" t="str">
        <f>+$V$83</f>
        <v>Desarrollo de nuevos Sistemas de información</v>
      </c>
      <c r="BB84" s="77">
        <v>36720000</v>
      </c>
      <c r="BC84" s="70"/>
      <c r="BD84" s="70"/>
      <c r="BE84" s="68">
        <f t="shared" si="37"/>
        <v>0</v>
      </c>
      <c r="BF84" s="68">
        <f t="shared" si="38"/>
        <v>0</v>
      </c>
      <c r="BG84" s="68">
        <f t="shared" si="39"/>
        <v>0</v>
      </c>
      <c r="BH84" s="68">
        <f t="shared" si="40"/>
        <v>0</v>
      </c>
      <c r="BI84" s="13">
        <f t="shared" si="41"/>
        <v>0</v>
      </c>
      <c r="BJ84" s="13">
        <f t="shared" si="42"/>
        <v>0</v>
      </c>
      <c r="BK84" s="17">
        <f t="shared" si="43"/>
        <v>0</v>
      </c>
      <c r="BL84" s="13">
        <f t="shared" si="44"/>
        <v>0</v>
      </c>
      <c r="BM84" s="15">
        <f t="shared" si="45"/>
        <v>0</v>
      </c>
      <c r="BN84" s="13">
        <f t="shared" si="46"/>
        <v>0</v>
      </c>
      <c r="BO84" s="13">
        <f t="shared" si="47"/>
        <v>0</v>
      </c>
      <c r="BP84" s="13">
        <f t="shared" si="48"/>
        <v>0</v>
      </c>
      <c r="BQ84" s="1"/>
    </row>
    <row r="85" spans="1:69" ht="75" x14ac:dyDescent="0.25">
      <c r="A85" s="62">
        <v>11600</v>
      </c>
      <c r="B85" s="63" t="str">
        <f>+VLOOKUP(A85,'[2]TAB. REF. PA'!$A$5:$B$15,2,FALSE)</f>
        <v>Dirección de Gestión de Tecnología de la Información y la Comunicación</v>
      </c>
      <c r="C85" s="64" t="s">
        <v>278</v>
      </c>
      <c r="D85" s="63" t="s">
        <v>147</v>
      </c>
      <c r="E85" s="64" t="s">
        <v>527</v>
      </c>
      <c r="F85" s="63" t="s">
        <v>289</v>
      </c>
      <c r="G85" s="65" t="s">
        <v>123</v>
      </c>
      <c r="H85" s="74">
        <v>1</v>
      </c>
      <c r="I85" s="64" t="s">
        <v>528</v>
      </c>
      <c r="J85" s="66" t="s">
        <v>289</v>
      </c>
      <c r="K85" s="67">
        <v>576178068</v>
      </c>
      <c r="L85" s="68">
        <v>1</v>
      </c>
      <c r="M85" s="69" t="s">
        <v>46</v>
      </c>
      <c r="N85" s="69" t="s">
        <v>73</v>
      </c>
      <c r="O85" s="69" t="s">
        <v>37</v>
      </c>
      <c r="P85" s="69" t="s">
        <v>40</v>
      </c>
      <c r="Q85" s="69" t="s">
        <v>228</v>
      </c>
      <c r="R85" s="70"/>
      <c r="S85" s="69" t="s">
        <v>379</v>
      </c>
      <c r="T85" s="69" t="s">
        <v>99</v>
      </c>
      <c r="U85" s="68">
        <v>1</v>
      </c>
      <c r="V85" s="63" t="str">
        <f>+$J$84</f>
        <v>Brindar Soporte al procesos BDUA</v>
      </c>
      <c r="W85" s="77">
        <v>576178068</v>
      </c>
      <c r="X85" s="62" t="s">
        <v>114</v>
      </c>
      <c r="Y85" s="68">
        <v>0.25</v>
      </c>
      <c r="Z85" s="63" t="str">
        <f>+$J$84</f>
        <v>Brindar Soporte al procesos BDUA</v>
      </c>
      <c r="AA85" s="77">
        <f>+W85*Y85</f>
        <v>144044517</v>
      </c>
      <c r="AB85" s="70"/>
      <c r="AC85" s="70"/>
      <c r="AD85" s="68">
        <f t="shared" si="25"/>
        <v>0</v>
      </c>
      <c r="AE85" s="68">
        <f t="shared" si="26"/>
        <v>0</v>
      </c>
      <c r="AF85" s="68">
        <f t="shared" si="27"/>
        <v>0</v>
      </c>
      <c r="AG85" s="68">
        <f t="shared" si="28"/>
        <v>0</v>
      </c>
      <c r="AH85" s="68">
        <v>0.25</v>
      </c>
      <c r="AI85" s="63" t="str">
        <f>+$J$84</f>
        <v>Brindar Soporte al procesos BDUA</v>
      </c>
      <c r="AJ85" s="77">
        <v>144044517</v>
      </c>
      <c r="AK85" s="70"/>
      <c r="AL85" s="70"/>
      <c r="AM85" s="68">
        <f t="shared" si="29"/>
        <v>0</v>
      </c>
      <c r="AN85" s="68">
        <f t="shared" si="30"/>
        <v>0</v>
      </c>
      <c r="AO85" s="68">
        <f t="shared" si="31"/>
        <v>0</v>
      </c>
      <c r="AP85" s="71">
        <f t="shared" si="32"/>
        <v>0</v>
      </c>
      <c r="AQ85" s="68">
        <v>0.25</v>
      </c>
      <c r="AR85" s="63" t="str">
        <f>+$J$84</f>
        <v>Brindar Soporte al procesos BDUA</v>
      </c>
      <c r="AS85" s="77">
        <v>144044517</v>
      </c>
      <c r="AT85" s="70"/>
      <c r="AU85" s="70"/>
      <c r="AV85" s="68">
        <f t="shared" si="33"/>
        <v>0</v>
      </c>
      <c r="AW85" s="68">
        <f t="shared" si="34"/>
        <v>0</v>
      </c>
      <c r="AX85" s="68">
        <f t="shared" si="35"/>
        <v>0</v>
      </c>
      <c r="AY85" s="68">
        <f t="shared" si="36"/>
        <v>0</v>
      </c>
      <c r="AZ85" s="68">
        <v>0.25</v>
      </c>
      <c r="BA85" s="63" t="str">
        <f>+$J$84</f>
        <v>Brindar Soporte al procesos BDUA</v>
      </c>
      <c r="BB85" s="77">
        <v>144044517</v>
      </c>
      <c r="BC85" s="70"/>
      <c r="BD85" s="70"/>
      <c r="BE85" s="68">
        <f t="shared" si="37"/>
        <v>0</v>
      </c>
      <c r="BF85" s="68">
        <f t="shared" si="38"/>
        <v>0</v>
      </c>
      <c r="BG85" s="68">
        <f t="shared" si="39"/>
        <v>0</v>
      </c>
      <c r="BH85" s="68">
        <f t="shared" si="40"/>
        <v>0</v>
      </c>
      <c r="BI85" s="13">
        <f t="shared" si="41"/>
        <v>0</v>
      </c>
      <c r="BJ85" s="13">
        <f t="shared" si="42"/>
        <v>0</v>
      </c>
      <c r="BK85" s="17">
        <f t="shared" si="43"/>
        <v>0</v>
      </c>
      <c r="BL85" s="13">
        <f t="shared" si="44"/>
        <v>0</v>
      </c>
      <c r="BM85" s="15">
        <f t="shared" si="45"/>
        <v>0</v>
      </c>
      <c r="BN85" s="13">
        <f t="shared" si="46"/>
        <v>0</v>
      </c>
      <c r="BO85" s="13">
        <f t="shared" si="47"/>
        <v>0</v>
      </c>
      <c r="BP85" s="13">
        <f t="shared" si="48"/>
        <v>0</v>
      </c>
      <c r="BQ85" s="1"/>
    </row>
    <row r="86" spans="1:69" ht="75" x14ac:dyDescent="0.25">
      <c r="A86" s="62">
        <v>11600</v>
      </c>
      <c r="B86" s="63" t="str">
        <f>+VLOOKUP(A86,'[2]TAB. REF. PA'!$A$5:$B$15,2,FALSE)</f>
        <v>Dirección de Gestión de Tecnología de la Información y la Comunicación</v>
      </c>
      <c r="C86" s="64" t="s">
        <v>278</v>
      </c>
      <c r="D86" s="63" t="s">
        <v>147</v>
      </c>
      <c r="E86" s="64" t="s">
        <v>639</v>
      </c>
      <c r="F86" s="63" t="s">
        <v>640</v>
      </c>
      <c r="G86" s="65" t="s">
        <v>123</v>
      </c>
      <c r="H86" s="74">
        <v>1</v>
      </c>
      <c r="I86" s="64" t="s">
        <v>641</v>
      </c>
      <c r="J86" s="66" t="s">
        <v>642</v>
      </c>
      <c r="K86" s="67">
        <v>737488220</v>
      </c>
      <c r="L86" s="68">
        <v>1</v>
      </c>
      <c r="M86" s="69" t="s">
        <v>46</v>
      </c>
      <c r="N86" s="69" t="s">
        <v>73</v>
      </c>
      <c r="O86" s="69" t="s">
        <v>37</v>
      </c>
      <c r="P86" s="69" t="s">
        <v>40</v>
      </c>
      <c r="Q86" s="69" t="s">
        <v>228</v>
      </c>
      <c r="R86" s="70"/>
      <c r="S86" s="69" t="s">
        <v>634</v>
      </c>
      <c r="T86" s="69" t="s">
        <v>99</v>
      </c>
      <c r="U86" s="68">
        <v>1</v>
      </c>
      <c r="V86" s="63" t="str">
        <f>+$J$85</f>
        <v>Brindar Soporte a los sistemas de información que respaldan los procesos misionales de ADRES</v>
      </c>
      <c r="W86" s="77">
        <v>737488220</v>
      </c>
      <c r="X86" s="62" t="s">
        <v>114</v>
      </c>
      <c r="Y86" s="68">
        <v>0.25</v>
      </c>
      <c r="Z86" s="63" t="str">
        <f>+$J$84</f>
        <v>Brindar Soporte al procesos BDUA</v>
      </c>
      <c r="AA86" s="77">
        <f>W86*Y86</f>
        <v>184372055</v>
      </c>
      <c r="AB86" s="70"/>
      <c r="AC86" s="70"/>
      <c r="AD86" s="68">
        <f t="shared" si="25"/>
        <v>0</v>
      </c>
      <c r="AE86" s="68">
        <f t="shared" si="26"/>
        <v>0</v>
      </c>
      <c r="AF86" s="68">
        <f t="shared" si="27"/>
        <v>0</v>
      </c>
      <c r="AG86" s="68">
        <f t="shared" si="28"/>
        <v>0</v>
      </c>
      <c r="AH86" s="68">
        <v>0.25</v>
      </c>
      <c r="AI86" s="63" t="str">
        <f>+$J$84</f>
        <v>Brindar Soporte al procesos BDUA</v>
      </c>
      <c r="AJ86" s="77">
        <v>184372055</v>
      </c>
      <c r="AK86" s="70"/>
      <c r="AL86" s="70"/>
      <c r="AM86" s="68">
        <f t="shared" si="29"/>
        <v>0</v>
      </c>
      <c r="AN86" s="68">
        <f t="shared" si="30"/>
        <v>0</v>
      </c>
      <c r="AO86" s="68">
        <f t="shared" si="31"/>
        <v>0</v>
      </c>
      <c r="AP86" s="71">
        <f t="shared" si="32"/>
        <v>0</v>
      </c>
      <c r="AQ86" s="68">
        <v>0.25</v>
      </c>
      <c r="AR86" s="63" t="str">
        <f>+$J$84</f>
        <v>Brindar Soporte al procesos BDUA</v>
      </c>
      <c r="AS86" s="77">
        <v>184372055</v>
      </c>
      <c r="AT86" s="70"/>
      <c r="AU86" s="70"/>
      <c r="AV86" s="68">
        <f t="shared" si="33"/>
        <v>0</v>
      </c>
      <c r="AW86" s="68">
        <f t="shared" si="34"/>
        <v>0</v>
      </c>
      <c r="AX86" s="68">
        <f t="shared" si="35"/>
        <v>0</v>
      </c>
      <c r="AY86" s="68">
        <f t="shared" si="36"/>
        <v>0</v>
      </c>
      <c r="AZ86" s="68">
        <v>0.25</v>
      </c>
      <c r="BA86" s="63" t="str">
        <f>+$J$84</f>
        <v>Brindar Soporte al procesos BDUA</v>
      </c>
      <c r="BB86" s="77">
        <v>184372055</v>
      </c>
      <c r="BC86" s="70"/>
      <c r="BD86" s="70"/>
      <c r="BE86" s="68">
        <f t="shared" si="37"/>
        <v>0</v>
      </c>
      <c r="BF86" s="68">
        <f t="shared" si="38"/>
        <v>0</v>
      </c>
      <c r="BG86" s="68">
        <f t="shared" si="39"/>
        <v>0</v>
      </c>
      <c r="BH86" s="68">
        <f t="shared" si="40"/>
        <v>0</v>
      </c>
      <c r="BI86" s="13"/>
      <c r="BJ86" s="13"/>
      <c r="BK86" s="17"/>
      <c r="BL86" s="13"/>
      <c r="BM86" s="15"/>
      <c r="BN86" s="13"/>
      <c r="BO86" s="13"/>
      <c r="BP86" s="13"/>
      <c r="BQ86" s="1"/>
    </row>
    <row r="87" spans="1:69" s="45" customFormat="1" ht="105" x14ac:dyDescent="0.25">
      <c r="A87" s="34">
        <v>11700</v>
      </c>
      <c r="B87" s="35" t="str">
        <f>+VLOOKUP(A87,'[1]TAB. REF. PA'!$A$4:$B$14,2,FALSE)</f>
        <v>Dirección Administrativa y Financiera</v>
      </c>
      <c r="C87" s="36" t="s">
        <v>328</v>
      </c>
      <c r="D87" s="35" t="s">
        <v>256</v>
      </c>
      <c r="E87" s="36" t="s">
        <v>329</v>
      </c>
      <c r="F87" s="35" t="s">
        <v>159</v>
      </c>
      <c r="G87" s="37" t="s">
        <v>123</v>
      </c>
      <c r="H87" s="46">
        <v>1</v>
      </c>
      <c r="I87" s="36" t="s">
        <v>331</v>
      </c>
      <c r="J87" s="38" t="s">
        <v>156</v>
      </c>
      <c r="K87" s="39">
        <v>0</v>
      </c>
      <c r="L87" s="40">
        <v>1</v>
      </c>
      <c r="M87" s="41" t="s">
        <v>51</v>
      </c>
      <c r="N87" s="41" t="s">
        <v>68</v>
      </c>
      <c r="O87" s="41" t="s">
        <v>21</v>
      </c>
      <c r="P87" s="41" t="s">
        <v>36</v>
      </c>
      <c r="Q87" s="41" t="s">
        <v>75</v>
      </c>
      <c r="R87" s="42"/>
      <c r="S87" s="41" t="s">
        <v>672</v>
      </c>
      <c r="T87" s="41" t="s">
        <v>98</v>
      </c>
      <c r="U87" s="40">
        <v>1</v>
      </c>
      <c r="V87" s="35" t="str">
        <f>+$J$87</f>
        <v>Formular los proceso y procedimientos en el marco del MIPG</v>
      </c>
      <c r="W87" s="39">
        <v>0</v>
      </c>
      <c r="X87" s="34" t="s">
        <v>117</v>
      </c>
      <c r="Y87" s="40">
        <v>0.25</v>
      </c>
      <c r="Z87" s="35" t="str">
        <f>+$J$87</f>
        <v>Formular los proceso y procedimientos en el marco del MIPG</v>
      </c>
      <c r="AA87" s="39">
        <v>0</v>
      </c>
      <c r="AB87" s="42"/>
      <c r="AC87" s="42"/>
      <c r="AD87" s="40">
        <f t="shared" si="25"/>
        <v>0</v>
      </c>
      <c r="AE87" s="40" t="e">
        <f t="shared" si="26"/>
        <v>#DIV/0!</v>
      </c>
      <c r="AF87" s="40">
        <f t="shared" si="27"/>
        <v>0</v>
      </c>
      <c r="AG87" s="40" t="e">
        <f t="shared" si="28"/>
        <v>#DIV/0!</v>
      </c>
      <c r="AH87" s="40">
        <v>0.25</v>
      </c>
      <c r="AI87" s="35" t="str">
        <f>+$J$87</f>
        <v>Formular los proceso y procedimientos en el marco del MIPG</v>
      </c>
      <c r="AJ87" s="39">
        <v>0</v>
      </c>
      <c r="AK87" s="42"/>
      <c r="AL87" s="42"/>
      <c r="AM87" s="40">
        <f t="shared" si="29"/>
        <v>0</v>
      </c>
      <c r="AN87" s="40" t="e">
        <f t="shared" si="30"/>
        <v>#DIV/0!</v>
      </c>
      <c r="AO87" s="40">
        <f t="shared" si="31"/>
        <v>0</v>
      </c>
      <c r="AP87" s="43" t="e">
        <f t="shared" si="32"/>
        <v>#DIV/0!</v>
      </c>
      <c r="AQ87" s="40">
        <v>0.25</v>
      </c>
      <c r="AR87" s="35" t="str">
        <f>+$J$87</f>
        <v>Formular los proceso y procedimientos en el marco del MIPG</v>
      </c>
      <c r="AS87" s="39">
        <v>0</v>
      </c>
      <c r="AT87" s="42"/>
      <c r="AU87" s="42"/>
      <c r="AV87" s="40">
        <f t="shared" si="33"/>
        <v>0</v>
      </c>
      <c r="AW87" s="40" t="e">
        <f t="shared" si="34"/>
        <v>#DIV/0!</v>
      </c>
      <c r="AX87" s="40">
        <f t="shared" si="35"/>
        <v>0</v>
      </c>
      <c r="AY87" s="40" t="e">
        <f t="shared" si="36"/>
        <v>#DIV/0!</v>
      </c>
      <c r="AZ87" s="40">
        <v>0.25</v>
      </c>
      <c r="BA87" s="35" t="str">
        <f>+$J$87</f>
        <v>Formular los proceso y procedimientos en el marco del MIPG</v>
      </c>
      <c r="BB87" s="39">
        <v>0</v>
      </c>
      <c r="BC87" s="42"/>
      <c r="BD87" s="42"/>
      <c r="BE87" s="40">
        <f t="shared" si="37"/>
        <v>0</v>
      </c>
      <c r="BF87" s="40" t="e">
        <f t="shared" si="38"/>
        <v>#DIV/0!</v>
      </c>
      <c r="BG87" s="40">
        <f t="shared" si="39"/>
        <v>0</v>
      </c>
      <c r="BH87" s="40" t="e">
        <f t="shared" si="40"/>
        <v>#DIV/0!</v>
      </c>
      <c r="BI87" s="44">
        <f t="shared" si="41"/>
        <v>0</v>
      </c>
      <c r="BJ87" s="44" t="str">
        <f t="shared" si="42"/>
        <v>No Prog ni Ejec</v>
      </c>
      <c r="BK87" s="44">
        <f t="shared" si="43"/>
        <v>0</v>
      </c>
      <c r="BL87" s="44" t="str">
        <f t="shared" si="44"/>
        <v>No Prog ni Ejec</v>
      </c>
      <c r="BM87" s="44">
        <f t="shared" si="45"/>
        <v>0</v>
      </c>
      <c r="BN87" s="44" t="str">
        <f t="shared" si="46"/>
        <v>No Prog ni Ejec</v>
      </c>
      <c r="BO87" s="44">
        <f t="shared" si="47"/>
        <v>0</v>
      </c>
      <c r="BP87" s="44" t="str">
        <f t="shared" si="48"/>
        <v>No Prog ni Ejec</v>
      </c>
      <c r="BQ87" s="42"/>
    </row>
    <row r="88" spans="1:69" s="45" customFormat="1" ht="105" x14ac:dyDescent="0.25">
      <c r="A88" s="34">
        <v>11700</v>
      </c>
      <c r="B88" s="35" t="str">
        <f>+VLOOKUP(A88,'[1]TAB. REF. PA'!$A$4:$B$14,2,FALSE)</f>
        <v>Dirección Administrativa y Financiera</v>
      </c>
      <c r="C88" s="36" t="s">
        <v>328</v>
      </c>
      <c r="D88" s="35" t="s">
        <v>256</v>
      </c>
      <c r="E88" s="36" t="s">
        <v>330</v>
      </c>
      <c r="F88" s="35" t="s">
        <v>127</v>
      </c>
      <c r="G88" s="37" t="s">
        <v>123</v>
      </c>
      <c r="H88" s="47">
        <v>1</v>
      </c>
      <c r="I88" s="36" t="s">
        <v>332</v>
      </c>
      <c r="J88" s="38" t="s">
        <v>128</v>
      </c>
      <c r="K88" s="39">
        <v>0</v>
      </c>
      <c r="L88" s="40">
        <v>1</v>
      </c>
      <c r="M88" s="41" t="s">
        <v>51</v>
      </c>
      <c r="N88" s="41" t="s">
        <v>68</v>
      </c>
      <c r="O88" s="41" t="s">
        <v>21</v>
      </c>
      <c r="P88" s="41" t="s">
        <v>36</v>
      </c>
      <c r="Q88" s="41" t="s">
        <v>75</v>
      </c>
      <c r="R88" s="42"/>
      <c r="S88" s="41" t="s">
        <v>570</v>
      </c>
      <c r="T88" s="41" t="s">
        <v>98</v>
      </c>
      <c r="U88" s="47">
        <v>1</v>
      </c>
      <c r="V88" s="35" t="str">
        <f>+$J$88</f>
        <v>Remitir informes trimestrales de los indicadores formulados y las acciones de mejoras</v>
      </c>
      <c r="W88" s="39">
        <v>0</v>
      </c>
      <c r="X88" s="34" t="s">
        <v>117</v>
      </c>
      <c r="Y88" s="39">
        <v>0</v>
      </c>
      <c r="Z88" s="35" t="str">
        <f>+$J$88</f>
        <v>Remitir informes trimestrales de los indicadores formulados y las acciones de mejoras</v>
      </c>
      <c r="AA88" s="39">
        <v>0</v>
      </c>
      <c r="AB88" s="42"/>
      <c r="AC88" s="42"/>
      <c r="AD88" s="40" t="e">
        <f t="shared" si="25"/>
        <v>#DIV/0!</v>
      </c>
      <c r="AE88" s="40" t="e">
        <f t="shared" si="26"/>
        <v>#DIV/0!</v>
      </c>
      <c r="AF88" s="40">
        <f t="shared" si="27"/>
        <v>0</v>
      </c>
      <c r="AG88" s="40" t="e">
        <f t="shared" si="28"/>
        <v>#DIV/0!</v>
      </c>
      <c r="AH88" s="39">
        <v>0</v>
      </c>
      <c r="AI88" s="35" t="str">
        <f>+$J$88</f>
        <v>Remitir informes trimestrales de los indicadores formulados y las acciones de mejoras</v>
      </c>
      <c r="AJ88" s="39">
        <v>0</v>
      </c>
      <c r="AK88" s="42"/>
      <c r="AL88" s="42"/>
      <c r="AM88" s="40" t="e">
        <f t="shared" si="29"/>
        <v>#DIV/0!</v>
      </c>
      <c r="AN88" s="40" t="e">
        <f t="shared" si="30"/>
        <v>#DIV/0!</v>
      </c>
      <c r="AO88" s="40">
        <f t="shared" si="31"/>
        <v>0</v>
      </c>
      <c r="AP88" s="43" t="e">
        <f t="shared" si="32"/>
        <v>#DIV/0!</v>
      </c>
      <c r="AQ88" s="39">
        <v>0</v>
      </c>
      <c r="AR88" s="35" t="str">
        <f>+$J$88</f>
        <v>Remitir informes trimestrales de los indicadores formulados y las acciones de mejoras</v>
      </c>
      <c r="AS88" s="39">
        <v>0</v>
      </c>
      <c r="AT88" s="42"/>
      <c r="AU88" s="42"/>
      <c r="AV88" s="40" t="e">
        <f t="shared" si="33"/>
        <v>#DIV/0!</v>
      </c>
      <c r="AW88" s="40" t="e">
        <f t="shared" si="34"/>
        <v>#DIV/0!</v>
      </c>
      <c r="AX88" s="40">
        <f t="shared" si="35"/>
        <v>0</v>
      </c>
      <c r="AY88" s="40" t="e">
        <f t="shared" si="36"/>
        <v>#DIV/0!</v>
      </c>
      <c r="AZ88" s="47">
        <v>1</v>
      </c>
      <c r="BA88" s="35" t="str">
        <f>+$J$88</f>
        <v>Remitir informes trimestrales de los indicadores formulados y las acciones de mejoras</v>
      </c>
      <c r="BB88" s="39">
        <v>0</v>
      </c>
      <c r="BC88" s="42"/>
      <c r="BD88" s="42"/>
      <c r="BE88" s="40">
        <f t="shared" si="37"/>
        <v>0</v>
      </c>
      <c r="BF88" s="40" t="e">
        <f t="shared" si="38"/>
        <v>#DIV/0!</v>
      </c>
      <c r="BG88" s="40">
        <f t="shared" si="39"/>
        <v>0</v>
      </c>
      <c r="BH88" s="40" t="e">
        <f t="shared" si="40"/>
        <v>#DIV/0!</v>
      </c>
      <c r="BI88" s="44" t="str">
        <f t="shared" si="41"/>
        <v>No Prog ni Ejec</v>
      </c>
      <c r="BJ88" s="44" t="str">
        <f t="shared" si="42"/>
        <v>No Prog ni Ejec</v>
      </c>
      <c r="BK88" s="44" t="str">
        <f t="shared" si="43"/>
        <v>No Prog ni Ejec</v>
      </c>
      <c r="BL88" s="44" t="str">
        <f t="shared" si="44"/>
        <v>No Prog ni Ejec</v>
      </c>
      <c r="BM88" s="44" t="str">
        <f t="shared" si="45"/>
        <v>No Prog ni Ejec</v>
      </c>
      <c r="BN88" s="44" t="str">
        <f t="shared" si="46"/>
        <v>No Prog ni Ejec</v>
      </c>
      <c r="BO88" s="44">
        <f t="shared" si="47"/>
        <v>0</v>
      </c>
      <c r="BP88" s="44" t="str">
        <f t="shared" si="48"/>
        <v>No Prog ni Ejec</v>
      </c>
      <c r="BQ88" s="42"/>
    </row>
    <row r="89" spans="1:69" s="45" customFormat="1" ht="105" x14ac:dyDescent="0.25">
      <c r="A89" s="34">
        <v>11700</v>
      </c>
      <c r="B89" s="35" t="str">
        <f>+VLOOKUP(A89,'[1]TAB. REF. PA'!$A$4:$B$14,2,FALSE)</f>
        <v>Dirección Administrativa y Financiera</v>
      </c>
      <c r="C89" s="36" t="s">
        <v>328</v>
      </c>
      <c r="D89" s="35" t="s">
        <v>256</v>
      </c>
      <c r="E89" s="36" t="s">
        <v>376</v>
      </c>
      <c r="F89" s="35" t="s">
        <v>380</v>
      </c>
      <c r="G89" s="37" t="s">
        <v>123</v>
      </c>
      <c r="H89" s="46">
        <v>1</v>
      </c>
      <c r="I89" s="36" t="s">
        <v>377</v>
      </c>
      <c r="J89" s="35" t="s">
        <v>378</v>
      </c>
      <c r="K89" s="39">
        <v>27749428000</v>
      </c>
      <c r="L89" s="47">
        <v>0.27585130137348052</v>
      </c>
      <c r="M89" s="41" t="s">
        <v>46</v>
      </c>
      <c r="N89" s="41" t="s">
        <v>68</v>
      </c>
      <c r="O89" s="41" t="s">
        <v>37</v>
      </c>
      <c r="P89" s="41" t="s">
        <v>38</v>
      </c>
      <c r="Q89" s="41" t="s">
        <v>219</v>
      </c>
      <c r="R89" s="42"/>
      <c r="S89" s="41" t="s">
        <v>182</v>
      </c>
      <c r="T89" s="41" t="s">
        <v>99</v>
      </c>
      <c r="U89" s="40">
        <v>1</v>
      </c>
      <c r="V89" s="35" t="str">
        <f>+$J$89</f>
        <v>Efectuar los tramites asociados al pago de nomina de los funcionarios de la ADRES</v>
      </c>
      <c r="W89" s="61">
        <f>+K89</f>
        <v>27749428000</v>
      </c>
      <c r="X89" s="34" t="s">
        <v>114</v>
      </c>
      <c r="Y89" s="40">
        <v>0.25</v>
      </c>
      <c r="Z89" s="35" t="str">
        <f>+$J$89</f>
        <v>Efectuar los tramites asociados al pago de nomina de los funcionarios de la ADRES</v>
      </c>
      <c r="AA89" s="39">
        <v>6937357000</v>
      </c>
      <c r="AB89" s="42"/>
      <c r="AC89" s="42"/>
      <c r="AD89" s="40">
        <f t="shared" si="25"/>
        <v>0</v>
      </c>
      <c r="AE89" s="40">
        <f>+(AC89/AA89)</f>
        <v>0</v>
      </c>
      <c r="AF89" s="40">
        <f>+(AB89/U89)</f>
        <v>0</v>
      </c>
      <c r="AG89" s="40">
        <f>+(AC89/W89)</f>
        <v>0</v>
      </c>
      <c r="AH89" s="40">
        <v>0.25</v>
      </c>
      <c r="AI89" s="35" t="str">
        <f>+$J$89</f>
        <v>Efectuar los tramites asociados al pago de nomina de los funcionarios de la ADRES</v>
      </c>
      <c r="AJ89" s="39">
        <v>6937357000</v>
      </c>
      <c r="AK89" s="42"/>
      <c r="AL89" s="42"/>
      <c r="AM89" s="40">
        <f>+(AK89/AH89)</f>
        <v>0</v>
      </c>
      <c r="AN89" s="40">
        <f>+(AL89/AJ89)</f>
        <v>0</v>
      </c>
      <c r="AO89" s="40">
        <f>+(AK89+AB89)/U89</f>
        <v>0</v>
      </c>
      <c r="AP89" s="43">
        <f>+(AL89+AC89)/W89</f>
        <v>0</v>
      </c>
      <c r="AQ89" s="40">
        <v>0.25</v>
      </c>
      <c r="AR89" s="35" t="str">
        <f>+$J$89</f>
        <v>Efectuar los tramites asociados al pago de nomina de los funcionarios de la ADRES</v>
      </c>
      <c r="AS89" s="39">
        <v>6937357000</v>
      </c>
      <c r="AT89" s="42"/>
      <c r="AU89" s="42"/>
      <c r="AV89" s="40">
        <f>+(AT89/AQ89)</f>
        <v>0</v>
      </c>
      <c r="AW89" s="40">
        <f>+(AU89/AS89)</f>
        <v>0</v>
      </c>
      <c r="AX89" s="40">
        <f>+(AK89+AB89+AT89)/U89</f>
        <v>0</v>
      </c>
      <c r="AY89" s="40">
        <f>+(AL89+AC89+AU89)/W89</f>
        <v>0</v>
      </c>
      <c r="AZ89" s="40">
        <v>0.25</v>
      </c>
      <c r="BA89" s="35" t="str">
        <f>+$J$89</f>
        <v>Efectuar los tramites asociados al pago de nomina de los funcionarios de la ADRES</v>
      </c>
      <c r="BB89" s="39">
        <v>6937357000</v>
      </c>
      <c r="BC89" s="42"/>
      <c r="BD89" s="42"/>
      <c r="BE89" s="40">
        <f>+(BC89/AZ89)</f>
        <v>0</v>
      </c>
      <c r="BF89" s="40">
        <f>+(BD89/BB89)</f>
        <v>0</v>
      </c>
      <c r="BG89" s="40">
        <f>+(AK89+AB89+AT89+BC89)/U89</f>
        <v>0</v>
      </c>
      <c r="BH89" s="40">
        <f>+(AL89+AC89+AU89+BD89)/W89</f>
        <v>0</v>
      </c>
      <c r="BI89" s="44">
        <f>IF(AND(Y89=0,AB89=0),"No Prog ni Ejec",IF(Y89=0,CONCATENATE("No Prog, Ejec=  ",AB89),AB89/Y89))</f>
        <v>0</v>
      </c>
      <c r="BJ89" s="44">
        <f>IF(AND(AA89=0,AC89=0),"No Prog ni Ejec",IF(AA89=0,CONCATENATE("No Prog, Ejec=  ",AC89),AC89/AA89))</f>
        <v>0</v>
      </c>
      <c r="BK89" s="44">
        <f>IF(AND(AH89=0,AK89=0),"No Prog ni Ejec",IF(AH89=0,CONCATENATE("No Prog, Ejec=  ",AK89),AK89/AH89))</f>
        <v>0</v>
      </c>
      <c r="BL89" s="44">
        <f>IF(AND(AJ89=0,AL89=0),"No Prog ni Ejec",IF(AJ89=0,CONCATENATE("No Prog, Ejec=  ",AL89),AL89/AJ89))</f>
        <v>0</v>
      </c>
      <c r="BM89" s="44">
        <f>IF(AND(AQ89=0,AT89=0),"No Prog ni Ejec",IF(AQ89=0,CONCATENATE("No Prog, Ejec=  ",AT89),AT89/AQ89))</f>
        <v>0</v>
      </c>
      <c r="BN89" s="44">
        <f>IF(AND(AS89=0,AU89=0),"No Prog ni Ejec",IF(AS89=0,CONCATENATE("No Prog, Ejec=  ",AU89),AU89/AS89))</f>
        <v>0</v>
      </c>
      <c r="BO89" s="44">
        <f>IF(AND(AZ89=0,BC89=0),"No Prog ni Ejec",IF(AZ89=0,CONCATENATE("No Prog, Ejec=  ",BC89),BC89/AZ89))</f>
        <v>0</v>
      </c>
      <c r="BP89" s="44">
        <f>IF(AND(BB89=0,BD89=0),"No Prog ni Ejec",IF(BB89=0,CONCATENATE("No Prog, Ejec=  ",BD89),BD89/BB89))</f>
        <v>0</v>
      </c>
      <c r="BQ89" s="42"/>
    </row>
    <row r="90" spans="1:69" s="45" customFormat="1" ht="105" x14ac:dyDescent="0.25">
      <c r="A90" s="34">
        <v>11700</v>
      </c>
      <c r="B90" s="35" t="str">
        <f>+VLOOKUP(A90,'[1]TAB. REF. PA'!$A$4:$B$14,2,FALSE)</f>
        <v>Dirección Administrativa y Financiera</v>
      </c>
      <c r="C90" s="36" t="s">
        <v>328</v>
      </c>
      <c r="D90" s="35" t="s">
        <v>256</v>
      </c>
      <c r="E90" s="36" t="s">
        <v>383</v>
      </c>
      <c r="F90" s="35" t="s">
        <v>382</v>
      </c>
      <c r="G90" s="37" t="s">
        <v>384</v>
      </c>
      <c r="H90" s="34">
        <v>12</v>
      </c>
      <c r="I90" s="36" t="s">
        <v>388</v>
      </c>
      <c r="J90" s="35" t="s">
        <v>381</v>
      </c>
      <c r="K90" s="39">
        <v>0</v>
      </c>
      <c r="L90" s="47" t="e">
        <f>+(K90)/SUM(K$90:$K90)</f>
        <v>#DIV/0!</v>
      </c>
      <c r="M90" s="41" t="s">
        <v>46</v>
      </c>
      <c r="N90" s="41" t="s">
        <v>68</v>
      </c>
      <c r="O90" s="41" t="s">
        <v>37</v>
      </c>
      <c r="P90" s="41" t="s">
        <v>38</v>
      </c>
      <c r="Q90" s="41" t="s">
        <v>219</v>
      </c>
      <c r="R90" s="42"/>
      <c r="S90" s="41" t="s">
        <v>626</v>
      </c>
      <c r="T90" s="41" t="s">
        <v>99</v>
      </c>
      <c r="U90" s="34">
        <v>12</v>
      </c>
      <c r="V90" s="35" t="str">
        <f>+$J$90</f>
        <v>Seguimiento a la ejecución presupuestal, PAC y Reservas</v>
      </c>
      <c r="W90" s="61">
        <v>0</v>
      </c>
      <c r="X90" s="34" t="s">
        <v>117</v>
      </c>
      <c r="Y90" s="34">
        <v>3</v>
      </c>
      <c r="Z90" s="35" t="str">
        <f>+$J$90</f>
        <v>Seguimiento a la ejecución presupuestal, PAC y Reservas</v>
      </c>
      <c r="AA90" s="39">
        <v>0</v>
      </c>
      <c r="AB90" s="42"/>
      <c r="AC90" s="42"/>
      <c r="AD90" s="40">
        <f t="shared" ref="AD90:AD104" si="49">+(AB90/Y90)</f>
        <v>0</v>
      </c>
      <c r="AE90" s="40" t="e">
        <f t="shared" ref="AE90:AE104" si="50">+(AC90/AA90)</f>
        <v>#DIV/0!</v>
      </c>
      <c r="AF90" s="40">
        <f t="shared" ref="AF90:AF104" si="51">+(AB90/U90)</f>
        <v>0</v>
      </c>
      <c r="AG90" s="40" t="e">
        <f t="shared" ref="AG90:AG104" si="52">+(AC90/W90)</f>
        <v>#DIV/0!</v>
      </c>
      <c r="AH90" s="39">
        <v>3</v>
      </c>
      <c r="AI90" s="35" t="str">
        <f>+$J$90</f>
        <v>Seguimiento a la ejecución presupuestal, PAC y Reservas</v>
      </c>
      <c r="AJ90" s="39">
        <v>0</v>
      </c>
      <c r="AK90" s="42"/>
      <c r="AL90" s="42"/>
      <c r="AM90" s="40">
        <f t="shared" ref="AM90:AM104" si="53">+(AK90/AH90)</f>
        <v>0</v>
      </c>
      <c r="AN90" s="40" t="e">
        <f t="shared" ref="AN90:AN104" si="54">+(AL90/AJ90)</f>
        <v>#DIV/0!</v>
      </c>
      <c r="AO90" s="40">
        <f t="shared" ref="AO90:AO104" si="55">+(AK90+AB90)/U90</f>
        <v>0</v>
      </c>
      <c r="AP90" s="43" t="e">
        <f t="shared" ref="AP90:AP104" si="56">+(AL90+AC90)/W90</f>
        <v>#DIV/0!</v>
      </c>
      <c r="AQ90" s="39">
        <v>3</v>
      </c>
      <c r="AR90" s="35" t="str">
        <f>+$J$90</f>
        <v>Seguimiento a la ejecución presupuestal, PAC y Reservas</v>
      </c>
      <c r="AS90" s="39">
        <v>0</v>
      </c>
      <c r="AT90" s="42"/>
      <c r="AU90" s="42"/>
      <c r="AV90" s="40">
        <f t="shared" ref="AV90:AV104" si="57">+(AT90/AQ90)</f>
        <v>0</v>
      </c>
      <c r="AW90" s="40" t="e">
        <f t="shared" ref="AW90:AW104" si="58">+(AU90/AS90)</f>
        <v>#DIV/0!</v>
      </c>
      <c r="AX90" s="40">
        <f t="shared" ref="AX90:AX104" si="59">+(AK90+AB90+AT90)/U90</f>
        <v>0</v>
      </c>
      <c r="AY90" s="40" t="e">
        <f t="shared" ref="AY90:AY104" si="60">+(AL90+AC90+AU90)/W90</f>
        <v>#DIV/0!</v>
      </c>
      <c r="AZ90" s="39">
        <v>3</v>
      </c>
      <c r="BA90" s="35" t="str">
        <f>+$J$90</f>
        <v>Seguimiento a la ejecución presupuestal, PAC y Reservas</v>
      </c>
      <c r="BB90" s="39">
        <v>0</v>
      </c>
      <c r="BC90" s="42"/>
      <c r="BD90" s="42"/>
      <c r="BE90" s="40">
        <f t="shared" ref="BE90:BE104" si="61">+(BC90/AZ90)</f>
        <v>0</v>
      </c>
      <c r="BF90" s="40" t="e">
        <f t="shared" ref="BF90:BF104" si="62">+(BD90/BB90)</f>
        <v>#DIV/0!</v>
      </c>
      <c r="BG90" s="40">
        <f t="shared" ref="BG90:BG104" si="63">+(AK90+AB90+AT90+BC90)/U90</f>
        <v>0</v>
      </c>
      <c r="BH90" s="40" t="e">
        <f t="shared" ref="BH90:BH104" si="64">+(AL90+AC90+AU90+BD90)/W90</f>
        <v>#DIV/0!</v>
      </c>
      <c r="BI90" s="44">
        <f t="shared" ref="BI90:BI107" si="65">IF(AND(Y90=0,AB90=0),"No Prog ni Ejec",IF(Y90=0,CONCATENATE("No Prog, Ejec=  ",AB90),AB90/Y90))</f>
        <v>0</v>
      </c>
      <c r="BJ90" s="44" t="str">
        <f t="shared" ref="BJ90:BJ107" si="66">IF(AND(AA90=0,AC90=0),"No Prog ni Ejec",IF(AA90=0,CONCATENATE("No Prog, Ejec=  ",AC90),AC90/AA90))</f>
        <v>No Prog ni Ejec</v>
      </c>
      <c r="BK90" s="44">
        <f t="shared" ref="BK90:BK107" si="67">IF(AND(AH90=0,AK90=0),"No Prog ni Ejec",IF(AH90=0,CONCATENATE("No Prog, Ejec=  ",AK90),AK90/AH90))</f>
        <v>0</v>
      </c>
      <c r="BL90" s="44" t="str">
        <f t="shared" ref="BL90:BL107" si="68">IF(AND(AJ90=0,AL90=0),"No Prog ni Ejec",IF(AJ90=0,CONCATENATE("No Prog, Ejec=  ",AL90),AL90/AJ90))</f>
        <v>No Prog ni Ejec</v>
      </c>
      <c r="BM90" s="44">
        <f t="shared" ref="BM90:BM107" si="69">IF(AND(AQ90=0,AT90=0),"No Prog ni Ejec",IF(AQ90=0,CONCATENATE("No Prog, Ejec=  ",AT90),AT90/AQ90))</f>
        <v>0</v>
      </c>
      <c r="BN90" s="44" t="str">
        <f t="shared" ref="BN90:BN107" si="70">IF(AND(AS90=0,AU90=0),"No Prog ni Ejec",IF(AS90=0,CONCATENATE("No Prog, Ejec=  ",AU90),AU90/AS90))</f>
        <v>No Prog ni Ejec</v>
      </c>
      <c r="BO90" s="44">
        <f t="shared" ref="BO90:BO107" si="71">IF(AND(AZ90=0,BC90=0),"No Prog ni Ejec",IF(AZ90=0,CONCATENATE("No Prog, Ejec=  ",BC90),BC90/AZ90))</f>
        <v>0</v>
      </c>
      <c r="BP90" s="44" t="str">
        <f t="shared" ref="BP90:BP107" si="72">IF(AND(BB90=0,BD90=0),"No Prog ni Ejec",IF(BB90=0,CONCATENATE("No Prog, Ejec=  ",BD90),BD90/BB90))</f>
        <v>No Prog ni Ejec</v>
      </c>
      <c r="BQ90" s="42"/>
    </row>
    <row r="91" spans="1:69" s="45" customFormat="1" ht="105" x14ac:dyDescent="0.25">
      <c r="A91" s="34">
        <v>11700</v>
      </c>
      <c r="B91" s="35" t="str">
        <f>+VLOOKUP(A91,'[1]TAB. REF. PA'!$A$4:$B$14,2,FALSE)</f>
        <v>Dirección Administrativa y Financiera</v>
      </c>
      <c r="C91" s="36" t="s">
        <v>328</v>
      </c>
      <c r="D91" s="35" t="s">
        <v>256</v>
      </c>
      <c r="E91" s="36" t="s">
        <v>385</v>
      </c>
      <c r="F91" s="35" t="s">
        <v>387</v>
      </c>
      <c r="G91" s="37" t="s">
        <v>384</v>
      </c>
      <c r="H91" s="34">
        <v>4</v>
      </c>
      <c r="I91" s="36" t="s">
        <v>389</v>
      </c>
      <c r="J91" s="35" t="s">
        <v>386</v>
      </c>
      <c r="K91" s="39">
        <v>0</v>
      </c>
      <c r="L91" s="47">
        <v>1</v>
      </c>
      <c r="M91" s="41" t="s">
        <v>46</v>
      </c>
      <c r="N91" s="41" t="s">
        <v>68</v>
      </c>
      <c r="O91" s="41" t="s">
        <v>37</v>
      </c>
      <c r="P91" s="41" t="s">
        <v>38</v>
      </c>
      <c r="Q91" s="41" t="s">
        <v>219</v>
      </c>
      <c r="R91" s="42"/>
      <c r="S91" s="41" t="s">
        <v>627</v>
      </c>
      <c r="T91" s="41" t="s">
        <v>99</v>
      </c>
      <c r="U91" s="34">
        <v>4</v>
      </c>
      <c r="V91" s="35" t="str">
        <f>+$J$91</f>
        <v>Informes Estados Financieros (Balance General y Estado de Resultados) de la UGG</v>
      </c>
      <c r="W91" s="61">
        <v>0</v>
      </c>
      <c r="X91" s="34" t="s">
        <v>117</v>
      </c>
      <c r="Y91" s="34">
        <v>1</v>
      </c>
      <c r="Z91" s="35" t="str">
        <f>+$J$91</f>
        <v>Informes Estados Financieros (Balance General y Estado de Resultados) de la UGG</v>
      </c>
      <c r="AA91" s="39">
        <v>0</v>
      </c>
      <c r="AB91" s="42"/>
      <c r="AC91" s="42"/>
      <c r="AD91" s="40">
        <f t="shared" si="49"/>
        <v>0</v>
      </c>
      <c r="AE91" s="40" t="e">
        <f t="shared" si="50"/>
        <v>#DIV/0!</v>
      </c>
      <c r="AF91" s="40">
        <f t="shared" si="51"/>
        <v>0</v>
      </c>
      <c r="AG91" s="40" t="e">
        <f t="shared" si="52"/>
        <v>#DIV/0!</v>
      </c>
      <c r="AH91" s="39">
        <v>1</v>
      </c>
      <c r="AI91" s="35" t="str">
        <f>+$J$91</f>
        <v>Informes Estados Financieros (Balance General y Estado de Resultados) de la UGG</v>
      </c>
      <c r="AJ91" s="39">
        <v>0</v>
      </c>
      <c r="AK91" s="42"/>
      <c r="AL91" s="42"/>
      <c r="AM91" s="40">
        <f t="shared" si="53"/>
        <v>0</v>
      </c>
      <c r="AN91" s="40" t="e">
        <f t="shared" si="54"/>
        <v>#DIV/0!</v>
      </c>
      <c r="AO91" s="40">
        <f t="shared" si="55"/>
        <v>0</v>
      </c>
      <c r="AP91" s="43" t="e">
        <f t="shared" si="56"/>
        <v>#DIV/0!</v>
      </c>
      <c r="AQ91" s="39">
        <v>1</v>
      </c>
      <c r="AR91" s="35" t="str">
        <f>+$J$91</f>
        <v>Informes Estados Financieros (Balance General y Estado de Resultados) de la UGG</v>
      </c>
      <c r="AS91" s="39">
        <v>0</v>
      </c>
      <c r="AT91" s="42"/>
      <c r="AU91" s="42"/>
      <c r="AV91" s="40">
        <f t="shared" si="57"/>
        <v>0</v>
      </c>
      <c r="AW91" s="40" t="e">
        <f t="shared" si="58"/>
        <v>#DIV/0!</v>
      </c>
      <c r="AX91" s="40">
        <f t="shared" si="59"/>
        <v>0</v>
      </c>
      <c r="AY91" s="40" t="e">
        <f t="shared" si="60"/>
        <v>#DIV/0!</v>
      </c>
      <c r="AZ91" s="39">
        <v>1</v>
      </c>
      <c r="BA91" s="35" t="str">
        <f>+$J$91</f>
        <v>Informes Estados Financieros (Balance General y Estado de Resultados) de la UGG</v>
      </c>
      <c r="BB91" s="39">
        <v>0</v>
      </c>
      <c r="BC91" s="42"/>
      <c r="BD91" s="42"/>
      <c r="BE91" s="40">
        <f t="shared" si="61"/>
        <v>0</v>
      </c>
      <c r="BF91" s="40" t="e">
        <f t="shared" si="62"/>
        <v>#DIV/0!</v>
      </c>
      <c r="BG91" s="40">
        <f t="shared" si="63"/>
        <v>0</v>
      </c>
      <c r="BH91" s="40" t="e">
        <f t="shared" si="64"/>
        <v>#DIV/0!</v>
      </c>
      <c r="BI91" s="44">
        <f t="shared" si="65"/>
        <v>0</v>
      </c>
      <c r="BJ91" s="44" t="str">
        <f t="shared" si="66"/>
        <v>No Prog ni Ejec</v>
      </c>
      <c r="BK91" s="44">
        <f t="shared" si="67"/>
        <v>0</v>
      </c>
      <c r="BL91" s="44" t="str">
        <f t="shared" si="68"/>
        <v>No Prog ni Ejec</v>
      </c>
      <c r="BM91" s="44">
        <f t="shared" si="69"/>
        <v>0</v>
      </c>
      <c r="BN91" s="44" t="str">
        <f t="shared" si="70"/>
        <v>No Prog ni Ejec</v>
      </c>
      <c r="BO91" s="44">
        <f t="shared" si="71"/>
        <v>0</v>
      </c>
      <c r="BP91" s="44" t="str">
        <f t="shared" si="72"/>
        <v>No Prog ni Ejec</v>
      </c>
      <c r="BQ91" s="42"/>
    </row>
    <row r="92" spans="1:69" s="45" customFormat="1" ht="105" x14ac:dyDescent="0.25">
      <c r="A92" s="34">
        <v>11700</v>
      </c>
      <c r="B92" s="35" t="str">
        <f>+VLOOKUP(A92,'[1]TAB. REF. PA'!$A$4:$B$14,2,FALSE)</f>
        <v>Dirección Administrativa y Financiera</v>
      </c>
      <c r="C92" s="36" t="s">
        <v>328</v>
      </c>
      <c r="D92" s="35" t="s">
        <v>256</v>
      </c>
      <c r="E92" s="36" t="s">
        <v>391</v>
      </c>
      <c r="F92" s="35" t="s">
        <v>393</v>
      </c>
      <c r="G92" s="37" t="s">
        <v>384</v>
      </c>
      <c r="H92" s="34">
        <v>4</v>
      </c>
      <c r="I92" s="36" t="s">
        <v>392</v>
      </c>
      <c r="J92" s="35" t="s">
        <v>390</v>
      </c>
      <c r="K92" s="39">
        <v>0</v>
      </c>
      <c r="L92" s="47">
        <v>1</v>
      </c>
      <c r="M92" s="41" t="s">
        <v>46</v>
      </c>
      <c r="N92" s="41" t="s">
        <v>68</v>
      </c>
      <c r="O92" s="41" t="s">
        <v>37</v>
      </c>
      <c r="P92" s="41" t="s">
        <v>38</v>
      </c>
      <c r="Q92" s="41" t="s">
        <v>219</v>
      </c>
      <c r="R92" s="42"/>
      <c r="S92" s="41" t="s">
        <v>628</v>
      </c>
      <c r="T92" s="41" t="s">
        <v>99</v>
      </c>
      <c r="U92" s="34">
        <v>4</v>
      </c>
      <c r="V92" s="35" t="str">
        <f>+$J$92</f>
        <v>Informes Operaciones Reciprocas</v>
      </c>
      <c r="W92" s="61">
        <v>0</v>
      </c>
      <c r="X92" s="34" t="s">
        <v>117</v>
      </c>
      <c r="Y92" s="34">
        <v>1</v>
      </c>
      <c r="Z92" s="35" t="str">
        <f>+$J$92</f>
        <v>Informes Operaciones Reciprocas</v>
      </c>
      <c r="AA92" s="39">
        <v>0</v>
      </c>
      <c r="AB92" s="42"/>
      <c r="AC92" s="42"/>
      <c r="AD92" s="40">
        <f t="shared" si="49"/>
        <v>0</v>
      </c>
      <c r="AE92" s="40" t="e">
        <f t="shared" si="50"/>
        <v>#DIV/0!</v>
      </c>
      <c r="AF92" s="40">
        <f t="shared" si="51"/>
        <v>0</v>
      </c>
      <c r="AG92" s="40" t="e">
        <f t="shared" si="52"/>
        <v>#DIV/0!</v>
      </c>
      <c r="AH92" s="39">
        <v>1</v>
      </c>
      <c r="AI92" s="35" t="str">
        <f>+$J$92</f>
        <v>Informes Operaciones Reciprocas</v>
      </c>
      <c r="AJ92" s="39">
        <v>0</v>
      </c>
      <c r="AK92" s="42"/>
      <c r="AL92" s="42"/>
      <c r="AM92" s="40">
        <f t="shared" si="53"/>
        <v>0</v>
      </c>
      <c r="AN92" s="40" t="e">
        <f t="shared" si="54"/>
        <v>#DIV/0!</v>
      </c>
      <c r="AO92" s="40">
        <f t="shared" si="55"/>
        <v>0</v>
      </c>
      <c r="AP92" s="43" t="e">
        <f t="shared" si="56"/>
        <v>#DIV/0!</v>
      </c>
      <c r="AQ92" s="39">
        <v>1</v>
      </c>
      <c r="AR92" s="35" t="str">
        <f>+$J$92</f>
        <v>Informes Operaciones Reciprocas</v>
      </c>
      <c r="AS92" s="39">
        <v>0</v>
      </c>
      <c r="AT92" s="42"/>
      <c r="AU92" s="42"/>
      <c r="AV92" s="40">
        <f t="shared" si="57"/>
        <v>0</v>
      </c>
      <c r="AW92" s="40" t="e">
        <f t="shared" si="58"/>
        <v>#DIV/0!</v>
      </c>
      <c r="AX92" s="40">
        <f t="shared" si="59"/>
        <v>0</v>
      </c>
      <c r="AY92" s="40" t="e">
        <f t="shared" si="60"/>
        <v>#DIV/0!</v>
      </c>
      <c r="AZ92" s="39">
        <v>1</v>
      </c>
      <c r="BA92" s="35" t="str">
        <f>+$J$92</f>
        <v>Informes Operaciones Reciprocas</v>
      </c>
      <c r="BB92" s="39">
        <v>0</v>
      </c>
      <c r="BC92" s="42"/>
      <c r="BD92" s="42"/>
      <c r="BE92" s="40">
        <f t="shared" si="61"/>
        <v>0</v>
      </c>
      <c r="BF92" s="40" t="e">
        <f t="shared" si="62"/>
        <v>#DIV/0!</v>
      </c>
      <c r="BG92" s="40">
        <f t="shared" si="63"/>
        <v>0</v>
      </c>
      <c r="BH92" s="40" t="e">
        <f t="shared" si="64"/>
        <v>#DIV/0!</v>
      </c>
      <c r="BI92" s="44">
        <f t="shared" si="65"/>
        <v>0</v>
      </c>
      <c r="BJ92" s="44" t="str">
        <f t="shared" si="66"/>
        <v>No Prog ni Ejec</v>
      </c>
      <c r="BK92" s="44">
        <f t="shared" si="67"/>
        <v>0</v>
      </c>
      <c r="BL92" s="44" t="str">
        <f t="shared" si="68"/>
        <v>No Prog ni Ejec</v>
      </c>
      <c r="BM92" s="44">
        <f t="shared" si="69"/>
        <v>0</v>
      </c>
      <c r="BN92" s="44" t="str">
        <f t="shared" si="70"/>
        <v>No Prog ni Ejec</v>
      </c>
      <c r="BO92" s="44">
        <f t="shared" si="71"/>
        <v>0</v>
      </c>
      <c r="BP92" s="44" t="str">
        <f t="shared" si="72"/>
        <v>No Prog ni Ejec</v>
      </c>
      <c r="BQ92" s="42"/>
    </row>
    <row r="93" spans="1:69" s="45" customFormat="1" ht="135" x14ac:dyDescent="0.25">
      <c r="A93" s="34">
        <v>11700</v>
      </c>
      <c r="B93" s="35" t="str">
        <f>+VLOOKUP(A93,'[1]TAB. REF. PA'!$A$4:$B$14,2,FALSE)</f>
        <v>Dirección Administrativa y Financiera</v>
      </c>
      <c r="C93" s="36" t="s">
        <v>328</v>
      </c>
      <c r="D93" s="35" t="s">
        <v>256</v>
      </c>
      <c r="E93" s="36" t="s">
        <v>394</v>
      </c>
      <c r="F93" s="35" t="s">
        <v>395</v>
      </c>
      <c r="G93" s="37" t="s">
        <v>123</v>
      </c>
      <c r="H93" s="46">
        <v>1</v>
      </c>
      <c r="I93" s="36" t="s">
        <v>396</v>
      </c>
      <c r="J93" s="35" t="s">
        <v>397</v>
      </c>
      <c r="K93" s="39">
        <v>0</v>
      </c>
      <c r="L93" s="47">
        <v>1</v>
      </c>
      <c r="M93" s="41" t="s">
        <v>46</v>
      </c>
      <c r="N93" s="41" t="s">
        <v>68</v>
      </c>
      <c r="O93" s="41" t="s">
        <v>37</v>
      </c>
      <c r="P93" s="41" t="s">
        <v>38</v>
      </c>
      <c r="Q93" s="41" t="s">
        <v>219</v>
      </c>
      <c r="R93" s="42"/>
      <c r="S93" s="41" t="s">
        <v>398</v>
      </c>
      <c r="T93" s="41" t="s">
        <v>99</v>
      </c>
      <c r="U93" s="40">
        <v>1</v>
      </c>
      <c r="V93" s="35" t="str">
        <f>+$J$93</f>
        <v xml:space="preserve">Tramite de pago de las Cuentas de Cobro con Soportes Documentales radicadas en el mes </v>
      </c>
      <c r="W93" s="61">
        <v>0</v>
      </c>
      <c r="X93" s="34" t="s">
        <v>117</v>
      </c>
      <c r="Y93" s="40">
        <v>0.25</v>
      </c>
      <c r="Z93" s="35" t="str">
        <f>+$J$93</f>
        <v xml:space="preserve">Tramite de pago de las Cuentas de Cobro con Soportes Documentales radicadas en el mes </v>
      </c>
      <c r="AA93" s="39">
        <v>0</v>
      </c>
      <c r="AB93" s="42"/>
      <c r="AC93" s="42"/>
      <c r="AD93" s="40">
        <f t="shared" si="49"/>
        <v>0</v>
      </c>
      <c r="AE93" s="40" t="e">
        <f t="shared" si="50"/>
        <v>#DIV/0!</v>
      </c>
      <c r="AF93" s="40">
        <f t="shared" si="51"/>
        <v>0</v>
      </c>
      <c r="AG93" s="40" t="e">
        <f t="shared" si="52"/>
        <v>#DIV/0!</v>
      </c>
      <c r="AH93" s="40">
        <v>0.25</v>
      </c>
      <c r="AI93" s="35" t="str">
        <f>+$J$93</f>
        <v xml:space="preserve">Tramite de pago de las Cuentas de Cobro con Soportes Documentales radicadas en el mes </v>
      </c>
      <c r="AJ93" s="39">
        <v>0</v>
      </c>
      <c r="AK93" s="42"/>
      <c r="AL93" s="42"/>
      <c r="AM93" s="40">
        <f t="shared" si="53"/>
        <v>0</v>
      </c>
      <c r="AN93" s="40" t="e">
        <f t="shared" si="54"/>
        <v>#DIV/0!</v>
      </c>
      <c r="AO93" s="40">
        <f t="shared" si="55"/>
        <v>0</v>
      </c>
      <c r="AP93" s="43" t="e">
        <f t="shared" si="56"/>
        <v>#DIV/0!</v>
      </c>
      <c r="AQ93" s="40">
        <v>0.25</v>
      </c>
      <c r="AR93" s="35" t="str">
        <f>+$J$93</f>
        <v xml:space="preserve">Tramite de pago de las Cuentas de Cobro con Soportes Documentales radicadas en el mes </v>
      </c>
      <c r="AS93" s="39">
        <v>0</v>
      </c>
      <c r="AT93" s="42"/>
      <c r="AU93" s="42"/>
      <c r="AV93" s="40">
        <f t="shared" si="57"/>
        <v>0</v>
      </c>
      <c r="AW93" s="40" t="e">
        <f t="shared" si="58"/>
        <v>#DIV/0!</v>
      </c>
      <c r="AX93" s="40">
        <f t="shared" si="59"/>
        <v>0</v>
      </c>
      <c r="AY93" s="40" t="e">
        <f t="shared" si="60"/>
        <v>#DIV/0!</v>
      </c>
      <c r="AZ93" s="40">
        <v>0.25</v>
      </c>
      <c r="BA93" s="35" t="str">
        <f>+$J$93</f>
        <v xml:space="preserve">Tramite de pago de las Cuentas de Cobro con Soportes Documentales radicadas en el mes </v>
      </c>
      <c r="BB93" s="39">
        <v>0</v>
      </c>
      <c r="BC93" s="42"/>
      <c r="BD93" s="42"/>
      <c r="BE93" s="40">
        <f t="shared" si="61"/>
        <v>0</v>
      </c>
      <c r="BF93" s="40" t="e">
        <f t="shared" si="62"/>
        <v>#DIV/0!</v>
      </c>
      <c r="BG93" s="40">
        <f t="shared" si="63"/>
        <v>0</v>
      </c>
      <c r="BH93" s="40" t="e">
        <f t="shared" si="64"/>
        <v>#DIV/0!</v>
      </c>
      <c r="BI93" s="44">
        <f t="shared" si="65"/>
        <v>0</v>
      </c>
      <c r="BJ93" s="44" t="str">
        <f t="shared" si="66"/>
        <v>No Prog ni Ejec</v>
      </c>
      <c r="BK93" s="44">
        <f t="shared" si="67"/>
        <v>0</v>
      </c>
      <c r="BL93" s="44" t="str">
        <f t="shared" si="68"/>
        <v>No Prog ni Ejec</v>
      </c>
      <c r="BM93" s="44">
        <f t="shared" si="69"/>
        <v>0</v>
      </c>
      <c r="BN93" s="44" t="str">
        <f t="shared" si="70"/>
        <v>No Prog ni Ejec</v>
      </c>
      <c r="BO93" s="44">
        <f t="shared" si="71"/>
        <v>0</v>
      </c>
      <c r="BP93" s="44" t="str">
        <f t="shared" si="72"/>
        <v>No Prog ni Ejec</v>
      </c>
      <c r="BQ93" s="42"/>
    </row>
    <row r="94" spans="1:69" s="45" customFormat="1" ht="150" x14ac:dyDescent="0.25">
      <c r="A94" s="34">
        <v>11700</v>
      </c>
      <c r="B94" s="35" t="str">
        <f>+VLOOKUP(A94,'[1]TAB. REF. PA'!$A$4:$B$14,2,FALSE)</f>
        <v>Dirección Administrativa y Financiera</v>
      </c>
      <c r="C94" s="36" t="s">
        <v>328</v>
      </c>
      <c r="D94" s="35" t="s">
        <v>256</v>
      </c>
      <c r="E94" s="36" t="s">
        <v>399</v>
      </c>
      <c r="F94" s="35" t="s">
        <v>400</v>
      </c>
      <c r="G94" s="37" t="s">
        <v>123</v>
      </c>
      <c r="H94" s="46">
        <v>1</v>
      </c>
      <c r="I94" s="36" t="s">
        <v>403</v>
      </c>
      <c r="J94" s="35" t="s">
        <v>405</v>
      </c>
      <c r="K94" s="39">
        <v>321766980</v>
      </c>
      <c r="L94" s="47">
        <v>1</v>
      </c>
      <c r="M94" s="41" t="s">
        <v>51</v>
      </c>
      <c r="N94" s="41" t="s">
        <v>56</v>
      </c>
      <c r="O94" s="41" t="s">
        <v>37</v>
      </c>
      <c r="P94" s="41" t="s">
        <v>40</v>
      </c>
      <c r="Q94" s="41" t="s">
        <v>217</v>
      </c>
      <c r="R94" s="42"/>
      <c r="S94" s="41" t="s">
        <v>370</v>
      </c>
      <c r="T94" s="41" t="s">
        <v>111</v>
      </c>
      <c r="U94" s="47">
        <v>1</v>
      </c>
      <c r="V94" s="35" t="str">
        <f>+$J$94</f>
        <v>Trámites  Precontractuales y Contractuales Adelantados de conformidad con Plan de Adquisiciones de la Dirección.</v>
      </c>
      <c r="W94" s="61">
        <f>+K94</f>
        <v>321766980</v>
      </c>
      <c r="X94" s="34" t="s">
        <v>114</v>
      </c>
      <c r="Y94" s="47">
        <v>0.25</v>
      </c>
      <c r="Z94" s="35" t="str">
        <f>+$J$94</f>
        <v>Trámites  Precontractuales y Contractuales Adelantados de conformidad con Plan de Adquisiciones de la Dirección.</v>
      </c>
      <c r="AA94" s="39">
        <f>+VLOOKUP($I$94,'[1]Plan Adquisiciones'!$Z$5:$AD$47,5,FALSE)</f>
        <v>104921745</v>
      </c>
      <c r="AB94" s="42"/>
      <c r="AC94" s="42"/>
      <c r="AD94" s="40">
        <f t="shared" si="49"/>
        <v>0</v>
      </c>
      <c r="AE94" s="40">
        <f t="shared" si="50"/>
        <v>0</v>
      </c>
      <c r="AF94" s="40">
        <f t="shared" si="51"/>
        <v>0</v>
      </c>
      <c r="AG94" s="40">
        <f t="shared" si="52"/>
        <v>0</v>
      </c>
      <c r="AH94" s="47">
        <v>0.25</v>
      </c>
      <c r="AI94" s="35" t="str">
        <f>+$J$94</f>
        <v>Trámites  Precontractuales y Contractuales Adelantados de conformidad con Plan de Adquisiciones de la Dirección.</v>
      </c>
      <c r="AJ94" s="39">
        <f>+VLOOKUP($I$94,'[1]Plan Adquisiciones'!$Z$5:$AE$47,6,FALSE)</f>
        <v>72281745</v>
      </c>
      <c r="AK94" s="42"/>
      <c r="AL94" s="42"/>
      <c r="AM94" s="40">
        <f t="shared" si="53"/>
        <v>0</v>
      </c>
      <c r="AN94" s="40">
        <f t="shared" si="54"/>
        <v>0</v>
      </c>
      <c r="AO94" s="40">
        <f t="shared" si="55"/>
        <v>0</v>
      </c>
      <c r="AP94" s="43">
        <f t="shared" si="56"/>
        <v>0</v>
      </c>
      <c r="AQ94" s="47">
        <v>0.25</v>
      </c>
      <c r="AR94" s="35" t="str">
        <f>+$J$94</f>
        <v>Trámites  Precontractuales y Contractuales Adelantados de conformidad con Plan de Adquisiciones de la Dirección.</v>
      </c>
      <c r="AS94" s="39">
        <f>+VLOOKUP($I$94,'[1]Plan Adquisiciones'!$Z$5:$AF$47,7,FALSE)</f>
        <v>72281745</v>
      </c>
      <c r="AT94" s="42"/>
      <c r="AU94" s="42"/>
      <c r="AV94" s="40">
        <f t="shared" si="57"/>
        <v>0</v>
      </c>
      <c r="AW94" s="40">
        <f t="shared" si="58"/>
        <v>0</v>
      </c>
      <c r="AX94" s="40">
        <f t="shared" si="59"/>
        <v>0</v>
      </c>
      <c r="AY94" s="40">
        <f t="shared" si="60"/>
        <v>0</v>
      </c>
      <c r="AZ94" s="47">
        <v>0.25</v>
      </c>
      <c r="BA94" s="35" t="str">
        <f>+$J$94</f>
        <v>Trámites  Precontractuales y Contractuales Adelantados de conformidad con Plan de Adquisiciones de la Dirección.</v>
      </c>
      <c r="BB94" s="39">
        <f>+VLOOKUP($I$94,'[1]Plan Adquisiciones'!$Z$5:$AG$47,8,FALSE)</f>
        <v>72281745</v>
      </c>
      <c r="BC94" s="42"/>
      <c r="BD94" s="42"/>
      <c r="BE94" s="40">
        <f t="shared" si="61"/>
        <v>0</v>
      </c>
      <c r="BF94" s="40">
        <f t="shared" si="62"/>
        <v>0</v>
      </c>
      <c r="BG94" s="40">
        <f t="shared" si="63"/>
        <v>0</v>
      </c>
      <c r="BH94" s="40">
        <f t="shared" si="64"/>
        <v>0</v>
      </c>
      <c r="BI94" s="44">
        <f t="shared" si="65"/>
        <v>0</v>
      </c>
      <c r="BJ94" s="44">
        <f t="shared" si="66"/>
        <v>0</v>
      </c>
      <c r="BK94" s="44">
        <f t="shared" si="67"/>
        <v>0</v>
      </c>
      <c r="BL94" s="44">
        <f t="shared" si="68"/>
        <v>0</v>
      </c>
      <c r="BM94" s="44">
        <f t="shared" si="69"/>
        <v>0</v>
      </c>
      <c r="BN94" s="44">
        <f t="shared" si="70"/>
        <v>0</v>
      </c>
      <c r="BO94" s="44">
        <f t="shared" si="71"/>
        <v>0</v>
      </c>
      <c r="BP94" s="44">
        <f t="shared" si="72"/>
        <v>0</v>
      </c>
      <c r="BQ94" s="42"/>
    </row>
    <row r="95" spans="1:69" s="45" customFormat="1" ht="105" x14ac:dyDescent="0.25">
      <c r="A95" s="34">
        <v>11700</v>
      </c>
      <c r="B95" s="35" t="str">
        <f>+VLOOKUP(A95,'[1]TAB. REF. PA'!$A$4:$B$14,2,FALSE)</f>
        <v>Dirección Administrativa y Financiera</v>
      </c>
      <c r="C95" s="36" t="s">
        <v>328</v>
      </c>
      <c r="D95" s="35" t="s">
        <v>256</v>
      </c>
      <c r="E95" s="36" t="s">
        <v>401</v>
      </c>
      <c r="F95" s="35" t="s">
        <v>563</v>
      </c>
      <c r="G95" s="37" t="s">
        <v>123</v>
      </c>
      <c r="H95" s="46">
        <v>1</v>
      </c>
      <c r="I95" s="36" t="s">
        <v>404</v>
      </c>
      <c r="J95" s="35" t="s">
        <v>564</v>
      </c>
      <c r="K95" s="39">
        <v>0</v>
      </c>
      <c r="L95" s="47">
        <v>1</v>
      </c>
      <c r="M95" s="41" t="s">
        <v>51</v>
      </c>
      <c r="N95" s="41" t="s">
        <v>56</v>
      </c>
      <c r="O95" s="41" t="s">
        <v>37</v>
      </c>
      <c r="P95" s="41" t="s">
        <v>40</v>
      </c>
      <c r="Q95" s="41" t="s">
        <v>217</v>
      </c>
      <c r="R95" s="42"/>
      <c r="S95" s="41" t="s">
        <v>406</v>
      </c>
      <c r="T95" s="41" t="s">
        <v>111</v>
      </c>
      <c r="U95" s="47">
        <v>1</v>
      </c>
      <c r="V95" s="35" t="str">
        <f>+$J$95</f>
        <v xml:space="preserve">No de Actos de cierre y/ o liquidaciones elaboradas / No. De Contratos terminados. </v>
      </c>
      <c r="W95" s="61">
        <v>0</v>
      </c>
      <c r="X95" s="34" t="s">
        <v>117</v>
      </c>
      <c r="Y95" s="47">
        <v>0.25</v>
      </c>
      <c r="Z95" s="35" t="str">
        <f>+$V$95</f>
        <v xml:space="preserve">No de Actos de cierre y/ o liquidaciones elaboradas / No. De Contratos terminados. </v>
      </c>
      <c r="AA95" s="39">
        <v>0</v>
      </c>
      <c r="AB95" s="42"/>
      <c r="AC95" s="42"/>
      <c r="AD95" s="40">
        <f t="shared" si="49"/>
        <v>0</v>
      </c>
      <c r="AE95" s="40" t="e">
        <f t="shared" si="50"/>
        <v>#DIV/0!</v>
      </c>
      <c r="AF95" s="40">
        <f t="shared" si="51"/>
        <v>0</v>
      </c>
      <c r="AG95" s="40" t="e">
        <f t="shared" si="52"/>
        <v>#DIV/0!</v>
      </c>
      <c r="AH95" s="47">
        <v>0.25</v>
      </c>
      <c r="AI95" s="35" t="str">
        <f>+$V$95</f>
        <v xml:space="preserve">No de Actos de cierre y/ o liquidaciones elaboradas / No. De Contratos terminados. </v>
      </c>
      <c r="AJ95" s="39">
        <v>0</v>
      </c>
      <c r="AK95" s="42"/>
      <c r="AL95" s="42"/>
      <c r="AM95" s="40">
        <f t="shared" si="53"/>
        <v>0</v>
      </c>
      <c r="AN95" s="40" t="e">
        <f t="shared" si="54"/>
        <v>#DIV/0!</v>
      </c>
      <c r="AO95" s="40">
        <f t="shared" si="55"/>
        <v>0</v>
      </c>
      <c r="AP95" s="43" t="e">
        <f t="shared" si="56"/>
        <v>#DIV/0!</v>
      </c>
      <c r="AQ95" s="47">
        <v>0.25</v>
      </c>
      <c r="AR95" s="35" t="str">
        <f>+$V$95</f>
        <v xml:space="preserve">No de Actos de cierre y/ o liquidaciones elaboradas / No. De Contratos terminados. </v>
      </c>
      <c r="AS95" s="39">
        <v>0</v>
      </c>
      <c r="AT95" s="42"/>
      <c r="AU95" s="42"/>
      <c r="AV95" s="40">
        <f t="shared" si="57"/>
        <v>0</v>
      </c>
      <c r="AW95" s="40" t="e">
        <f t="shared" si="58"/>
        <v>#DIV/0!</v>
      </c>
      <c r="AX95" s="40">
        <f t="shared" si="59"/>
        <v>0</v>
      </c>
      <c r="AY95" s="40" t="e">
        <f t="shared" si="60"/>
        <v>#DIV/0!</v>
      </c>
      <c r="AZ95" s="47">
        <v>0.25</v>
      </c>
      <c r="BA95" s="35" t="str">
        <f>+$V$95</f>
        <v xml:space="preserve">No de Actos de cierre y/ o liquidaciones elaboradas / No. De Contratos terminados. </v>
      </c>
      <c r="BB95" s="39">
        <v>0</v>
      </c>
      <c r="BC95" s="42"/>
      <c r="BD95" s="42"/>
      <c r="BE95" s="40">
        <f t="shared" si="61"/>
        <v>0</v>
      </c>
      <c r="BF95" s="40" t="e">
        <f t="shared" si="62"/>
        <v>#DIV/0!</v>
      </c>
      <c r="BG95" s="40">
        <f t="shared" si="63"/>
        <v>0</v>
      </c>
      <c r="BH95" s="40" t="e">
        <f t="shared" si="64"/>
        <v>#DIV/0!</v>
      </c>
      <c r="BI95" s="44">
        <f t="shared" si="65"/>
        <v>0</v>
      </c>
      <c r="BJ95" s="44" t="str">
        <f t="shared" si="66"/>
        <v>No Prog ni Ejec</v>
      </c>
      <c r="BK95" s="44">
        <f t="shared" si="67"/>
        <v>0</v>
      </c>
      <c r="BL95" s="44" t="str">
        <f t="shared" si="68"/>
        <v>No Prog ni Ejec</v>
      </c>
      <c r="BM95" s="44">
        <f t="shared" si="69"/>
        <v>0</v>
      </c>
      <c r="BN95" s="44" t="str">
        <f t="shared" si="70"/>
        <v>No Prog ni Ejec</v>
      </c>
      <c r="BO95" s="44">
        <f t="shared" si="71"/>
        <v>0</v>
      </c>
      <c r="BP95" s="44" t="str">
        <f t="shared" si="72"/>
        <v>No Prog ni Ejec</v>
      </c>
      <c r="BQ95" s="42"/>
    </row>
    <row r="96" spans="1:69" s="45" customFormat="1" ht="105" x14ac:dyDescent="0.25">
      <c r="A96" s="34">
        <v>11700</v>
      </c>
      <c r="B96" s="35" t="str">
        <f>+VLOOKUP(A96,'[1]TAB. REF. PA'!$A$4:$B$14,2,FALSE)</f>
        <v>Dirección Administrativa y Financiera</v>
      </c>
      <c r="C96" s="36" t="s">
        <v>328</v>
      </c>
      <c r="D96" s="35" t="s">
        <v>256</v>
      </c>
      <c r="E96" s="36" t="s">
        <v>407</v>
      </c>
      <c r="F96" s="35" t="s">
        <v>661</v>
      </c>
      <c r="G96" s="37" t="s">
        <v>123</v>
      </c>
      <c r="H96" s="46">
        <v>1</v>
      </c>
      <c r="I96" s="36" t="s">
        <v>409</v>
      </c>
      <c r="J96" s="41" t="s">
        <v>660</v>
      </c>
      <c r="K96" s="39">
        <v>487453000</v>
      </c>
      <c r="L96" s="47">
        <v>1</v>
      </c>
      <c r="M96" s="41" t="s">
        <v>45</v>
      </c>
      <c r="N96" s="41" t="s">
        <v>54</v>
      </c>
      <c r="O96" s="41" t="s">
        <v>37</v>
      </c>
      <c r="P96" s="41" t="s">
        <v>38</v>
      </c>
      <c r="Q96" s="41" t="s">
        <v>218</v>
      </c>
      <c r="R96" s="42"/>
      <c r="S96" s="41" t="s">
        <v>664</v>
      </c>
      <c r="T96" s="41" t="s">
        <v>104</v>
      </c>
      <c r="U96" s="52">
        <v>9</v>
      </c>
      <c r="V96" s="35" t="str">
        <f>+$J$96</f>
        <v>Realizar capacitación y fortalecimiento de las competencias laborales de los funcionarios</v>
      </c>
      <c r="W96" s="61">
        <f>+K96</f>
        <v>487453000</v>
      </c>
      <c r="X96" s="34" t="s">
        <v>117</v>
      </c>
      <c r="Y96" s="52">
        <v>3</v>
      </c>
      <c r="Z96" s="35" t="str">
        <f>+$J$96</f>
        <v>Realizar capacitación y fortalecimiento de las competencias laborales de los funcionarios</v>
      </c>
      <c r="AA96" s="39">
        <f>+W96*0.25</f>
        <v>121863250</v>
      </c>
      <c r="AB96" s="42"/>
      <c r="AC96" s="42"/>
      <c r="AD96" s="40">
        <f t="shared" si="49"/>
        <v>0</v>
      </c>
      <c r="AE96" s="40">
        <f t="shared" si="50"/>
        <v>0</v>
      </c>
      <c r="AF96" s="40">
        <f t="shared" si="51"/>
        <v>0</v>
      </c>
      <c r="AG96" s="40">
        <f t="shared" si="52"/>
        <v>0</v>
      </c>
      <c r="AH96" s="52">
        <v>2</v>
      </c>
      <c r="AI96" s="35" t="str">
        <f>+$J$96</f>
        <v>Realizar capacitación y fortalecimiento de las competencias laborales de los funcionarios</v>
      </c>
      <c r="AJ96" s="39">
        <v>121863250</v>
      </c>
      <c r="AK96" s="42"/>
      <c r="AL96" s="42"/>
      <c r="AM96" s="40">
        <f t="shared" si="53"/>
        <v>0</v>
      </c>
      <c r="AN96" s="40">
        <f t="shared" si="54"/>
        <v>0</v>
      </c>
      <c r="AO96" s="40">
        <f t="shared" si="55"/>
        <v>0</v>
      </c>
      <c r="AP96" s="43">
        <f t="shared" si="56"/>
        <v>0</v>
      </c>
      <c r="AQ96" s="52">
        <v>2</v>
      </c>
      <c r="AR96" s="35" t="str">
        <f>+$J$96</f>
        <v>Realizar capacitación y fortalecimiento de las competencias laborales de los funcionarios</v>
      </c>
      <c r="AS96" s="39">
        <v>121863250</v>
      </c>
      <c r="AT96" s="42"/>
      <c r="AU96" s="42"/>
      <c r="AV96" s="40">
        <f t="shared" si="57"/>
        <v>0</v>
      </c>
      <c r="AW96" s="40">
        <f t="shared" si="58"/>
        <v>0</v>
      </c>
      <c r="AX96" s="40">
        <f t="shared" si="59"/>
        <v>0</v>
      </c>
      <c r="AY96" s="40">
        <f t="shared" si="60"/>
        <v>0</v>
      </c>
      <c r="AZ96" s="52">
        <v>2</v>
      </c>
      <c r="BA96" s="35" t="str">
        <f>+$J$96</f>
        <v>Realizar capacitación y fortalecimiento de las competencias laborales de los funcionarios</v>
      </c>
      <c r="BB96" s="39">
        <v>121863250</v>
      </c>
      <c r="BC96" s="42"/>
      <c r="BD96" s="42"/>
      <c r="BE96" s="40">
        <f t="shared" si="61"/>
        <v>0</v>
      </c>
      <c r="BF96" s="40">
        <f t="shared" si="62"/>
        <v>0</v>
      </c>
      <c r="BG96" s="40">
        <f t="shared" si="63"/>
        <v>0</v>
      </c>
      <c r="BH96" s="40">
        <f t="shared" si="64"/>
        <v>0</v>
      </c>
      <c r="BI96" s="44">
        <f t="shared" si="65"/>
        <v>0</v>
      </c>
      <c r="BJ96" s="44">
        <f t="shared" si="66"/>
        <v>0</v>
      </c>
      <c r="BK96" s="44">
        <f t="shared" si="67"/>
        <v>0</v>
      </c>
      <c r="BL96" s="44">
        <f t="shared" si="68"/>
        <v>0</v>
      </c>
      <c r="BM96" s="44">
        <f t="shared" si="69"/>
        <v>0</v>
      </c>
      <c r="BN96" s="44">
        <f t="shared" si="70"/>
        <v>0</v>
      </c>
      <c r="BO96" s="44">
        <f t="shared" si="71"/>
        <v>0</v>
      </c>
      <c r="BP96" s="44">
        <f t="shared" si="72"/>
        <v>0</v>
      </c>
      <c r="BQ96" s="42"/>
    </row>
    <row r="97" spans="1:69" s="45" customFormat="1" ht="105" x14ac:dyDescent="0.25">
      <c r="A97" s="34">
        <v>11700</v>
      </c>
      <c r="B97" s="35" t="str">
        <f>+VLOOKUP(A97,'[1]TAB. REF. PA'!$A$4:$B$14,2,FALSE)</f>
        <v>Dirección Administrativa y Financiera</v>
      </c>
      <c r="C97" s="36" t="s">
        <v>328</v>
      </c>
      <c r="D97" s="35" t="s">
        <v>256</v>
      </c>
      <c r="E97" s="36" t="s">
        <v>407</v>
      </c>
      <c r="F97" s="35" t="s">
        <v>662</v>
      </c>
      <c r="G97" s="37" t="s">
        <v>123</v>
      </c>
      <c r="H97" s="46">
        <v>1</v>
      </c>
      <c r="I97" s="36" t="s">
        <v>629</v>
      </c>
      <c r="J97" s="41" t="s">
        <v>663</v>
      </c>
      <c r="K97" s="39">
        <v>332547000</v>
      </c>
      <c r="L97" s="47">
        <v>1</v>
      </c>
      <c r="M97" s="41" t="s">
        <v>45</v>
      </c>
      <c r="N97" s="41" t="s">
        <v>54</v>
      </c>
      <c r="O97" s="41" t="s">
        <v>37</v>
      </c>
      <c r="P97" s="41" t="s">
        <v>38</v>
      </c>
      <c r="Q97" s="41" t="s">
        <v>218</v>
      </c>
      <c r="R97" s="42"/>
      <c r="S97" s="41" t="s">
        <v>411</v>
      </c>
      <c r="T97" s="41" t="s">
        <v>104</v>
      </c>
      <c r="U97" s="47">
        <v>1</v>
      </c>
      <c r="V97" s="35" t="str">
        <f>+$J$97</f>
        <v>Realizar actividades para fortalecer la calidad de vida de los servidores públicos de la entidad, así como el clima organizacional</v>
      </c>
      <c r="W97" s="61">
        <f>+K97</f>
        <v>332547000</v>
      </c>
      <c r="X97" s="34" t="s">
        <v>114</v>
      </c>
      <c r="Y97" s="47">
        <v>0.25</v>
      </c>
      <c r="Z97" s="35" t="str">
        <f>+$J$97</f>
        <v>Realizar actividades para fortalecer la calidad de vida de los servidores públicos de la entidad, así como el clima organizacional</v>
      </c>
      <c r="AA97" s="39">
        <f>+W97*0.2</f>
        <v>66509400</v>
      </c>
      <c r="AB97" s="42"/>
      <c r="AC97" s="42"/>
      <c r="AD97" s="40">
        <f t="shared" si="49"/>
        <v>0</v>
      </c>
      <c r="AE97" s="40">
        <f t="shared" si="50"/>
        <v>0</v>
      </c>
      <c r="AF97" s="40">
        <f t="shared" si="51"/>
        <v>0</v>
      </c>
      <c r="AG97" s="40">
        <f t="shared" si="52"/>
        <v>0</v>
      </c>
      <c r="AH97" s="47">
        <v>0.25</v>
      </c>
      <c r="AI97" s="35" t="str">
        <f>+$J$97</f>
        <v>Realizar actividades para fortalecer la calidad de vida de los servidores públicos de la entidad, así como el clima organizacional</v>
      </c>
      <c r="AJ97" s="39">
        <f>+W97*0.3</f>
        <v>99764100</v>
      </c>
      <c r="AK97" s="42"/>
      <c r="AL97" s="42"/>
      <c r="AM97" s="40">
        <f t="shared" si="53"/>
        <v>0</v>
      </c>
      <c r="AN97" s="40">
        <f t="shared" si="54"/>
        <v>0</v>
      </c>
      <c r="AO97" s="40">
        <f t="shared" si="55"/>
        <v>0</v>
      </c>
      <c r="AP97" s="43">
        <f t="shared" si="56"/>
        <v>0</v>
      </c>
      <c r="AQ97" s="47">
        <v>0.25</v>
      </c>
      <c r="AR97" s="35" t="str">
        <f>+$J$97</f>
        <v>Realizar actividades para fortalecer la calidad de vida de los servidores públicos de la entidad, así como el clima organizacional</v>
      </c>
      <c r="AS97" s="39">
        <v>66509400</v>
      </c>
      <c r="AT97" s="42"/>
      <c r="AU97" s="42"/>
      <c r="AV97" s="40">
        <f t="shared" si="57"/>
        <v>0</v>
      </c>
      <c r="AW97" s="40">
        <f t="shared" si="58"/>
        <v>0</v>
      </c>
      <c r="AX97" s="40">
        <f t="shared" si="59"/>
        <v>0</v>
      </c>
      <c r="AY97" s="40">
        <f t="shared" si="60"/>
        <v>0</v>
      </c>
      <c r="AZ97" s="47">
        <v>0.25</v>
      </c>
      <c r="BA97" s="35" t="str">
        <f>+$J$97</f>
        <v>Realizar actividades para fortalecer la calidad de vida de los servidores públicos de la entidad, así como el clima organizacional</v>
      </c>
      <c r="BB97" s="39">
        <v>99764100</v>
      </c>
      <c r="BC97" s="42"/>
      <c r="BD97" s="42"/>
      <c r="BE97" s="40">
        <f t="shared" si="61"/>
        <v>0</v>
      </c>
      <c r="BF97" s="40">
        <f t="shared" si="62"/>
        <v>0</v>
      </c>
      <c r="BG97" s="40">
        <f t="shared" si="63"/>
        <v>0</v>
      </c>
      <c r="BH97" s="40">
        <f t="shared" si="64"/>
        <v>0</v>
      </c>
      <c r="BI97" s="44">
        <f t="shared" si="65"/>
        <v>0</v>
      </c>
      <c r="BJ97" s="44">
        <f t="shared" si="66"/>
        <v>0</v>
      </c>
      <c r="BK97" s="44">
        <f t="shared" si="67"/>
        <v>0</v>
      </c>
      <c r="BL97" s="44">
        <f t="shared" si="68"/>
        <v>0</v>
      </c>
      <c r="BM97" s="44">
        <f t="shared" si="69"/>
        <v>0</v>
      </c>
      <c r="BN97" s="44">
        <f t="shared" si="70"/>
        <v>0</v>
      </c>
      <c r="BO97" s="44">
        <f t="shared" si="71"/>
        <v>0</v>
      </c>
      <c r="BP97" s="44">
        <f t="shared" si="72"/>
        <v>0</v>
      </c>
      <c r="BQ97" s="42"/>
    </row>
    <row r="98" spans="1:69" s="58" customFormat="1" ht="105" x14ac:dyDescent="0.25">
      <c r="A98" s="34">
        <v>11700</v>
      </c>
      <c r="B98" s="35" t="str">
        <f>+VLOOKUP(A98,'[1]TAB. REF. PA'!$A$4:$B$14,2,FALSE)</f>
        <v>Dirección Administrativa y Financiera</v>
      </c>
      <c r="C98" s="36" t="s">
        <v>328</v>
      </c>
      <c r="D98" s="35" t="s">
        <v>256</v>
      </c>
      <c r="E98" s="36" t="s">
        <v>412</v>
      </c>
      <c r="F98" s="35" t="s">
        <v>413</v>
      </c>
      <c r="G98" s="37" t="s">
        <v>123</v>
      </c>
      <c r="H98" s="50">
        <v>1</v>
      </c>
      <c r="I98" s="36" t="s">
        <v>416</v>
      </c>
      <c r="J98" s="41" t="s">
        <v>565</v>
      </c>
      <c r="K98" s="39">
        <f>+VLOOKUP(I98,'[1]Plan Adquisiciones'!$Z$5:$AC$47,4,FALSE)</f>
        <v>6000000</v>
      </c>
      <c r="L98" s="47">
        <v>1</v>
      </c>
      <c r="M98" s="41" t="s">
        <v>45</v>
      </c>
      <c r="N98" s="41" t="s">
        <v>54</v>
      </c>
      <c r="O98" s="41" t="s">
        <v>37</v>
      </c>
      <c r="P98" s="41" t="s">
        <v>38</v>
      </c>
      <c r="Q98" s="41" t="s">
        <v>218</v>
      </c>
      <c r="R98" s="42"/>
      <c r="S98" s="41" t="s">
        <v>182</v>
      </c>
      <c r="T98" s="41" t="s">
        <v>104</v>
      </c>
      <c r="U98" s="47">
        <v>1</v>
      </c>
      <c r="V98" s="35" t="str">
        <f>+$J$98</f>
        <v>Realización de Exámenes de Salud Ocupacional (pre-ocupacionales, exámenes médicos post-ocupacionales y exámenes médicos post-incapacidad)</v>
      </c>
      <c r="W98" s="61">
        <f>+K98</f>
        <v>6000000</v>
      </c>
      <c r="X98" s="34" t="s">
        <v>114</v>
      </c>
      <c r="Y98" s="100">
        <v>0.25</v>
      </c>
      <c r="Z98" s="35" t="str">
        <f>+$V$98</f>
        <v>Realización de Exámenes de Salud Ocupacional (pre-ocupacionales, exámenes médicos post-ocupacionales y exámenes médicos post-incapacidad)</v>
      </c>
      <c r="AA98" s="39">
        <v>1500000</v>
      </c>
      <c r="AB98" s="42"/>
      <c r="AC98" s="42"/>
      <c r="AD98" s="40">
        <f t="shared" si="49"/>
        <v>0</v>
      </c>
      <c r="AE98" s="40">
        <f t="shared" si="50"/>
        <v>0</v>
      </c>
      <c r="AF98" s="40">
        <f t="shared" si="51"/>
        <v>0</v>
      </c>
      <c r="AG98" s="40">
        <f t="shared" si="52"/>
        <v>0</v>
      </c>
      <c r="AH98" s="100">
        <v>0.25</v>
      </c>
      <c r="AI98" s="35" t="str">
        <f>+$V$98</f>
        <v>Realización de Exámenes de Salud Ocupacional (pre-ocupacionales, exámenes médicos post-ocupacionales y exámenes médicos post-incapacidad)</v>
      </c>
      <c r="AJ98" s="39">
        <v>1500000</v>
      </c>
      <c r="AK98" s="42"/>
      <c r="AL98" s="42"/>
      <c r="AM98" s="40">
        <f t="shared" si="53"/>
        <v>0</v>
      </c>
      <c r="AN98" s="40">
        <f t="shared" si="54"/>
        <v>0</v>
      </c>
      <c r="AO98" s="40">
        <f t="shared" si="55"/>
        <v>0</v>
      </c>
      <c r="AP98" s="43">
        <f t="shared" si="56"/>
        <v>0</v>
      </c>
      <c r="AQ98" s="100">
        <v>0.25</v>
      </c>
      <c r="AR98" s="35" t="str">
        <f>+$V$98</f>
        <v>Realización de Exámenes de Salud Ocupacional (pre-ocupacionales, exámenes médicos post-ocupacionales y exámenes médicos post-incapacidad)</v>
      </c>
      <c r="AS98" s="39">
        <v>1500000</v>
      </c>
      <c r="AT98" s="42"/>
      <c r="AU98" s="42"/>
      <c r="AV98" s="40">
        <f t="shared" si="57"/>
        <v>0</v>
      </c>
      <c r="AW98" s="40">
        <f t="shared" si="58"/>
        <v>0</v>
      </c>
      <c r="AX98" s="40">
        <f t="shared" si="59"/>
        <v>0</v>
      </c>
      <c r="AY98" s="40">
        <f t="shared" si="60"/>
        <v>0</v>
      </c>
      <c r="AZ98" s="100">
        <v>0.25</v>
      </c>
      <c r="BA98" s="35" t="str">
        <f>+$V$98</f>
        <v>Realización de Exámenes de Salud Ocupacional (pre-ocupacionales, exámenes médicos post-ocupacionales y exámenes médicos post-incapacidad)</v>
      </c>
      <c r="BB98" s="39">
        <v>1500000</v>
      </c>
      <c r="BC98" s="42"/>
      <c r="BD98" s="42"/>
      <c r="BE98" s="40">
        <f t="shared" si="61"/>
        <v>0</v>
      </c>
      <c r="BF98" s="40">
        <f t="shared" si="62"/>
        <v>0</v>
      </c>
      <c r="BG98" s="40">
        <f t="shared" si="63"/>
        <v>0</v>
      </c>
      <c r="BH98" s="40">
        <f t="shared" si="64"/>
        <v>0</v>
      </c>
      <c r="BI98" s="57">
        <f t="shared" si="65"/>
        <v>0</v>
      </c>
      <c r="BJ98" s="57">
        <f t="shared" si="66"/>
        <v>0</v>
      </c>
      <c r="BK98" s="57">
        <f t="shared" si="67"/>
        <v>0</v>
      </c>
      <c r="BL98" s="57">
        <f t="shared" si="68"/>
        <v>0</v>
      </c>
      <c r="BM98" s="57">
        <f t="shared" si="69"/>
        <v>0</v>
      </c>
      <c r="BN98" s="57">
        <f t="shared" si="70"/>
        <v>0</v>
      </c>
      <c r="BO98" s="57">
        <f t="shared" si="71"/>
        <v>0</v>
      </c>
      <c r="BP98" s="57">
        <f t="shared" si="72"/>
        <v>0</v>
      </c>
      <c r="BQ98" s="21"/>
    </row>
    <row r="99" spans="1:69" s="58" customFormat="1" ht="105" x14ac:dyDescent="0.25">
      <c r="A99" s="34">
        <v>11700</v>
      </c>
      <c r="B99" s="35" t="str">
        <f>+VLOOKUP(A99,'[1]TAB. REF. PA'!$A$4:$B$14,2,FALSE)</f>
        <v>Dirección Administrativa y Financiera</v>
      </c>
      <c r="C99" s="36" t="s">
        <v>328</v>
      </c>
      <c r="D99" s="35" t="s">
        <v>256</v>
      </c>
      <c r="E99" s="36" t="s">
        <v>414</v>
      </c>
      <c r="F99" s="35" t="s">
        <v>408</v>
      </c>
      <c r="G99" s="37" t="s">
        <v>124</v>
      </c>
      <c r="H99" s="36">
        <v>12</v>
      </c>
      <c r="I99" s="36" t="s">
        <v>415</v>
      </c>
      <c r="J99" s="38" t="s">
        <v>417</v>
      </c>
      <c r="K99" s="39">
        <v>62099999.999999993</v>
      </c>
      <c r="L99" s="47">
        <v>1</v>
      </c>
      <c r="M99" s="41" t="s">
        <v>45</v>
      </c>
      <c r="N99" s="41" t="s">
        <v>54</v>
      </c>
      <c r="O99" s="41" t="s">
        <v>37</v>
      </c>
      <c r="P99" s="41" t="s">
        <v>38</v>
      </c>
      <c r="Q99" s="41" t="s">
        <v>218</v>
      </c>
      <c r="R99" s="42"/>
      <c r="S99" s="41" t="s">
        <v>658</v>
      </c>
      <c r="T99" s="41" t="s">
        <v>104</v>
      </c>
      <c r="U99" s="42">
        <v>12</v>
      </c>
      <c r="V99" s="35" t="str">
        <f>+$J$99</f>
        <v>Generar y Liquidar Nomina ADRES</v>
      </c>
      <c r="W99" s="61">
        <f>+K99*0.25</f>
        <v>15524999.999999998</v>
      </c>
      <c r="X99" s="34" t="s">
        <v>117</v>
      </c>
      <c r="Y99" s="37">
        <v>3</v>
      </c>
      <c r="Z99" s="35" t="s">
        <v>417</v>
      </c>
      <c r="AA99" s="61">
        <v>15524999.999999998</v>
      </c>
      <c r="AB99" s="42"/>
      <c r="AC99" s="42"/>
      <c r="AD99" s="40">
        <v>0</v>
      </c>
      <c r="AE99" s="40" t="e">
        <v>#DIV/0!</v>
      </c>
      <c r="AF99" s="40">
        <v>0</v>
      </c>
      <c r="AG99" s="40" t="e">
        <v>#DIV/0!</v>
      </c>
      <c r="AH99" s="37">
        <v>3</v>
      </c>
      <c r="AI99" s="35" t="s">
        <v>417</v>
      </c>
      <c r="AJ99" s="61">
        <v>15524999.999999998</v>
      </c>
      <c r="AK99" s="42"/>
      <c r="AL99" s="42"/>
      <c r="AM99" s="40">
        <v>0</v>
      </c>
      <c r="AN99" s="40" t="e">
        <v>#DIV/0!</v>
      </c>
      <c r="AO99" s="40">
        <v>0</v>
      </c>
      <c r="AP99" s="43" t="e">
        <v>#DIV/0!</v>
      </c>
      <c r="AQ99" s="37">
        <v>3</v>
      </c>
      <c r="AR99" s="35" t="s">
        <v>417</v>
      </c>
      <c r="AS99" s="61">
        <v>0</v>
      </c>
      <c r="AT99" s="42"/>
      <c r="AU99" s="42"/>
      <c r="AV99" s="40">
        <v>0</v>
      </c>
      <c r="AW99" s="40" t="e">
        <v>#DIV/0!</v>
      </c>
      <c r="AX99" s="40">
        <v>0</v>
      </c>
      <c r="AY99" s="40" t="e">
        <v>#DIV/0!</v>
      </c>
      <c r="AZ99" s="37">
        <v>3</v>
      </c>
      <c r="BA99" s="35" t="s">
        <v>417</v>
      </c>
      <c r="BB99" s="61">
        <v>0</v>
      </c>
      <c r="BC99" s="42"/>
      <c r="BD99" s="42"/>
      <c r="BE99" s="40" t="e">
        <v>#DIV/0!</v>
      </c>
      <c r="BF99" s="40" t="e">
        <v>#DIV/0!</v>
      </c>
      <c r="BG99" s="40">
        <v>0</v>
      </c>
      <c r="BH99" s="40" t="e">
        <v>#DIV/0!</v>
      </c>
      <c r="BI99" s="57">
        <f t="shared" si="65"/>
        <v>0</v>
      </c>
      <c r="BJ99" s="57">
        <f t="shared" si="66"/>
        <v>0</v>
      </c>
      <c r="BK99" s="57">
        <f t="shared" si="67"/>
        <v>0</v>
      </c>
      <c r="BL99" s="57">
        <f t="shared" si="68"/>
        <v>0</v>
      </c>
      <c r="BM99" s="57">
        <f t="shared" si="69"/>
        <v>0</v>
      </c>
      <c r="BN99" s="57" t="str">
        <f t="shared" si="70"/>
        <v>No Prog ni Ejec</v>
      </c>
      <c r="BO99" s="57">
        <f t="shared" si="71"/>
        <v>0</v>
      </c>
      <c r="BP99" s="57" t="str">
        <f t="shared" si="72"/>
        <v>No Prog ni Ejec</v>
      </c>
      <c r="BQ99" s="21"/>
    </row>
    <row r="100" spans="1:69" s="58" customFormat="1" ht="105" x14ac:dyDescent="0.25">
      <c r="A100" s="34">
        <v>11700</v>
      </c>
      <c r="B100" s="35" t="str">
        <f>+VLOOKUP(A100,'[1]TAB. REF. PA'!$A$4:$B$14,2,FALSE)</f>
        <v>Dirección Administrativa y Financiera</v>
      </c>
      <c r="C100" s="36" t="s">
        <v>328</v>
      </c>
      <c r="D100" s="35" t="s">
        <v>256</v>
      </c>
      <c r="E100" s="36" t="s">
        <v>418</v>
      </c>
      <c r="F100" s="35" t="s">
        <v>419</v>
      </c>
      <c r="G100" s="37" t="s">
        <v>659</v>
      </c>
      <c r="H100" s="50">
        <v>1</v>
      </c>
      <c r="I100" s="36" t="s">
        <v>420</v>
      </c>
      <c r="J100" s="41" t="s">
        <v>566</v>
      </c>
      <c r="K100" s="39">
        <v>27880404</v>
      </c>
      <c r="L100" s="47">
        <v>1</v>
      </c>
      <c r="M100" s="41" t="s">
        <v>45</v>
      </c>
      <c r="N100" s="41" t="s">
        <v>54</v>
      </c>
      <c r="O100" s="41" t="s">
        <v>37</v>
      </c>
      <c r="P100" s="41" t="s">
        <v>38</v>
      </c>
      <c r="Q100" s="41" t="s">
        <v>218</v>
      </c>
      <c r="R100" s="42"/>
      <c r="S100" s="101" t="s">
        <v>379</v>
      </c>
      <c r="T100" s="41" t="s">
        <v>104</v>
      </c>
      <c r="U100" s="102">
        <v>1</v>
      </c>
      <c r="V100" s="35" t="s">
        <v>566</v>
      </c>
      <c r="W100" s="61">
        <f>+K100</f>
        <v>27880404</v>
      </c>
      <c r="X100" s="34" t="s">
        <v>114</v>
      </c>
      <c r="Y100" s="102">
        <v>0.25</v>
      </c>
      <c r="Z100" s="35" t="s">
        <v>566</v>
      </c>
      <c r="AA100" s="61">
        <f>+W100*Y100</f>
        <v>6970101</v>
      </c>
      <c r="AB100" s="42"/>
      <c r="AC100" s="42"/>
      <c r="AD100" s="40" t="e">
        <v>#DIV/0!</v>
      </c>
      <c r="AE100" s="40" t="e">
        <v>#DIV/0!</v>
      </c>
      <c r="AF100" s="40" t="e">
        <v>#DIV/0!</v>
      </c>
      <c r="AG100" s="40" t="e">
        <v>#DIV/0!</v>
      </c>
      <c r="AH100" s="102">
        <v>0.25</v>
      </c>
      <c r="AI100" s="35" t="s">
        <v>566</v>
      </c>
      <c r="AJ100" s="61">
        <f>+W100*AH100</f>
        <v>6970101</v>
      </c>
      <c r="AK100" s="42"/>
      <c r="AL100" s="42">
        <v>0</v>
      </c>
      <c r="AM100" s="40" t="e">
        <v>#DIV/0!</v>
      </c>
      <c r="AN100" s="40" t="e">
        <v>#DIV/0!</v>
      </c>
      <c r="AO100" s="40" t="e">
        <v>#DIV/0!</v>
      </c>
      <c r="AP100" s="43" t="e">
        <v>#DIV/0!</v>
      </c>
      <c r="AQ100" s="102">
        <v>0.25</v>
      </c>
      <c r="AR100" s="35" t="s">
        <v>566</v>
      </c>
      <c r="AS100" s="61">
        <f>+W100*AQ100</f>
        <v>6970101</v>
      </c>
      <c r="AT100" s="42">
        <v>0</v>
      </c>
      <c r="AU100" s="42"/>
      <c r="AV100" s="40" t="e">
        <v>#DIV/0!</v>
      </c>
      <c r="AW100" s="40" t="e">
        <v>#DIV/0!</v>
      </c>
      <c r="AX100" s="40" t="e">
        <v>#DIV/0!</v>
      </c>
      <c r="AY100" s="40" t="e">
        <v>#DIV/0!</v>
      </c>
      <c r="AZ100" s="102">
        <v>0.25</v>
      </c>
      <c r="BA100" s="35" t="s">
        <v>566</v>
      </c>
      <c r="BB100" s="61">
        <f>+W100*AZ100</f>
        <v>6970101</v>
      </c>
      <c r="BC100" s="42"/>
      <c r="BD100" s="42"/>
      <c r="BE100" s="40" t="e">
        <v>#DIV/0!</v>
      </c>
      <c r="BF100" s="40" t="e">
        <v>#DIV/0!</v>
      </c>
      <c r="BG100" s="40" t="e">
        <v>#DIV/0!</v>
      </c>
      <c r="BH100" s="40" t="e">
        <v>#DIV/0!</v>
      </c>
      <c r="BI100" s="57">
        <f t="shared" si="65"/>
        <v>0</v>
      </c>
      <c r="BJ100" s="57">
        <f t="shared" si="66"/>
        <v>0</v>
      </c>
      <c r="BK100" s="57">
        <f t="shared" si="67"/>
        <v>0</v>
      </c>
      <c r="BL100" s="57">
        <f t="shared" si="68"/>
        <v>0</v>
      </c>
      <c r="BM100" s="57">
        <f t="shared" si="69"/>
        <v>0</v>
      </c>
      <c r="BN100" s="57">
        <f t="shared" si="70"/>
        <v>0</v>
      </c>
      <c r="BO100" s="57">
        <f t="shared" si="71"/>
        <v>0</v>
      </c>
      <c r="BP100" s="57">
        <f t="shared" si="72"/>
        <v>0</v>
      </c>
      <c r="BQ100" s="21"/>
    </row>
    <row r="101" spans="1:69" s="58" customFormat="1" ht="105" x14ac:dyDescent="0.25">
      <c r="A101" s="34">
        <v>11700</v>
      </c>
      <c r="B101" s="35" t="str">
        <f>+VLOOKUP(A101,'[1]TAB. REF. PA'!$A$4:$B$14,2,FALSE)</f>
        <v>Dirección Administrativa y Financiera</v>
      </c>
      <c r="C101" s="36" t="s">
        <v>328</v>
      </c>
      <c r="D101" s="35" t="s">
        <v>256</v>
      </c>
      <c r="E101" s="36" t="s">
        <v>418</v>
      </c>
      <c r="F101" s="35" t="s">
        <v>419</v>
      </c>
      <c r="G101" s="37"/>
      <c r="H101" s="36"/>
      <c r="I101" s="36" t="s">
        <v>630</v>
      </c>
      <c r="J101" s="41" t="s">
        <v>421</v>
      </c>
      <c r="K101" s="39">
        <f>+VLOOKUP(I101,'[1]Plan Adquisiciones'!$Z$4:$AC$47,4,FALSE)</f>
        <v>48960000</v>
      </c>
      <c r="L101" s="47">
        <v>1</v>
      </c>
      <c r="M101" s="41" t="s">
        <v>45</v>
      </c>
      <c r="N101" s="41" t="s">
        <v>54</v>
      </c>
      <c r="O101" s="41" t="s">
        <v>37</v>
      </c>
      <c r="P101" s="41" t="s">
        <v>38</v>
      </c>
      <c r="Q101" s="41" t="s">
        <v>218</v>
      </c>
      <c r="R101" s="42"/>
      <c r="S101" s="101" t="s">
        <v>379</v>
      </c>
      <c r="T101" s="41" t="s">
        <v>104</v>
      </c>
      <c r="U101" s="100">
        <v>1</v>
      </c>
      <c r="V101" s="35" t="str">
        <f>+$J$101</f>
        <v>Expedición de Certificaciones de Personal</v>
      </c>
      <c r="W101" s="61">
        <f>+K101</f>
        <v>48960000</v>
      </c>
      <c r="X101" s="34" t="s">
        <v>114</v>
      </c>
      <c r="Y101" s="100">
        <v>0.25</v>
      </c>
      <c r="Z101" s="35" t="str">
        <f>+$J$101</f>
        <v>Expedición de Certificaciones de Personal</v>
      </c>
      <c r="AA101" s="61">
        <f>+W101*Y101</f>
        <v>12240000</v>
      </c>
      <c r="AB101" s="42"/>
      <c r="AC101" s="42"/>
      <c r="AD101" s="40">
        <f t="shared" si="49"/>
        <v>0</v>
      </c>
      <c r="AE101" s="40">
        <f t="shared" si="50"/>
        <v>0</v>
      </c>
      <c r="AF101" s="40">
        <f t="shared" si="51"/>
        <v>0</v>
      </c>
      <c r="AG101" s="40">
        <f t="shared" si="52"/>
        <v>0</v>
      </c>
      <c r="AH101" s="100">
        <v>0.25</v>
      </c>
      <c r="AI101" s="35" t="str">
        <f>+$J$101</f>
        <v>Expedición de Certificaciones de Personal</v>
      </c>
      <c r="AJ101" s="61">
        <v>12240000</v>
      </c>
      <c r="AK101" s="42"/>
      <c r="AL101" s="42"/>
      <c r="AM101" s="40">
        <f t="shared" si="53"/>
        <v>0</v>
      </c>
      <c r="AN101" s="40">
        <f t="shared" si="54"/>
        <v>0</v>
      </c>
      <c r="AO101" s="40">
        <f t="shared" si="55"/>
        <v>0</v>
      </c>
      <c r="AP101" s="43">
        <f t="shared" si="56"/>
        <v>0</v>
      </c>
      <c r="AQ101" s="100">
        <v>0.25</v>
      </c>
      <c r="AR101" s="35" t="str">
        <f>+$J$101</f>
        <v>Expedición de Certificaciones de Personal</v>
      </c>
      <c r="AS101" s="61">
        <v>12240000</v>
      </c>
      <c r="AT101" s="42"/>
      <c r="AU101" s="42"/>
      <c r="AV101" s="40">
        <f t="shared" si="57"/>
        <v>0</v>
      </c>
      <c r="AW101" s="40">
        <f t="shared" si="58"/>
        <v>0</v>
      </c>
      <c r="AX101" s="40">
        <f t="shared" si="59"/>
        <v>0</v>
      </c>
      <c r="AY101" s="40">
        <f t="shared" si="60"/>
        <v>0</v>
      </c>
      <c r="AZ101" s="100">
        <v>0.25</v>
      </c>
      <c r="BA101" s="35" t="str">
        <f>+$J$101</f>
        <v>Expedición de Certificaciones de Personal</v>
      </c>
      <c r="BB101" s="61">
        <v>12240000</v>
      </c>
      <c r="BC101" s="42"/>
      <c r="BD101" s="42"/>
      <c r="BE101" s="40">
        <f t="shared" si="61"/>
        <v>0</v>
      </c>
      <c r="BF101" s="40">
        <f t="shared" si="62"/>
        <v>0</v>
      </c>
      <c r="BG101" s="40">
        <f t="shared" si="63"/>
        <v>0</v>
      </c>
      <c r="BH101" s="40">
        <f t="shared" si="64"/>
        <v>0</v>
      </c>
      <c r="BI101" s="57">
        <f t="shared" si="65"/>
        <v>0</v>
      </c>
      <c r="BJ101" s="57">
        <f t="shared" si="66"/>
        <v>0</v>
      </c>
      <c r="BK101" s="57">
        <f t="shared" si="67"/>
        <v>0</v>
      </c>
      <c r="BL101" s="57">
        <f t="shared" si="68"/>
        <v>0</v>
      </c>
      <c r="BM101" s="57">
        <f t="shared" si="69"/>
        <v>0</v>
      </c>
      <c r="BN101" s="57">
        <f t="shared" si="70"/>
        <v>0</v>
      </c>
      <c r="BO101" s="57">
        <f t="shared" si="71"/>
        <v>0</v>
      </c>
      <c r="BP101" s="57">
        <f t="shared" si="72"/>
        <v>0</v>
      </c>
      <c r="BQ101" s="21"/>
    </row>
    <row r="102" spans="1:69" s="58" customFormat="1" ht="105" x14ac:dyDescent="0.25">
      <c r="A102" s="62">
        <v>11700</v>
      </c>
      <c r="B102" s="63" t="str">
        <f>+VLOOKUP(A102,'[1]TAB. REF. PA'!$A$4:$B$14,2,FALSE)</f>
        <v>Dirección Administrativa y Financiera</v>
      </c>
      <c r="C102" s="64" t="s">
        <v>328</v>
      </c>
      <c r="D102" s="63" t="s">
        <v>256</v>
      </c>
      <c r="E102" s="64" t="s">
        <v>422</v>
      </c>
      <c r="F102" s="63" t="s">
        <v>567</v>
      </c>
      <c r="G102" s="65" t="s">
        <v>123</v>
      </c>
      <c r="H102" s="105">
        <v>1</v>
      </c>
      <c r="I102" s="64" t="s">
        <v>423</v>
      </c>
      <c r="J102" s="69" t="s">
        <v>424</v>
      </c>
      <c r="K102" s="67">
        <f>+VLOOKUP(I102,'[1]Plan Adquisiciones'!$Z$5:$AC$47,4,FALSE)</f>
        <v>60000000</v>
      </c>
      <c r="L102" s="75">
        <v>1</v>
      </c>
      <c r="M102" s="69" t="s">
        <v>48</v>
      </c>
      <c r="N102" s="69" t="s">
        <v>68</v>
      </c>
      <c r="O102" s="69" t="s">
        <v>37</v>
      </c>
      <c r="P102" s="69" t="s">
        <v>38</v>
      </c>
      <c r="Q102" s="69" t="s">
        <v>229</v>
      </c>
      <c r="R102" s="70"/>
      <c r="S102" s="106" t="s">
        <v>670</v>
      </c>
      <c r="T102" s="69" t="s">
        <v>99</v>
      </c>
      <c r="U102" s="99">
        <v>1</v>
      </c>
      <c r="V102" s="63" t="str">
        <f>+$J$102</f>
        <v>Publicación Actos Administrativos Diario Oficial</v>
      </c>
      <c r="W102" s="77">
        <f>+K102</f>
        <v>60000000</v>
      </c>
      <c r="X102" s="62" t="s">
        <v>114</v>
      </c>
      <c r="Y102" s="65">
        <v>0</v>
      </c>
      <c r="Z102" s="63" t="str">
        <f>+V102</f>
        <v>Publicación Actos Administrativos Diario Oficial</v>
      </c>
      <c r="AA102" s="77">
        <v>0</v>
      </c>
      <c r="AB102" s="70"/>
      <c r="AC102" s="70"/>
      <c r="AD102" s="68" t="e">
        <f>+(AB102/Y102)</f>
        <v>#DIV/0!</v>
      </c>
      <c r="AE102" s="68" t="e">
        <f t="shared" si="50"/>
        <v>#DIV/0!</v>
      </c>
      <c r="AF102" s="68">
        <f t="shared" si="51"/>
        <v>0</v>
      </c>
      <c r="AG102" s="68">
        <f t="shared" si="52"/>
        <v>0</v>
      </c>
      <c r="AH102" s="107">
        <v>0.5</v>
      </c>
      <c r="AI102" s="63" t="str">
        <f>+V102</f>
        <v>Publicación Actos Administrativos Diario Oficial</v>
      </c>
      <c r="AJ102" s="77">
        <v>30000000</v>
      </c>
      <c r="AK102" s="70"/>
      <c r="AL102" s="70"/>
      <c r="AM102" s="68">
        <f t="shared" si="53"/>
        <v>0</v>
      </c>
      <c r="AN102" s="68">
        <f t="shared" si="54"/>
        <v>0</v>
      </c>
      <c r="AO102" s="68">
        <f t="shared" si="55"/>
        <v>0</v>
      </c>
      <c r="AP102" s="71">
        <f t="shared" si="56"/>
        <v>0</v>
      </c>
      <c r="AQ102" s="107"/>
      <c r="AR102" s="63" t="str">
        <f>+V102</f>
        <v>Publicación Actos Administrativos Diario Oficial</v>
      </c>
      <c r="AS102" s="77">
        <v>0</v>
      </c>
      <c r="AT102" s="70"/>
      <c r="AU102" s="70"/>
      <c r="AV102" s="68" t="e">
        <f t="shared" si="57"/>
        <v>#DIV/0!</v>
      </c>
      <c r="AW102" s="68" t="e">
        <f t="shared" si="58"/>
        <v>#DIV/0!</v>
      </c>
      <c r="AX102" s="68">
        <f t="shared" si="59"/>
        <v>0</v>
      </c>
      <c r="AY102" s="68">
        <f t="shared" si="60"/>
        <v>0</v>
      </c>
      <c r="AZ102" s="107">
        <v>0.5</v>
      </c>
      <c r="BA102" s="63" t="str">
        <f>+V102</f>
        <v>Publicación Actos Administrativos Diario Oficial</v>
      </c>
      <c r="BB102" s="77">
        <v>30000000</v>
      </c>
      <c r="BC102" s="70"/>
      <c r="BD102" s="70"/>
      <c r="BE102" s="68">
        <f t="shared" si="61"/>
        <v>0</v>
      </c>
      <c r="BF102" s="68">
        <f t="shared" si="62"/>
        <v>0</v>
      </c>
      <c r="BG102" s="68">
        <f t="shared" si="63"/>
        <v>0</v>
      </c>
      <c r="BH102" s="68">
        <f t="shared" si="64"/>
        <v>0</v>
      </c>
      <c r="BI102" s="57" t="str">
        <f t="shared" si="65"/>
        <v>No Prog ni Ejec</v>
      </c>
      <c r="BJ102" s="57" t="str">
        <f t="shared" si="66"/>
        <v>No Prog ni Ejec</v>
      </c>
      <c r="BK102" s="57">
        <f t="shared" si="67"/>
        <v>0</v>
      </c>
      <c r="BL102" s="57">
        <f t="shared" si="68"/>
        <v>0</v>
      </c>
      <c r="BM102" s="57" t="str">
        <f t="shared" si="69"/>
        <v>No Prog ni Ejec</v>
      </c>
      <c r="BN102" s="57" t="str">
        <f t="shared" si="70"/>
        <v>No Prog ni Ejec</v>
      </c>
      <c r="BO102" s="57">
        <f t="shared" si="71"/>
        <v>0</v>
      </c>
      <c r="BP102" s="57">
        <f t="shared" si="72"/>
        <v>0</v>
      </c>
      <c r="BQ102" s="21"/>
    </row>
    <row r="103" spans="1:69" s="58" customFormat="1" ht="105" x14ac:dyDescent="0.25">
      <c r="A103" s="62">
        <v>11700</v>
      </c>
      <c r="B103" s="63" t="str">
        <f>+VLOOKUP(A103,'[1]TAB. REF. PA'!$A$4:$B$14,2,FALSE)</f>
        <v>Dirección Administrativa y Financiera</v>
      </c>
      <c r="C103" s="64" t="s">
        <v>328</v>
      </c>
      <c r="D103" s="63" t="s">
        <v>256</v>
      </c>
      <c r="E103" s="64" t="s">
        <v>425</v>
      </c>
      <c r="F103" s="63" t="s">
        <v>426</v>
      </c>
      <c r="G103" s="65" t="s">
        <v>123</v>
      </c>
      <c r="H103" s="98">
        <v>1</v>
      </c>
      <c r="I103" s="64" t="s">
        <v>427</v>
      </c>
      <c r="J103" s="69" t="s">
        <v>428</v>
      </c>
      <c r="K103" s="67">
        <f>2468609473+361433212.8</f>
        <v>2830042685.8000002</v>
      </c>
      <c r="L103" s="75">
        <v>1</v>
      </c>
      <c r="M103" s="69" t="s">
        <v>51</v>
      </c>
      <c r="N103" s="69" t="s">
        <v>56</v>
      </c>
      <c r="O103" s="69" t="s">
        <v>37</v>
      </c>
      <c r="P103" s="69" t="s">
        <v>41</v>
      </c>
      <c r="Q103" s="69" t="s">
        <v>222</v>
      </c>
      <c r="R103" s="70"/>
      <c r="S103" s="69" t="s">
        <v>379</v>
      </c>
      <c r="T103" s="69" t="s">
        <v>99</v>
      </c>
      <c r="U103" s="75">
        <v>1</v>
      </c>
      <c r="V103" s="63" t="str">
        <f>+J103</f>
        <v>Funcionamiento continuo de las instalaciones de la ADRES</v>
      </c>
      <c r="W103" s="77">
        <f>+K103</f>
        <v>2830042685.8000002</v>
      </c>
      <c r="X103" s="62" t="s">
        <v>114</v>
      </c>
      <c r="Y103" s="75">
        <v>0.2</v>
      </c>
      <c r="Z103" s="63" t="str">
        <f>+J103</f>
        <v>Funcionamiento continuo de las instalaciones de la ADRES</v>
      </c>
      <c r="AA103" s="77">
        <f>154899948.342857+240000</f>
        <v>155139948.342857</v>
      </c>
      <c r="AB103" s="70"/>
      <c r="AC103" s="70"/>
      <c r="AD103" s="68">
        <f>+(AB103/Y103)</f>
        <v>0</v>
      </c>
      <c r="AE103" s="68">
        <f t="shared" si="50"/>
        <v>0</v>
      </c>
      <c r="AF103" s="68">
        <f t="shared" si="51"/>
        <v>0</v>
      </c>
      <c r="AG103" s="68">
        <f t="shared" si="52"/>
        <v>0</v>
      </c>
      <c r="AH103" s="75">
        <v>0.2</v>
      </c>
      <c r="AI103" s="63" t="str">
        <f>+V103</f>
        <v>Funcionamiento continuo de las instalaciones de la ADRES</v>
      </c>
      <c r="AJ103" s="77">
        <f>154899948.342857+40000</f>
        <v>154939948.342857</v>
      </c>
      <c r="AK103" s="70"/>
      <c r="AL103" s="70"/>
      <c r="AM103" s="68">
        <f t="shared" si="53"/>
        <v>0</v>
      </c>
      <c r="AN103" s="68">
        <f t="shared" si="54"/>
        <v>0</v>
      </c>
      <c r="AO103" s="68">
        <f t="shared" si="55"/>
        <v>0</v>
      </c>
      <c r="AP103" s="71">
        <f t="shared" si="56"/>
        <v>0</v>
      </c>
      <c r="AQ103" s="75">
        <v>0.3</v>
      </c>
      <c r="AR103" s="63" t="str">
        <f>+V103</f>
        <v>Funcionamiento continuo de las instalaciones de la ADRES</v>
      </c>
      <c r="AS103" s="77">
        <f>51633316.1142857+758018677</f>
        <v>809651993.11428571</v>
      </c>
      <c r="AT103" s="70"/>
      <c r="AU103" s="70"/>
      <c r="AV103" s="68">
        <f t="shared" si="57"/>
        <v>0</v>
      </c>
      <c r="AW103" s="68">
        <f t="shared" si="58"/>
        <v>0</v>
      </c>
      <c r="AX103" s="68">
        <f t="shared" si="59"/>
        <v>0</v>
      </c>
      <c r="AY103" s="68">
        <f t="shared" si="60"/>
        <v>0</v>
      </c>
      <c r="AZ103" s="75">
        <v>0.3</v>
      </c>
      <c r="BA103" s="63" t="str">
        <f>+AI103</f>
        <v>Funcionamiento continuo de las instalaciones de la ADRES</v>
      </c>
      <c r="BB103" s="77">
        <v>1710310796</v>
      </c>
      <c r="BC103" s="70"/>
      <c r="BD103" s="70"/>
      <c r="BE103" s="68">
        <f t="shared" si="61"/>
        <v>0</v>
      </c>
      <c r="BF103" s="68">
        <f t="shared" si="62"/>
        <v>0</v>
      </c>
      <c r="BG103" s="68">
        <f t="shared" si="63"/>
        <v>0</v>
      </c>
      <c r="BH103" s="68">
        <f t="shared" si="64"/>
        <v>0</v>
      </c>
      <c r="BI103" s="57">
        <f t="shared" si="65"/>
        <v>0</v>
      </c>
      <c r="BJ103" s="57">
        <f t="shared" si="66"/>
        <v>0</v>
      </c>
      <c r="BK103" s="57">
        <f t="shared" si="67"/>
        <v>0</v>
      </c>
      <c r="BL103" s="57">
        <f t="shared" si="68"/>
        <v>0</v>
      </c>
      <c r="BM103" s="57">
        <f t="shared" si="69"/>
        <v>0</v>
      </c>
      <c r="BN103" s="57">
        <f t="shared" si="70"/>
        <v>0</v>
      </c>
      <c r="BO103" s="57">
        <f t="shared" si="71"/>
        <v>0</v>
      </c>
      <c r="BP103" s="57">
        <f t="shared" si="72"/>
        <v>0</v>
      </c>
      <c r="BQ103" s="21"/>
    </row>
    <row r="104" spans="1:69" s="58" customFormat="1" ht="105" x14ac:dyDescent="0.25">
      <c r="A104" s="34">
        <v>11700</v>
      </c>
      <c r="B104" s="35" t="str">
        <f>+VLOOKUP(A104,'[1]TAB. REF. PA'!$A$4:$B$14,2,FALSE)</f>
        <v>Dirección Administrativa y Financiera</v>
      </c>
      <c r="C104" s="36" t="s">
        <v>328</v>
      </c>
      <c r="D104" s="35" t="s">
        <v>256</v>
      </c>
      <c r="E104" s="36" t="s">
        <v>429</v>
      </c>
      <c r="F104" s="35" t="s">
        <v>430</v>
      </c>
      <c r="G104" s="37" t="s">
        <v>123</v>
      </c>
      <c r="H104" s="50">
        <v>1</v>
      </c>
      <c r="I104" s="36" t="s">
        <v>457</v>
      </c>
      <c r="J104" s="35" t="s">
        <v>572</v>
      </c>
      <c r="K104" s="39">
        <f>150000000+420000000+100000000</f>
        <v>670000000</v>
      </c>
      <c r="L104" s="47">
        <v>1</v>
      </c>
      <c r="M104" s="41" t="s">
        <v>51</v>
      </c>
      <c r="N104" s="41" t="s">
        <v>56</v>
      </c>
      <c r="O104" s="41" t="s">
        <v>37</v>
      </c>
      <c r="P104" s="41" t="s">
        <v>41</v>
      </c>
      <c r="Q104" s="41" t="s">
        <v>222</v>
      </c>
      <c r="R104" s="42"/>
      <c r="S104" s="103" t="s">
        <v>657</v>
      </c>
      <c r="T104" s="41" t="s">
        <v>99</v>
      </c>
      <c r="U104" s="100">
        <v>1</v>
      </c>
      <c r="V104" s="35" t="str">
        <f>+$J$104</f>
        <v xml:space="preserve">Suministro de Tiquetes Aéreos y Viaticos </v>
      </c>
      <c r="W104" s="61">
        <f>+K104</f>
        <v>670000000</v>
      </c>
      <c r="X104" s="34" t="s">
        <v>114</v>
      </c>
      <c r="Y104" s="55">
        <f>+AA104/W104</f>
        <v>0.26865671641791045</v>
      </c>
      <c r="Z104" s="35" t="str">
        <f>+$J$104</f>
        <v xml:space="preserve">Suministro de Tiquetes Aéreos y Viaticos </v>
      </c>
      <c r="AA104" s="61">
        <v>180000000</v>
      </c>
      <c r="AB104" s="42"/>
      <c r="AC104" s="42"/>
      <c r="AD104" s="40">
        <f t="shared" si="49"/>
        <v>0</v>
      </c>
      <c r="AE104" s="40">
        <f t="shared" si="50"/>
        <v>0</v>
      </c>
      <c r="AF104" s="40">
        <f t="shared" si="51"/>
        <v>0</v>
      </c>
      <c r="AG104" s="40">
        <f t="shared" si="52"/>
        <v>0</v>
      </c>
      <c r="AH104" s="100">
        <f>+AJ104/W104</f>
        <v>0.34328358208955223</v>
      </c>
      <c r="AI104" s="35" t="str">
        <f>+$J$104</f>
        <v xml:space="preserve">Suministro de Tiquetes Aéreos y Viaticos </v>
      </c>
      <c r="AJ104" s="61">
        <f>180000000+50000000</f>
        <v>230000000</v>
      </c>
      <c r="AK104" s="42"/>
      <c r="AL104" s="42"/>
      <c r="AM104" s="40">
        <f t="shared" si="53"/>
        <v>0</v>
      </c>
      <c r="AN104" s="40">
        <f t="shared" si="54"/>
        <v>0</v>
      </c>
      <c r="AO104" s="40">
        <f t="shared" si="55"/>
        <v>0</v>
      </c>
      <c r="AP104" s="43">
        <f t="shared" si="56"/>
        <v>0</v>
      </c>
      <c r="AQ104" s="55">
        <f>+AS104/K104</f>
        <v>0.17910447761194029</v>
      </c>
      <c r="AR104" s="35" t="str">
        <f>+$J$104</f>
        <v xml:space="preserve">Suministro de Tiquetes Aéreos y Viaticos </v>
      </c>
      <c r="AS104" s="61">
        <v>120000000</v>
      </c>
      <c r="AT104" s="42"/>
      <c r="AU104" s="42"/>
      <c r="AV104" s="40">
        <f t="shared" si="57"/>
        <v>0</v>
      </c>
      <c r="AW104" s="40">
        <f t="shared" si="58"/>
        <v>0</v>
      </c>
      <c r="AX104" s="40">
        <f t="shared" si="59"/>
        <v>0</v>
      </c>
      <c r="AY104" s="40">
        <f t="shared" si="60"/>
        <v>0</v>
      </c>
      <c r="AZ104" s="55">
        <f>+BB104/K104</f>
        <v>0.28358208955223879</v>
      </c>
      <c r="BA104" s="35" t="str">
        <f>+$J$104</f>
        <v xml:space="preserve">Suministro de Tiquetes Aéreos y Viaticos </v>
      </c>
      <c r="BB104" s="61">
        <f>90000000+100000000</f>
        <v>190000000</v>
      </c>
      <c r="BC104" s="42"/>
      <c r="BD104" s="42"/>
      <c r="BE104" s="40">
        <f t="shared" si="61"/>
        <v>0</v>
      </c>
      <c r="BF104" s="40">
        <f t="shared" si="62"/>
        <v>0</v>
      </c>
      <c r="BG104" s="40">
        <f t="shared" si="63"/>
        <v>0</v>
      </c>
      <c r="BH104" s="40">
        <f t="shared" si="64"/>
        <v>0</v>
      </c>
      <c r="BI104" s="57">
        <f t="shared" si="65"/>
        <v>0</v>
      </c>
      <c r="BJ104" s="57">
        <f t="shared" si="66"/>
        <v>0</v>
      </c>
      <c r="BK104" s="57">
        <f t="shared" si="67"/>
        <v>0</v>
      </c>
      <c r="BL104" s="57">
        <f t="shared" si="68"/>
        <v>0</v>
      </c>
      <c r="BM104" s="57">
        <f t="shared" si="69"/>
        <v>0</v>
      </c>
      <c r="BN104" s="57">
        <f t="shared" si="70"/>
        <v>0</v>
      </c>
      <c r="BO104" s="57">
        <f t="shared" si="71"/>
        <v>0</v>
      </c>
      <c r="BP104" s="57">
        <f t="shared" si="72"/>
        <v>0</v>
      </c>
      <c r="BQ104" s="21"/>
    </row>
    <row r="105" spans="1:69" s="58" customFormat="1" ht="105" x14ac:dyDescent="0.25">
      <c r="A105" s="80">
        <v>11700</v>
      </c>
      <c r="B105" s="79" t="s">
        <v>29</v>
      </c>
      <c r="C105" s="80" t="s">
        <v>328</v>
      </c>
      <c r="D105" s="79" t="s">
        <v>256</v>
      </c>
      <c r="E105" s="80" t="s">
        <v>431</v>
      </c>
      <c r="F105" s="79" t="s">
        <v>433</v>
      </c>
      <c r="G105" s="80" t="s">
        <v>123</v>
      </c>
      <c r="H105" s="88">
        <v>1</v>
      </c>
      <c r="I105" s="80" t="s">
        <v>432</v>
      </c>
      <c r="J105" s="81" t="s">
        <v>434</v>
      </c>
      <c r="K105" s="82">
        <f>672800008+497391434</f>
        <v>1170191442</v>
      </c>
      <c r="L105" s="88">
        <v>1</v>
      </c>
      <c r="M105" s="84" t="s">
        <v>46</v>
      </c>
      <c r="N105" s="84" t="s">
        <v>59</v>
      </c>
      <c r="O105" s="84" t="s">
        <v>37</v>
      </c>
      <c r="P105" s="84" t="s">
        <v>40</v>
      </c>
      <c r="Q105" s="84" t="s">
        <v>221</v>
      </c>
      <c r="R105" s="85"/>
      <c r="S105" s="89" t="s">
        <v>643</v>
      </c>
      <c r="T105" s="84" t="s">
        <v>99</v>
      </c>
      <c r="U105" s="90">
        <v>1</v>
      </c>
      <c r="V105" s="79" t="s">
        <v>434</v>
      </c>
      <c r="W105" s="86">
        <f>K105</f>
        <v>1170191442</v>
      </c>
      <c r="X105" s="78" t="s">
        <v>114</v>
      </c>
      <c r="Y105" s="88">
        <v>0.25</v>
      </c>
      <c r="Z105" s="79" t="s">
        <v>434</v>
      </c>
      <c r="AA105" s="86">
        <f>K105/4</f>
        <v>292547860.5</v>
      </c>
      <c r="AB105" s="91"/>
      <c r="AC105" s="85"/>
      <c r="AD105" s="83">
        <f t="shared" ref="AD105:AD119" si="73">+(AB105/Y105)</f>
        <v>0</v>
      </c>
      <c r="AE105" s="83">
        <f>+(AC105/AA105)</f>
        <v>0</v>
      </c>
      <c r="AF105" s="83">
        <f>+(AB105/U105)</f>
        <v>0</v>
      </c>
      <c r="AG105" s="83">
        <f>+(AC105/W105)</f>
        <v>0</v>
      </c>
      <c r="AH105" s="88">
        <v>0.25</v>
      </c>
      <c r="AI105" s="79" t="s">
        <v>434</v>
      </c>
      <c r="AJ105" s="86">
        <f>AA105</f>
        <v>292547860.5</v>
      </c>
      <c r="AK105" s="85"/>
      <c r="AL105" s="85"/>
      <c r="AM105" s="83">
        <v>0</v>
      </c>
      <c r="AN105" s="83">
        <v>0</v>
      </c>
      <c r="AO105" s="83">
        <v>0</v>
      </c>
      <c r="AP105" s="87">
        <v>0</v>
      </c>
      <c r="AQ105" s="88">
        <v>0.25</v>
      </c>
      <c r="AR105" s="79" t="s">
        <v>434</v>
      </c>
      <c r="AS105" s="86">
        <f>AJ105</f>
        <v>292547860.5</v>
      </c>
      <c r="AT105" s="85"/>
      <c r="AU105" s="85"/>
      <c r="AV105" s="83">
        <v>0</v>
      </c>
      <c r="AW105" s="83">
        <v>0</v>
      </c>
      <c r="AX105" s="83">
        <v>0</v>
      </c>
      <c r="AY105" s="83">
        <v>0</v>
      </c>
      <c r="AZ105" s="88">
        <v>0.25</v>
      </c>
      <c r="BA105" s="79" t="s">
        <v>434</v>
      </c>
      <c r="BB105" s="86">
        <f>AS105</f>
        <v>292547860.5</v>
      </c>
      <c r="BC105" s="85"/>
      <c r="BD105" s="85"/>
      <c r="BE105" s="83">
        <v>0</v>
      </c>
      <c r="BF105" s="83">
        <v>0</v>
      </c>
      <c r="BG105" s="83">
        <v>0</v>
      </c>
      <c r="BH105" s="83">
        <v>0</v>
      </c>
      <c r="BI105" s="57">
        <f t="shared" si="65"/>
        <v>0</v>
      </c>
      <c r="BJ105" s="57">
        <f t="shared" si="66"/>
        <v>0</v>
      </c>
      <c r="BK105" s="57">
        <f t="shared" si="67"/>
        <v>0</v>
      </c>
      <c r="BL105" s="57">
        <f t="shared" si="68"/>
        <v>0</v>
      </c>
      <c r="BM105" s="57">
        <f t="shared" si="69"/>
        <v>0</v>
      </c>
      <c r="BN105" s="57">
        <f t="shared" si="70"/>
        <v>0</v>
      </c>
      <c r="BO105" s="57">
        <f t="shared" si="71"/>
        <v>0</v>
      </c>
      <c r="BP105" s="57">
        <f t="shared" si="72"/>
        <v>0</v>
      </c>
      <c r="BQ105" s="21"/>
    </row>
    <row r="106" spans="1:69" s="58" customFormat="1" ht="105" x14ac:dyDescent="0.25">
      <c r="A106" s="80">
        <v>11700</v>
      </c>
      <c r="B106" s="79" t="str">
        <f>+VLOOKUP(A106,'[3]TAB. REF. PA'!$A$4:$B$14,2,FALSE)</f>
        <v>Dirección Administrativa y Financiera</v>
      </c>
      <c r="C106" s="80" t="s">
        <v>328</v>
      </c>
      <c r="D106" s="79" t="s">
        <v>256</v>
      </c>
      <c r="E106" s="80" t="s">
        <v>644</v>
      </c>
      <c r="F106" s="79" t="s">
        <v>652</v>
      </c>
      <c r="G106" s="80" t="s">
        <v>123</v>
      </c>
      <c r="H106" s="88">
        <v>1</v>
      </c>
      <c r="I106" s="80" t="s">
        <v>645</v>
      </c>
      <c r="J106" s="81" t="s">
        <v>653</v>
      </c>
      <c r="K106" s="82">
        <v>528778988</v>
      </c>
      <c r="L106" s="88">
        <v>1</v>
      </c>
      <c r="M106" s="84" t="s">
        <v>46</v>
      </c>
      <c r="N106" s="84" t="s">
        <v>59</v>
      </c>
      <c r="O106" s="84" t="s">
        <v>37</v>
      </c>
      <c r="P106" s="84" t="s">
        <v>40</v>
      </c>
      <c r="Q106" s="84" t="s">
        <v>220</v>
      </c>
      <c r="R106" s="85"/>
      <c r="S106" s="89" t="s">
        <v>654</v>
      </c>
      <c r="T106" s="84" t="s">
        <v>101</v>
      </c>
      <c r="U106" s="90">
        <v>1</v>
      </c>
      <c r="V106" s="79" t="str">
        <f>+$J$99</f>
        <v>Generar y Liquidar Nomina ADRES</v>
      </c>
      <c r="W106" s="86">
        <v>528778988</v>
      </c>
      <c r="X106" s="78" t="s">
        <v>114</v>
      </c>
      <c r="Y106" s="90">
        <v>0.25</v>
      </c>
      <c r="Z106" s="79" t="str">
        <f>+$J$99</f>
        <v>Generar y Liquidar Nomina ADRES</v>
      </c>
      <c r="AA106" s="86">
        <v>112500000</v>
      </c>
      <c r="AB106" s="92"/>
      <c r="AC106" s="85"/>
      <c r="AD106" s="83">
        <f t="shared" si="73"/>
        <v>0</v>
      </c>
      <c r="AE106" s="83">
        <f>+(AC106/AA106)</f>
        <v>0</v>
      </c>
      <c r="AF106" s="83">
        <f>+(AB106/U106)</f>
        <v>0</v>
      </c>
      <c r="AG106" s="83">
        <f>+(AC106/W106)</f>
        <v>0</v>
      </c>
      <c r="AH106" s="90">
        <v>0.25</v>
      </c>
      <c r="AI106" s="79" t="str">
        <f>+$J$99</f>
        <v>Generar y Liquidar Nomina ADRES</v>
      </c>
      <c r="AJ106" s="86">
        <v>112500000</v>
      </c>
      <c r="AK106" s="85"/>
      <c r="AL106" s="85"/>
      <c r="AM106" s="83">
        <f>+(AK106/AH106)</f>
        <v>0</v>
      </c>
      <c r="AN106" s="83">
        <f>+(AL106/AJ106)</f>
        <v>0</v>
      </c>
      <c r="AO106" s="83">
        <f>+(AK106+AB106)/U106</f>
        <v>0</v>
      </c>
      <c r="AP106" s="87">
        <f>+(AL106+AC106)/W106</f>
        <v>0</v>
      </c>
      <c r="AQ106" s="93">
        <v>0.25</v>
      </c>
      <c r="AR106" s="79" t="str">
        <f>+$J$99</f>
        <v>Generar y Liquidar Nomina ADRES</v>
      </c>
      <c r="AS106" s="86">
        <v>166511595</v>
      </c>
      <c r="AT106" s="85"/>
      <c r="AU106" s="92"/>
      <c r="AV106" s="83">
        <f>+(AT106/AQ106)</f>
        <v>0</v>
      </c>
      <c r="AW106" s="83">
        <f>+(AU106/AS106)</f>
        <v>0</v>
      </c>
      <c r="AX106" s="83">
        <f>+(AK106+AB106+AT106)/U106</f>
        <v>0</v>
      </c>
      <c r="AY106" s="83">
        <f>+(AL106+AC106+AU106)/W106</f>
        <v>0</v>
      </c>
      <c r="AZ106" s="90">
        <v>0.25</v>
      </c>
      <c r="BA106" s="79" t="str">
        <f>+$J$99</f>
        <v>Generar y Liquidar Nomina ADRES</v>
      </c>
      <c r="BB106" s="86">
        <v>137267392.5</v>
      </c>
      <c r="BC106" s="85"/>
      <c r="BD106" s="94"/>
      <c r="BE106" s="83">
        <f>+(BC106/AZ106)</f>
        <v>0</v>
      </c>
      <c r="BF106" s="83">
        <f>+(BD106/BB106)</f>
        <v>0</v>
      </c>
      <c r="BG106" s="83">
        <f>+(AK106+AB106+AT106+BC106)/U106</f>
        <v>0</v>
      </c>
      <c r="BH106" s="83">
        <f>+(AL106+AC106+AU106+BD106)/W106</f>
        <v>0</v>
      </c>
      <c r="BI106" s="57">
        <f t="shared" si="65"/>
        <v>0</v>
      </c>
      <c r="BJ106" s="57">
        <f t="shared" si="66"/>
        <v>0</v>
      </c>
      <c r="BK106" s="57">
        <f t="shared" si="67"/>
        <v>0</v>
      </c>
      <c r="BL106" s="57">
        <f t="shared" si="68"/>
        <v>0</v>
      </c>
      <c r="BM106" s="57">
        <f t="shared" si="69"/>
        <v>0</v>
      </c>
      <c r="BN106" s="57">
        <f t="shared" si="70"/>
        <v>0</v>
      </c>
      <c r="BO106" s="57">
        <f t="shared" si="71"/>
        <v>0</v>
      </c>
      <c r="BP106" s="57">
        <f t="shared" si="72"/>
        <v>0</v>
      </c>
      <c r="BQ106" s="21"/>
    </row>
    <row r="107" spans="1:69" s="58" customFormat="1" ht="255" x14ac:dyDescent="0.25">
      <c r="A107" s="80">
        <v>11700</v>
      </c>
      <c r="B107" s="79" t="str">
        <f>+VLOOKUP(A107,'[3]TAB. REF. PA'!$A$4:$B$14,2,FALSE)</f>
        <v>Dirección Administrativa y Financiera</v>
      </c>
      <c r="C107" s="80" t="s">
        <v>328</v>
      </c>
      <c r="D107" s="79" t="s">
        <v>256</v>
      </c>
      <c r="E107" s="80" t="s">
        <v>650</v>
      </c>
      <c r="F107" s="79" t="s">
        <v>655</v>
      </c>
      <c r="G107" s="80" t="s">
        <v>123</v>
      </c>
      <c r="H107" s="88">
        <v>1</v>
      </c>
      <c r="I107" s="80" t="s">
        <v>651</v>
      </c>
      <c r="J107" s="81" t="s">
        <v>656</v>
      </c>
      <c r="K107" s="82">
        <v>48960000</v>
      </c>
      <c r="L107" s="88">
        <v>1</v>
      </c>
      <c r="M107" s="84" t="s">
        <v>46</v>
      </c>
      <c r="N107" s="84" t="s">
        <v>59</v>
      </c>
      <c r="O107" s="84" t="s">
        <v>37</v>
      </c>
      <c r="P107" s="84" t="s">
        <v>40</v>
      </c>
      <c r="Q107" s="84" t="s">
        <v>220</v>
      </c>
      <c r="R107" s="85"/>
      <c r="S107" s="89" t="s">
        <v>379</v>
      </c>
      <c r="T107" s="84" t="s">
        <v>101</v>
      </c>
      <c r="U107" s="90">
        <v>1</v>
      </c>
      <c r="V107" s="81" t="s">
        <v>656</v>
      </c>
      <c r="W107" s="86">
        <f>+K107</f>
        <v>48960000</v>
      </c>
      <c r="X107" s="78" t="s">
        <v>114</v>
      </c>
      <c r="Y107" s="90">
        <v>0.25</v>
      </c>
      <c r="Z107" s="81" t="s">
        <v>656</v>
      </c>
      <c r="AA107" s="86">
        <v>12240000</v>
      </c>
      <c r="AB107" s="94"/>
      <c r="AC107" s="96"/>
      <c r="AD107" s="83">
        <f t="shared" si="73"/>
        <v>0</v>
      </c>
      <c r="AE107" s="83">
        <f>+(AC107/AA107)</f>
        <v>0</v>
      </c>
      <c r="AF107" s="83">
        <f>+(AB107/U107)</f>
        <v>0</v>
      </c>
      <c r="AG107" s="83">
        <f>+(AC107/W107)</f>
        <v>0</v>
      </c>
      <c r="AH107" s="93">
        <v>0.25</v>
      </c>
      <c r="AI107" s="81" t="s">
        <v>656</v>
      </c>
      <c r="AJ107" s="86">
        <v>12240000</v>
      </c>
      <c r="AK107" s="85"/>
      <c r="AL107" s="85"/>
      <c r="AM107" s="83">
        <f>+(AK107/AH107)</f>
        <v>0</v>
      </c>
      <c r="AN107" s="83">
        <f>+(AL107/AJ107)</f>
        <v>0</v>
      </c>
      <c r="AO107" s="83">
        <f>+(AK107+AB107)/U107</f>
        <v>0</v>
      </c>
      <c r="AP107" s="97">
        <f>+(AL107+AC107)/W107</f>
        <v>0</v>
      </c>
      <c r="AQ107" s="93">
        <v>0.25</v>
      </c>
      <c r="AR107" s="81" t="s">
        <v>656</v>
      </c>
      <c r="AS107" s="86">
        <v>12240000</v>
      </c>
      <c r="AT107" s="85"/>
      <c r="AU107" s="85"/>
      <c r="AV107" s="83">
        <f>+(AT107/AQ107)</f>
        <v>0</v>
      </c>
      <c r="AW107" s="83">
        <f>+(AU107/AS107)</f>
        <v>0</v>
      </c>
      <c r="AX107" s="83">
        <f>+(AK107+AB107+AT107)/U107</f>
        <v>0</v>
      </c>
      <c r="AY107" s="83">
        <f>+(AL107+AC107)/W107</f>
        <v>0</v>
      </c>
      <c r="AZ107" s="93">
        <v>0.25</v>
      </c>
      <c r="BA107" s="81" t="s">
        <v>656</v>
      </c>
      <c r="BB107" s="86">
        <v>12240000</v>
      </c>
      <c r="BC107" s="85"/>
      <c r="BD107" s="85"/>
      <c r="BE107" s="83">
        <f>+(BC107/AZ107)</f>
        <v>0</v>
      </c>
      <c r="BF107" s="83">
        <f>+(BD107/BB107)</f>
        <v>0</v>
      </c>
      <c r="BG107" s="83">
        <f>+(AK107+AB107+AT107+BC107)/U107</f>
        <v>0</v>
      </c>
      <c r="BH107" s="83">
        <f>+(AL107+AA107+AU107+BD107)/W107</f>
        <v>0.25</v>
      </c>
      <c r="BI107" s="57">
        <f t="shared" si="65"/>
        <v>0</v>
      </c>
      <c r="BJ107" s="57">
        <f t="shared" si="66"/>
        <v>0</v>
      </c>
      <c r="BK107" s="57">
        <f t="shared" si="67"/>
        <v>0</v>
      </c>
      <c r="BL107" s="57">
        <f t="shared" si="68"/>
        <v>0</v>
      </c>
      <c r="BM107" s="57">
        <f t="shared" si="69"/>
        <v>0</v>
      </c>
      <c r="BN107" s="57">
        <f t="shared" si="70"/>
        <v>0</v>
      </c>
      <c r="BO107" s="57">
        <f t="shared" si="71"/>
        <v>0</v>
      </c>
      <c r="BP107" s="57">
        <f t="shared" si="72"/>
        <v>0</v>
      </c>
      <c r="BQ107" s="21"/>
    </row>
    <row r="108" spans="1:69" s="58" customFormat="1" ht="105" x14ac:dyDescent="0.25">
      <c r="A108" s="80">
        <v>11700</v>
      </c>
      <c r="B108" s="79" t="str">
        <f>+VLOOKUP(A108,'[4]TAB. REF. PA'!$A$4:$B$14,2,FALSE)</f>
        <v>Dirección Administrativa y Financiera</v>
      </c>
      <c r="C108" s="80" t="s">
        <v>328</v>
      </c>
      <c r="D108" s="79" t="s">
        <v>256</v>
      </c>
      <c r="E108" s="80" t="s">
        <v>650</v>
      </c>
      <c r="F108" s="79" t="s">
        <v>646</v>
      </c>
      <c r="G108" s="80" t="s">
        <v>123</v>
      </c>
      <c r="H108" s="93">
        <v>1</v>
      </c>
      <c r="I108" s="80" t="s">
        <v>716</v>
      </c>
      <c r="J108" s="81" t="s">
        <v>647</v>
      </c>
      <c r="K108" s="82">
        <f>(10*171085321)+(2*356467822)</f>
        <v>2423788854</v>
      </c>
      <c r="L108" s="88">
        <v>1</v>
      </c>
      <c r="M108" s="84" t="s">
        <v>46</v>
      </c>
      <c r="N108" s="84" t="s">
        <v>59</v>
      </c>
      <c r="O108" s="84" t="s">
        <v>37</v>
      </c>
      <c r="P108" s="84" t="s">
        <v>40</v>
      </c>
      <c r="Q108" s="84" t="s">
        <v>221</v>
      </c>
      <c r="R108" s="85"/>
      <c r="S108" s="89" t="s">
        <v>648</v>
      </c>
      <c r="T108" s="84" t="s">
        <v>99</v>
      </c>
      <c r="U108" s="90">
        <v>1</v>
      </c>
      <c r="V108" s="79" t="s">
        <v>649</v>
      </c>
      <c r="W108" s="82">
        <f>(10*171085321)+(2*356467822)</f>
        <v>2423788854</v>
      </c>
      <c r="X108" s="78" t="s">
        <v>114</v>
      </c>
      <c r="Y108" s="88">
        <v>0.25</v>
      </c>
      <c r="Z108" s="79" t="s">
        <v>649</v>
      </c>
      <c r="AA108" s="95">
        <v>513255963</v>
      </c>
      <c r="AB108" s="91"/>
      <c r="AC108" s="85"/>
      <c r="AD108" s="83">
        <f t="shared" si="73"/>
        <v>0</v>
      </c>
      <c r="AE108" s="83">
        <f>+(AC108/AA108)</f>
        <v>0</v>
      </c>
      <c r="AF108" s="83">
        <f>+(AB108/U108)</f>
        <v>0</v>
      </c>
      <c r="AG108" s="83">
        <f>+(AC108/W108)</f>
        <v>0</v>
      </c>
      <c r="AH108" s="88">
        <v>0.25</v>
      </c>
      <c r="AI108" s="79" t="s">
        <v>649</v>
      </c>
      <c r="AJ108" s="95">
        <v>884020965</v>
      </c>
      <c r="AK108" s="85"/>
      <c r="AL108" s="85"/>
      <c r="AM108" s="83">
        <v>0</v>
      </c>
      <c r="AN108" s="83">
        <v>0</v>
      </c>
      <c r="AO108" s="83">
        <v>0</v>
      </c>
      <c r="AP108" s="87">
        <v>0</v>
      </c>
      <c r="AQ108" s="88">
        <v>0.25</v>
      </c>
      <c r="AR108" s="79" t="s">
        <v>649</v>
      </c>
      <c r="AS108" s="95">
        <v>513255963</v>
      </c>
      <c r="AT108" s="85"/>
      <c r="AU108" s="85"/>
      <c r="AV108" s="83">
        <v>0</v>
      </c>
      <c r="AW108" s="83">
        <v>0</v>
      </c>
      <c r="AX108" s="83">
        <v>0</v>
      </c>
      <c r="AY108" s="83">
        <v>0</v>
      </c>
      <c r="AZ108" s="88">
        <v>0.25</v>
      </c>
      <c r="BA108" s="79" t="s">
        <v>649</v>
      </c>
      <c r="BB108" s="95">
        <v>513255963</v>
      </c>
      <c r="BC108" s="85"/>
      <c r="BD108" s="85"/>
      <c r="BE108" s="83">
        <v>0</v>
      </c>
      <c r="BF108" s="83">
        <v>0</v>
      </c>
      <c r="BG108" s="83">
        <v>0</v>
      </c>
      <c r="BH108" s="83">
        <v>0</v>
      </c>
      <c r="BI108" s="57"/>
      <c r="BJ108" s="57"/>
      <c r="BK108" s="57"/>
      <c r="BL108" s="57"/>
      <c r="BM108" s="57"/>
      <c r="BN108" s="57"/>
      <c r="BO108" s="57"/>
      <c r="BP108" s="57"/>
      <c r="BQ108" s="21"/>
    </row>
    <row r="109" spans="1:69" s="45" customFormat="1" ht="105" x14ac:dyDescent="0.25">
      <c r="A109" s="34">
        <v>11800</v>
      </c>
      <c r="B109" s="35" t="str">
        <f>+VLOOKUP(A109,'[1]TAB. REF. PA'!$A$4:$B$14,2,FALSE)</f>
        <v>Oficina de Control Interno</v>
      </c>
      <c r="C109" s="36" t="s">
        <v>319</v>
      </c>
      <c r="D109" s="35" t="s">
        <v>153</v>
      </c>
      <c r="E109" s="36" t="s">
        <v>320</v>
      </c>
      <c r="F109" s="38" t="s">
        <v>133</v>
      </c>
      <c r="G109" s="37" t="s">
        <v>124</v>
      </c>
      <c r="H109" s="36">
        <v>4</v>
      </c>
      <c r="I109" s="36" t="s">
        <v>321</v>
      </c>
      <c r="J109" s="38" t="s">
        <v>24</v>
      </c>
      <c r="K109" s="39">
        <v>0</v>
      </c>
      <c r="L109" s="40">
        <v>1</v>
      </c>
      <c r="M109" s="41" t="s">
        <v>51</v>
      </c>
      <c r="N109" s="41" t="s">
        <v>68</v>
      </c>
      <c r="O109" s="41" t="s">
        <v>21</v>
      </c>
      <c r="P109" s="41" t="s">
        <v>36</v>
      </c>
      <c r="Q109" s="41" t="s">
        <v>75</v>
      </c>
      <c r="R109" s="42"/>
      <c r="S109" s="41" t="s">
        <v>631</v>
      </c>
      <c r="T109" s="41" t="s">
        <v>98</v>
      </c>
      <c r="U109" s="51">
        <f>+H109</f>
        <v>4</v>
      </c>
      <c r="V109" s="38" t="str">
        <f>+$J$109</f>
        <v>Reportar el cumplimiento del Plan de Acción de la Dependencia</v>
      </c>
      <c r="W109" s="39">
        <v>0</v>
      </c>
      <c r="X109" s="34" t="s">
        <v>117</v>
      </c>
      <c r="Y109" s="51">
        <v>1</v>
      </c>
      <c r="Z109" s="38" t="str">
        <f>+$J$109</f>
        <v>Reportar el cumplimiento del Plan de Acción de la Dependencia</v>
      </c>
      <c r="AA109" s="39">
        <v>0</v>
      </c>
      <c r="AB109" s="42"/>
      <c r="AC109" s="42"/>
      <c r="AD109" s="40">
        <f t="shared" si="73"/>
        <v>0</v>
      </c>
      <c r="AE109" s="40" t="e">
        <f t="shared" si="26"/>
        <v>#DIV/0!</v>
      </c>
      <c r="AF109" s="40">
        <f t="shared" si="27"/>
        <v>0</v>
      </c>
      <c r="AG109" s="40" t="e">
        <f t="shared" si="28"/>
        <v>#DIV/0!</v>
      </c>
      <c r="AH109" s="51">
        <v>1</v>
      </c>
      <c r="AI109" s="38" t="str">
        <f>+$J$109</f>
        <v>Reportar el cumplimiento del Plan de Acción de la Dependencia</v>
      </c>
      <c r="AJ109" s="39">
        <v>0</v>
      </c>
      <c r="AK109" s="42"/>
      <c r="AL109" s="42"/>
      <c r="AM109" s="40">
        <f t="shared" si="29"/>
        <v>0</v>
      </c>
      <c r="AN109" s="40" t="e">
        <f t="shared" si="30"/>
        <v>#DIV/0!</v>
      </c>
      <c r="AO109" s="40">
        <f t="shared" si="31"/>
        <v>0</v>
      </c>
      <c r="AP109" s="43" t="e">
        <f t="shared" si="32"/>
        <v>#DIV/0!</v>
      </c>
      <c r="AQ109" s="51">
        <v>1</v>
      </c>
      <c r="AR109" s="38" t="str">
        <f>+$J$109</f>
        <v>Reportar el cumplimiento del Plan de Acción de la Dependencia</v>
      </c>
      <c r="AS109" s="39">
        <v>0</v>
      </c>
      <c r="AT109" s="42"/>
      <c r="AU109" s="42"/>
      <c r="AV109" s="40">
        <f t="shared" si="33"/>
        <v>0</v>
      </c>
      <c r="AW109" s="40" t="e">
        <f t="shared" si="34"/>
        <v>#DIV/0!</v>
      </c>
      <c r="AX109" s="40">
        <f t="shared" si="35"/>
        <v>0</v>
      </c>
      <c r="AY109" s="40" t="e">
        <f t="shared" si="36"/>
        <v>#DIV/0!</v>
      </c>
      <c r="AZ109" s="51">
        <v>1</v>
      </c>
      <c r="BA109" s="38" t="str">
        <f>+$J$109</f>
        <v>Reportar el cumplimiento del Plan de Acción de la Dependencia</v>
      </c>
      <c r="BB109" s="39">
        <v>0</v>
      </c>
      <c r="BC109" s="42"/>
      <c r="BD109" s="42"/>
      <c r="BE109" s="40">
        <f t="shared" si="37"/>
        <v>0</v>
      </c>
      <c r="BF109" s="40" t="e">
        <f t="shared" si="38"/>
        <v>#DIV/0!</v>
      </c>
      <c r="BG109" s="40">
        <f t="shared" si="39"/>
        <v>0</v>
      </c>
      <c r="BH109" s="40" t="e">
        <f t="shared" si="40"/>
        <v>#DIV/0!</v>
      </c>
      <c r="BI109" s="44">
        <f t="shared" si="41"/>
        <v>0</v>
      </c>
      <c r="BJ109" s="44" t="str">
        <f t="shared" si="42"/>
        <v>No Prog ni Ejec</v>
      </c>
      <c r="BK109" s="44">
        <f t="shared" si="43"/>
        <v>0</v>
      </c>
      <c r="BL109" s="44" t="str">
        <f t="shared" si="44"/>
        <v>No Prog ni Ejec</v>
      </c>
      <c r="BM109" s="44">
        <f t="shared" si="45"/>
        <v>0</v>
      </c>
      <c r="BN109" s="44" t="str">
        <f t="shared" si="46"/>
        <v>No Prog ni Ejec</v>
      </c>
      <c r="BO109" s="44">
        <f t="shared" si="47"/>
        <v>0</v>
      </c>
      <c r="BP109" s="44" t="str">
        <f t="shared" si="48"/>
        <v>No Prog ni Ejec</v>
      </c>
      <c r="BQ109" s="42"/>
    </row>
    <row r="110" spans="1:69" s="45" customFormat="1" ht="105" x14ac:dyDescent="0.25">
      <c r="A110" s="34">
        <v>11800</v>
      </c>
      <c r="B110" s="35" t="str">
        <f>+VLOOKUP(A110,'[1]TAB. REF. PA'!$A$4:$B$14,2,FALSE)</f>
        <v>Oficina de Control Interno</v>
      </c>
      <c r="C110" s="36" t="s">
        <v>322</v>
      </c>
      <c r="D110" s="35" t="s">
        <v>256</v>
      </c>
      <c r="E110" s="36" t="s">
        <v>323</v>
      </c>
      <c r="F110" s="38" t="s">
        <v>159</v>
      </c>
      <c r="G110" s="37" t="s">
        <v>123</v>
      </c>
      <c r="H110" s="46">
        <v>1</v>
      </c>
      <c r="I110" s="36" t="s">
        <v>326</v>
      </c>
      <c r="J110" s="38" t="s">
        <v>677</v>
      </c>
      <c r="K110" s="39">
        <v>0</v>
      </c>
      <c r="L110" s="40">
        <v>1</v>
      </c>
      <c r="M110" s="41" t="s">
        <v>51</v>
      </c>
      <c r="N110" s="41" t="s">
        <v>68</v>
      </c>
      <c r="O110" s="41" t="s">
        <v>21</v>
      </c>
      <c r="P110" s="41" t="s">
        <v>36</v>
      </c>
      <c r="Q110" s="41" t="s">
        <v>75</v>
      </c>
      <c r="R110" s="42"/>
      <c r="S110" s="41" t="s">
        <v>672</v>
      </c>
      <c r="T110" s="41" t="s">
        <v>98</v>
      </c>
      <c r="U110" s="40">
        <v>1</v>
      </c>
      <c r="V110" s="38" t="str">
        <f>+$J$110</f>
        <v xml:space="preserve">Formular los proceso y procedimientos en el marco del MIPG
</v>
      </c>
      <c r="W110" s="39">
        <v>0</v>
      </c>
      <c r="X110" s="34" t="s">
        <v>117</v>
      </c>
      <c r="Y110" s="40">
        <v>0.25</v>
      </c>
      <c r="Z110" s="38" t="str">
        <f>+$J$110</f>
        <v xml:space="preserve">Formular los proceso y procedimientos en el marco del MIPG
</v>
      </c>
      <c r="AA110" s="39">
        <v>0</v>
      </c>
      <c r="AB110" s="42"/>
      <c r="AC110" s="42"/>
      <c r="AD110" s="40">
        <f t="shared" si="73"/>
        <v>0</v>
      </c>
      <c r="AE110" s="40" t="e">
        <f t="shared" si="26"/>
        <v>#DIV/0!</v>
      </c>
      <c r="AF110" s="40">
        <f t="shared" si="27"/>
        <v>0</v>
      </c>
      <c r="AG110" s="40" t="e">
        <f t="shared" si="28"/>
        <v>#DIV/0!</v>
      </c>
      <c r="AH110" s="40">
        <v>0.25</v>
      </c>
      <c r="AI110" s="38" t="str">
        <f>+$J$110</f>
        <v xml:space="preserve">Formular los proceso y procedimientos en el marco del MIPG
</v>
      </c>
      <c r="AJ110" s="39">
        <v>0</v>
      </c>
      <c r="AK110" s="42"/>
      <c r="AL110" s="42"/>
      <c r="AM110" s="40">
        <f t="shared" si="29"/>
        <v>0</v>
      </c>
      <c r="AN110" s="40" t="e">
        <f t="shared" si="30"/>
        <v>#DIV/0!</v>
      </c>
      <c r="AO110" s="40">
        <f t="shared" si="31"/>
        <v>0</v>
      </c>
      <c r="AP110" s="43" t="e">
        <f t="shared" si="32"/>
        <v>#DIV/0!</v>
      </c>
      <c r="AQ110" s="40">
        <v>0.25</v>
      </c>
      <c r="AR110" s="38" t="str">
        <f>+$J$110</f>
        <v xml:space="preserve">Formular los proceso y procedimientos en el marco del MIPG
</v>
      </c>
      <c r="AS110" s="39">
        <v>0</v>
      </c>
      <c r="AT110" s="42"/>
      <c r="AU110" s="42"/>
      <c r="AV110" s="40">
        <f t="shared" si="33"/>
        <v>0</v>
      </c>
      <c r="AW110" s="40" t="e">
        <f t="shared" si="34"/>
        <v>#DIV/0!</v>
      </c>
      <c r="AX110" s="40">
        <f t="shared" si="35"/>
        <v>0</v>
      </c>
      <c r="AY110" s="40" t="e">
        <f t="shared" si="36"/>
        <v>#DIV/0!</v>
      </c>
      <c r="AZ110" s="40">
        <v>0.25</v>
      </c>
      <c r="BA110" s="38" t="str">
        <f>+$J$110</f>
        <v xml:space="preserve">Formular los proceso y procedimientos en el marco del MIPG
</v>
      </c>
      <c r="BB110" s="39">
        <v>0</v>
      </c>
      <c r="BC110" s="42"/>
      <c r="BD110" s="42"/>
      <c r="BE110" s="40">
        <f t="shared" si="37"/>
        <v>0</v>
      </c>
      <c r="BF110" s="40" t="e">
        <f t="shared" si="38"/>
        <v>#DIV/0!</v>
      </c>
      <c r="BG110" s="40">
        <f t="shared" si="39"/>
        <v>0</v>
      </c>
      <c r="BH110" s="40" t="e">
        <f t="shared" si="40"/>
        <v>#DIV/0!</v>
      </c>
      <c r="BI110" s="44">
        <f t="shared" si="41"/>
        <v>0</v>
      </c>
      <c r="BJ110" s="44" t="str">
        <f t="shared" si="42"/>
        <v>No Prog ni Ejec</v>
      </c>
      <c r="BK110" s="44">
        <f t="shared" si="43"/>
        <v>0</v>
      </c>
      <c r="BL110" s="44" t="str">
        <f t="shared" si="44"/>
        <v>No Prog ni Ejec</v>
      </c>
      <c r="BM110" s="44">
        <f t="shared" si="45"/>
        <v>0</v>
      </c>
      <c r="BN110" s="44" t="str">
        <f t="shared" si="46"/>
        <v>No Prog ni Ejec</v>
      </c>
      <c r="BO110" s="44">
        <f t="shared" si="47"/>
        <v>0</v>
      </c>
      <c r="BP110" s="44" t="str">
        <f t="shared" si="48"/>
        <v>No Prog ni Ejec</v>
      </c>
      <c r="BQ110" s="42"/>
    </row>
    <row r="111" spans="1:69" s="45" customFormat="1" ht="105" x14ac:dyDescent="0.25">
      <c r="A111" s="34">
        <v>11800</v>
      </c>
      <c r="B111" s="35" t="str">
        <f>+VLOOKUP(A111,'[1]TAB. REF. PA'!$A$4:$B$14,2,FALSE)</f>
        <v>Oficina de Control Interno</v>
      </c>
      <c r="C111" s="36" t="s">
        <v>322</v>
      </c>
      <c r="D111" s="35" t="s">
        <v>256</v>
      </c>
      <c r="E111" s="36" t="s">
        <v>325</v>
      </c>
      <c r="F111" s="38" t="s">
        <v>127</v>
      </c>
      <c r="G111" s="37" t="s">
        <v>123</v>
      </c>
      <c r="H111" s="47">
        <v>1</v>
      </c>
      <c r="I111" s="36" t="s">
        <v>327</v>
      </c>
      <c r="J111" s="38" t="s">
        <v>128</v>
      </c>
      <c r="K111" s="39">
        <v>0</v>
      </c>
      <c r="L111" s="40">
        <v>1</v>
      </c>
      <c r="M111" s="41" t="s">
        <v>51</v>
      </c>
      <c r="N111" s="41" t="s">
        <v>68</v>
      </c>
      <c r="O111" s="41" t="s">
        <v>21</v>
      </c>
      <c r="P111" s="41" t="s">
        <v>36</v>
      </c>
      <c r="Q111" s="41" t="s">
        <v>75</v>
      </c>
      <c r="R111" s="42"/>
      <c r="S111" s="41" t="s">
        <v>570</v>
      </c>
      <c r="T111" s="41" t="s">
        <v>98</v>
      </c>
      <c r="U111" s="47">
        <v>1</v>
      </c>
      <c r="V111" s="38" t="str">
        <f>+$J$111</f>
        <v>Remitir informes trimestrales de los indicadores formulados y las acciones de mejoras</v>
      </c>
      <c r="W111" s="39">
        <v>0</v>
      </c>
      <c r="X111" s="34" t="s">
        <v>117</v>
      </c>
      <c r="Y111" s="39">
        <v>0</v>
      </c>
      <c r="Z111" s="38" t="str">
        <f>+$J$111</f>
        <v>Remitir informes trimestrales de los indicadores formulados y las acciones de mejoras</v>
      </c>
      <c r="AA111" s="39">
        <v>0</v>
      </c>
      <c r="AB111" s="42"/>
      <c r="AC111" s="42"/>
      <c r="AD111" s="40" t="e">
        <f t="shared" si="73"/>
        <v>#DIV/0!</v>
      </c>
      <c r="AE111" s="40" t="e">
        <f t="shared" si="26"/>
        <v>#DIV/0!</v>
      </c>
      <c r="AF111" s="40">
        <f t="shared" si="27"/>
        <v>0</v>
      </c>
      <c r="AG111" s="40" t="e">
        <f t="shared" si="28"/>
        <v>#DIV/0!</v>
      </c>
      <c r="AH111" s="39">
        <v>0</v>
      </c>
      <c r="AI111" s="38" t="str">
        <f>+$J$111</f>
        <v>Remitir informes trimestrales de los indicadores formulados y las acciones de mejoras</v>
      </c>
      <c r="AJ111" s="39">
        <v>0</v>
      </c>
      <c r="AK111" s="42"/>
      <c r="AL111" s="42"/>
      <c r="AM111" s="40" t="e">
        <f t="shared" si="29"/>
        <v>#DIV/0!</v>
      </c>
      <c r="AN111" s="40" t="e">
        <f t="shared" si="30"/>
        <v>#DIV/0!</v>
      </c>
      <c r="AO111" s="40">
        <f t="shared" si="31"/>
        <v>0</v>
      </c>
      <c r="AP111" s="43" t="e">
        <f t="shared" si="32"/>
        <v>#DIV/0!</v>
      </c>
      <c r="AQ111" s="39">
        <v>0</v>
      </c>
      <c r="AR111" s="38" t="str">
        <f>+$J$111</f>
        <v>Remitir informes trimestrales de los indicadores formulados y las acciones de mejoras</v>
      </c>
      <c r="AS111" s="39">
        <v>0</v>
      </c>
      <c r="AT111" s="42"/>
      <c r="AU111" s="42"/>
      <c r="AV111" s="40" t="e">
        <f t="shared" si="33"/>
        <v>#DIV/0!</v>
      </c>
      <c r="AW111" s="40" t="e">
        <f t="shared" si="34"/>
        <v>#DIV/0!</v>
      </c>
      <c r="AX111" s="40">
        <f t="shared" si="35"/>
        <v>0</v>
      </c>
      <c r="AY111" s="40" t="e">
        <f t="shared" si="36"/>
        <v>#DIV/0!</v>
      </c>
      <c r="AZ111" s="47">
        <v>1</v>
      </c>
      <c r="BA111" s="38" t="str">
        <f>+$J$111</f>
        <v>Remitir informes trimestrales de los indicadores formulados y las acciones de mejoras</v>
      </c>
      <c r="BB111" s="39">
        <v>0</v>
      </c>
      <c r="BC111" s="42"/>
      <c r="BD111" s="42"/>
      <c r="BE111" s="40">
        <f t="shared" si="37"/>
        <v>0</v>
      </c>
      <c r="BF111" s="40" t="e">
        <f t="shared" si="38"/>
        <v>#DIV/0!</v>
      </c>
      <c r="BG111" s="40">
        <f t="shared" si="39"/>
        <v>0</v>
      </c>
      <c r="BH111" s="40" t="e">
        <f t="shared" si="40"/>
        <v>#DIV/0!</v>
      </c>
      <c r="BI111" s="44" t="str">
        <f t="shared" si="41"/>
        <v>No Prog ni Ejec</v>
      </c>
      <c r="BJ111" s="44" t="str">
        <f t="shared" si="42"/>
        <v>No Prog ni Ejec</v>
      </c>
      <c r="BK111" s="44" t="str">
        <f t="shared" si="43"/>
        <v>No Prog ni Ejec</v>
      </c>
      <c r="BL111" s="44" t="str">
        <f t="shared" si="44"/>
        <v>No Prog ni Ejec</v>
      </c>
      <c r="BM111" s="44" t="str">
        <f t="shared" si="45"/>
        <v>No Prog ni Ejec</v>
      </c>
      <c r="BN111" s="44" t="str">
        <f t="shared" si="46"/>
        <v>No Prog ni Ejec</v>
      </c>
      <c r="BO111" s="44">
        <f t="shared" si="47"/>
        <v>0</v>
      </c>
      <c r="BP111" s="44" t="str">
        <f t="shared" si="48"/>
        <v>No Prog ni Ejec</v>
      </c>
      <c r="BQ111" s="42"/>
    </row>
    <row r="112" spans="1:69" s="45" customFormat="1" ht="105" x14ac:dyDescent="0.25">
      <c r="A112" s="34">
        <v>11800</v>
      </c>
      <c r="B112" s="35" t="str">
        <f>+VLOOKUP(A112,'[1]TAB. REF. PA'!$A$4:$B$14,2,FALSE)</f>
        <v>Oficina de Control Interno</v>
      </c>
      <c r="C112" s="36" t="s">
        <v>333</v>
      </c>
      <c r="D112" s="35" t="s">
        <v>256</v>
      </c>
      <c r="E112" s="36" t="s">
        <v>324</v>
      </c>
      <c r="F112" s="38" t="s">
        <v>678</v>
      </c>
      <c r="G112" s="37" t="s">
        <v>123</v>
      </c>
      <c r="H112" s="56">
        <v>1</v>
      </c>
      <c r="I112" s="36" t="s">
        <v>339</v>
      </c>
      <c r="J112" s="38" t="s">
        <v>334</v>
      </c>
      <c r="K112" s="39">
        <v>0</v>
      </c>
      <c r="L112" s="40">
        <v>1</v>
      </c>
      <c r="M112" s="41" t="s">
        <v>50</v>
      </c>
      <c r="N112" s="41" t="s">
        <v>64</v>
      </c>
      <c r="O112" s="41" t="s">
        <v>37</v>
      </c>
      <c r="P112" s="41" t="s">
        <v>39</v>
      </c>
      <c r="Q112" s="41" t="s">
        <v>230</v>
      </c>
      <c r="R112" s="42"/>
      <c r="S112" s="41" t="s">
        <v>342</v>
      </c>
      <c r="T112" s="41" t="s">
        <v>105</v>
      </c>
      <c r="U112" s="40">
        <v>1</v>
      </c>
      <c r="V112" s="38" t="str">
        <f>+$J$112</f>
        <v>Realizar las auditorías internas, de acuerdo a lo programado para la vigencia.</v>
      </c>
      <c r="W112" s="39">
        <v>0</v>
      </c>
      <c r="X112" s="34" t="s">
        <v>117</v>
      </c>
      <c r="Y112" s="40">
        <v>0.25</v>
      </c>
      <c r="Z112" s="38" t="str">
        <f>+$J$112</f>
        <v>Realizar las auditorías internas, de acuerdo a lo programado para la vigencia.</v>
      </c>
      <c r="AA112" s="39">
        <v>0</v>
      </c>
      <c r="AB112" s="42"/>
      <c r="AC112" s="42"/>
      <c r="AD112" s="40">
        <f t="shared" si="73"/>
        <v>0</v>
      </c>
      <c r="AE112" s="40" t="e">
        <f t="shared" si="26"/>
        <v>#DIV/0!</v>
      </c>
      <c r="AF112" s="40">
        <f t="shared" si="27"/>
        <v>0</v>
      </c>
      <c r="AG112" s="40" t="e">
        <f t="shared" si="28"/>
        <v>#DIV/0!</v>
      </c>
      <c r="AH112" s="40">
        <v>0.25</v>
      </c>
      <c r="AI112" s="38" t="str">
        <f>+$J$112</f>
        <v>Realizar las auditorías internas, de acuerdo a lo programado para la vigencia.</v>
      </c>
      <c r="AJ112" s="39">
        <v>0</v>
      </c>
      <c r="AK112" s="42"/>
      <c r="AL112" s="42"/>
      <c r="AM112" s="40">
        <f t="shared" si="29"/>
        <v>0</v>
      </c>
      <c r="AN112" s="40" t="e">
        <f t="shared" si="30"/>
        <v>#DIV/0!</v>
      </c>
      <c r="AO112" s="40">
        <f t="shared" si="31"/>
        <v>0</v>
      </c>
      <c r="AP112" s="43" t="e">
        <f t="shared" si="32"/>
        <v>#DIV/0!</v>
      </c>
      <c r="AQ112" s="40">
        <v>0.25</v>
      </c>
      <c r="AR112" s="38" t="str">
        <f>+$J$112</f>
        <v>Realizar las auditorías internas, de acuerdo a lo programado para la vigencia.</v>
      </c>
      <c r="AS112" s="39">
        <v>0</v>
      </c>
      <c r="AT112" s="42"/>
      <c r="AU112" s="42"/>
      <c r="AV112" s="40">
        <f t="shared" si="33"/>
        <v>0</v>
      </c>
      <c r="AW112" s="40" t="e">
        <f t="shared" si="34"/>
        <v>#DIV/0!</v>
      </c>
      <c r="AX112" s="40">
        <f t="shared" si="35"/>
        <v>0</v>
      </c>
      <c r="AY112" s="40" t="e">
        <f t="shared" si="36"/>
        <v>#DIV/0!</v>
      </c>
      <c r="AZ112" s="40">
        <v>0.25</v>
      </c>
      <c r="BA112" s="38" t="str">
        <f>+$J$112</f>
        <v>Realizar las auditorías internas, de acuerdo a lo programado para la vigencia.</v>
      </c>
      <c r="BB112" s="39">
        <v>0</v>
      </c>
      <c r="BC112" s="42"/>
      <c r="BD112" s="42"/>
      <c r="BE112" s="40">
        <f t="shared" si="37"/>
        <v>0</v>
      </c>
      <c r="BF112" s="40" t="e">
        <f t="shared" si="38"/>
        <v>#DIV/0!</v>
      </c>
      <c r="BG112" s="40">
        <f t="shared" si="39"/>
        <v>0</v>
      </c>
      <c r="BH112" s="40" t="e">
        <f t="shared" si="40"/>
        <v>#DIV/0!</v>
      </c>
      <c r="BI112" s="44">
        <f t="shared" si="41"/>
        <v>0</v>
      </c>
      <c r="BJ112" s="44" t="str">
        <f t="shared" si="42"/>
        <v>No Prog ni Ejec</v>
      </c>
      <c r="BK112" s="44">
        <f t="shared" si="43"/>
        <v>0</v>
      </c>
      <c r="BL112" s="44" t="str">
        <f t="shared" si="44"/>
        <v>No Prog ni Ejec</v>
      </c>
      <c r="BM112" s="44">
        <f t="shared" si="45"/>
        <v>0</v>
      </c>
      <c r="BN112" s="44" t="str">
        <f t="shared" si="46"/>
        <v>No Prog ni Ejec</v>
      </c>
      <c r="BO112" s="44">
        <f t="shared" si="47"/>
        <v>0</v>
      </c>
      <c r="BP112" s="44" t="str">
        <f t="shared" si="48"/>
        <v>No Prog ni Ejec</v>
      </c>
      <c r="BQ112" s="42"/>
    </row>
    <row r="113" spans="1:69" s="45" customFormat="1" ht="135" x14ac:dyDescent="0.25">
      <c r="A113" s="34">
        <v>11800</v>
      </c>
      <c r="B113" s="35" t="str">
        <f>+VLOOKUP(A113,'[1]TAB. REF. PA'!$A$4:$B$14,2,FALSE)</f>
        <v>Oficina de Control Interno</v>
      </c>
      <c r="C113" s="36" t="s">
        <v>345</v>
      </c>
      <c r="D113" s="35" t="s">
        <v>256</v>
      </c>
      <c r="E113" s="36" t="s">
        <v>552</v>
      </c>
      <c r="F113" s="38" t="s">
        <v>679</v>
      </c>
      <c r="G113" s="37" t="s">
        <v>123</v>
      </c>
      <c r="H113" s="56">
        <v>1</v>
      </c>
      <c r="I113" s="36" t="s">
        <v>553</v>
      </c>
      <c r="J113" s="38" t="s">
        <v>335</v>
      </c>
      <c r="K113" s="39">
        <v>0</v>
      </c>
      <c r="L113" s="40">
        <v>1</v>
      </c>
      <c r="M113" s="41" t="s">
        <v>50</v>
      </c>
      <c r="N113" s="41" t="s">
        <v>64</v>
      </c>
      <c r="O113" s="41" t="s">
        <v>37</v>
      </c>
      <c r="P113" s="41" t="s">
        <v>39</v>
      </c>
      <c r="Q113" s="41" t="s">
        <v>230</v>
      </c>
      <c r="R113" s="42"/>
      <c r="S113" s="41" t="s">
        <v>343</v>
      </c>
      <c r="T113" s="41" t="s">
        <v>105</v>
      </c>
      <c r="U113" s="40">
        <v>1</v>
      </c>
      <c r="V113" s="38" t="str">
        <f>+$J$113</f>
        <v>Dar respuesta a requerimientos de carácter interno en el marco de la normatividad vigente</v>
      </c>
      <c r="W113" s="39">
        <v>0</v>
      </c>
      <c r="X113" s="34" t="s">
        <v>117</v>
      </c>
      <c r="Y113" s="40">
        <v>0.25</v>
      </c>
      <c r="Z113" s="38" t="str">
        <f>+$J$113</f>
        <v>Dar respuesta a requerimientos de carácter interno en el marco de la normatividad vigente</v>
      </c>
      <c r="AA113" s="39">
        <v>0</v>
      </c>
      <c r="AB113" s="42"/>
      <c r="AC113" s="42"/>
      <c r="AD113" s="40">
        <f t="shared" si="73"/>
        <v>0</v>
      </c>
      <c r="AE113" s="40" t="e">
        <f t="shared" si="26"/>
        <v>#DIV/0!</v>
      </c>
      <c r="AF113" s="40">
        <f t="shared" si="27"/>
        <v>0</v>
      </c>
      <c r="AG113" s="40" t="e">
        <f t="shared" si="28"/>
        <v>#DIV/0!</v>
      </c>
      <c r="AH113" s="40">
        <v>0.25</v>
      </c>
      <c r="AI113" s="38" t="str">
        <f>+$J$113</f>
        <v>Dar respuesta a requerimientos de carácter interno en el marco de la normatividad vigente</v>
      </c>
      <c r="AJ113" s="39">
        <v>0</v>
      </c>
      <c r="AK113" s="42"/>
      <c r="AL113" s="42"/>
      <c r="AM113" s="40">
        <f t="shared" si="29"/>
        <v>0</v>
      </c>
      <c r="AN113" s="40" t="e">
        <f t="shared" si="30"/>
        <v>#DIV/0!</v>
      </c>
      <c r="AO113" s="40">
        <f t="shared" si="31"/>
        <v>0</v>
      </c>
      <c r="AP113" s="43" t="e">
        <f t="shared" si="32"/>
        <v>#DIV/0!</v>
      </c>
      <c r="AQ113" s="40">
        <v>0.25</v>
      </c>
      <c r="AR113" s="38" t="str">
        <f>+$J$113</f>
        <v>Dar respuesta a requerimientos de carácter interno en el marco de la normatividad vigente</v>
      </c>
      <c r="AS113" s="39">
        <v>0</v>
      </c>
      <c r="AT113" s="42"/>
      <c r="AU113" s="42"/>
      <c r="AV113" s="40">
        <f t="shared" si="33"/>
        <v>0</v>
      </c>
      <c r="AW113" s="40" t="e">
        <f t="shared" si="34"/>
        <v>#DIV/0!</v>
      </c>
      <c r="AX113" s="40">
        <f t="shared" si="35"/>
        <v>0</v>
      </c>
      <c r="AY113" s="40" t="e">
        <f t="shared" si="36"/>
        <v>#DIV/0!</v>
      </c>
      <c r="AZ113" s="40">
        <v>0.25</v>
      </c>
      <c r="BA113" s="38" t="str">
        <f>+$J$113</f>
        <v>Dar respuesta a requerimientos de carácter interno en el marco de la normatividad vigente</v>
      </c>
      <c r="BB113" s="39">
        <v>0</v>
      </c>
      <c r="BC113" s="42"/>
      <c r="BD113" s="42"/>
      <c r="BE113" s="40">
        <f t="shared" si="37"/>
        <v>0</v>
      </c>
      <c r="BF113" s="40" t="e">
        <f t="shared" si="38"/>
        <v>#DIV/0!</v>
      </c>
      <c r="BG113" s="40">
        <f t="shared" si="39"/>
        <v>0</v>
      </c>
      <c r="BH113" s="40" t="e">
        <f t="shared" si="40"/>
        <v>#DIV/0!</v>
      </c>
      <c r="BI113" s="44">
        <f t="shared" si="41"/>
        <v>0</v>
      </c>
      <c r="BJ113" s="44" t="str">
        <f t="shared" si="42"/>
        <v>No Prog ni Ejec</v>
      </c>
      <c r="BK113" s="44">
        <f t="shared" si="43"/>
        <v>0</v>
      </c>
      <c r="BL113" s="44" t="str">
        <f t="shared" si="44"/>
        <v>No Prog ni Ejec</v>
      </c>
      <c r="BM113" s="44">
        <f t="shared" si="45"/>
        <v>0</v>
      </c>
      <c r="BN113" s="44" t="str">
        <f t="shared" si="46"/>
        <v>No Prog ni Ejec</v>
      </c>
      <c r="BO113" s="44">
        <f t="shared" si="47"/>
        <v>0</v>
      </c>
      <c r="BP113" s="44" t="str">
        <f t="shared" si="48"/>
        <v>No Prog ni Ejec</v>
      </c>
      <c r="BQ113" s="42"/>
    </row>
    <row r="114" spans="1:69" s="45" customFormat="1" ht="180" x14ac:dyDescent="0.25">
      <c r="A114" s="34">
        <v>11800</v>
      </c>
      <c r="B114" s="35" t="str">
        <f>+VLOOKUP(A114,'[1]TAB. REF. PA'!$A$4:$B$14,2,FALSE)</f>
        <v>Oficina de Control Interno</v>
      </c>
      <c r="C114" s="36" t="s">
        <v>346</v>
      </c>
      <c r="D114" s="35" t="s">
        <v>256</v>
      </c>
      <c r="E114" s="36" t="s">
        <v>554</v>
      </c>
      <c r="F114" s="38" t="s">
        <v>680</v>
      </c>
      <c r="G114" s="37" t="s">
        <v>123</v>
      </c>
      <c r="H114" s="56">
        <v>1</v>
      </c>
      <c r="I114" s="36" t="s">
        <v>555</v>
      </c>
      <c r="J114" s="38" t="s">
        <v>336</v>
      </c>
      <c r="K114" s="39">
        <v>0</v>
      </c>
      <c r="L114" s="40">
        <v>1</v>
      </c>
      <c r="M114" s="41" t="s">
        <v>50</v>
      </c>
      <c r="N114" s="41" t="s">
        <v>64</v>
      </c>
      <c r="O114" s="41" t="s">
        <v>37</v>
      </c>
      <c r="P114" s="41" t="s">
        <v>39</v>
      </c>
      <c r="Q114" s="41" t="s">
        <v>230</v>
      </c>
      <c r="R114" s="42"/>
      <c r="S114" s="41" t="s">
        <v>344</v>
      </c>
      <c r="T114" s="41" t="s">
        <v>105</v>
      </c>
      <c r="U114" s="40">
        <v>1</v>
      </c>
      <c r="V114" s="38" t="str">
        <f>+$J$114</f>
        <v>Dar respuesta a requerimientos de organismos externos en el marco de la normatividad vigente</v>
      </c>
      <c r="W114" s="39">
        <v>0</v>
      </c>
      <c r="X114" s="34" t="s">
        <v>117</v>
      </c>
      <c r="Y114" s="40">
        <v>0.25</v>
      </c>
      <c r="Z114" s="38" t="str">
        <f>+$J$114</f>
        <v>Dar respuesta a requerimientos de organismos externos en el marco de la normatividad vigente</v>
      </c>
      <c r="AA114" s="39">
        <v>0</v>
      </c>
      <c r="AB114" s="42"/>
      <c r="AC114" s="42"/>
      <c r="AD114" s="40">
        <f t="shared" si="73"/>
        <v>0</v>
      </c>
      <c r="AE114" s="40" t="e">
        <f t="shared" si="26"/>
        <v>#DIV/0!</v>
      </c>
      <c r="AF114" s="40">
        <f t="shared" si="27"/>
        <v>0</v>
      </c>
      <c r="AG114" s="40" t="e">
        <f t="shared" si="28"/>
        <v>#DIV/0!</v>
      </c>
      <c r="AH114" s="40">
        <v>0.25</v>
      </c>
      <c r="AI114" s="38" t="str">
        <f>+$J$114</f>
        <v>Dar respuesta a requerimientos de organismos externos en el marco de la normatividad vigente</v>
      </c>
      <c r="AJ114" s="39">
        <v>0</v>
      </c>
      <c r="AK114" s="42"/>
      <c r="AL114" s="42"/>
      <c r="AM114" s="40">
        <f t="shared" si="29"/>
        <v>0</v>
      </c>
      <c r="AN114" s="40" t="e">
        <f t="shared" si="30"/>
        <v>#DIV/0!</v>
      </c>
      <c r="AO114" s="40">
        <f t="shared" si="31"/>
        <v>0</v>
      </c>
      <c r="AP114" s="43" t="e">
        <f t="shared" si="32"/>
        <v>#DIV/0!</v>
      </c>
      <c r="AQ114" s="40">
        <v>0.25</v>
      </c>
      <c r="AR114" s="38" t="str">
        <f>+$J$114</f>
        <v>Dar respuesta a requerimientos de organismos externos en el marco de la normatividad vigente</v>
      </c>
      <c r="AS114" s="39">
        <v>0</v>
      </c>
      <c r="AT114" s="42"/>
      <c r="AU114" s="42"/>
      <c r="AV114" s="40">
        <f t="shared" si="33"/>
        <v>0</v>
      </c>
      <c r="AW114" s="40" t="e">
        <f t="shared" si="34"/>
        <v>#DIV/0!</v>
      </c>
      <c r="AX114" s="40">
        <f t="shared" si="35"/>
        <v>0</v>
      </c>
      <c r="AY114" s="40" t="e">
        <f t="shared" si="36"/>
        <v>#DIV/0!</v>
      </c>
      <c r="AZ114" s="40">
        <v>0.25</v>
      </c>
      <c r="BA114" s="38" t="str">
        <f>+$J$114</f>
        <v>Dar respuesta a requerimientos de organismos externos en el marco de la normatividad vigente</v>
      </c>
      <c r="BB114" s="39">
        <v>0</v>
      </c>
      <c r="BC114" s="42"/>
      <c r="BD114" s="42"/>
      <c r="BE114" s="40">
        <f t="shared" si="37"/>
        <v>0</v>
      </c>
      <c r="BF114" s="40" t="e">
        <f t="shared" si="38"/>
        <v>#DIV/0!</v>
      </c>
      <c r="BG114" s="40">
        <f t="shared" si="39"/>
        <v>0</v>
      </c>
      <c r="BH114" s="40" t="e">
        <f t="shared" si="40"/>
        <v>#DIV/0!</v>
      </c>
      <c r="BI114" s="44">
        <f t="shared" si="41"/>
        <v>0</v>
      </c>
      <c r="BJ114" s="44" t="str">
        <f t="shared" si="42"/>
        <v>No Prog ni Ejec</v>
      </c>
      <c r="BK114" s="44">
        <f t="shared" si="43"/>
        <v>0</v>
      </c>
      <c r="BL114" s="44" t="str">
        <f t="shared" si="44"/>
        <v>No Prog ni Ejec</v>
      </c>
      <c r="BM114" s="44">
        <f t="shared" si="45"/>
        <v>0</v>
      </c>
      <c r="BN114" s="44" t="str">
        <f t="shared" si="46"/>
        <v>No Prog ni Ejec</v>
      </c>
      <c r="BO114" s="44">
        <f t="shared" si="47"/>
        <v>0</v>
      </c>
      <c r="BP114" s="44" t="str">
        <f t="shared" si="48"/>
        <v>No Prog ni Ejec</v>
      </c>
      <c r="BQ114" s="42"/>
    </row>
    <row r="115" spans="1:69" s="45" customFormat="1" ht="105" x14ac:dyDescent="0.25">
      <c r="A115" s="34">
        <v>11800</v>
      </c>
      <c r="B115" s="35" t="str">
        <f>+VLOOKUP(A115,'[1]TAB. REF. PA'!$A$4:$B$14,2,FALSE)</f>
        <v>Oficina de Control Interno</v>
      </c>
      <c r="C115" s="36" t="s">
        <v>347</v>
      </c>
      <c r="D115" s="35" t="s">
        <v>256</v>
      </c>
      <c r="E115" s="36" t="s">
        <v>556</v>
      </c>
      <c r="F115" s="38" t="s">
        <v>681</v>
      </c>
      <c r="G115" s="37" t="s">
        <v>123</v>
      </c>
      <c r="H115" s="56">
        <v>1</v>
      </c>
      <c r="I115" s="36" t="s">
        <v>558</v>
      </c>
      <c r="J115" s="38" t="s">
        <v>337</v>
      </c>
      <c r="K115" s="39">
        <v>0</v>
      </c>
      <c r="L115" s="40">
        <v>1</v>
      </c>
      <c r="M115" s="41" t="s">
        <v>50</v>
      </c>
      <c r="N115" s="41" t="s">
        <v>64</v>
      </c>
      <c r="O115" s="41" t="s">
        <v>37</v>
      </c>
      <c r="P115" s="41" t="s">
        <v>39</v>
      </c>
      <c r="Q115" s="41" t="s">
        <v>230</v>
      </c>
      <c r="R115" s="42"/>
      <c r="S115" s="41" t="s">
        <v>340</v>
      </c>
      <c r="T115" s="41" t="s">
        <v>105</v>
      </c>
      <c r="U115" s="40">
        <v>1</v>
      </c>
      <c r="V115" s="38" t="str">
        <f>+$J$115</f>
        <v>Medir el grado de cumplimiento de las acciones que hacen parte del Plan de mejoramiento institucional derivadas de la Auditoría de la CGR.</v>
      </c>
      <c r="W115" s="39">
        <v>0</v>
      </c>
      <c r="X115" s="34" t="s">
        <v>117</v>
      </c>
      <c r="Y115" s="40">
        <v>0.25</v>
      </c>
      <c r="Z115" s="38" t="str">
        <f>+$J$115</f>
        <v>Medir el grado de cumplimiento de las acciones que hacen parte del Plan de mejoramiento institucional derivadas de la Auditoría de la CGR.</v>
      </c>
      <c r="AA115" s="39">
        <v>0</v>
      </c>
      <c r="AB115" s="42"/>
      <c r="AC115" s="42"/>
      <c r="AD115" s="40">
        <f t="shared" si="73"/>
        <v>0</v>
      </c>
      <c r="AE115" s="40" t="e">
        <f t="shared" si="26"/>
        <v>#DIV/0!</v>
      </c>
      <c r="AF115" s="40">
        <f t="shared" si="27"/>
        <v>0</v>
      </c>
      <c r="AG115" s="40" t="e">
        <f t="shared" si="28"/>
        <v>#DIV/0!</v>
      </c>
      <c r="AH115" s="40">
        <v>0.25</v>
      </c>
      <c r="AI115" s="38" t="str">
        <f>+$J$115</f>
        <v>Medir el grado de cumplimiento de las acciones que hacen parte del Plan de mejoramiento institucional derivadas de la Auditoría de la CGR.</v>
      </c>
      <c r="AJ115" s="39">
        <v>0</v>
      </c>
      <c r="AK115" s="42"/>
      <c r="AL115" s="42"/>
      <c r="AM115" s="40">
        <f t="shared" si="29"/>
        <v>0</v>
      </c>
      <c r="AN115" s="40" t="e">
        <f t="shared" si="30"/>
        <v>#DIV/0!</v>
      </c>
      <c r="AO115" s="40">
        <f t="shared" si="31"/>
        <v>0</v>
      </c>
      <c r="AP115" s="43" t="e">
        <f t="shared" si="32"/>
        <v>#DIV/0!</v>
      </c>
      <c r="AQ115" s="40">
        <v>0.25</v>
      </c>
      <c r="AR115" s="38" t="str">
        <f>+$J$115</f>
        <v>Medir el grado de cumplimiento de las acciones que hacen parte del Plan de mejoramiento institucional derivadas de la Auditoría de la CGR.</v>
      </c>
      <c r="AS115" s="39">
        <v>0</v>
      </c>
      <c r="AT115" s="42"/>
      <c r="AU115" s="42"/>
      <c r="AV115" s="40">
        <f t="shared" si="33"/>
        <v>0</v>
      </c>
      <c r="AW115" s="40" t="e">
        <f t="shared" si="34"/>
        <v>#DIV/0!</v>
      </c>
      <c r="AX115" s="40">
        <f t="shared" si="35"/>
        <v>0</v>
      </c>
      <c r="AY115" s="40" t="e">
        <f t="shared" si="36"/>
        <v>#DIV/0!</v>
      </c>
      <c r="AZ115" s="40">
        <v>0.25</v>
      </c>
      <c r="BA115" s="38" t="str">
        <f>+$J$115</f>
        <v>Medir el grado de cumplimiento de las acciones que hacen parte del Plan de mejoramiento institucional derivadas de la Auditoría de la CGR.</v>
      </c>
      <c r="BB115" s="39">
        <v>0</v>
      </c>
      <c r="BC115" s="42"/>
      <c r="BD115" s="42"/>
      <c r="BE115" s="40">
        <f t="shared" si="37"/>
        <v>0</v>
      </c>
      <c r="BF115" s="40" t="e">
        <f t="shared" si="38"/>
        <v>#DIV/0!</v>
      </c>
      <c r="BG115" s="40">
        <f t="shared" si="39"/>
        <v>0</v>
      </c>
      <c r="BH115" s="40" t="e">
        <f t="shared" si="40"/>
        <v>#DIV/0!</v>
      </c>
      <c r="BI115" s="44">
        <f t="shared" si="41"/>
        <v>0</v>
      </c>
      <c r="BJ115" s="44" t="str">
        <f t="shared" si="42"/>
        <v>No Prog ni Ejec</v>
      </c>
      <c r="BK115" s="44">
        <f t="shared" si="43"/>
        <v>0</v>
      </c>
      <c r="BL115" s="44" t="str">
        <f t="shared" si="44"/>
        <v>No Prog ni Ejec</v>
      </c>
      <c r="BM115" s="44">
        <f t="shared" si="45"/>
        <v>0</v>
      </c>
      <c r="BN115" s="44" t="str">
        <f t="shared" si="46"/>
        <v>No Prog ni Ejec</v>
      </c>
      <c r="BO115" s="44">
        <f t="shared" si="47"/>
        <v>0</v>
      </c>
      <c r="BP115" s="44" t="str">
        <f t="shared" si="48"/>
        <v>No Prog ni Ejec</v>
      </c>
      <c r="BQ115" s="42"/>
    </row>
    <row r="116" spans="1:69" s="45" customFormat="1" ht="105" x14ac:dyDescent="0.25">
      <c r="A116" s="34">
        <v>11800</v>
      </c>
      <c r="B116" s="35" t="str">
        <f>+VLOOKUP(A116,'[1]TAB. REF. PA'!$A$4:$B$14,2,FALSE)</f>
        <v>Oficina de Control Interno</v>
      </c>
      <c r="C116" s="36" t="s">
        <v>348</v>
      </c>
      <c r="D116" s="35" t="s">
        <v>256</v>
      </c>
      <c r="E116" s="36" t="s">
        <v>557</v>
      </c>
      <c r="F116" s="38" t="s">
        <v>682</v>
      </c>
      <c r="G116" s="37" t="s">
        <v>123</v>
      </c>
      <c r="H116" s="56">
        <v>1</v>
      </c>
      <c r="I116" s="36" t="s">
        <v>559</v>
      </c>
      <c r="J116" s="38" t="s">
        <v>338</v>
      </c>
      <c r="K116" s="39">
        <v>200000000</v>
      </c>
      <c r="L116" s="40">
        <v>1</v>
      </c>
      <c r="M116" s="41" t="s">
        <v>51</v>
      </c>
      <c r="N116" s="41" t="s">
        <v>56</v>
      </c>
      <c r="O116" s="41" t="s">
        <v>21</v>
      </c>
      <c r="P116" s="41" t="s">
        <v>23</v>
      </c>
      <c r="Q116" s="41" t="s">
        <v>230</v>
      </c>
      <c r="R116" s="42"/>
      <c r="S116" s="41" t="s">
        <v>341</v>
      </c>
      <c r="T116" s="41"/>
      <c r="U116" s="40">
        <v>1</v>
      </c>
      <c r="V116" s="38" t="str">
        <f>+$J$116</f>
        <v>Comunicar mensajes con contenidos de autocontrol y de esta manera fomentar la cultura del autocontrol en la ADRES.</v>
      </c>
      <c r="W116" s="39">
        <v>200000000</v>
      </c>
      <c r="X116" s="34" t="s">
        <v>117</v>
      </c>
      <c r="Y116" s="40">
        <v>0.25</v>
      </c>
      <c r="Z116" s="38" t="str">
        <f>+$J$116</f>
        <v>Comunicar mensajes con contenidos de autocontrol y de esta manera fomentar la cultura del autocontrol en la ADRES.</v>
      </c>
      <c r="AA116" s="39">
        <f>+W116*Y116</f>
        <v>50000000</v>
      </c>
      <c r="AB116" s="42"/>
      <c r="AC116" s="42"/>
      <c r="AD116" s="40">
        <f t="shared" si="73"/>
        <v>0</v>
      </c>
      <c r="AE116" s="40">
        <f t="shared" si="26"/>
        <v>0</v>
      </c>
      <c r="AF116" s="40">
        <f t="shared" si="27"/>
        <v>0</v>
      </c>
      <c r="AG116" s="40">
        <f t="shared" si="28"/>
        <v>0</v>
      </c>
      <c r="AH116" s="40">
        <v>0.25</v>
      </c>
      <c r="AI116" s="38" t="str">
        <f>+$J$116</f>
        <v>Comunicar mensajes con contenidos de autocontrol y de esta manera fomentar la cultura del autocontrol en la ADRES.</v>
      </c>
      <c r="AJ116" s="39">
        <f>+W116*AH116</f>
        <v>50000000</v>
      </c>
      <c r="AK116" s="42"/>
      <c r="AL116" s="42"/>
      <c r="AM116" s="40">
        <f t="shared" si="29"/>
        <v>0</v>
      </c>
      <c r="AN116" s="40">
        <f t="shared" si="30"/>
        <v>0</v>
      </c>
      <c r="AO116" s="40">
        <f t="shared" si="31"/>
        <v>0</v>
      </c>
      <c r="AP116" s="43">
        <f t="shared" si="32"/>
        <v>0</v>
      </c>
      <c r="AQ116" s="40">
        <v>0.25</v>
      </c>
      <c r="AR116" s="38" t="str">
        <f>+$J$116</f>
        <v>Comunicar mensajes con contenidos de autocontrol y de esta manera fomentar la cultura del autocontrol en la ADRES.</v>
      </c>
      <c r="AS116" s="39">
        <f>+W116*AQ116</f>
        <v>50000000</v>
      </c>
      <c r="AT116" s="42"/>
      <c r="AU116" s="42"/>
      <c r="AV116" s="40">
        <f t="shared" si="33"/>
        <v>0</v>
      </c>
      <c r="AW116" s="40">
        <f t="shared" si="34"/>
        <v>0</v>
      </c>
      <c r="AX116" s="40">
        <f t="shared" si="35"/>
        <v>0</v>
      </c>
      <c r="AY116" s="40">
        <f t="shared" si="36"/>
        <v>0</v>
      </c>
      <c r="AZ116" s="40">
        <v>0.25</v>
      </c>
      <c r="BA116" s="38" t="str">
        <f>+$J$116</f>
        <v>Comunicar mensajes con contenidos de autocontrol y de esta manera fomentar la cultura del autocontrol en la ADRES.</v>
      </c>
      <c r="BB116" s="39">
        <f>+W116*AZ116</f>
        <v>50000000</v>
      </c>
      <c r="BC116" s="42"/>
      <c r="BD116" s="42"/>
      <c r="BE116" s="40">
        <f t="shared" si="37"/>
        <v>0</v>
      </c>
      <c r="BF116" s="40">
        <f t="shared" si="38"/>
        <v>0</v>
      </c>
      <c r="BG116" s="40">
        <f t="shared" si="39"/>
        <v>0</v>
      </c>
      <c r="BH116" s="40">
        <f t="shared" si="40"/>
        <v>0</v>
      </c>
      <c r="BI116" s="44">
        <f t="shared" si="41"/>
        <v>0</v>
      </c>
      <c r="BJ116" s="44">
        <f t="shared" si="42"/>
        <v>0</v>
      </c>
      <c r="BK116" s="44">
        <f t="shared" si="43"/>
        <v>0</v>
      </c>
      <c r="BL116" s="44">
        <f t="shared" si="44"/>
        <v>0</v>
      </c>
      <c r="BM116" s="44">
        <f t="shared" si="45"/>
        <v>0</v>
      </c>
      <c r="BN116" s="44">
        <f t="shared" si="46"/>
        <v>0</v>
      </c>
      <c r="BO116" s="44">
        <f t="shared" si="47"/>
        <v>0</v>
      </c>
      <c r="BP116" s="44">
        <f t="shared" si="48"/>
        <v>0</v>
      </c>
      <c r="BQ116" s="42"/>
    </row>
    <row r="117" spans="1:69" s="18" customFormat="1" ht="105" x14ac:dyDescent="0.25">
      <c r="A117" s="80">
        <v>11900</v>
      </c>
      <c r="B117" s="79" t="str">
        <f>+VLOOKUP(A117,'[5]TAB. REF. PA'!$A$4:$B$14,2,FALSE)</f>
        <v>Oficina Asesora Jurídica</v>
      </c>
      <c r="C117" s="80" t="s">
        <v>350</v>
      </c>
      <c r="D117" s="79" t="s">
        <v>153</v>
      </c>
      <c r="E117" s="80" t="s">
        <v>352</v>
      </c>
      <c r="F117" s="79" t="s">
        <v>684</v>
      </c>
      <c r="G117" s="80" t="s">
        <v>124</v>
      </c>
      <c r="H117" s="80">
        <v>4</v>
      </c>
      <c r="I117" s="80" t="s">
        <v>544</v>
      </c>
      <c r="J117" s="81" t="s">
        <v>685</v>
      </c>
      <c r="K117" s="82">
        <v>0</v>
      </c>
      <c r="L117" s="88">
        <v>1</v>
      </c>
      <c r="M117" s="84" t="s">
        <v>51</v>
      </c>
      <c r="N117" s="84" t="s">
        <v>68</v>
      </c>
      <c r="O117" s="84" t="s">
        <v>21</v>
      </c>
      <c r="P117" s="84" t="s">
        <v>36</v>
      </c>
      <c r="Q117" s="84" t="s">
        <v>75</v>
      </c>
      <c r="R117" s="85"/>
      <c r="S117" s="89" t="s">
        <v>631</v>
      </c>
      <c r="T117" s="84" t="s">
        <v>98</v>
      </c>
      <c r="U117" s="117">
        <f>+H117</f>
        <v>4</v>
      </c>
      <c r="V117" s="81" t="str">
        <f>+J117</f>
        <v xml:space="preserve">
Reportar  trimestralmente el cumplimiento del Plan de Acción de la Dependencia</v>
      </c>
      <c r="W117" s="82">
        <v>0</v>
      </c>
      <c r="X117" s="78" t="s">
        <v>117</v>
      </c>
      <c r="Y117" s="117">
        <v>1</v>
      </c>
      <c r="Z117" s="81" t="str">
        <f>+V117</f>
        <v xml:space="preserve">
Reportar  trimestralmente el cumplimiento del Plan de Acción de la Dependencia</v>
      </c>
      <c r="AA117" s="82">
        <v>0</v>
      </c>
      <c r="AB117" s="85"/>
      <c r="AC117" s="85"/>
      <c r="AD117" s="83">
        <f t="shared" si="73"/>
        <v>0</v>
      </c>
      <c r="AE117" s="83" t="e">
        <f t="shared" si="26"/>
        <v>#DIV/0!</v>
      </c>
      <c r="AF117" s="83">
        <f t="shared" si="27"/>
        <v>0</v>
      </c>
      <c r="AG117" s="83" t="e">
        <f t="shared" si="28"/>
        <v>#DIV/0!</v>
      </c>
      <c r="AH117" s="117">
        <v>1</v>
      </c>
      <c r="AI117" s="81" t="str">
        <f>+V117</f>
        <v xml:space="preserve">
Reportar  trimestralmente el cumplimiento del Plan de Acción de la Dependencia</v>
      </c>
      <c r="AJ117" s="82">
        <v>0</v>
      </c>
      <c r="AK117" s="85"/>
      <c r="AL117" s="85"/>
      <c r="AM117" s="83">
        <f t="shared" si="29"/>
        <v>0</v>
      </c>
      <c r="AN117" s="83" t="e">
        <f t="shared" si="30"/>
        <v>#DIV/0!</v>
      </c>
      <c r="AO117" s="83">
        <f t="shared" si="31"/>
        <v>0</v>
      </c>
      <c r="AP117" s="87" t="e">
        <f t="shared" si="32"/>
        <v>#DIV/0!</v>
      </c>
      <c r="AQ117" s="117">
        <v>1</v>
      </c>
      <c r="AR117" s="81" t="str">
        <f>+V117</f>
        <v xml:space="preserve">
Reportar  trimestralmente el cumplimiento del Plan de Acción de la Dependencia</v>
      </c>
      <c r="AS117" s="82">
        <v>0</v>
      </c>
      <c r="AT117" s="85"/>
      <c r="AU117" s="85"/>
      <c r="AV117" s="83">
        <f t="shared" si="33"/>
        <v>0</v>
      </c>
      <c r="AW117" s="83" t="e">
        <f t="shared" si="34"/>
        <v>#DIV/0!</v>
      </c>
      <c r="AX117" s="83">
        <f t="shared" si="35"/>
        <v>0</v>
      </c>
      <c r="AY117" s="83" t="e">
        <f t="shared" si="36"/>
        <v>#DIV/0!</v>
      </c>
      <c r="AZ117" s="117">
        <v>1</v>
      </c>
      <c r="BA117" s="81" t="str">
        <f>+V117</f>
        <v xml:space="preserve">
Reportar  trimestralmente el cumplimiento del Plan de Acción de la Dependencia</v>
      </c>
      <c r="BB117" s="82">
        <v>0</v>
      </c>
      <c r="BC117" s="85"/>
      <c r="BD117" s="85"/>
      <c r="BE117" s="83">
        <f t="shared" si="37"/>
        <v>0</v>
      </c>
      <c r="BF117" s="83" t="e">
        <f t="shared" si="38"/>
        <v>#DIV/0!</v>
      </c>
      <c r="BG117" s="83">
        <f t="shared" si="39"/>
        <v>0</v>
      </c>
      <c r="BH117" s="83" t="e">
        <f t="shared" si="40"/>
        <v>#DIV/0!</v>
      </c>
      <c r="BI117" s="17">
        <f t="shared" si="41"/>
        <v>0</v>
      </c>
      <c r="BJ117" s="17" t="str">
        <f t="shared" si="42"/>
        <v>No Prog ni Ejec</v>
      </c>
      <c r="BK117" s="17">
        <f t="shared" si="43"/>
        <v>0</v>
      </c>
      <c r="BL117" s="17" t="str">
        <f t="shared" si="44"/>
        <v>No Prog ni Ejec</v>
      </c>
      <c r="BM117" s="17">
        <f t="shared" si="45"/>
        <v>0</v>
      </c>
      <c r="BN117" s="17" t="str">
        <f t="shared" si="46"/>
        <v>No Prog ni Ejec</v>
      </c>
      <c r="BO117" s="17">
        <f t="shared" si="47"/>
        <v>0</v>
      </c>
      <c r="BP117" s="17" t="str">
        <f t="shared" si="48"/>
        <v>No Prog ni Ejec</v>
      </c>
      <c r="BQ117" s="16"/>
    </row>
    <row r="118" spans="1:69" s="18" customFormat="1" ht="105" x14ac:dyDescent="0.25">
      <c r="A118" s="80">
        <v>11900</v>
      </c>
      <c r="B118" s="79" t="str">
        <f>+VLOOKUP(A118,'[5]TAB. REF. PA'!$A$4:$B$14,2,FALSE)</f>
        <v>Oficina Asesora Jurídica</v>
      </c>
      <c r="C118" s="80" t="s">
        <v>351</v>
      </c>
      <c r="D118" s="79" t="s">
        <v>256</v>
      </c>
      <c r="E118" s="80" t="s">
        <v>353</v>
      </c>
      <c r="F118" s="79" t="s">
        <v>686</v>
      </c>
      <c r="G118" s="80" t="s">
        <v>123</v>
      </c>
      <c r="H118" s="93">
        <v>1</v>
      </c>
      <c r="I118" s="80" t="s">
        <v>545</v>
      </c>
      <c r="J118" s="81" t="s">
        <v>598</v>
      </c>
      <c r="K118" s="82">
        <v>0</v>
      </c>
      <c r="L118" s="88">
        <v>1</v>
      </c>
      <c r="M118" s="84" t="s">
        <v>51</v>
      </c>
      <c r="N118" s="84" t="s">
        <v>68</v>
      </c>
      <c r="O118" s="84" t="s">
        <v>21</v>
      </c>
      <c r="P118" s="84" t="s">
        <v>36</v>
      </c>
      <c r="Q118" s="84" t="s">
        <v>75</v>
      </c>
      <c r="R118" s="85"/>
      <c r="S118" s="89" t="s">
        <v>672</v>
      </c>
      <c r="T118" s="84" t="s">
        <v>98</v>
      </c>
      <c r="U118" s="88">
        <v>1</v>
      </c>
      <c r="V118" s="81" t="str">
        <f>+J118</f>
        <v>Formular los procesos y procedimientos en el marco del MIPG</v>
      </c>
      <c r="W118" s="82">
        <v>0</v>
      </c>
      <c r="X118" s="78" t="s">
        <v>117</v>
      </c>
      <c r="Y118" s="88">
        <v>0.25</v>
      </c>
      <c r="Z118" s="81" t="str">
        <f>+$J$106</f>
        <v>Garantizar la gestión de Servicio al ciudadano de la entidad  por los diferentes canales  de atención.</v>
      </c>
      <c r="AA118" s="82">
        <v>0</v>
      </c>
      <c r="AB118" s="85"/>
      <c r="AC118" s="85"/>
      <c r="AD118" s="83">
        <f t="shared" si="73"/>
        <v>0</v>
      </c>
      <c r="AE118" s="83" t="e">
        <f t="shared" si="26"/>
        <v>#DIV/0!</v>
      </c>
      <c r="AF118" s="83">
        <f t="shared" si="27"/>
        <v>0</v>
      </c>
      <c r="AG118" s="83" t="e">
        <f t="shared" si="28"/>
        <v>#DIV/0!</v>
      </c>
      <c r="AH118" s="88">
        <v>0.25</v>
      </c>
      <c r="AI118" s="81" t="str">
        <f>+$J$106</f>
        <v>Garantizar la gestión de Servicio al ciudadano de la entidad  por los diferentes canales  de atención.</v>
      </c>
      <c r="AJ118" s="82">
        <v>0</v>
      </c>
      <c r="AK118" s="85"/>
      <c r="AL118" s="85"/>
      <c r="AM118" s="83">
        <f t="shared" si="29"/>
        <v>0</v>
      </c>
      <c r="AN118" s="83" t="e">
        <f t="shared" si="30"/>
        <v>#DIV/0!</v>
      </c>
      <c r="AO118" s="83">
        <f t="shared" si="31"/>
        <v>0</v>
      </c>
      <c r="AP118" s="87" t="e">
        <f t="shared" si="32"/>
        <v>#DIV/0!</v>
      </c>
      <c r="AQ118" s="88">
        <v>0.25</v>
      </c>
      <c r="AR118" s="81" t="str">
        <f>+$J$106</f>
        <v>Garantizar la gestión de Servicio al ciudadano de la entidad  por los diferentes canales  de atención.</v>
      </c>
      <c r="AS118" s="82">
        <v>0</v>
      </c>
      <c r="AT118" s="85"/>
      <c r="AU118" s="85"/>
      <c r="AV118" s="83">
        <f t="shared" si="33"/>
        <v>0</v>
      </c>
      <c r="AW118" s="83" t="e">
        <f t="shared" si="34"/>
        <v>#DIV/0!</v>
      </c>
      <c r="AX118" s="83">
        <f t="shared" si="35"/>
        <v>0</v>
      </c>
      <c r="AY118" s="83" t="e">
        <f t="shared" si="36"/>
        <v>#DIV/0!</v>
      </c>
      <c r="AZ118" s="88">
        <v>0.25</v>
      </c>
      <c r="BA118" s="81" t="str">
        <f>+$J$106</f>
        <v>Garantizar la gestión de Servicio al ciudadano de la entidad  por los diferentes canales  de atención.</v>
      </c>
      <c r="BB118" s="82">
        <v>0</v>
      </c>
      <c r="BC118" s="85"/>
      <c r="BD118" s="85"/>
      <c r="BE118" s="83">
        <f t="shared" si="37"/>
        <v>0</v>
      </c>
      <c r="BF118" s="83" t="e">
        <f t="shared" si="38"/>
        <v>#DIV/0!</v>
      </c>
      <c r="BG118" s="83">
        <f t="shared" si="39"/>
        <v>0</v>
      </c>
      <c r="BH118" s="83" t="e">
        <f t="shared" si="40"/>
        <v>#DIV/0!</v>
      </c>
      <c r="BI118" s="17">
        <f t="shared" si="41"/>
        <v>0</v>
      </c>
      <c r="BJ118" s="17" t="str">
        <f t="shared" si="42"/>
        <v>No Prog ni Ejec</v>
      </c>
      <c r="BK118" s="17">
        <f t="shared" si="43"/>
        <v>0</v>
      </c>
      <c r="BL118" s="17" t="str">
        <f t="shared" si="44"/>
        <v>No Prog ni Ejec</v>
      </c>
      <c r="BM118" s="17">
        <f t="shared" si="45"/>
        <v>0</v>
      </c>
      <c r="BN118" s="17" t="str">
        <f t="shared" si="46"/>
        <v>No Prog ni Ejec</v>
      </c>
      <c r="BO118" s="17">
        <f t="shared" si="47"/>
        <v>0</v>
      </c>
      <c r="BP118" s="17" t="str">
        <f t="shared" si="48"/>
        <v>No Prog ni Ejec</v>
      </c>
      <c r="BQ118" s="16"/>
    </row>
    <row r="119" spans="1:69" s="18" customFormat="1" ht="105" x14ac:dyDescent="0.25">
      <c r="A119" s="80">
        <v>11900</v>
      </c>
      <c r="B119" s="79" t="str">
        <f>+VLOOKUP(A119,'[5]TAB. REF. PA'!$A$4:$B$14,2,FALSE)</f>
        <v>Oficina Asesora Jurídica</v>
      </c>
      <c r="C119" s="80" t="s">
        <v>351</v>
      </c>
      <c r="D119" s="79" t="s">
        <v>256</v>
      </c>
      <c r="E119" s="80" t="s">
        <v>354</v>
      </c>
      <c r="F119" s="81" t="s">
        <v>687</v>
      </c>
      <c r="G119" s="80" t="s">
        <v>124</v>
      </c>
      <c r="H119" s="80">
        <v>4</v>
      </c>
      <c r="I119" s="80" t="s">
        <v>560</v>
      </c>
      <c r="J119" s="81" t="s">
        <v>688</v>
      </c>
      <c r="K119" s="82">
        <v>0</v>
      </c>
      <c r="L119" s="88">
        <v>1</v>
      </c>
      <c r="M119" s="84" t="s">
        <v>51</v>
      </c>
      <c r="N119" s="84" t="s">
        <v>68</v>
      </c>
      <c r="O119" s="84" t="s">
        <v>21</v>
      </c>
      <c r="P119" s="84" t="s">
        <v>36</v>
      </c>
      <c r="Q119" s="84" t="s">
        <v>75</v>
      </c>
      <c r="R119" s="85"/>
      <c r="S119" s="84" t="s">
        <v>570</v>
      </c>
      <c r="T119" s="84" t="s">
        <v>98</v>
      </c>
      <c r="U119" s="80">
        <v>4</v>
      </c>
      <c r="V119" s="81" t="str">
        <f>+J119</f>
        <v>Evaluar la gestión y resultados de los procesos de calidad de la Dependencia y remitir informes trimestrales de los indicadores formulados y las acciones de mejoras</v>
      </c>
      <c r="W119" s="82">
        <v>0</v>
      </c>
      <c r="X119" s="78" t="s">
        <v>117</v>
      </c>
      <c r="Y119" s="80">
        <v>1</v>
      </c>
      <c r="Z119" s="81" t="str">
        <f>+V119</f>
        <v>Evaluar la gestión y resultados de los procesos de calidad de la Dependencia y remitir informes trimestrales de los indicadores formulados y las acciones de mejoras</v>
      </c>
      <c r="AA119" s="82">
        <v>0</v>
      </c>
      <c r="AB119" s="85"/>
      <c r="AC119" s="85"/>
      <c r="AD119" s="83">
        <f t="shared" si="73"/>
        <v>0</v>
      </c>
      <c r="AE119" s="83" t="e">
        <f t="shared" si="26"/>
        <v>#DIV/0!</v>
      </c>
      <c r="AF119" s="83">
        <f t="shared" si="27"/>
        <v>0</v>
      </c>
      <c r="AG119" s="83" t="e">
        <f t="shared" si="28"/>
        <v>#DIV/0!</v>
      </c>
      <c r="AH119" s="80">
        <v>1</v>
      </c>
      <c r="AI119" s="81" t="str">
        <f>+V119</f>
        <v>Evaluar la gestión y resultados de los procesos de calidad de la Dependencia y remitir informes trimestrales de los indicadores formulados y las acciones de mejoras</v>
      </c>
      <c r="AJ119" s="82">
        <v>0</v>
      </c>
      <c r="AK119" s="85"/>
      <c r="AL119" s="85"/>
      <c r="AM119" s="83">
        <f t="shared" si="29"/>
        <v>0</v>
      </c>
      <c r="AN119" s="83" t="e">
        <f t="shared" si="30"/>
        <v>#DIV/0!</v>
      </c>
      <c r="AO119" s="83">
        <f t="shared" si="31"/>
        <v>0</v>
      </c>
      <c r="AP119" s="87" t="e">
        <f t="shared" si="32"/>
        <v>#DIV/0!</v>
      </c>
      <c r="AQ119" s="80">
        <v>1</v>
      </c>
      <c r="AR119" s="81" t="str">
        <f>+V119</f>
        <v>Evaluar la gestión y resultados de los procesos de calidad de la Dependencia y remitir informes trimestrales de los indicadores formulados y las acciones de mejoras</v>
      </c>
      <c r="AS119" s="82">
        <v>0</v>
      </c>
      <c r="AT119" s="85"/>
      <c r="AU119" s="85"/>
      <c r="AV119" s="83">
        <f t="shared" si="33"/>
        <v>0</v>
      </c>
      <c r="AW119" s="83" t="e">
        <f t="shared" si="34"/>
        <v>#DIV/0!</v>
      </c>
      <c r="AX119" s="83">
        <f t="shared" si="35"/>
        <v>0</v>
      </c>
      <c r="AY119" s="83" t="e">
        <f t="shared" si="36"/>
        <v>#DIV/0!</v>
      </c>
      <c r="AZ119" s="80">
        <v>1</v>
      </c>
      <c r="BA119" s="81" t="str">
        <f>+V119</f>
        <v>Evaluar la gestión y resultados de los procesos de calidad de la Dependencia y remitir informes trimestrales de los indicadores formulados y las acciones de mejoras</v>
      </c>
      <c r="BB119" s="82">
        <v>0</v>
      </c>
      <c r="BC119" s="85"/>
      <c r="BD119" s="85"/>
      <c r="BE119" s="83">
        <f t="shared" si="37"/>
        <v>0</v>
      </c>
      <c r="BF119" s="83" t="e">
        <f t="shared" si="38"/>
        <v>#DIV/0!</v>
      </c>
      <c r="BG119" s="83">
        <f t="shared" si="39"/>
        <v>0</v>
      </c>
      <c r="BH119" s="83" t="e">
        <f t="shared" si="40"/>
        <v>#DIV/0!</v>
      </c>
      <c r="BI119" s="17">
        <f t="shared" si="41"/>
        <v>0</v>
      </c>
      <c r="BJ119" s="17" t="str">
        <f t="shared" si="42"/>
        <v>No Prog ni Ejec</v>
      </c>
      <c r="BK119" s="17">
        <f t="shared" si="43"/>
        <v>0</v>
      </c>
      <c r="BL119" s="17" t="str">
        <f t="shared" si="44"/>
        <v>No Prog ni Ejec</v>
      </c>
      <c r="BM119" s="17">
        <f t="shared" si="45"/>
        <v>0</v>
      </c>
      <c r="BN119" s="17" t="str">
        <f t="shared" si="46"/>
        <v>No Prog ni Ejec</v>
      </c>
      <c r="BO119" s="17">
        <f t="shared" si="47"/>
        <v>0</v>
      </c>
      <c r="BP119" s="17" t="str">
        <f t="shared" si="48"/>
        <v>No Prog ni Ejec</v>
      </c>
      <c r="BQ119" s="16"/>
    </row>
    <row r="120" spans="1:69" s="18" customFormat="1" ht="105" x14ac:dyDescent="0.25">
      <c r="A120" s="80">
        <v>11900</v>
      </c>
      <c r="B120" s="79" t="s">
        <v>349</v>
      </c>
      <c r="C120" s="80" t="s">
        <v>357</v>
      </c>
      <c r="D120" s="79" t="s">
        <v>146</v>
      </c>
      <c r="E120" s="80" t="s">
        <v>358</v>
      </c>
      <c r="F120" s="79" t="s">
        <v>689</v>
      </c>
      <c r="G120" s="80" t="s">
        <v>123</v>
      </c>
      <c r="H120" s="93">
        <v>1</v>
      </c>
      <c r="I120" s="80" t="s">
        <v>359</v>
      </c>
      <c r="J120" s="81" t="s">
        <v>690</v>
      </c>
      <c r="K120" s="82">
        <v>254442984</v>
      </c>
      <c r="L120" s="88">
        <v>1</v>
      </c>
      <c r="M120" s="84" t="s">
        <v>46</v>
      </c>
      <c r="N120" s="84" t="s">
        <v>74</v>
      </c>
      <c r="O120" s="84" t="s">
        <v>21</v>
      </c>
      <c r="P120" s="84" t="s">
        <v>36</v>
      </c>
      <c r="Q120" s="84" t="s">
        <v>229</v>
      </c>
      <c r="R120" s="85"/>
      <c r="S120" s="89" t="s">
        <v>360</v>
      </c>
      <c r="T120" s="84" t="s">
        <v>99</v>
      </c>
      <c r="U120" s="88">
        <v>1</v>
      </c>
      <c r="V120" s="81" t="s">
        <v>690</v>
      </c>
      <c r="W120" s="82">
        <v>307607868</v>
      </c>
      <c r="X120" s="78" t="s">
        <v>114</v>
      </c>
      <c r="Y120" s="88"/>
      <c r="Z120" s="81" t="s">
        <v>690</v>
      </c>
      <c r="AA120" s="82">
        <v>76901967</v>
      </c>
      <c r="AB120" s="85"/>
      <c r="AC120" s="85"/>
      <c r="AD120" s="83">
        <v>0</v>
      </c>
      <c r="AE120" s="83">
        <v>0</v>
      </c>
      <c r="AF120" s="83">
        <v>0</v>
      </c>
      <c r="AG120" s="83">
        <v>0</v>
      </c>
      <c r="AH120" s="88">
        <v>0.25</v>
      </c>
      <c r="AI120" s="81" t="s">
        <v>690</v>
      </c>
      <c r="AJ120" s="82">
        <v>76901967</v>
      </c>
      <c r="AK120" s="85"/>
      <c r="AL120" s="85"/>
      <c r="AM120" s="83">
        <v>0</v>
      </c>
      <c r="AN120" s="83">
        <v>0</v>
      </c>
      <c r="AO120" s="83">
        <v>0</v>
      </c>
      <c r="AP120" s="87">
        <v>0</v>
      </c>
      <c r="AQ120" s="88">
        <v>0.25</v>
      </c>
      <c r="AR120" s="81" t="s">
        <v>690</v>
      </c>
      <c r="AS120" s="82">
        <v>76901967</v>
      </c>
      <c r="AT120" s="85"/>
      <c r="AU120" s="85"/>
      <c r="AV120" s="83">
        <v>0</v>
      </c>
      <c r="AW120" s="83">
        <v>0</v>
      </c>
      <c r="AX120" s="83">
        <v>0</v>
      </c>
      <c r="AY120" s="83">
        <v>0</v>
      </c>
      <c r="AZ120" s="88">
        <v>0.25</v>
      </c>
      <c r="BA120" s="81" t="s">
        <v>690</v>
      </c>
      <c r="BB120" s="82">
        <v>76901967</v>
      </c>
      <c r="BC120" s="85"/>
      <c r="BD120" s="85"/>
      <c r="BE120" s="83">
        <v>0</v>
      </c>
      <c r="BF120" s="83">
        <v>0</v>
      </c>
      <c r="BG120" s="83">
        <v>0</v>
      </c>
      <c r="BH120" s="83">
        <v>0</v>
      </c>
      <c r="BI120" s="13" t="str">
        <f t="shared" si="41"/>
        <v>No Prog ni Ejec</v>
      </c>
      <c r="BJ120" s="13">
        <f t="shared" si="42"/>
        <v>0</v>
      </c>
      <c r="BK120" s="17">
        <f t="shared" si="43"/>
        <v>0</v>
      </c>
      <c r="BL120" s="13">
        <f t="shared" si="44"/>
        <v>0</v>
      </c>
      <c r="BM120" s="15">
        <f t="shared" si="45"/>
        <v>0</v>
      </c>
      <c r="BN120" s="13">
        <f t="shared" si="46"/>
        <v>0</v>
      </c>
      <c r="BO120" s="13">
        <f t="shared" si="47"/>
        <v>0</v>
      </c>
      <c r="BP120" s="13">
        <f t="shared" si="48"/>
        <v>0</v>
      </c>
      <c r="BQ120" s="1"/>
    </row>
    <row r="121" spans="1:69" s="18" customFormat="1" ht="120" x14ac:dyDescent="0.25">
      <c r="A121" s="80">
        <v>11900</v>
      </c>
      <c r="B121" s="79" t="s">
        <v>349</v>
      </c>
      <c r="C121" s="80" t="s">
        <v>357</v>
      </c>
      <c r="D121" s="79" t="s">
        <v>146</v>
      </c>
      <c r="E121" s="80" t="s">
        <v>361</v>
      </c>
      <c r="F121" s="79" t="s">
        <v>436</v>
      </c>
      <c r="G121" s="80" t="s">
        <v>123</v>
      </c>
      <c r="H121" s="93">
        <v>1</v>
      </c>
      <c r="I121" s="80" t="s">
        <v>458</v>
      </c>
      <c r="J121" s="81" t="s">
        <v>362</v>
      </c>
      <c r="K121" s="1113">
        <v>690412896</v>
      </c>
      <c r="L121" s="1119">
        <v>1</v>
      </c>
      <c r="M121" s="84" t="s">
        <v>46</v>
      </c>
      <c r="N121" s="84" t="s">
        <v>74</v>
      </c>
      <c r="O121" s="84" t="s">
        <v>21</v>
      </c>
      <c r="P121" s="84" t="s">
        <v>36</v>
      </c>
      <c r="Q121" s="84" t="s">
        <v>229</v>
      </c>
      <c r="R121" s="85"/>
      <c r="S121" s="89" t="s">
        <v>437</v>
      </c>
      <c r="T121" s="84" t="s">
        <v>99</v>
      </c>
      <c r="U121" s="88">
        <v>1</v>
      </c>
      <c r="V121" s="81" t="s">
        <v>362</v>
      </c>
      <c r="W121" s="82">
        <v>690412896</v>
      </c>
      <c r="X121" s="78" t="s">
        <v>114</v>
      </c>
      <c r="Y121" s="88">
        <v>0.25</v>
      </c>
      <c r="Z121" s="81" t="s">
        <v>362</v>
      </c>
      <c r="AA121" s="1113">
        <v>172603224</v>
      </c>
      <c r="AB121" s="85"/>
      <c r="AC121" s="1116"/>
      <c r="AD121" s="83">
        <v>0</v>
      </c>
      <c r="AE121" s="83">
        <v>0</v>
      </c>
      <c r="AF121" s="83">
        <v>0</v>
      </c>
      <c r="AG121" s="83">
        <v>0</v>
      </c>
      <c r="AH121" s="88">
        <v>0.25</v>
      </c>
      <c r="AI121" s="81" t="s">
        <v>362</v>
      </c>
      <c r="AJ121" s="1113">
        <v>172603224</v>
      </c>
      <c r="AK121" s="85"/>
      <c r="AL121" s="1122"/>
      <c r="AM121" s="82">
        <v>0</v>
      </c>
      <c r="AN121" s="83">
        <v>0</v>
      </c>
      <c r="AO121" s="83">
        <v>0</v>
      </c>
      <c r="AP121" s="87">
        <v>0</v>
      </c>
      <c r="AQ121" s="88">
        <v>0.25</v>
      </c>
      <c r="AR121" s="81" t="s">
        <v>362</v>
      </c>
      <c r="AS121" s="1113">
        <v>172603224</v>
      </c>
      <c r="AT121" s="85"/>
      <c r="AU121" s="1116"/>
      <c r="AV121" s="83">
        <v>0</v>
      </c>
      <c r="AW121" s="83">
        <v>0</v>
      </c>
      <c r="AX121" s="83">
        <v>0</v>
      </c>
      <c r="AY121" s="83">
        <v>0</v>
      </c>
      <c r="AZ121" s="88">
        <v>0.25</v>
      </c>
      <c r="BA121" s="81" t="s">
        <v>362</v>
      </c>
      <c r="BB121" s="1113">
        <v>172603224</v>
      </c>
      <c r="BC121" s="85"/>
      <c r="BD121" s="1116"/>
      <c r="BE121" s="83">
        <v>0</v>
      </c>
      <c r="BF121" s="83">
        <v>0</v>
      </c>
      <c r="BG121" s="83">
        <v>0</v>
      </c>
      <c r="BH121" s="83">
        <v>0</v>
      </c>
      <c r="BI121" s="13">
        <f t="shared" si="41"/>
        <v>0</v>
      </c>
      <c r="BJ121" s="13">
        <f t="shared" si="42"/>
        <v>0</v>
      </c>
      <c r="BK121" s="17">
        <f t="shared" si="43"/>
        <v>0</v>
      </c>
      <c r="BL121" s="13">
        <f t="shared" si="44"/>
        <v>0</v>
      </c>
      <c r="BM121" s="15">
        <f t="shared" si="45"/>
        <v>0</v>
      </c>
      <c r="BN121" s="13">
        <f t="shared" si="46"/>
        <v>0</v>
      </c>
      <c r="BO121" s="13">
        <f t="shared" si="47"/>
        <v>0</v>
      </c>
      <c r="BP121" s="13">
        <f t="shared" si="48"/>
        <v>0</v>
      </c>
      <c r="BQ121" s="1"/>
    </row>
    <row r="122" spans="1:69" s="18" customFormat="1" ht="150" x14ac:dyDescent="0.25">
      <c r="A122" s="80">
        <v>11900</v>
      </c>
      <c r="B122" s="79" t="s">
        <v>349</v>
      </c>
      <c r="C122" s="80" t="s">
        <v>357</v>
      </c>
      <c r="D122" s="79" t="s">
        <v>146</v>
      </c>
      <c r="E122" s="80" t="s">
        <v>371</v>
      </c>
      <c r="F122" s="79" t="s">
        <v>366</v>
      </c>
      <c r="G122" s="80" t="s">
        <v>123</v>
      </c>
      <c r="H122" s="93">
        <v>1</v>
      </c>
      <c r="I122" s="80" t="s">
        <v>547</v>
      </c>
      <c r="J122" s="81" t="s">
        <v>362</v>
      </c>
      <c r="K122" s="1114"/>
      <c r="L122" s="1120"/>
      <c r="M122" s="84" t="s">
        <v>46</v>
      </c>
      <c r="N122" s="84" t="s">
        <v>74</v>
      </c>
      <c r="O122" s="84" t="s">
        <v>21</v>
      </c>
      <c r="P122" s="84" t="s">
        <v>36</v>
      </c>
      <c r="Q122" s="84" t="s">
        <v>229</v>
      </c>
      <c r="R122" s="85"/>
      <c r="S122" s="89" t="s">
        <v>370</v>
      </c>
      <c r="T122" s="84" t="s">
        <v>99</v>
      </c>
      <c r="U122" s="88">
        <v>1</v>
      </c>
      <c r="V122" s="81" t="s">
        <v>362</v>
      </c>
      <c r="W122" s="82">
        <v>690412896</v>
      </c>
      <c r="X122" s="78" t="s">
        <v>117</v>
      </c>
      <c r="Y122" s="88">
        <v>0.25</v>
      </c>
      <c r="Z122" s="81" t="s">
        <v>362</v>
      </c>
      <c r="AA122" s="1114"/>
      <c r="AB122" s="85"/>
      <c r="AC122" s="1117"/>
      <c r="AD122" s="83">
        <v>0</v>
      </c>
      <c r="AE122" s="83">
        <v>0</v>
      </c>
      <c r="AF122" s="83">
        <v>0</v>
      </c>
      <c r="AG122" s="83">
        <v>0</v>
      </c>
      <c r="AH122" s="88">
        <v>0.25</v>
      </c>
      <c r="AI122" s="81" t="s">
        <v>362</v>
      </c>
      <c r="AJ122" s="1114"/>
      <c r="AK122" s="85"/>
      <c r="AL122" s="1123"/>
      <c r="AM122" s="83">
        <v>0</v>
      </c>
      <c r="AN122" s="83">
        <v>0</v>
      </c>
      <c r="AO122" s="83">
        <v>0</v>
      </c>
      <c r="AP122" s="87">
        <v>0</v>
      </c>
      <c r="AQ122" s="88">
        <v>0.25</v>
      </c>
      <c r="AR122" s="81" t="s">
        <v>362</v>
      </c>
      <c r="AS122" s="1114"/>
      <c r="AT122" s="85"/>
      <c r="AU122" s="1117"/>
      <c r="AV122" s="83">
        <v>0</v>
      </c>
      <c r="AW122" s="83">
        <v>0</v>
      </c>
      <c r="AX122" s="83">
        <v>0</v>
      </c>
      <c r="AY122" s="83">
        <v>0</v>
      </c>
      <c r="AZ122" s="88">
        <v>0.25</v>
      </c>
      <c r="BA122" s="81" t="s">
        <v>362</v>
      </c>
      <c r="BB122" s="1114"/>
      <c r="BC122" s="85"/>
      <c r="BD122" s="1117"/>
      <c r="BE122" s="83">
        <v>0</v>
      </c>
      <c r="BF122" s="83">
        <v>0</v>
      </c>
      <c r="BG122" s="83">
        <v>0</v>
      </c>
      <c r="BH122" s="83">
        <v>0</v>
      </c>
      <c r="BI122" s="13">
        <f t="shared" si="41"/>
        <v>0</v>
      </c>
      <c r="BJ122" s="13" t="str">
        <f t="shared" si="42"/>
        <v>No Prog ni Ejec</v>
      </c>
      <c r="BK122" s="17">
        <f t="shared" si="43"/>
        <v>0</v>
      </c>
      <c r="BL122" s="13" t="str">
        <f t="shared" si="44"/>
        <v>No Prog ni Ejec</v>
      </c>
      <c r="BM122" s="15">
        <f t="shared" si="45"/>
        <v>0</v>
      </c>
      <c r="BN122" s="13" t="str">
        <f t="shared" si="46"/>
        <v>No Prog ni Ejec</v>
      </c>
      <c r="BO122" s="13">
        <f t="shared" si="47"/>
        <v>0</v>
      </c>
      <c r="BP122" s="13" t="str">
        <f t="shared" si="48"/>
        <v>No Prog ni Ejec</v>
      </c>
      <c r="BQ122" s="1"/>
    </row>
    <row r="123" spans="1:69" s="18" customFormat="1" ht="105" x14ac:dyDescent="0.25">
      <c r="A123" s="80">
        <v>11900</v>
      </c>
      <c r="B123" s="79" t="s">
        <v>349</v>
      </c>
      <c r="C123" s="80" t="s">
        <v>357</v>
      </c>
      <c r="D123" s="79" t="s">
        <v>146</v>
      </c>
      <c r="E123" s="80" t="s">
        <v>372</v>
      </c>
      <c r="F123" s="79" t="s">
        <v>367</v>
      </c>
      <c r="G123" s="80" t="s">
        <v>123</v>
      </c>
      <c r="H123" s="93">
        <v>1</v>
      </c>
      <c r="I123" s="80" t="s">
        <v>459</v>
      </c>
      <c r="J123" s="81" t="s">
        <v>363</v>
      </c>
      <c r="K123" s="1114"/>
      <c r="L123" s="1120"/>
      <c r="M123" s="84" t="s">
        <v>46</v>
      </c>
      <c r="N123" s="84" t="s">
        <v>74</v>
      </c>
      <c r="O123" s="84" t="s">
        <v>21</v>
      </c>
      <c r="P123" s="84" t="s">
        <v>36</v>
      </c>
      <c r="Q123" s="84" t="s">
        <v>229</v>
      </c>
      <c r="R123" s="85"/>
      <c r="S123" s="89" t="s">
        <v>438</v>
      </c>
      <c r="T123" s="84" t="s">
        <v>99</v>
      </c>
      <c r="U123" s="88">
        <v>1</v>
      </c>
      <c r="V123" s="81" t="s">
        <v>363</v>
      </c>
      <c r="W123" s="82">
        <v>690412896</v>
      </c>
      <c r="X123" s="78" t="s">
        <v>114</v>
      </c>
      <c r="Y123" s="88">
        <v>0.25</v>
      </c>
      <c r="Z123" s="81" t="s">
        <v>363</v>
      </c>
      <c r="AA123" s="1114"/>
      <c r="AB123" s="85"/>
      <c r="AC123" s="1117"/>
      <c r="AD123" s="83">
        <v>0</v>
      </c>
      <c r="AE123" s="83">
        <v>0</v>
      </c>
      <c r="AF123" s="83">
        <v>0</v>
      </c>
      <c r="AG123" s="83">
        <v>0</v>
      </c>
      <c r="AH123" s="88">
        <v>0.25</v>
      </c>
      <c r="AI123" s="81" t="s">
        <v>363</v>
      </c>
      <c r="AJ123" s="1114"/>
      <c r="AK123" s="85"/>
      <c r="AL123" s="1123"/>
      <c r="AM123" s="83">
        <v>0</v>
      </c>
      <c r="AN123" s="83">
        <v>0</v>
      </c>
      <c r="AO123" s="83">
        <v>0</v>
      </c>
      <c r="AP123" s="87">
        <v>0</v>
      </c>
      <c r="AQ123" s="88">
        <v>0.25</v>
      </c>
      <c r="AR123" s="81" t="s">
        <v>363</v>
      </c>
      <c r="AS123" s="1114"/>
      <c r="AT123" s="85"/>
      <c r="AU123" s="1117"/>
      <c r="AV123" s="83">
        <v>0</v>
      </c>
      <c r="AW123" s="83">
        <v>0</v>
      </c>
      <c r="AX123" s="83">
        <v>0</v>
      </c>
      <c r="AY123" s="83">
        <v>0</v>
      </c>
      <c r="AZ123" s="88">
        <v>0.25</v>
      </c>
      <c r="BA123" s="81" t="s">
        <v>363</v>
      </c>
      <c r="BB123" s="1114"/>
      <c r="BC123" s="85"/>
      <c r="BD123" s="1117"/>
      <c r="BE123" s="83">
        <v>0</v>
      </c>
      <c r="BF123" s="83">
        <v>0</v>
      </c>
      <c r="BG123" s="83">
        <v>0</v>
      </c>
      <c r="BH123" s="83">
        <v>0</v>
      </c>
      <c r="BI123" s="13">
        <f t="shared" si="41"/>
        <v>0</v>
      </c>
      <c r="BJ123" s="13" t="str">
        <f t="shared" si="42"/>
        <v>No Prog ni Ejec</v>
      </c>
      <c r="BK123" s="17">
        <f t="shared" si="43"/>
        <v>0</v>
      </c>
      <c r="BL123" s="13" t="str">
        <f t="shared" si="44"/>
        <v>No Prog ni Ejec</v>
      </c>
      <c r="BM123" s="15">
        <f t="shared" si="45"/>
        <v>0</v>
      </c>
      <c r="BN123" s="13" t="str">
        <f t="shared" si="46"/>
        <v>No Prog ni Ejec</v>
      </c>
      <c r="BO123" s="13">
        <f t="shared" si="47"/>
        <v>0</v>
      </c>
      <c r="BP123" s="13" t="str">
        <f t="shared" si="48"/>
        <v>No Prog ni Ejec</v>
      </c>
      <c r="BQ123" s="1"/>
    </row>
    <row r="124" spans="1:69" s="18" customFormat="1" ht="180" x14ac:dyDescent="0.25">
      <c r="A124" s="80">
        <v>11900</v>
      </c>
      <c r="B124" s="79" t="s">
        <v>349</v>
      </c>
      <c r="C124" s="80" t="s">
        <v>357</v>
      </c>
      <c r="D124" s="79" t="s">
        <v>146</v>
      </c>
      <c r="E124" s="80" t="s">
        <v>439</v>
      </c>
      <c r="F124" s="79" t="s">
        <v>715</v>
      </c>
      <c r="G124" s="80" t="s">
        <v>123</v>
      </c>
      <c r="H124" s="93">
        <v>1</v>
      </c>
      <c r="I124" s="80" t="s">
        <v>462</v>
      </c>
      <c r="J124" s="81" t="s">
        <v>691</v>
      </c>
      <c r="K124" s="1114"/>
      <c r="L124" s="1120"/>
      <c r="M124" s="84" t="s">
        <v>46</v>
      </c>
      <c r="N124" s="84" t="s">
        <v>74</v>
      </c>
      <c r="O124" s="84" t="s">
        <v>21</v>
      </c>
      <c r="P124" s="84" t="s">
        <v>36</v>
      </c>
      <c r="Q124" s="84" t="s">
        <v>229</v>
      </c>
      <c r="R124" s="85"/>
      <c r="S124" s="89" t="s">
        <v>442</v>
      </c>
      <c r="T124" s="84" t="s">
        <v>99</v>
      </c>
      <c r="U124" s="88">
        <v>1</v>
      </c>
      <c r="V124" s="81" t="s">
        <v>691</v>
      </c>
      <c r="W124" s="82">
        <v>690412896</v>
      </c>
      <c r="X124" s="78" t="s">
        <v>114</v>
      </c>
      <c r="Y124" s="88">
        <v>0.25</v>
      </c>
      <c r="Z124" s="81" t="s">
        <v>691</v>
      </c>
      <c r="AA124" s="1114"/>
      <c r="AB124" s="85"/>
      <c r="AC124" s="1117"/>
      <c r="AD124" s="83">
        <v>0</v>
      </c>
      <c r="AE124" s="83">
        <v>0</v>
      </c>
      <c r="AF124" s="83">
        <v>0</v>
      </c>
      <c r="AG124" s="83">
        <v>0</v>
      </c>
      <c r="AH124" s="88">
        <v>0.25</v>
      </c>
      <c r="AI124" s="81" t="s">
        <v>691</v>
      </c>
      <c r="AJ124" s="1114"/>
      <c r="AK124" s="85"/>
      <c r="AL124" s="1123"/>
      <c r="AM124" s="83">
        <v>0</v>
      </c>
      <c r="AN124" s="83">
        <v>0</v>
      </c>
      <c r="AO124" s="83">
        <v>0</v>
      </c>
      <c r="AP124" s="87">
        <v>0</v>
      </c>
      <c r="AQ124" s="88">
        <v>0.25</v>
      </c>
      <c r="AR124" s="81" t="s">
        <v>691</v>
      </c>
      <c r="AS124" s="1114"/>
      <c r="AT124" s="85"/>
      <c r="AU124" s="1117"/>
      <c r="AV124" s="83">
        <v>0</v>
      </c>
      <c r="AW124" s="83">
        <v>0</v>
      </c>
      <c r="AX124" s="83">
        <v>0</v>
      </c>
      <c r="AY124" s="83">
        <v>0</v>
      </c>
      <c r="AZ124" s="88">
        <v>0.25</v>
      </c>
      <c r="BA124" s="81" t="s">
        <v>691</v>
      </c>
      <c r="BB124" s="1114"/>
      <c r="BC124" s="85"/>
      <c r="BD124" s="1117"/>
      <c r="BE124" s="83">
        <v>0</v>
      </c>
      <c r="BF124" s="83">
        <v>0</v>
      </c>
      <c r="BG124" s="83">
        <v>0</v>
      </c>
      <c r="BH124" s="83">
        <v>0</v>
      </c>
      <c r="BI124" s="13"/>
      <c r="BJ124" s="13"/>
      <c r="BK124" s="17"/>
      <c r="BL124" s="13"/>
      <c r="BM124" s="15"/>
      <c r="BN124" s="13"/>
      <c r="BO124" s="13"/>
      <c r="BP124" s="13"/>
      <c r="BQ124" s="1"/>
    </row>
    <row r="125" spans="1:69" s="18" customFormat="1" ht="210" x14ac:dyDescent="0.25">
      <c r="A125" s="80">
        <v>11900</v>
      </c>
      <c r="B125" s="79" t="s">
        <v>349</v>
      </c>
      <c r="C125" s="80" t="s">
        <v>357</v>
      </c>
      <c r="D125" s="79" t="s">
        <v>146</v>
      </c>
      <c r="E125" s="80" t="s">
        <v>439</v>
      </c>
      <c r="F125" s="79" t="s">
        <v>715</v>
      </c>
      <c r="G125" s="80" t="s">
        <v>123</v>
      </c>
      <c r="H125" s="93">
        <v>1</v>
      </c>
      <c r="I125" s="80" t="s">
        <v>718</v>
      </c>
      <c r="J125" s="81" t="s">
        <v>444</v>
      </c>
      <c r="K125" s="1115"/>
      <c r="L125" s="1121"/>
      <c r="M125" s="84" t="s">
        <v>46</v>
      </c>
      <c r="N125" s="84" t="s">
        <v>74</v>
      </c>
      <c r="O125" s="84" t="s">
        <v>21</v>
      </c>
      <c r="P125" s="84" t="s">
        <v>36</v>
      </c>
      <c r="Q125" s="84" t="s">
        <v>229</v>
      </c>
      <c r="R125" s="85"/>
      <c r="S125" s="89" t="s">
        <v>694</v>
      </c>
      <c r="T125" s="84" t="s">
        <v>99</v>
      </c>
      <c r="U125" s="88">
        <v>1</v>
      </c>
      <c r="V125" s="79" t="s">
        <v>444</v>
      </c>
      <c r="W125" s="82">
        <v>690412896</v>
      </c>
      <c r="X125" s="78" t="s">
        <v>114</v>
      </c>
      <c r="Y125" s="88">
        <v>0.25</v>
      </c>
      <c r="Z125" s="79" t="s">
        <v>444</v>
      </c>
      <c r="AA125" s="1115"/>
      <c r="AB125" s="85"/>
      <c r="AC125" s="1118"/>
      <c r="AD125" s="83">
        <v>0</v>
      </c>
      <c r="AE125" s="83">
        <v>0</v>
      </c>
      <c r="AF125" s="83">
        <v>0</v>
      </c>
      <c r="AG125" s="83">
        <v>0</v>
      </c>
      <c r="AH125" s="88">
        <v>0.25</v>
      </c>
      <c r="AI125" s="79" t="s">
        <v>444</v>
      </c>
      <c r="AJ125" s="1115"/>
      <c r="AK125" s="85"/>
      <c r="AL125" s="1124"/>
      <c r="AM125" s="83">
        <v>0</v>
      </c>
      <c r="AN125" s="83">
        <v>0</v>
      </c>
      <c r="AO125" s="83">
        <v>0</v>
      </c>
      <c r="AP125" s="87">
        <v>0</v>
      </c>
      <c r="AQ125" s="88">
        <v>0.25</v>
      </c>
      <c r="AR125" s="79" t="s">
        <v>444</v>
      </c>
      <c r="AS125" s="1115"/>
      <c r="AT125" s="85"/>
      <c r="AU125" s="1118"/>
      <c r="AV125" s="83">
        <v>0</v>
      </c>
      <c r="AW125" s="83">
        <v>0</v>
      </c>
      <c r="AX125" s="83">
        <v>0</v>
      </c>
      <c r="AY125" s="83">
        <v>0</v>
      </c>
      <c r="AZ125" s="88">
        <v>0.25</v>
      </c>
      <c r="BA125" s="79" t="s">
        <v>444</v>
      </c>
      <c r="BB125" s="1115"/>
      <c r="BC125" s="85"/>
      <c r="BD125" s="1118"/>
      <c r="BE125" s="83">
        <v>0</v>
      </c>
      <c r="BF125" s="83">
        <v>0</v>
      </c>
      <c r="BG125" s="83">
        <v>0</v>
      </c>
      <c r="BH125" s="83">
        <v>0</v>
      </c>
      <c r="BI125" s="13"/>
      <c r="BJ125" s="13"/>
      <c r="BK125" s="17"/>
      <c r="BL125" s="13"/>
      <c r="BM125" s="15"/>
      <c r="BN125" s="13"/>
      <c r="BO125" s="13"/>
      <c r="BP125" s="13"/>
      <c r="BQ125" s="1"/>
    </row>
    <row r="126" spans="1:69" s="18" customFormat="1" ht="240" x14ac:dyDescent="0.25">
      <c r="A126" s="80">
        <v>11900</v>
      </c>
      <c r="B126" s="79" t="s">
        <v>349</v>
      </c>
      <c r="C126" s="80" t="s">
        <v>357</v>
      </c>
      <c r="D126" s="79" t="s">
        <v>146</v>
      </c>
      <c r="E126" s="80" t="s">
        <v>373</v>
      </c>
      <c r="F126" s="79" t="s">
        <v>364</v>
      </c>
      <c r="G126" s="80" t="s">
        <v>123</v>
      </c>
      <c r="H126" s="93">
        <v>1</v>
      </c>
      <c r="I126" s="80" t="s">
        <v>460</v>
      </c>
      <c r="J126" s="81" t="s">
        <v>368</v>
      </c>
      <c r="K126" s="1113">
        <f>+'[1]Plan Adquisiciones'!G77+'[1]Plan Adquisiciones'!G78+'[1]Plan Adquisiciones'!G174+'[1]Plan Adquisiciones'!G175+'[1]Plan Adquisiciones'!G184+'[1]Plan Adquisiciones'!G89</f>
        <v>151084884</v>
      </c>
      <c r="L126" s="1119">
        <v>1</v>
      </c>
      <c r="M126" s="84" t="s">
        <v>46</v>
      </c>
      <c r="N126" s="84" t="s">
        <v>74</v>
      </c>
      <c r="O126" s="84" t="s">
        <v>21</v>
      </c>
      <c r="P126" s="84" t="s">
        <v>36</v>
      </c>
      <c r="Q126" s="84" t="s">
        <v>229</v>
      </c>
      <c r="R126" s="85"/>
      <c r="S126" s="89" t="s">
        <v>695</v>
      </c>
      <c r="T126" s="84" t="s">
        <v>99</v>
      </c>
      <c r="U126" s="88">
        <v>1</v>
      </c>
      <c r="V126" s="81" t="s">
        <v>368</v>
      </c>
      <c r="W126" s="82">
        <v>144058352</v>
      </c>
      <c r="X126" s="78" t="s">
        <v>114</v>
      </c>
      <c r="Y126" s="88">
        <v>0.25</v>
      </c>
      <c r="Z126" s="81" t="s">
        <v>368</v>
      </c>
      <c r="AA126" s="1113">
        <v>36014588</v>
      </c>
      <c r="AB126" s="85"/>
      <c r="AC126" s="1116"/>
      <c r="AD126" s="83">
        <v>0</v>
      </c>
      <c r="AE126" s="83">
        <v>0</v>
      </c>
      <c r="AF126" s="83">
        <v>0</v>
      </c>
      <c r="AG126" s="83">
        <v>0</v>
      </c>
      <c r="AH126" s="88">
        <v>0.25</v>
      </c>
      <c r="AI126" s="81" t="s">
        <v>368</v>
      </c>
      <c r="AJ126" s="1113">
        <v>36014588</v>
      </c>
      <c r="AK126" s="85"/>
      <c r="AL126" s="1116"/>
      <c r="AM126" s="83">
        <v>0</v>
      </c>
      <c r="AN126" s="83">
        <v>0</v>
      </c>
      <c r="AO126" s="83">
        <v>0</v>
      </c>
      <c r="AP126" s="87">
        <v>0</v>
      </c>
      <c r="AQ126" s="88">
        <v>0.25</v>
      </c>
      <c r="AR126" s="81" t="s">
        <v>368</v>
      </c>
      <c r="AS126" s="1113">
        <v>36014588</v>
      </c>
      <c r="AT126" s="85"/>
      <c r="AU126" s="1116"/>
      <c r="AV126" s="83">
        <v>0</v>
      </c>
      <c r="AW126" s="83">
        <v>0</v>
      </c>
      <c r="AX126" s="83">
        <v>0</v>
      </c>
      <c r="AY126" s="83">
        <v>0</v>
      </c>
      <c r="AZ126" s="88">
        <v>0.25</v>
      </c>
      <c r="BA126" s="81" t="s">
        <v>368</v>
      </c>
      <c r="BB126" s="1113">
        <v>36014588</v>
      </c>
      <c r="BC126" s="85"/>
      <c r="BD126" s="1116"/>
      <c r="BE126" s="83">
        <v>0</v>
      </c>
      <c r="BF126" s="83">
        <v>0</v>
      </c>
      <c r="BG126" s="83">
        <v>0</v>
      </c>
      <c r="BH126" s="83">
        <v>0</v>
      </c>
      <c r="BI126" s="13">
        <f t="shared" si="41"/>
        <v>0</v>
      </c>
      <c r="BJ126" s="13">
        <f t="shared" si="42"/>
        <v>0</v>
      </c>
      <c r="BK126" s="17">
        <f t="shared" si="43"/>
        <v>0</v>
      </c>
      <c r="BL126" s="13">
        <f t="shared" si="44"/>
        <v>0</v>
      </c>
      <c r="BM126" s="15">
        <f t="shared" si="45"/>
        <v>0</v>
      </c>
      <c r="BN126" s="13">
        <f t="shared" si="46"/>
        <v>0</v>
      </c>
      <c r="BO126" s="13">
        <f t="shared" si="47"/>
        <v>0</v>
      </c>
      <c r="BP126" s="13">
        <f t="shared" si="48"/>
        <v>0</v>
      </c>
      <c r="BQ126" s="1"/>
    </row>
    <row r="127" spans="1:69" s="18" customFormat="1" ht="195" x14ac:dyDescent="0.25">
      <c r="A127" s="80">
        <v>11900</v>
      </c>
      <c r="B127" s="79" t="s">
        <v>349</v>
      </c>
      <c r="C127" s="80" t="s">
        <v>357</v>
      </c>
      <c r="D127" s="79" t="s">
        <v>146</v>
      </c>
      <c r="E127" s="80" t="s">
        <v>435</v>
      </c>
      <c r="F127" s="79" t="s">
        <v>365</v>
      </c>
      <c r="G127" s="80" t="s">
        <v>123</v>
      </c>
      <c r="H127" s="93">
        <v>1</v>
      </c>
      <c r="I127" s="80" t="s">
        <v>461</v>
      </c>
      <c r="J127" s="81" t="s">
        <v>369</v>
      </c>
      <c r="K127" s="1114"/>
      <c r="L127" s="1120"/>
      <c r="M127" s="84" t="s">
        <v>46</v>
      </c>
      <c r="N127" s="84" t="s">
        <v>74</v>
      </c>
      <c r="O127" s="84" t="s">
        <v>21</v>
      </c>
      <c r="P127" s="84" t="s">
        <v>36</v>
      </c>
      <c r="Q127" s="84" t="s">
        <v>229</v>
      </c>
      <c r="R127" s="85"/>
      <c r="S127" s="89" t="s">
        <v>696</v>
      </c>
      <c r="T127" s="84" t="s">
        <v>99</v>
      </c>
      <c r="U127" s="88">
        <v>1</v>
      </c>
      <c r="V127" s="81" t="s">
        <v>369</v>
      </c>
      <c r="W127" s="82">
        <v>144058352</v>
      </c>
      <c r="X127" s="78" t="s">
        <v>114</v>
      </c>
      <c r="Y127" s="88">
        <v>0.25</v>
      </c>
      <c r="Z127" s="81" t="s">
        <v>369</v>
      </c>
      <c r="AA127" s="1114"/>
      <c r="AB127" s="85"/>
      <c r="AC127" s="1117"/>
      <c r="AD127" s="83">
        <v>0</v>
      </c>
      <c r="AE127" s="83">
        <v>0</v>
      </c>
      <c r="AF127" s="83">
        <v>0</v>
      </c>
      <c r="AG127" s="83">
        <v>0</v>
      </c>
      <c r="AH127" s="88">
        <v>0.25</v>
      </c>
      <c r="AI127" s="81" t="s">
        <v>369</v>
      </c>
      <c r="AJ127" s="1114"/>
      <c r="AK127" s="85"/>
      <c r="AL127" s="1117"/>
      <c r="AM127" s="83">
        <v>0</v>
      </c>
      <c r="AN127" s="83">
        <v>0</v>
      </c>
      <c r="AO127" s="83">
        <v>0</v>
      </c>
      <c r="AP127" s="87">
        <v>0</v>
      </c>
      <c r="AQ127" s="88">
        <v>0.25</v>
      </c>
      <c r="AR127" s="81" t="s">
        <v>369</v>
      </c>
      <c r="AS127" s="1114"/>
      <c r="AT127" s="85"/>
      <c r="AU127" s="1117"/>
      <c r="AV127" s="83">
        <v>0</v>
      </c>
      <c r="AW127" s="83">
        <v>0</v>
      </c>
      <c r="AX127" s="83">
        <v>0</v>
      </c>
      <c r="AY127" s="83">
        <v>0</v>
      </c>
      <c r="AZ127" s="88">
        <v>0.25</v>
      </c>
      <c r="BA127" s="81" t="s">
        <v>369</v>
      </c>
      <c r="BB127" s="1114"/>
      <c r="BC127" s="85"/>
      <c r="BD127" s="1117"/>
      <c r="BE127" s="83">
        <v>0</v>
      </c>
      <c r="BF127" s="83">
        <v>0</v>
      </c>
      <c r="BG127" s="83">
        <v>0</v>
      </c>
      <c r="BH127" s="83">
        <v>0</v>
      </c>
      <c r="BI127" s="13">
        <f t="shared" si="41"/>
        <v>0</v>
      </c>
      <c r="BJ127" s="13" t="str">
        <f t="shared" si="42"/>
        <v>No Prog ni Ejec</v>
      </c>
      <c r="BK127" s="17">
        <f t="shared" si="43"/>
        <v>0</v>
      </c>
      <c r="BL127" s="13" t="str">
        <f t="shared" si="44"/>
        <v>No Prog ni Ejec</v>
      </c>
      <c r="BM127" s="15">
        <f t="shared" si="45"/>
        <v>0</v>
      </c>
      <c r="BN127" s="13" t="str">
        <f t="shared" si="46"/>
        <v>No Prog ni Ejec</v>
      </c>
      <c r="BO127" s="13">
        <f t="shared" si="47"/>
        <v>0</v>
      </c>
      <c r="BP127" s="13" t="str">
        <f t="shared" si="48"/>
        <v>No Prog ni Ejec</v>
      </c>
      <c r="BQ127" s="1"/>
    </row>
    <row r="128" spans="1:69" s="18" customFormat="1" ht="135" x14ac:dyDescent="0.25">
      <c r="A128" s="80">
        <v>11900</v>
      </c>
      <c r="B128" s="79" t="s">
        <v>349</v>
      </c>
      <c r="C128" s="80" t="s">
        <v>357</v>
      </c>
      <c r="D128" s="79" t="s">
        <v>146</v>
      </c>
      <c r="E128" s="80" t="s">
        <v>443</v>
      </c>
      <c r="F128" s="79" t="s">
        <v>568</v>
      </c>
      <c r="G128" s="80" t="s">
        <v>123</v>
      </c>
      <c r="H128" s="93">
        <v>1</v>
      </c>
      <c r="I128" s="80" t="s">
        <v>548</v>
      </c>
      <c r="J128" s="81" t="s">
        <v>697</v>
      </c>
      <c r="K128" s="1115"/>
      <c r="L128" s="1121"/>
      <c r="M128" s="84" t="s">
        <v>46</v>
      </c>
      <c r="N128" s="84" t="s">
        <v>74</v>
      </c>
      <c r="O128" s="84" t="s">
        <v>21</v>
      </c>
      <c r="P128" s="84" t="s">
        <v>36</v>
      </c>
      <c r="Q128" s="84" t="s">
        <v>229</v>
      </c>
      <c r="R128" s="85"/>
      <c r="S128" s="89" t="s">
        <v>698</v>
      </c>
      <c r="T128" s="84" t="s">
        <v>99</v>
      </c>
      <c r="U128" s="88">
        <v>1</v>
      </c>
      <c r="V128" s="79" t="s">
        <v>697</v>
      </c>
      <c r="W128" s="82">
        <v>144058352</v>
      </c>
      <c r="X128" s="78" t="s">
        <v>114</v>
      </c>
      <c r="Y128" s="88">
        <v>0.25</v>
      </c>
      <c r="Z128" s="79" t="s">
        <v>697</v>
      </c>
      <c r="AA128" s="1115"/>
      <c r="AB128" s="85"/>
      <c r="AC128" s="1118"/>
      <c r="AD128" s="83">
        <v>0</v>
      </c>
      <c r="AE128" s="83">
        <v>0</v>
      </c>
      <c r="AF128" s="83">
        <v>0</v>
      </c>
      <c r="AG128" s="83">
        <v>0</v>
      </c>
      <c r="AH128" s="88">
        <v>0.25</v>
      </c>
      <c r="AI128" s="79" t="s">
        <v>697</v>
      </c>
      <c r="AJ128" s="1115"/>
      <c r="AK128" s="85"/>
      <c r="AL128" s="1118"/>
      <c r="AM128" s="83">
        <v>0</v>
      </c>
      <c r="AN128" s="83">
        <v>0</v>
      </c>
      <c r="AO128" s="83">
        <v>0</v>
      </c>
      <c r="AP128" s="87">
        <v>0</v>
      </c>
      <c r="AQ128" s="88">
        <v>0.25</v>
      </c>
      <c r="AR128" s="79" t="s">
        <v>697</v>
      </c>
      <c r="AS128" s="1115"/>
      <c r="AT128" s="85"/>
      <c r="AU128" s="1118"/>
      <c r="AV128" s="83">
        <v>0</v>
      </c>
      <c r="AW128" s="83">
        <v>0</v>
      </c>
      <c r="AX128" s="83">
        <v>0</v>
      </c>
      <c r="AY128" s="83">
        <v>0</v>
      </c>
      <c r="AZ128" s="88">
        <v>0.25</v>
      </c>
      <c r="BA128" s="79" t="s">
        <v>697</v>
      </c>
      <c r="BB128" s="1115"/>
      <c r="BC128" s="85"/>
      <c r="BD128" s="1118"/>
      <c r="BE128" s="83">
        <v>0</v>
      </c>
      <c r="BF128" s="83">
        <v>0</v>
      </c>
      <c r="BG128" s="83">
        <v>0</v>
      </c>
      <c r="BH128" s="83">
        <v>0</v>
      </c>
      <c r="BI128" s="13"/>
      <c r="BJ128" s="13"/>
      <c r="BK128" s="17"/>
      <c r="BL128" s="13"/>
      <c r="BM128" s="15"/>
      <c r="BN128" s="13"/>
      <c r="BO128" s="13"/>
      <c r="BP128" s="13"/>
      <c r="BQ128" s="1"/>
    </row>
    <row r="129" spans="1:69" s="18" customFormat="1" ht="105" x14ac:dyDescent="0.25">
      <c r="A129" s="80">
        <v>11900</v>
      </c>
      <c r="B129" s="79" t="str">
        <f>+VLOOKUP(A129,'[5]TAB. REF. PA'!$A$4:$B$14,2,FALSE)</f>
        <v>Oficina Asesora Jurídica</v>
      </c>
      <c r="C129" s="80" t="s">
        <v>357</v>
      </c>
      <c r="D129" s="79" t="s">
        <v>146</v>
      </c>
      <c r="E129" s="80" t="s">
        <v>447</v>
      </c>
      <c r="F129" s="79" t="s">
        <v>448</v>
      </c>
      <c r="G129" s="80" t="s">
        <v>123</v>
      </c>
      <c r="H129" s="93">
        <v>1</v>
      </c>
      <c r="I129" s="80" t="s">
        <v>463</v>
      </c>
      <c r="J129" s="81" t="s">
        <v>551</v>
      </c>
      <c r="K129" s="82">
        <f>542477052+'[1]Plan Adquisiciones'!G76+'[1]Plan Adquisiciones'!G173</f>
        <v>595641936</v>
      </c>
      <c r="L129" s="88">
        <v>1</v>
      </c>
      <c r="M129" s="84" t="s">
        <v>46</v>
      </c>
      <c r="N129" s="84" t="s">
        <v>74</v>
      </c>
      <c r="O129" s="84" t="s">
        <v>21</v>
      </c>
      <c r="P129" s="84" t="s">
        <v>36</v>
      </c>
      <c r="Q129" s="84" t="s">
        <v>229</v>
      </c>
      <c r="R129" s="85"/>
      <c r="S129" s="125"/>
      <c r="T129" s="84" t="s">
        <v>99</v>
      </c>
      <c r="U129" s="88">
        <v>1</v>
      </c>
      <c r="V129" s="79" t="str">
        <f>+$J$125</f>
        <v>Presentación de fichas técnicas de demandas ordinarias laborales  presentadas al Comité de Conciliación</v>
      </c>
      <c r="W129" s="82">
        <f>+K129</f>
        <v>595641936</v>
      </c>
      <c r="X129" s="78" t="s">
        <v>114</v>
      </c>
      <c r="Y129" s="88">
        <v>0.25</v>
      </c>
      <c r="Z129" s="79" t="str">
        <f>+$J$125</f>
        <v>Presentación de fichas técnicas de demandas ordinarias laborales  presentadas al Comité de Conciliación</v>
      </c>
      <c r="AA129" s="82" t="e">
        <f>+VLOOKUP($I$125,'[5]Plan Adquisiciones'!$Z$5:$AD$47,5,FALSE)</f>
        <v>#N/A</v>
      </c>
      <c r="AB129" s="94"/>
      <c r="AC129" s="85"/>
      <c r="AD129" s="83">
        <f t="shared" ref="AD129:AD137" si="74">+(AB129/Y129)</f>
        <v>0</v>
      </c>
      <c r="AE129" s="83" t="e">
        <f t="shared" si="26"/>
        <v>#N/A</v>
      </c>
      <c r="AF129" s="83">
        <f t="shared" si="27"/>
        <v>0</v>
      </c>
      <c r="AG129" s="83">
        <f t="shared" si="28"/>
        <v>0</v>
      </c>
      <c r="AH129" s="88">
        <v>0.25</v>
      </c>
      <c r="AI129" s="79" t="str">
        <f>+$J$125</f>
        <v>Presentación de fichas técnicas de demandas ordinarias laborales  presentadas al Comité de Conciliación</v>
      </c>
      <c r="AJ129" s="82" t="e">
        <f>+VLOOKUP($I$125,'[5]Plan Adquisiciones'!$Z$5:$AE$47,6,FALSE)</f>
        <v>#N/A</v>
      </c>
      <c r="AK129" s="85"/>
      <c r="AL129" s="85"/>
      <c r="AM129" s="83">
        <f t="shared" si="29"/>
        <v>0</v>
      </c>
      <c r="AN129" s="83" t="e">
        <f t="shared" si="30"/>
        <v>#N/A</v>
      </c>
      <c r="AO129" s="83">
        <f t="shared" si="31"/>
        <v>0</v>
      </c>
      <c r="AP129" s="87">
        <f t="shared" si="32"/>
        <v>0</v>
      </c>
      <c r="AQ129" s="88">
        <v>0.25</v>
      </c>
      <c r="AR129" s="79" t="str">
        <f>+$J$125</f>
        <v>Presentación de fichas técnicas de demandas ordinarias laborales  presentadas al Comité de Conciliación</v>
      </c>
      <c r="AS129" s="82" t="e">
        <f>+VLOOKUP($I$125,'[5]Plan Adquisiciones'!$Z$5:$AF$47,7,FALSE)</f>
        <v>#N/A</v>
      </c>
      <c r="AT129" s="94"/>
      <c r="AU129" s="85"/>
      <c r="AV129" s="83">
        <f t="shared" si="33"/>
        <v>0</v>
      </c>
      <c r="AW129" s="83" t="e">
        <f t="shared" si="34"/>
        <v>#N/A</v>
      </c>
      <c r="AX129" s="83">
        <f t="shared" si="35"/>
        <v>0</v>
      </c>
      <c r="AY129" s="83">
        <f t="shared" si="36"/>
        <v>0</v>
      </c>
      <c r="AZ129" s="88">
        <v>0.25</v>
      </c>
      <c r="BA129" s="79" t="str">
        <f>+$J$125</f>
        <v>Presentación de fichas técnicas de demandas ordinarias laborales  presentadas al Comité de Conciliación</v>
      </c>
      <c r="BB129" s="82" t="e">
        <f>+VLOOKUP($I$125,'[5]Plan Adquisiciones'!$Z$5:$AG$47,8,FALSE)</f>
        <v>#N/A</v>
      </c>
      <c r="BC129" s="85"/>
      <c r="BD129" s="85"/>
      <c r="BE129" s="83">
        <f t="shared" si="37"/>
        <v>0</v>
      </c>
      <c r="BF129" s="83" t="e">
        <f t="shared" si="38"/>
        <v>#N/A</v>
      </c>
      <c r="BG129" s="83">
        <f t="shared" si="39"/>
        <v>0</v>
      </c>
      <c r="BH129" s="83">
        <f t="shared" si="40"/>
        <v>0</v>
      </c>
      <c r="BI129" s="13">
        <f>IF(AND(Y129=0,AB129=0),"No Prog ni Ejec",IF(Y129=0,CONCATENATE("No Prog, Ejec=  ",AB129),AB129/Y129))</f>
        <v>0</v>
      </c>
      <c r="BJ129" s="13" t="e">
        <f>IF(AND(AA129=0,AC129=0),"No Prog ni Ejec",IF(AA129=0,CONCATENATE("No Prog, Ejec=  ",AC129),AC129/AA129))</f>
        <v>#N/A</v>
      </c>
      <c r="BK129" s="17">
        <f>IF(AND(AH129=0,AK129=0),"No Prog ni Ejec",IF(AH129=0,CONCATENATE("No Prog, Ejec=  ",AK129),AK129/AH129))</f>
        <v>0</v>
      </c>
      <c r="BL129" s="13" t="e">
        <f>IF(AND(AJ129=0,AL129=0),"No Prog ni Ejec",IF(AJ129=0,CONCATENATE("No Prog, Ejec=  ",AL129),AL129/AJ129))</f>
        <v>#N/A</v>
      </c>
      <c r="BM129" s="15">
        <f>IF(AND(AQ129=0,AT129=0),"No Prog ni Ejec",IF(AQ129=0,CONCATENATE("No Prog, Ejec=  ",AT129),AT129/AQ129))</f>
        <v>0</v>
      </c>
      <c r="BN129" s="13" t="e">
        <f>IF(AND(AS129=0,AU129=0),"No Prog ni Ejec",IF(AS129=0,CONCATENATE("No Prog, Ejec=  ",AU129),AU129/AS129))</f>
        <v>#N/A</v>
      </c>
      <c r="BO129" s="13">
        <f>IF(AND(AZ129=0,BC129=0),"No Prog ni Ejec",IF(AZ129=0,CONCATENATE("No Prog, Ejec=  ",BC129),BC129/AZ129))</f>
        <v>0</v>
      </c>
      <c r="BP129" s="13" t="e">
        <f>IF(AND(BB129=0,BD129=0),"No Prog ni Ejec",IF(BB129=0,CONCATENATE("No Prog, Ejec=  ",BD129),BD129/BB129))</f>
        <v>#N/A</v>
      </c>
      <c r="BQ129" s="1"/>
    </row>
    <row r="130" spans="1:69" s="18" customFormat="1" ht="105" x14ac:dyDescent="0.25">
      <c r="A130" s="80">
        <v>11900</v>
      </c>
      <c r="B130" s="79" t="str">
        <f>+VLOOKUP(A130,'[5]TAB. REF. PA'!$A$4:$B$14,2,FALSE)</f>
        <v>Oficina Asesora Jurídica</v>
      </c>
      <c r="C130" s="80" t="s">
        <v>357</v>
      </c>
      <c r="D130" s="79" t="s">
        <v>146</v>
      </c>
      <c r="E130" s="80" t="s">
        <v>450</v>
      </c>
      <c r="F130" s="79" t="s">
        <v>449</v>
      </c>
      <c r="G130" s="80" t="s">
        <v>124</v>
      </c>
      <c r="H130" s="118">
        <v>2</v>
      </c>
      <c r="I130" s="80" t="s">
        <v>549</v>
      </c>
      <c r="J130" s="81" t="s">
        <v>699</v>
      </c>
      <c r="K130" s="82">
        <v>0</v>
      </c>
      <c r="L130" s="88">
        <v>1</v>
      </c>
      <c r="M130" s="84" t="s">
        <v>46</v>
      </c>
      <c r="N130" s="84" t="s">
        <v>74</v>
      </c>
      <c r="O130" s="84" t="s">
        <v>21</v>
      </c>
      <c r="P130" s="84" t="s">
        <v>36</v>
      </c>
      <c r="Q130" s="84" t="s">
        <v>229</v>
      </c>
      <c r="R130" s="85"/>
      <c r="S130" s="116"/>
      <c r="T130" s="84" t="s">
        <v>99</v>
      </c>
      <c r="U130" s="119">
        <v>2</v>
      </c>
      <c r="V130" s="79" t="str">
        <f>+$J$126</f>
        <v>Dar respuesta a las reclamaciones administrativas radicadas por las EPS o IPS dentro del término legal</v>
      </c>
      <c r="W130" s="82">
        <v>0</v>
      </c>
      <c r="X130" s="78" t="s">
        <v>117</v>
      </c>
      <c r="Y130" s="120">
        <v>2</v>
      </c>
      <c r="Z130" s="79" t="str">
        <f>+$J$126</f>
        <v>Dar respuesta a las reclamaciones administrativas radicadas por las EPS o IPS dentro del término legal</v>
      </c>
      <c r="AA130" s="82">
        <v>0</v>
      </c>
      <c r="AB130" s="85"/>
      <c r="AC130" s="85"/>
      <c r="AD130" s="83">
        <f t="shared" si="74"/>
        <v>0</v>
      </c>
      <c r="AE130" s="83" t="e">
        <f t="shared" si="26"/>
        <v>#DIV/0!</v>
      </c>
      <c r="AF130" s="83">
        <f t="shared" si="27"/>
        <v>0</v>
      </c>
      <c r="AG130" s="83" t="e">
        <f t="shared" si="28"/>
        <v>#DIV/0!</v>
      </c>
      <c r="AH130" s="119">
        <v>0</v>
      </c>
      <c r="AI130" s="79" t="str">
        <f>+$J$126</f>
        <v>Dar respuesta a las reclamaciones administrativas radicadas por las EPS o IPS dentro del término legal</v>
      </c>
      <c r="AJ130" s="82">
        <v>0</v>
      </c>
      <c r="AK130" s="85"/>
      <c r="AL130" s="85"/>
      <c r="AM130" s="83" t="e">
        <f t="shared" si="29"/>
        <v>#DIV/0!</v>
      </c>
      <c r="AN130" s="83" t="e">
        <f t="shared" si="30"/>
        <v>#DIV/0!</v>
      </c>
      <c r="AO130" s="83">
        <f t="shared" si="31"/>
        <v>0</v>
      </c>
      <c r="AP130" s="87" t="e">
        <f t="shared" si="32"/>
        <v>#DIV/0!</v>
      </c>
      <c r="AQ130" s="120">
        <v>0</v>
      </c>
      <c r="AR130" s="79" t="str">
        <f>+$J$126</f>
        <v>Dar respuesta a las reclamaciones administrativas radicadas por las EPS o IPS dentro del término legal</v>
      </c>
      <c r="AS130" s="82">
        <v>0</v>
      </c>
      <c r="AT130" s="85"/>
      <c r="AU130" s="85"/>
      <c r="AV130" s="83" t="e">
        <f t="shared" si="33"/>
        <v>#DIV/0!</v>
      </c>
      <c r="AW130" s="83" t="e">
        <f t="shared" si="34"/>
        <v>#DIV/0!</v>
      </c>
      <c r="AX130" s="83">
        <f t="shared" si="35"/>
        <v>0</v>
      </c>
      <c r="AY130" s="83" t="e">
        <f t="shared" si="36"/>
        <v>#DIV/0!</v>
      </c>
      <c r="AZ130" s="119">
        <v>0</v>
      </c>
      <c r="BA130" s="79" t="str">
        <f>+$J$126</f>
        <v>Dar respuesta a las reclamaciones administrativas radicadas por las EPS o IPS dentro del término legal</v>
      </c>
      <c r="BB130" s="82">
        <v>0</v>
      </c>
      <c r="BC130" s="85"/>
      <c r="BD130" s="85"/>
      <c r="BE130" s="83" t="e">
        <f t="shared" si="37"/>
        <v>#DIV/0!</v>
      </c>
      <c r="BF130" s="83" t="e">
        <f t="shared" si="38"/>
        <v>#DIV/0!</v>
      </c>
      <c r="BG130" s="83">
        <f t="shared" si="39"/>
        <v>0</v>
      </c>
      <c r="BH130" s="83" t="e">
        <f t="shared" si="40"/>
        <v>#DIV/0!</v>
      </c>
      <c r="BI130" s="13">
        <f>IF(AND(Y130=0,AB130=0),"No Prog ni Ejec",IF(Y130=0,CONCATENATE("No Prog, Ejec=  ",AB130),AB130/Y130))</f>
        <v>0</v>
      </c>
      <c r="BJ130" s="13" t="str">
        <f>IF(AND(AA130=0,AC130=0),"No Prog ni Ejec",IF(AA130=0,CONCATENATE("No Prog, Ejec=  ",AC130),AC130/AA130))</f>
        <v>No Prog ni Ejec</v>
      </c>
      <c r="BK130" s="17" t="str">
        <f>IF(AND(AH130=0,AK130=0),"No Prog ni Ejec",IF(AH130=0,CONCATENATE("No Prog, Ejec=  ",AK130),AK130/AH130))</f>
        <v>No Prog ni Ejec</v>
      </c>
      <c r="BL130" s="13" t="str">
        <f>IF(AND(AJ130=0,AL130=0),"No Prog ni Ejec",IF(AJ130=0,CONCATENATE("No Prog, Ejec=  ",AL130),AL130/AJ130))</f>
        <v>No Prog ni Ejec</v>
      </c>
      <c r="BM130" s="15" t="str">
        <f>IF(AND(AQ130=0,AT130=0),"No Prog ni Ejec",IF(AQ130=0,CONCATENATE("No Prog, Ejec=  ",AT130),AT130/AQ130))</f>
        <v>No Prog ni Ejec</v>
      </c>
      <c r="BN130" s="13" t="str">
        <f>IF(AND(AS130=0,AU130=0),"No Prog ni Ejec",IF(AS130=0,CONCATENATE("No Prog, Ejec=  ",AU130),AU130/AS130))</f>
        <v>No Prog ni Ejec</v>
      </c>
      <c r="BO130" s="13" t="str">
        <f>IF(AND(AZ130=0,BC130=0),"No Prog ni Ejec",IF(AZ130=0,CONCATENATE("No Prog, Ejec=  ",BC130),BC130/AZ130))</f>
        <v>No Prog ni Ejec</v>
      </c>
      <c r="BP130" s="13" t="str">
        <f>IF(AND(BB130=0,BD130=0),"No Prog ni Ejec",IF(BB130=0,CONCATENATE("No Prog, Ejec=  ",BD130),BD130/BB130))</f>
        <v>No Prog ni Ejec</v>
      </c>
      <c r="BQ130" s="1"/>
    </row>
    <row r="131" spans="1:69" s="18" customFormat="1" ht="150" x14ac:dyDescent="0.25">
      <c r="A131" s="80">
        <v>11900</v>
      </c>
      <c r="B131" s="79" t="str">
        <f>+VLOOKUP(A131,'[5]TAB. REF. PA'!$A$4:$B$14,2,FALSE)</f>
        <v>Oficina Asesora Jurídica</v>
      </c>
      <c r="C131" s="80" t="s">
        <v>357</v>
      </c>
      <c r="D131" s="79" t="s">
        <v>146</v>
      </c>
      <c r="E131" s="80" t="s">
        <v>450</v>
      </c>
      <c r="F131" s="79" t="s">
        <v>449</v>
      </c>
      <c r="G131" s="80" t="s">
        <v>123</v>
      </c>
      <c r="H131" s="93">
        <v>1</v>
      </c>
      <c r="I131" s="80" t="s">
        <v>550</v>
      </c>
      <c r="J131" s="81" t="s">
        <v>451</v>
      </c>
      <c r="K131" s="82">
        <v>0</v>
      </c>
      <c r="L131" s="88">
        <v>1</v>
      </c>
      <c r="M131" s="84" t="s">
        <v>46</v>
      </c>
      <c r="N131" s="84" t="s">
        <v>74</v>
      </c>
      <c r="O131" s="84" t="s">
        <v>21</v>
      </c>
      <c r="P131" s="84" t="s">
        <v>36</v>
      </c>
      <c r="Q131" s="84" t="s">
        <v>229</v>
      </c>
      <c r="R131" s="85"/>
      <c r="S131" s="84" t="s">
        <v>453</v>
      </c>
      <c r="T131" s="84" t="s">
        <v>99</v>
      </c>
      <c r="U131" s="88">
        <v>1</v>
      </c>
      <c r="V131" s="79" t="str">
        <f>+$J$127</f>
        <v>Interponer oportunamente los recursos de Ley contra los actos administrativos de Colpensiones que ordenan la devolución de aportes al extinto FOYSGA, hoy Administradora de los Recursos del Sistema General de Seguridad Social en Salud - ADRES</v>
      </c>
      <c r="W131" s="82">
        <v>0</v>
      </c>
      <c r="X131" s="78" t="s">
        <v>117</v>
      </c>
      <c r="Y131" s="88">
        <v>0.5</v>
      </c>
      <c r="Z131" s="79" t="str">
        <f>+$J$127</f>
        <v>Interponer oportunamente los recursos de Ley contra los actos administrativos de Colpensiones que ordenan la devolución de aportes al extinto FOYSGA, hoy Administradora de los Recursos del Sistema General de Seguridad Social en Salud - ADRES</v>
      </c>
      <c r="AA131" s="82">
        <v>0</v>
      </c>
      <c r="AB131" s="85"/>
      <c r="AC131" s="85"/>
      <c r="AD131" s="83">
        <f t="shared" si="74"/>
        <v>0</v>
      </c>
      <c r="AE131" s="83" t="e">
        <f t="shared" si="26"/>
        <v>#DIV/0!</v>
      </c>
      <c r="AF131" s="83">
        <f t="shared" si="27"/>
        <v>0</v>
      </c>
      <c r="AG131" s="83" t="e">
        <f t="shared" si="28"/>
        <v>#DIV/0!</v>
      </c>
      <c r="AH131" s="88">
        <v>0.5</v>
      </c>
      <c r="AI131" s="79" t="str">
        <f>+$J$127</f>
        <v>Interponer oportunamente los recursos de Ley contra los actos administrativos de Colpensiones que ordenan la devolución de aportes al extinto FOYSGA, hoy Administradora de los Recursos del Sistema General de Seguridad Social en Salud - ADRES</v>
      </c>
      <c r="AJ131" s="82">
        <v>0</v>
      </c>
      <c r="AK131" s="85"/>
      <c r="AL131" s="85"/>
      <c r="AM131" s="83">
        <f t="shared" si="29"/>
        <v>0</v>
      </c>
      <c r="AN131" s="83" t="e">
        <f t="shared" si="30"/>
        <v>#DIV/0!</v>
      </c>
      <c r="AO131" s="83">
        <f t="shared" si="31"/>
        <v>0</v>
      </c>
      <c r="AP131" s="87" t="e">
        <f t="shared" si="32"/>
        <v>#DIV/0!</v>
      </c>
      <c r="AQ131" s="88">
        <v>0</v>
      </c>
      <c r="AR131" s="79" t="str">
        <f>+$J$127</f>
        <v>Interponer oportunamente los recursos de Ley contra los actos administrativos de Colpensiones que ordenan la devolución de aportes al extinto FOYSGA, hoy Administradora de los Recursos del Sistema General de Seguridad Social en Salud - ADRES</v>
      </c>
      <c r="AS131" s="82">
        <v>0</v>
      </c>
      <c r="AT131" s="85"/>
      <c r="AU131" s="85"/>
      <c r="AV131" s="83" t="e">
        <f t="shared" si="33"/>
        <v>#DIV/0!</v>
      </c>
      <c r="AW131" s="83" t="e">
        <f t="shared" si="34"/>
        <v>#DIV/0!</v>
      </c>
      <c r="AX131" s="83">
        <f t="shared" si="35"/>
        <v>0</v>
      </c>
      <c r="AY131" s="83" t="e">
        <f t="shared" si="36"/>
        <v>#DIV/0!</v>
      </c>
      <c r="AZ131" s="88">
        <v>0</v>
      </c>
      <c r="BA131" s="79" t="str">
        <f>+$J$127</f>
        <v>Interponer oportunamente los recursos de Ley contra los actos administrativos de Colpensiones que ordenan la devolución de aportes al extinto FOYSGA, hoy Administradora de los Recursos del Sistema General de Seguridad Social en Salud - ADRES</v>
      </c>
      <c r="BB131" s="82">
        <v>0</v>
      </c>
      <c r="BC131" s="85"/>
      <c r="BD131" s="85"/>
      <c r="BE131" s="83" t="e">
        <f t="shared" si="37"/>
        <v>#DIV/0!</v>
      </c>
      <c r="BF131" s="83" t="e">
        <f t="shared" si="38"/>
        <v>#DIV/0!</v>
      </c>
      <c r="BG131" s="83">
        <f t="shared" si="39"/>
        <v>0</v>
      </c>
      <c r="BH131" s="83" t="e">
        <f t="shared" si="40"/>
        <v>#DIV/0!</v>
      </c>
      <c r="BI131" s="13">
        <f>IF(AND(Y131=0,AB131=0),"No Prog ni Ejec",IF(Y131=0,CONCATENATE("No Prog, Ejec=  ",AB131),AB131/Y131))</f>
        <v>0</v>
      </c>
      <c r="BJ131" s="13" t="str">
        <f>IF(AND(AA131=0,AC131=0),"No Prog ni Ejec",IF(AA131=0,CONCATENATE("No Prog, Ejec=  ",AC131),AC131/AA131))</f>
        <v>No Prog ni Ejec</v>
      </c>
      <c r="BK131" s="17">
        <f>IF(AND(AH131=0,AK131=0),"No Prog ni Ejec",IF(AH131=0,CONCATENATE("No Prog, Ejec=  ",AK131),AK131/AH131))</f>
        <v>0</v>
      </c>
      <c r="BL131" s="13" t="str">
        <f>IF(AND(AJ131=0,AL131=0),"No Prog ni Ejec",IF(AJ131=0,CONCATENATE("No Prog, Ejec=  ",AL131),AL131/AJ131))</f>
        <v>No Prog ni Ejec</v>
      </c>
      <c r="BM131" s="15" t="str">
        <f>IF(AND(AQ131=0,AT131=0),"No Prog ni Ejec",IF(AQ131=0,CONCATENATE("No Prog, Ejec=  ",AT131),AT131/AQ131))</f>
        <v>No Prog ni Ejec</v>
      </c>
      <c r="BN131" s="13" t="str">
        <f>IF(AND(AS131=0,AU131=0),"No Prog ni Ejec",IF(AS131=0,CONCATENATE("No Prog, Ejec=  ",AU131),AU131/AS131))</f>
        <v>No Prog ni Ejec</v>
      </c>
      <c r="BO131" s="13" t="str">
        <f>IF(AND(AZ131=0,BC131=0),"No Prog ni Ejec",IF(AZ131=0,CONCATENATE("No Prog, Ejec=  ",BC131),BC131/AZ131))</f>
        <v>No Prog ni Ejec</v>
      </c>
      <c r="BP131" s="13" t="str">
        <f>IF(AND(BB131=0,BD131=0),"No Prog ni Ejec",IF(BB131=0,CONCATENATE("No Prog, Ejec=  ",BD131),BD131/BB131))</f>
        <v>No Prog ni Ejec</v>
      </c>
      <c r="BQ131" s="1"/>
    </row>
    <row r="132" spans="1:69" s="18" customFormat="1" ht="150" x14ac:dyDescent="0.25">
      <c r="A132" s="80">
        <v>11900</v>
      </c>
      <c r="B132" s="79" t="str">
        <f>+VLOOKUP(A132,'[6]TAB. REF. PA'!$A$4:$B$14,2,FALSE)</f>
        <v>Oficina Asesora Jurídica</v>
      </c>
      <c r="C132" s="80" t="s">
        <v>357</v>
      </c>
      <c r="D132" s="79" t="s">
        <v>146</v>
      </c>
      <c r="E132" s="121" t="s">
        <v>450</v>
      </c>
      <c r="F132" s="79" t="s">
        <v>449</v>
      </c>
      <c r="G132" s="80" t="s">
        <v>123</v>
      </c>
      <c r="H132" s="122">
        <v>1</v>
      </c>
      <c r="I132" s="121" t="s">
        <v>464</v>
      </c>
      <c r="J132" s="81" t="s">
        <v>452</v>
      </c>
      <c r="K132" s="82">
        <v>55760808</v>
      </c>
      <c r="L132" s="83">
        <v>1</v>
      </c>
      <c r="M132" s="84" t="s">
        <v>46</v>
      </c>
      <c r="N132" s="84" t="s">
        <v>74</v>
      </c>
      <c r="O132" s="84" t="s">
        <v>21</v>
      </c>
      <c r="P132" s="84" t="s">
        <v>36</v>
      </c>
      <c r="Q132" s="84" t="s">
        <v>229</v>
      </c>
      <c r="R132" s="85"/>
      <c r="S132" s="84" t="s">
        <v>453</v>
      </c>
      <c r="T132" s="84" t="s">
        <v>99</v>
      </c>
      <c r="U132" s="83">
        <v>1</v>
      </c>
      <c r="V132" s="79" t="str">
        <f>+J132</f>
        <v>Resoluciones de depuración de actos administrativos mediante los cuales se ordena el cobro a personas fallecidas</v>
      </c>
      <c r="W132" s="82">
        <f>+K132</f>
        <v>55760808</v>
      </c>
      <c r="X132" s="78" t="s">
        <v>114</v>
      </c>
      <c r="Y132" s="83">
        <v>0.25</v>
      </c>
      <c r="Z132" s="79" t="s">
        <v>452</v>
      </c>
      <c r="AA132" s="82">
        <v>13940202</v>
      </c>
      <c r="AB132" s="85"/>
      <c r="AC132" s="85"/>
      <c r="AD132" s="83">
        <f t="shared" si="74"/>
        <v>0</v>
      </c>
      <c r="AE132" s="83">
        <f t="shared" ref="AE132:AE137" si="75">+(AC132/AA132)</f>
        <v>0</v>
      </c>
      <c r="AF132" s="83">
        <f t="shared" ref="AF132:AF137" si="76">+(AB132/U132)</f>
        <v>0</v>
      </c>
      <c r="AG132" s="83">
        <f t="shared" ref="AG132:AG137" si="77">+(AC132/W132)</f>
        <v>0</v>
      </c>
      <c r="AH132" s="83">
        <v>0.25</v>
      </c>
      <c r="AI132" s="79" t="s">
        <v>452</v>
      </c>
      <c r="AJ132" s="82">
        <v>13940202</v>
      </c>
      <c r="AK132" s="85"/>
      <c r="AL132" s="85"/>
      <c r="AM132" s="83">
        <f t="shared" ref="AM132:AM137" si="78">+(AK132/AH132)</f>
        <v>0</v>
      </c>
      <c r="AN132" s="83">
        <f t="shared" ref="AN132:AN137" si="79">+(AL132/AJ132)</f>
        <v>0</v>
      </c>
      <c r="AO132" s="83">
        <f t="shared" ref="AO132:AO137" si="80">+(AK132+AB132)/U132</f>
        <v>0</v>
      </c>
      <c r="AP132" s="87">
        <f t="shared" ref="AP132:AP137" si="81">+(AL132+AC132)/W132</f>
        <v>0</v>
      </c>
      <c r="AQ132" s="83">
        <v>0.25</v>
      </c>
      <c r="AR132" s="79" t="s">
        <v>452</v>
      </c>
      <c r="AS132" s="82">
        <v>13940202</v>
      </c>
      <c r="AT132" s="85"/>
      <c r="AU132" s="85"/>
      <c r="AV132" s="83">
        <f t="shared" ref="AV132:AV137" si="82">+(AT132/AQ132)</f>
        <v>0</v>
      </c>
      <c r="AW132" s="83">
        <f t="shared" ref="AW132:AW137" si="83">+(AU132/AS132)</f>
        <v>0</v>
      </c>
      <c r="AX132" s="83">
        <f t="shared" ref="AX132:AX137" si="84">+(AK132+AB132+AT132)/U132</f>
        <v>0</v>
      </c>
      <c r="AY132" s="83">
        <f t="shared" ref="AY132:AY137" si="85">+(AL132+AC132+AU132)/W132</f>
        <v>0</v>
      </c>
      <c r="AZ132" s="83">
        <v>0.25</v>
      </c>
      <c r="BA132" s="79" t="s">
        <v>452</v>
      </c>
      <c r="BB132" s="82">
        <v>13940202</v>
      </c>
      <c r="BC132" s="85"/>
      <c r="BD132" s="85"/>
      <c r="BE132" s="83">
        <f t="shared" ref="BE132:BE137" si="86">+(BC132/AZ132)</f>
        <v>0</v>
      </c>
      <c r="BF132" s="83">
        <f t="shared" ref="BF132:BF137" si="87">+(BD132/BB132)</f>
        <v>0</v>
      </c>
      <c r="BG132" s="83">
        <f t="shared" ref="BG132:BG137" si="88">+(AK132+AB132+AT132+BC132)/U132</f>
        <v>0</v>
      </c>
      <c r="BH132" s="83">
        <f t="shared" ref="BH132:BH137" si="89">+(AL132+AC132+AU132+BD132)/W132</f>
        <v>0</v>
      </c>
      <c r="BI132" s="13" t="e">
        <f>IF(AND(#REF!=0,#REF!=0),"No Prog ni Ejec",IF(#REF!=0,CONCATENATE("No Prog, Ejec=  ",#REF!),#REF!/#REF!))</f>
        <v>#REF!</v>
      </c>
      <c r="BJ132" s="13" t="e">
        <f>IF(AND(#REF!=0,#REF!=0),"No Prog ni Ejec",IF(#REF!=0,CONCATENATE("No Prog, Ejec=  ",#REF!),#REF!/#REF!))</f>
        <v>#REF!</v>
      </c>
      <c r="BK132" s="17" t="e">
        <f>IF(AND(#REF!=0,#REF!=0),"No Prog ni Ejec",IF(#REF!=0,CONCATENATE("No Prog, Ejec=  ",#REF!),#REF!/#REF!))</f>
        <v>#REF!</v>
      </c>
      <c r="BL132" s="13" t="e">
        <f>IF(AND(#REF!=0,#REF!=0),"No Prog ni Ejec",IF(#REF!=0,CONCATENATE("No Prog, Ejec=  ",#REF!),#REF!/#REF!))</f>
        <v>#REF!</v>
      </c>
      <c r="BM132" s="15" t="e">
        <f>IF(AND(#REF!=0,#REF!=0),"No Prog ni Ejec",IF(#REF!=0,CONCATENATE("No Prog, Ejec=  ",#REF!),#REF!/#REF!))</f>
        <v>#REF!</v>
      </c>
      <c r="BN132" s="13" t="e">
        <f>IF(AND(#REF!=0,#REF!=0),"No Prog ni Ejec",IF(#REF!=0,CONCATENATE("No Prog, Ejec=  ",#REF!),#REF!/#REF!))</f>
        <v>#REF!</v>
      </c>
      <c r="BO132" s="13" t="e">
        <f>IF(AND(#REF!=0,#REF!=0),"No Prog ni Ejec",IF(#REF!=0,CONCATENATE("No Prog, Ejec=  ",#REF!),#REF!/#REF!))</f>
        <v>#REF!</v>
      </c>
      <c r="BP132" s="13" t="e">
        <f>IF(AND(#REF!=0,#REF!=0),"No Prog ni Ejec",IF(#REF!=0,CONCATENATE("No Prog, Ejec=  ",#REF!),#REF!/#REF!))</f>
        <v>#REF!</v>
      </c>
      <c r="BQ132" s="1"/>
    </row>
    <row r="133" spans="1:69" s="45" customFormat="1" ht="105" x14ac:dyDescent="0.25">
      <c r="A133" s="34">
        <v>12000</v>
      </c>
      <c r="B133" s="35" t="str">
        <f>+VLOOKUP(A133,'[1]TAB. REF. PA'!$A$4:$B$14,2,FALSE)</f>
        <v>Oficina Asesora de Planeación y Control de Riegos</v>
      </c>
      <c r="C133" s="36" t="s">
        <v>131</v>
      </c>
      <c r="D133" s="35" t="s">
        <v>153</v>
      </c>
      <c r="E133" s="36" t="s">
        <v>132</v>
      </c>
      <c r="F133" s="35" t="s">
        <v>133</v>
      </c>
      <c r="G133" s="37" t="s">
        <v>124</v>
      </c>
      <c r="H133" s="36">
        <v>4</v>
      </c>
      <c r="I133" s="36" t="s">
        <v>143</v>
      </c>
      <c r="J133" s="38" t="s">
        <v>24</v>
      </c>
      <c r="K133" s="39">
        <v>0</v>
      </c>
      <c r="L133" s="40">
        <v>1</v>
      </c>
      <c r="M133" s="41" t="s">
        <v>51</v>
      </c>
      <c r="N133" s="41" t="s">
        <v>68</v>
      </c>
      <c r="O133" s="41" t="s">
        <v>21</v>
      </c>
      <c r="P133" s="41" t="s">
        <v>36</v>
      </c>
      <c r="Q133" s="41" t="s">
        <v>75</v>
      </c>
      <c r="R133" s="42"/>
      <c r="S133" s="41" t="s">
        <v>631</v>
      </c>
      <c r="T133" s="41" t="s">
        <v>98</v>
      </c>
      <c r="U133" s="51">
        <f>+H133</f>
        <v>4</v>
      </c>
      <c r="V133" s="38" t="str">
        <f>+$J$133</f>
        <v>Reportar el cumplimiento del Plan de Acción de la Dependencia</v>
      </c>
      <c r="W133" s="39">
        <v>0</v>
      </c>
      <c r="X133" s="34" t="s">
        <v>117</v>
      </c>
      <c r="Y133" s="39">
        <v>1</v>
      </c>
      <c r="Z133" s="38" t="str">
        <f>+$J$133</f>
        <v>Reportar el cumplimiento del Plan de Acción de la Dependencia</v>
      </c>
      <c r="AA133" s="39">
        <v>0</v>
      </c>
      <c r="AB133" s="39"/>
      <c r="AC133" s="39"/>
      <c r="AD133" s="40">
        <f t="shared" si="74"/>
        <v>0</v>
      </c>
      <c r="AE133" s="40" t="e">
        <f t="shared" si="75"/>
        <v>#DIV/0!</v>
      </c>
      <c r="AF133" s="40">
        <f t="shared" si="76"/>
        <v>0</v>
      </c>
      <c r="AG133" s="40" t="e">
        <f t="shared" si="77"/>
        <v>#DIV/0!</v>
      </c>
      <c r="AH133" s="39">
        <v>1</v>
      </c>
      <c r="AI133" s="38" t="str">
        <f>+$J$133</f>
        <v>Reportar el cumplimiento del Plan de Acción de la Dependencia</v>
      </c>
      <c r="AJ133" s="39">
        <v>0</v>
      </c>
      <c r="AK133" s="39"/>
      <c r="AL133" s="39"/>
      <c r="AM133" s="40">
        <f t="shared" si="78"/>
        <v>0</v>
      </c>
      <c r="AN133" s="40" t="e">
        <f t="shared" si="79"/>
        <v>#DIV/0!</v>
      </c>
      <c r="AO133" s="40">
        <f t="shared" si="80"/>
        <v>0</v>
      </c>
      <c r="AP133" s="43" t="e">
        <f t="shared" si="81"/>
        <v>#DIV/0!</v>
      </c>
      <c r="AQ133" s="39">
        <v>1</v>
      </c>
      <c r="AR133" s="38" t="str">
        <f>+$J$133</f>
        <v>Reportar el cumplimiento del Plan de Acción de la Dependencia</v>
      </c>
      <c r="AS133" s="39">
        <v>0</v>
      </c>
      <c r="AT133" s="39"/>
      <c r="AU133" s="39"/>
      <c r="AV133" s="40">
        <f t="shared" si="82"/>
        <v>0</v>
      </c>
      <c r="AW133" s="40" t="e">
        <f t="shared" si="83"/>
        <v>#DIV/0!</v>
      </c>
      <c r="AX133" s="40">
        <f t="shared" si="84"/>
        <v>0</v>
      </c>
      <c r="AY133" s="40" t="e">
        <f t="shared" si="85"/>
        <v>#DIV/0!</v>
      </c>
      <c r="AZ133" s="39">
        <v>1</v>
      </c>
      <c r="BA133" s="38" t="str">
        <f>+$J$133</f>
        <v>Reportar el cumplimiento del Plan de Acción de la Dependencia</v>
      </c>
      <c r="BB133" s="39">
        <v>0</v>
      </c>
      <c r="BC133" s="39"/>
      <c r="BD133" s="39"/>
      <c r="BE133" s="40">
        <f t="shared" si="86"/>
        <v>0</v>
      </c>
      <c r="BF133" s="40" t="e">
        <f t="shared" si="87"/>
        <v>#DIV/0!</v>
      </c>
      <c r="BG133" s="40">
        <f t="shared" si="88"/>
        <v>0</v>
      </c>
      <c r="BH133" s="40" t="e">
        <f t="shared" si="89"/>
        <v>#DIV/0!</v>
      </c>
      <c r="BI133" s="44">
        <f>IF(AND(Y133=0,AB133=0),"No Prog ni Ejec",IF(Y133=0,CONCATENATE("No Prog, Ejec=  ",AB133),AB133/Y133))</f>
        <v>0</v>
      </c>
      <c r="BJ133" s="44" t="str">
        <f>IF(AND(AA133=0,AC133=0),"No Prog ni Ejec",IF(AA133=0,CONCATENATE("No Prog, Ejec=  ",AC133),AC133/AA133))</f>
        <v>No Prog ni Ejec</v>
      </c>
      <c r="BK133" s="44">
        <f>IF(AND(AH133=0,AK133=0),"No Prog ni Ejec",IF(AH133=0,CONCATENATE("No Prog, Ejec=  ",AK133),AK133/AH133))</f>
        <v>0</v>
      </c>
      <c r="BL133" s="44" t="str">
        <f>IF(AND(AJ133=0,AL133=0),"No Prog ni Ejec",IF(AJ133=0,CONCATENATE("No Prog, Ejec=  ",AL133),AL133/AJ133))</f>
        <v>No Prog ni Ejec</v>
      </c>
      <c r="BM133" s="44">
        <f>IF(AND(AQ133=0,AT133=0),"No Prog ni Ejec",IF(AQ133=0,CONCATENATE("No Prog, Ejec=  ",AT133),AT133/AQ133))</f>
        <v>0</v>
      </c>
      <c r="BN133" s="44" t="str">
        <f>IF(AND(AS133=0,AU133=0),"No Prog ni Ejec",IF(AS133=0,CONCATENATE("No Prog, Ejec=  ",AU133),AU133/AS133))</f>
        <v>No Prog ni Ejec</v>
      </c>
      <c r="BO133" s="44">
        <f>IF(AND(AZ133=0,BC133=0),"No Prog ni Ejec",IF(AZ133=0,CONCATENATE("No Prog, Ejec=  ",BC133),BC133/AZ133))</f>
        <v>0</v>
      </c>
      <c r="BP133" s="44" t="str">
        <f>IF(AND(BB133=0,BD133=0),"No Prog ni Ejec",IF(BB133=0,CONCATENATE("No Prog, Ejec=  ",BD133),BD133/BB133))</f>
        <v>No Prog ni Ejec</v>
      </c>
      <c r="BQ133" s="42"/>
    </row>
    <row r="134" spans="1:69" s="45" customFormat="1" ht="105" x14ac:dyDescent="0.25">
      <c r="A134" s="34">
        <v>12000</v>
      </c>
      <c r="B134" s="35" t="str">
        <f>+VLOOKUP(A134,'[1]TAB. REF. PA'!$A$4:$B$14,2,FALSE)</f>
        <v>Oficina Asesora de Planeación y Control de Riegos</v>
      </c>
      <c r="C134" s="36" t="s">
        <v>355</v>
      </c>
      <c r="D134" s="35" t="s">
        <v>256</v>
      </c>
      <c r="E134" s="36" t="s">
        <v>356</v>
      </c>
      <c r="F134" s="35" t="s">
        <v>134</v>
      </c>
      <c r="G134" s="37" t="s">
        <v>124</v>
      </c>
      <c r="H134" s="36">
        <v>4</v>
      </c>
      <c r="I134" s="36" t="s">
        <v>539</v>
      </c>
      <c r="J134" s="38" t="s">
        <v>683</v>
      </c>
      <c r="K134" s="39">
        <v>0</v>
      </c>
      <c r="L134" s="40">
        <v>1</v>
      </c>
      <c r="M134" s="41" t="s">
        <v>51</v>
      </c>
      <c r="N134" s="41" t="s">
        <v>68</v>
      </c>
      <c r="O134" s="41" t="s">
        <v>21</v>
      </c>
      <c r="P134" s="41" t="s">
        <v>36</v>
      </c>
      <c r="Q134" s="41" t="s">
        <v>75</v>
      </c>
      <c r="R134" s="42"/>
      <c r="S134" s="41" t="s">
        <v>628</v>
      </c>
      <c r="T134" s="41" t="s">
        <v>98</v>
      </c>
      <c r="U134" s="51">
        <f>+H134</f>
        <v>4</v>
      </c>
      <c r="V134" s="38" t="str">
        <f>+$J$134</f>
        <v xml:space="preserve">Reportar el cumplimiento de la ejecución del Plan de Acción </v>
      </c>
      <c r="W134" s="39">
        <v>0</v>
      </c>
      <c r="X134" s="34" t="s">
        <v>117</v>
      </c>
      <c r="Y134" s="39">
        <v>1</v>
      </c>
      <c r="Z134" s="38" t="str">
        <f>+$J$134</f>
        <v xml:space="preserve">Reportar el cumplimiento de la ejecución del Plan de Acción </v>
      </c>
      <c r="AA134" s="39">
        <v>0</v>
      </c>
      <c r="AB134" s="42"/>
      <c r="AC134" s="42"/>
      <c r="AD134" s="40">
        <f t="shared" si="74"/>
        <v>0</v>
      </c>
      <c r="AE134" s="40" t="e">
        <f t="shared" si="75"/>
        <v>#DIV/0!</v>
      </c>
      <c r="AF134" s="40">
        <f t="shared" si="76"/>
        <v>0</v>
      </c>
      <c r="AG134" s="40" t="e">
        <f t="shared" si="77"/>
        <v>#DIV/0!</v>
      </c>
      <c r="AH134" s="39">
        <v>1</v>
      </c>
      <c r="AI134" s="38" t="str">
        <f>+$J$134</f>
        <v xml:space="preserve">Reportar el cumplimiento de la ejecución del Plan de Acción </v>
      </c>
      <c r="AJ134" s="39">
        <v>0</v>
      </c>
      <c r="AK134" s="42"/>
      <c r="AL134" s="42"/>
      <c r="AM134" s="40">
        <f t="shared" si="78"/>
        <v>0</v>
      </c>
      <c r="AN134" s="40" t="e">
        <f t="shared" si="79"/>
        <v>#DIV/0!</v>
      </c>
      <c r="AO134" s="40">
        <f t="shared" si="80"/>
        <v>0</v>
      </c>
      <c r="AP134" s="43" t="e">
        <f t="shared" si="81"/>
        <v>#DIV/0!</v>
      </c>
      <c r="AQ134" s="39">
        <v>1</v>
      </c>
      <c r="AR134" s="38" t="str">
        <f>+$J$134</f>
        <v xml:space="preserve">Reportar el cumplimiento de la ejecución del Plan de Acción </v>
      </c>
      <c r="AS134" s="39">
        <v>0</v>
      </c>
      <c r="AT134" s="42"/>
      <c r="AU134" s="42"/>
      <c r="AV134" s="40">
        <f t="shared" si="82"/>
        <v>0</v>
      </c>
      <c r="AW134" s="40" t="e">
        <f t="shared" si="83"/>
        <v>#DIV/0!</v>
      </c>
      <c r="AX134" s="40">
        <f t="shared" si="84"/>
        <v>0</v>
      </c>
      <c r="AY134" s="40" t="e">
        <f t="shared" si="85"/>
        <v>#DIV/0!</v>
      </c>
      <c r="AZ134" s="39">
        <v>1</v>
      </c>
      <c r="BA134" s="38" t="str">
        <f>+$J$134</f>
        <v xml:space="preserve">Reportar el cumplimiento de la ejecución del Plan de Acción </v>
      </c>
      <c r="BB134" s="39">
        <v>0</v>
      </c>
      <c r="BC134" s="42"/>
      <c r="BD134" s="42"/>
      <c r="BE134" s="40">
        <f t="shared" si="86"/>
        <v>0</v>
      </c>
      <c r="BF134" s="40" t="e">
        <f t="shared" si="87"/>
        <v>#DIV/0!</v>
      </c>
      <c r="BG134" s="40">
        <f t="shared" si="88"/>
        <v>0</v>
      </c>
      <c r="BH134" s="40" t="e">
        <f t="shared" si="89"/>
        <v>#DIV/0!</v>
      </c>
      <c r="BI134" s="44">
        <f>IF(AND(Y134=0,AB134=0),"No Prog ni Ejec",IF(Y134=0,CONCATENATE("No Prog, Ejec=  ",AB134),AB134/Y134))</f>
        <v>0</v>
      </c>
      <c r="BJ134" s="44" t="str">
        <f>IF(AND(AA134=0,AC134=0),"No Prog ni Ejec",IF(AA134=0,CONCATENATE("No Prog, Ejec=  ",AC134),AC134/AA134))</f>
        <v>No Prog ni Ejec</v>
      </c>
      <c r="BK134" s="44">
        <f>IF(AND(AH134=0,AK134=0),"No Prog ni Ejec",IF(AH134=0,CONCATENATE("No Prog, Ejec=  ",AK134),AK134/AH134))</f>
        <v>0</v>
      </c>
      <c r="BL134" s="44" t="str">
        <f>IF(AND(AJ134=0,AL134=0),"No Prog ni Ejec",IF(AJ134=0,CONCATENATE("No Prog, Ejec=  ",AL134),AL134/AJ134))</f>
        <v>No Prog ni Ejec</v>
      </c>
      <c r="BM134" s="44">
        <f>IF(AND(AQ134=0,AT134=0),"No Prog ni Ejec",IF(AQ134=0,CONCATENATE("No Prog, Ejec=  ",AT134),AT134/AQ134))</f>
        <v>0</v>
      </c>
      <c r="BN134" s="44" t="str">
        <f>IF(AND(AS134=0,AU134=0),"No Prog ni Ejec",IF(AS134=0,CONCATENATE("No Prog, Ejec=  ",AU134),AU134/AS134))</f>
        <v>No Prog ni Ejec</v>
      </c>
      <c r="BO134" s="44">
        <f>IF(AND(AZ134=0,BC134=0),"No Prog ni Ejec",IF(AZ134=0,CONCATENATE("No Prog, Ejec=  ",BC134),BC134/AZ134))</f>
        <v>0</v>
      </c>
      <c r="BP134" s="44" t="str">
        <f>IF(AND(BB134=0,BD134=0),"No Prog ni Ejec",IF(BB134=0,CONCATENATE("No Prog, Ejec=  ",BD134),BD134/BB134))</f>
        <v>No Prog ni Ejec</v>
      </c>
      <c r="BQ134" s="42"/>
    </row>
    <row r="135" spans="1:69" s="45" customFormat="1" ht="105" x14ac:dyDescent="0.25">
      <c r="A135" s="34">
        <v>12000</v>
      </c>
      <c r="B135" s="35" t="str">
        <f>+VLOOKUP(A135,'[1]TAB. REF. PA'!$A$4:$B$14,2,FALSE)</f>
        <v>Oficina Asesora de Planeación y Control de Riegos</v>
      </c>
      <c r="C135" s="36" t="s">
        <v>355</v>
      </c>
      <c r="D135" s="35" t="s">
        <v>256</v>
      </c>
      <c r="E135" s="36" t="s">
        <v>540</v>
      </c>
      <c r="F135" s="35" t="s">
        <v>136</v>
      </c>
      <c r="G135" s="37" t="s">
        <v>123</v>
      </c>
      <c r="H135" s="50">
        <v>1</v>
      </c>
      <c r="I135" s="36" t="s">
        <v>541</v>
      </c>
      <c r="J135" s="38" t="s">
        <v>135</v>
      </c>
      <c r="K135" s="39">
        <v>61642068</v>
      </c>
      <c r="L135" s="40">
        <v>1</v>
      </c>
      <c r="M135" s="41" t="s">
        <v>51</v>
      </c>
      <c r="N135" s="41" t="s">
        <v>68</v>
      </c>
      <c r="O135" s="41" t="s">
        <v>21</v>
      </c>
      <c r="P135" s="41" t="s">
        <v>36</v>
      </c>
      <c r="Q135" s="41" t="s">
        <v>75</v>
      </c>
      <c r="R135" s="42"/>
      <c r="S135" s="41" t="s">
        <v>182</v>
      </c>
      <c r="T135" s="41" t="s">
        <v>99</v>
      </c>
      <c r="U135" s="46">
        <v>1</v>
      </c>
      <c r="V135" s="38" t="str">
        <f>+$J$135</f>
        <v>Asesorar y apoyar en la implementación de MIPG</v>
      </c>
      <c r="W135" s="39">
        <f>+K135</f>
        <v>61642068</v>
      </c>
      <c r="X135" s="34" t="s">
        <v>117</v>
      </c>
      <c r="Y135" s="40">
        <v>0.25</v>
      </c>
      <c r="Z135" s="38" t="str">
        <f>+$J$135</f>
        <v>Asesorar y apoyar en la implementación de MIPG</v>
      </c>
      <c r="AA135" s="39">
        <v>15410517</v>
      </c>
      <c r="AB135" s="42"/>
      <c r="AC135" s="42"/>
      <c r="AD135" s="40">
        <f t="shared" si="74"/>
        <v>0</v>
      </c>
      <c r="AE135" s="40">
        <f t="shared" si="75"/>
        <v>0</v>
      </c>
      <c r="AF135" s="40">
        <f t="shared" si="76"/>
        <v>0</v>
      </c>
      <c r="AG135" s="40">
        <f t="shared" si="77"/>
        <v>0</v>
      </c>
      <c r="AH135" s="40">
        <v>0.25</v>
      </c>
      <c r="AI135" s="38" t="str">
        <f>+$J$135</f>
        <v>Asesorar y apoyar en la implementación de MIPG</v>
      </c>
      <c r="AJ135" s="39">
        <v>15410517</v>
      </c>
      <c r="AK135" s="42"/>
      <c r="AL135" s="42"/>
      <c r="AM135" s="40">
        <f t="shared" si="78"/>
        <v>0</v>
      </c>
      <c r="AN135" s="40">
        <f t="shared" si="79"/>
        <v>0</v>
      </c>
      <c r="AO135" s="40">
        <f t="shared" si="80"/>
        <v>0</v>
      </c>
      <c r="AP135" s="43">
        <f t="shared" si="81"/>
        <v>0</v>
      </c>
      <c r="AQ135" s="40">
        <v>0.25</v>
      </c>
      <c r="AR135" s="38" t="str">
        <f>+$J$135</f>
        <v>Asesorar y apoyar en la implementación de MIPG</v>
      </c>
      <c r="AS135" s="39">
        <v>15410517</v>
      </c>
      <c r="AT135" s="42"/>
      <c r="AU135" s="42"/>
      <c r="AV135" s="40">
        <f t="shared" si="82"/>
        <v>0</v>
      </c>
      <c r="AW135" s="40">
        <f t="shared" si="83"/>
        <v>0</v>
      </c>
      <c r="AX135" s="40">
        <f t="shared" si="84"/>
        <v>0</v>
      </c>
      <c r="AY135" s="40">
        <f t="shared" si="85"/>
        <v>0</v>
      </c>
      <c r="AZ135" s="40">
        <v>0.25</v>
      </c>
      <c r="BA135" s="38" t="str">
        <f>+$J$135</f>
        <v>Asesorar y apoyar en la implementación de MIPG</v>
      </c>
      <c r="BB135" s="39">
        <v>15410517</v>
      </c>
      <c r="BC135" s="42"/>
      <c r="BD135" s="42"/>
      <c r="BE135" s="40">
        <f t="shared" si="86"/>
        <v>0</v>
      </c>
      <c r="BF135" s="40">
        <f t="shared" si="87"/>
        <v>0</v>
      </c>
      <c r="BG135" s="40">
        <f t="shared" si="88"/>
        <v>0</v>
      </c>
      <c r="BH135" s="40">
        <f t="shared" si="89"/>
        <v>0</v>
      </c>
      <c r="BI135" s="44">
        <f>IF(AND(Y135=0,AB135=0),"No Prog ni Ejec",IF(Y135=0,CONCATENATE("No Prog, Ejec=  ",AB135),AB135/Y135))</f>
        <v>0</v>
      </c>
      <c r="BJ135" s="44">
        <f>IF(AND(AA135=0,AC135=0),"No Prog ni Ejec",IF(AA135=0,CONCATENATE("No Prog, Ejec=  ",AC135),AC135/AA135))</f>
        <v>0</v>
      </c>
      <c r="BK135" s="44">
        <f>IF(AND(AH135=0,AK135=0),"No Prog ni Ejec",IF(AH135=0,CONCATENATE("No Prog, Ejec=  ",AK135),AK135/AH135))</f>
        <v>0</v>
      </c>
      <c r="BL135" s="44">
        <f>IF(AND(AJ135=0,AL135=0),"No Prog ni Ejec",IF(AJ135=0,CONCATENATE("No Prog, Ejec=  ",AL135),AL135/AJ135))</f>
        <v>0</v>
      </c>
      <c r="BM135" s="44">
        <f>IF(AND(AQ135=0,AT135=0),"No Prog ni Ejec",IF(AQ135=0,CONCATENATE("No Prog, Ejec=  ",AT135),AT135/AQ135))</f>
        <v>0</v>
      </c>
      <c r="BN135" s="44">
        <f>IF(AND(AS135=0,AU135=0),"No Prog ni Ejec",IF(AS135=0,CONCATENATE("No Prog, Ejec=  ",AU135),AU135/AS135))</f>
        <v>0</v>
      </c>
      <c r="BO135" s="44">
        <f>IF(AND(AZ135=0,BC135=0),"No Prog ni Ejec",IF(AZ135=0,CONCATENATE("No Prog, Ejec=  ",BC135),BC135/AZ135))</f>
        <v>0</v>
      </c>
      <c r="BP135" s="44">
        <f>IF(AND(BB135=0,BD135=0),"No Prog ni Ejec",IF(BB135=0,CONCATENATE("No Prog, Ejec=  ",BD135),BD135/BB135))</f>
        <v>0</v>
      </c>
      <c r="BQ135" s="42"/>
    </row>
    <row r="136" spans="1:69" s="45" customFormat="1" ht="105" x14ac:dyDescent="0.25">
      <c r="A136" s="34">
        <v>12000</v>
      </c>
      <c r="B136" s="35" t="str">
        <f>+VLOOKUP(A136,'[1]TAB. REF. PA'!$A$4:$B$14,2,FALSE)</f>
        <v>Oficina Asesora de Planeación y Control de Riegos</v>
      </c>
      <c r="C136" s="36" t="s">
        <v>355</v>
      </c>
      <c r="D136" s="35" t="s">
        <v>256</v>
      </c>
      <c r="E136" s="36" t="s">
        <v>542</v>
      </c>
      <c r="F136" s="35" t="s">
        <v>139</v>
      </c>
      <c r="G136" s="37" t="s">
        <v>124</v>
      </c>
      <c r="H136" s="36">
        <v>1</v>
      </c>
      <c r="I136" s="36" t="s">
        <v>543</v>
      </c>
      <c r="J136" s="38" t="s">
        <v>138</v>
      </c>
      <c r="K136" s="39">
        <v>0</v>
      </c>
      <c r="L136" s="40">
        <v>1</v>
      </c>
      <c r="M136" s="41" t="s">
        <v>48</v>
      </c>
      <c r="N136" s="41" t="s">
        <v>62</v>
      </c>
      <c r="O136" s="41" t="s">
        <v>21</v>
      </c>
      <c r="P136" s="41" t="s">
        <v>23</v>
      </c>
      <c r="Q136" s="41" t="s">
        <v>75</v>
      </c>
      <c r="R136" s="42"/>
      <c r="S136" s="41" t="s">
        <v>628</v>
      </c>
      <c r="T136" s="41" t="s">
        <v>98</v>
      </c>
      <c r="U136" s="51">
        <v>0</v>
      </c>
      <c r="V136" s="38" t="str">
        <f>+$J$136</f>
        <v>Elaboración del Informe de Rendición de Cuentas al Congreso de la República 2017-2018</v>
      </c>
      <c r="W136" s="39">
        <v>0</v>
      </c>
      <c r="X136" s="34" t="s">
        <v>117</v>
      </c>
      <c r="Y136" s="39">
        <v>0</v>
      </c>
      <c r="Z136" s="38" t="str">
        <f>+$J$136</f>
        <v>Elaboración del Informe de Rendición de Cuentas al Congreso de la República 2017-2018</v>
      </c>
      <c r="AA136" s="39">
        <v>0</v>
      </c>
      <c r="AB136" s="42"/>
      <c r="AC136" s="42"/>
      <c r="AD136" s="40" t="e">
        <f t="shared" si="74"/>
        <v>#DIV/0!</v>
      </c>
      <c r="AE136" s="40" t="e">
        <f t="shared" si="75"/>
        <v>#DIV/0!</v>
      </c>
      <c r="AF136" s="40" t="e">
        <f t="shared" si="76"/>
        <v>#DIV/0!</v>
      </c>
      <c r="AG136" s="40" t="e">
        <f t="shared" si="77"/>
        <v>#DIV/0!</v>
      </c>
      <c r="AH136" s="39">
        <v>0</v>
      </c>
      <c r="AI136" s="38" t="str">
        <f>+$J$136</f>
        <v>Elaboración del Informe de Rendición de Cuentas al Congreso de la República 2017-2018</v>
      </c>
      <c r="AJ136" s="39">
        <v>0</v>
      </c>
      <c r="AK136" s="42"/>
      <c r="AL136" s="42"/>
      <c r="AM136" s="40" t="e">
        <f t="shared" si="78"/>
        <v>#DIV/0!</v>
      </c>
      <c r="AN136" s="40" t="e">
        <f t="shared" si="79"/>
        <v>#DIV/0!</v>
      </c>
      <c r="AO136" s="40" t="e">
        <f t="shared" si="80"/>
        <v>#DIV/0!</v>
      </c>
      <c r="AP136" s="43" t="e">
        <f t="shared" si="81"/>
        <v>#DIV/0!</v>
      </c>
      <c r="AQ136" s="39">
        <v>1</v>
      </c>
      <c r="AR136" s="38" t="str">
        <f>+$J$136</f>
        <v>Elaboración del Informe de Rendición de Cuentas al Congreso de la República 2017-2018</v>
      </c>
      <c r="AS136" s="39">
        <v>0</v>
      </c>
      <c r="AT136" s="42"/>
      <c r="AU136" s="42"/>
      <c r="AV136" s="40">
        <f t="shared" si="82"/>
        <v>0</v>
      </c>
      <c r="AW136" s="40" t="e">
        <f t="shared" si="83"/>
        <v>#DIV/0!</v>
      </c>
      <c r="AX136" s="40" t="e">
        <f t="shared" si="84"/>
        <v>#DIV/0!</v>
      </c>
      <c r="AY136" s="40" t="e">
        <f t="shared" si="85"/>
        <v>#DIV/0!</v>
      </c>
      <c r="AZ136" s="39">
        <v>0</v>
      </c>
      <c r="BA136" s="38" t="str">
        <f>+$J$136</f>
        <v>Elaboración del Informe de Rendición de Cuentas al Congreso de la República 2017-2018</v>
      </c>
      <c r="BB136" s="39">
        <v>0</v>
      </c>
      <c r="BC136" s="42"/>
      <c r="BD136" s="42"/>
      <c r="BE136" s="40" t="e">
        <f t="shared" si="86"/>
        <v>#DIV/0!</v>
      </c>
      <c r="BF136" s="40" t="e">
        <f t="shared" si="87"/>
        <v>#DIV/0!</v>
      </c>
      <c r="BG136" s="40" t="e">
        <f t="shared" si="88"/>
        <v>#DIV/0!</v>
      </c>
      <c r="BH136" s="40" t="e">
        <f t="shared" si="89"/>
        <v>#DIV/0!</v>
      </c>
      <c r="BI136" s="44" t="str">
        <f>IF(AND(Y136=0,AB136=0),"No Prog ni Ejec",IF(Y136=0,CONCATENATE("No Prog, Ejec=  ",AB136),AB136/Y136))</f>
        <v>No Prog ni Ejec</v>
      </c>
      <c r="BJ136" s="44" t="str">
        <f>IF(AND(AA136=0,AC136=0),"No Prog ni Ejec",IF(AA136=0,CONCATENATE("No Prog, Ejec=  ",AC136),AC136/AA136))</f>
        <v>No Prog ni Ejec</v>
      </c>
      <c r="BK136" s="44" t="str">
        <f>IF(AND(AH136=0,AK136=0),"No Prog ni Ejec",IF(AH136=0,CONCATENATE("No Prog, Ejec=  ",AK136),AK136/AH136))</f>
        <v>No Prog ni Ejec</v>
      </c>
      <c r="BL136" s="44" t="str">
        <f>IF(AND(AJ136=0,AL136=0),"No Prog ni Ejec",IF(AJ136=0,CONCATENATE("No Prog, Ejec=  ",AL136),AL136/AJ136))</f>
        <v>No Prog ni Ejec</v>
      </c>
      <c r="BM136" s="44">
        <f>IF(AND(AQ136=0,AT136=0),"No Prog ni Ejec",IF(AQ136=0,CONCATENATE("No Prog, Ejec=  ",AT136),AT136/AQ136))</f>
        <v>0</v>
      </c>
      <c r="BN136" s="44" t="str">
        <f>IF(AND(AS136=0,AU136=0),"No Prog ni Ejec",IF(AS136=0,CONCATENATE("No Prog, Ejec=  ",AU136),AU136/AS136))</f>
        <v>No Prog ni Ejec</v>
      </c>
      <c r="BO136" s="44" t="str">
        <f>IF(AND(AZ136=0,BC136=0),"No Prog ni Ejec",IF(AZ136=0,CONCATENATE("No Prog, Ejec=  ",BC136),BC136/AZ136))</f>
        <v>No Prog ni Ejec</v>
      </c>
      <c r="BP136" s="44" t="str">
        <f>IF(AND(BB136=0,BD136=0),"No Prog ni Ejec",IF(BB136=0,CONCATENATE("No Prog, Ejec=  ",BD136),BD136/BB136))</f>
        <v>No Prog ni Ejec</v>
      </c>
      <c r="BQ136" s="42"/>
    </row>
    <row r="137" spans="1:69" ht="30" x14ac:dyDescent="0.25">
      <c r="A137" s="129"/>
      <c r="B137" s="130" t="e">
        <f>+VLOOKUP(A137,'[1]TAB. REF. PA'!$A$4:$B$14,2,FALSE)</f>
        <v>#N/A</v>
      </c>
      <c r="C137" s="1"/>
      <c r="D137" s="141"/>
      <c r="E137" s="1"/>
      <c r="F137" s="1"/>
      <c r="G137" s="142"/>
      <c r="H137" s="1"/>
      <c r="I137" s="1"/>
      <c r="J137" s="1"/>
      <c r="K137" s="1"/>
      <c r="L137" s="1"/>
      <c r="M137" s="3"/>
      <c r="N137" s="3"/>
      <c r="O137" s="3"/>
      <c r="P137" s="3"/>
      <c r="Q137" s="3"/>
      <c r="R137" s="1"/>
      <c r="S137" s="1"/>
      <c r="T137" s="3"/>
      <c r="U137" s="1"/>
      <c r="V137" s="1"/>
      <c r="W137" s="1"/>
      <c r="X137" s="129"/>
      <c r="Y137" s="1"/>
      <c r="Z137" s="1"/>
      <c r="AA137" s="1"/>
      <c r="AB137" s="1"/>
      <c r="AC137" s="1"/>
      <c r="AD137" s="143" t="e">
        <f t="shared" si="74"/>
        <v>#DIV/0!</v>
      </c>
      <c r="AE137" s="143" t="e">
        <f t="shared" si="75"/>
        <v>#DIV/0!</v>
      </c>
      <c r="AF137" s="143" t="e">
        <f t="shared" si="76"/>
        <v>#DIV/0!</v>
      </c>
      <c r="AG137" s="143" t="e">
        <f t="shared" si="77"/>
        <v>#DIV/0!</v>
      </c>
      <c r="AH137" s="1"/>
      <c r="AI137" s="1"/>
      <c r="AJ137" s="1"/>
      <c r="AK137" s="1"/>
      <c r="AL137" s="1"/>
      <c r="AM137" s="143" t="e">
        <f t="shared" si="78"/>
        <v>#DIV/0!</v>
      </c>
      <c r="AN137" s="143" t="e">
        <f t="shared" si="79"/>
        <v>#DIV/0!</v>
      </c>
      <c r="AO137" s="143" t="e">
        <f t="shared" si="80"/>
        <v>#DIV/0!</v>
      </c>
      <c r="AP137" s="144" t="e">
        <f t="shared" si="81"/>
        <v>#DIV/0!</v>
      </c>
      <c r="AQ137" s="1"/>
      <c r="AR137" s="1"/>
      <c r="AS137" s="1"/>
      <c r="AT137" s="1"/>
      <c r="AU137" s="1"/>
      <c r="AV137" s="143" t="e">
        <f t="shared" si="82"/>
        <v>#DIV/0!</v>
      </c>
      <c r="AW137" s="143" t="e">
        <f t="shared" si="83"/>
        <v>#DIV/0!</v>
      </c>
      <c r="AX137" s="145" t="e">
        <f t="shared" si="84"/>
        <v>#DIV/0!</v>
      </c>
      <c r="AY137" s="145" t="e">
        <f t="shared" si="85"/>
        <v>#DIV/0!</v>
      </c>
      <c r="AZ137" s="129"/>
      <c r="BA137" s="1"/>
      <c r="BB137" s="1"/>
      <c r="BC137" s="1"/>
      <c r="BD137" s="1"/>
      <c r="BE137" s="143" t="e">
        <f t="shared" si="86"/>
        <v>#DIV/0!</v>
      </c>
      <c r="BF137" s="143" t="e">
        <f t="shared" si="87"/>
        <v>#DIV/0!</v>
      </c>
      <c r="BG137" s="143" t="e">
        <f t="shared" si="88"/>
        <v>#DIV/0!</v>
      </c>
      <c r="BH137" s="143" t="e">
        <f t="shared" si="89"/>
        <v>#DIV/0!</v>
      </c>
      <c r="BI137" s="13" t="str">
        <f>IF(AND(Y137=0,AB137=0),"No Prog ni Ejec",IF(Y137=0,CONCATENATE("No Prog, Ejec=  ",AB137),AB137/Y137))</f>
        <v>No Prog ni Ejec</v>
      </c>
      <c r="BJ137" s="13" t="str">
        <f>IF(AND(AA137=0,AC137=0),"No Prog ni Ejec",IF(AA137=0,CONCATENATE("No Prog, Ejec=  ",AC137),AC137/AA137))</f>
        <v>No Prog ni Ejec</v>
      </c>
      <c r="BK137" s="17" t="str">
        <f>IF(AND(AH137=0,AK137=0),"No Prog ni Ejec",IF(AH137=0,CONCATENATE("No Prog, Ejec=  ",AK137),AK137/AH137))</f>
        <v>No Prog ni Ejec</v>
      </c>
      <c r="BL137" s="13" t="str">
        <f>IF(AND(AJ137=0,AL137=0),"No Prog ni Ejec",IF(AJ137=0,CONCATENATE("No Prog, Ejec=  ",AL137),AL137/AJ137))</f>
        <v>No Prog ni Ejec</v>
      </c>
      <c r="BM137" s="15" t="str">
        <f>IF(AND(AQ137=0,AT137=0),"No Prog ni Ejec",IF(AQ137=0,CONCATENATE("No Prog, Ejec=  ",AT137),AT137/AQ137))</f>
        <v>No Prog ni Ejec</v>
      </c>
      <c r="BN137" s="13" t="str">
        <f>IF(AND(AS137=0,AU137=0),"No Prog ni Ejec",IF(AS137=0,CONCATENATE("No Prog, Ejec=  ",AU137),AU137/AS137))</f>
        <v>No Prog ni Ejec</v>
      </c>
      <c r="BO137" s="13" t="str">
        <f>IF(AND(AZ137=0,BC137=0),"No Prog ni Ejec",IF(AZ137=0,CONCATENATE("No Prog, Ejec=  ",BC137),BC137/AZ137))</f>
        <v>No Prog ni Ejec</v>
      </c>
      <c r="BP137" s="13" t="str">
        <f>IF(AND(BB137=0,BD137=0),"No Prog ni Ejec",IF(BB137=0,CONCATENATE("No Prog, Ejec=  ",BD137),BD137/BB137))</f>
        <v>No Prog ni Ejec</v>
      </c>
      <c r="BQ137" s="1"/>
    </row>
    <row r="138" spans="1:69" x14ac:dyDescent="0.25">
      <c r="BB138" t="s">
        <v>738</v>
      </c>
    </row>
    <row r="139" spans="1:69" x14ac:dyDescent="0.25">
      <c r="BJ139" s="1110" t="s">
        <v>739</v>
      </c>
      <c r="BK139" s="1110"/>
      <c r="BL139" s="1110"/>
      <c r="BM139" s="1110"/>
      <c r="BN139" s="1110"/>
      <c r="BO139" s="1110"/>
    </row>
    <row r="140" spans="1:69" x14ac:dyDescent="0.25">
      <c r="BJ140" s="1111" t="s">
        <v>740</v>
      </c>
      <c r="BK140" s="1111"/>
      <c r="BL140" s="1108" t="s">
        <v>741</v>
      </c>
      <c r="BM140" s="1108"/>
      <c r="BN140" s="1108"/>
      <c r="BO140" s="1108"/>
    </row>
    <row r="141" spans="1:69" x14ac:dyDescent="0.25">
      <c r="BJ141" s="1105" t="s">
        <v>742</v>
      </c>
      <c r="BK141" s="1105"/>
      <c r="BL141" s="1106" t="s">
        <v>743</v>
      </c>
      <c r="BM141" s="1106"/>
      <c r="BN141" s="1106"/>
      <c r="BO141" s="1106"/>
    </row>
    <row r="142" spans="1:69" x14ac:dyDescent="0.25">
      <c r="BJ142" s="1107" t="s">
        <v>744</v>
      </c>
      <c r="BK142" s="1107"/>
      <c r="BL142" s="1108" t="s">
        <v>745</v>
      </c>
      <c r="BM142" s="1108"/>
      <c r="BN142" s="1108"/>
      <c r="BO142" s="1108"/>
    </row>
    <row r="143" spans="1:69" x14ac:dyDescent="0.25">
      <c r="BJ143" s="1109" t="s">
        <v>746</v>
      </c>
      <c r="BK143" s="1109"/>
      <c r="BL143" s="1108" t="s">
        <v>747</v>
      </c>
      <c r="BM143" s="1108"/>
      <c r="BN143" s="1108"/>
      <c r="BO143" s="1108"/>
    </row>
    <row r="144" spans="1:69" x14ac:dyDescent="0.25">
      <c r="BJ144" s="1112">
        <v>1</v>
      </c>
      <c r="BK144" s="1112"/>
      <c r="BL144" s="1108" t="s">
        <v>748</v>
      </c>
      <c r="BM144" s="1108"/>
      <c r="BN144" s="1108"/>
      <c r="BO144" s="1108"/>
    </row>
    <row r="145" spans="1:67" x14ac:dyDescent="0.25">
      <c r="BJ145" s="1103" t="s">
        <v>749</v>
      </c>
      <c r="BK145" s="1103"/>
      <c r="BL145" s="1104" t="s">
        <v>750</v>
      </c>
      <c r="BM145" s="1104"/>
      <c r="BN145" s="1104"/>
      <c r="BO145" s="1104"/>
    </row>
    <row r="146" spans="1:67" ht="165" x14ac:dyDescent="0.25">
      <c r="A146" s="65">
        <v>11700</v>
      </c>
      <c r="B146" s="63" t="str">
        <f>+VLOOKUP(A146,'[4]TAB. REF. PA'!$A$4:$B$14,2,FALSE)</f>
        <v>Dirección Administrativa y Financiera</v>
      </c>
      <c r="C146" s="65" t="s">
        <v>328</v>
      </c>
      <c r="D146" s="63" t="s">
        <v>256</v>
      </c>
      <c r="E146" s="65" t="s">
        <v>665</v>
      </c>
      <c r="F146" s="108" t="s">
        <v>667</v>
      </c>
      <c r="G146" s="65" t="s">
        <v>123</v>
      </c>
      <c r="H146" s="107">
        <v>1</v>
      </c>
      <c r="I146" s="65" t="s">
        <v>666</v>
      </c>
      <c r="J146" s="109" t="s">
        <v>471</v>
      </c>
      <c r="K146" s="110">
        <v>77284920</v>
      </c>
      <c r="L146" s="111">
        <v>1</v>
      </c>
      <c r="M146" s="69" t="s">
        <v>45</v>
      </c>
      <c r="N146" s="69" t="s">
        <v>54</v>
      </c>
      <c r="O146" s="69" t="s">
        <v>37</v>
      </c>
      <c r="P146" s="69" t="s">
        <v>38</v>
      </c>
      <c r="Q146" s="69" t="s">
        <v>218</v>
      </c>
      <c r="R146" s="73"/>
      <c r="S146" s="106" t="s">
        <v>379</v>
      </c>
      <c r="T146" s="69" t="s">
        <v>104</v>
      </c>
      <c r="U146" s="111">
        <v>1</v>
      </c>
      <c r="V146" s="69" t="str">
        <f>+J146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W146" s="112">
        <f>+K146</f>
        <v>77284920</v>
      </c>
      <c r="X146" s="73"/>
      <c r="Y146" s="111">
        <v>0.25</v>
      </c>
      <c r="Z146" s="69" t="str">
        <f>+J146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A146" s="110">
        <f>+W146*Y146</f>
        <v>19321230</v>
      </c>
      <c r="AB146" s="73"/>
      <c r="AC146" s="73"/>
      <c r="AD146" s="73"/>
      <c r="AE146" s="73"/>
      <c r="AF146" s="73"/>
      <c r="AG146" s="73"/>
      <c r="AH146" s="111">
        <v>0.25</v>
      </c>
      <c r="AI146" s="69" t="str">
        <f>+J146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J146" s="110">
        <v>19321230</v>
      </c>
      <c r="AK146" s="73"/>
      <c r="AL146" s="73"/>
      <c r="AM146" s="73"/>
      <c r="AN146" s="73"/>
      <c r="AO146" s="73"/>
      <c r="AP146" s="73"/>
      <c r="AQ146" s="111">
        <v>0.25</v>
      </c>
      <c r="AR146" s="69" t="str">
        <f>+V146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S146" s="110">
        <v>19321230</v>
      </c>
      <c r="AT146" s="73"/>
      <c r="AU146" s="73"/>
      <c r="AV146" s="73"/>
      <c r="AW146" s="73"/>
      <c r="AX146" s="73"/>
      <c r="AY146" s="73"/>
      <c r="AZ146" s="111">
        <v>0.25</v>
      </c>
      <c r="BA146" s="69" t="str">
        <f>+V146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BB146" s="110">
        <v>19321230</v>
      </c>
      <c r="BC146" s="73"/>
      <c r="BD146" s="73"/>
      <c r="BE146" s="73"/>
      <c r="BF146" s="73"/>
      <c r="BG146" s="73"/>
      <c r="BH146" s="73"/>
    </row>
    <row r="147" spans="1:67" ht="105" x14ac:dyDescent="0.25">
      <c r="A147" s="65">
        <v>11700</v>
      </c>
      <c r="B147" s="63" t="str">
        <f>+VLOOKUP(A147,'[4]TAB. REF. PA'!$A$4:$B$14,2,FALSE)</f>
        <v>Dirección Administrativa y Financiera</v>
      </c>
      <c r="C147" s="65" t="s">
        <v>328</v>
      </c>
      <c r="D147" s="63" t="s">
        <v>256</v>
      </c>
      <c r="E147" s="65" t="s">
        <v>669</v>
      </c>
      <c r="F147" s="108" t="s">
        <v>671</v>
      </c>
      <c r="G147" s="65" t="s">
        <v>123</v>
      </c>
      <c r="H147" s="107">
        <v>1</v>
      </c>
      <c r="I147" s="65" t="s">
        <v>668</v>
      </c>
      <c r="J147" s="108" t="s">
        <v>472</v>
      </c>
      <c r="K147" s="73">
        <v>17000000</v>
      </c>
      <c r="L147" s="111">
        <v>1</v>
      </c>
      <c r="M147" s="69" t="s">
        <v>45</v>
      </c>
      <c r="N147" s="69" t="s">
        <v>54</v>
      </c>
      <c r="O147" s="69" t="s">
        <v>37</v>
      </c>
      <c r="P147" s="69" t="s">
        <v>38</v>
      </c>
      <c r="Q147" s="69" t="s">
        <v>218</v>
      </c>
      <c r="R147" s="73"/>
      <c r="S147" s="106" t="s">
        <v>379</v>
      </c>
      <c r="T147" s="69" t="s">
        <v>104</v>
      </c>
      <c r="U147" s="111">
        <v>1</v>
      </c>
      <c r="V147" s="69" t="str">
        <f>+J147</f>
        <v xml:space="preserve">Realizar el estudio de seguridad, visita domiciliaria y verificación de la información de la Hoja de Vida y antecedentes financieros de los funcionarios de la entidad. </v>
      </c>
      <c r="W147" s="110">
        <v>17000000</v>
      </c>
      <c r="X147" s="73"/>
      <c r="Y147" s="111">
        <v>0.25</v>
      </c>
      <c r="Z147" s="69" t="str">
        <f>+V147</f>
        <v xml:space="preserve">Realizar el estudio de seguridad, visita domiciliaria y verificación de la información de la Hoja de Vida y antecedentes financieros de los funcionarios de la entidad. </v>
      </c>
      <c r="AA147" s="110">
        <f>+W147*Y147</f>
        <v>4250000</v>
      </c>
      <c r="AB147" s="73"/>
      <c r="AC147" s="73"/>
      <c r="AD147" s="73"/>
      <c r="AE147" s="73"/>
      <c r="AF147" s="73"/>
      <c r="AG147" s="73"/>
      <c r="AH147" s="111">
        <v>0.25</v>
      </c>
      <c r="AI147" s="69" t="str">
        <f>+V147</f>
        <v xml:space="preserve">Realizar el estudio de seguridad, visita domiciliaria y verificación de la información de la Hoja de Vida y antecedentes financieros de los funcionarios de la entidad. </v>
      </c>
      <c r="AJ147" s="110">
        <v>4250000</v>
      </c>
      <c r="AK147" s="73"/>
      <c r="AL147" s="73"/>
      <c r="AM147" s="73"/>
      <c r="AN147" s="73"/>
      <c r="AO147" s="73"/>
      <c r="AP147" s="73"/>
      <c r="AQ147" s="111">
        <v>0.25</v>
      </c>
      <c r="AR147" s="69" t="str">
        <f>+J147</f>
        <v xml:space="preserve">Realizar el estudio de seguridad, visita domiciliaria y verificación de la información de la Hoja de Vida y antecedentes financieros de los funcionarios de la entidad. </v>
      </c>
      <c r="AS147" s="110">
        <v>4250000</v>
      </c>
      <c r="AT147" s="73"/>
      <c r="AU147" s="73"/>
      <c r="AV147" s="73"/>
      <c r="AW147" s="73"/>
      <c r="AX147" s="73"/>
      <c r="AY147" s="73"/>
      <c r="AZ147" s="111">
        <v>0.25</v>
      </c>
      <c r="BA147" s="69" t="str">
        <f>+J147</f>
        <v xml:space="preserve">Realizar el estudio de seguridad, visita domiciliaria y verificación de la información de la Hoja de Vida y antecedentes financieros de los funcionarios de la entidad. </v>
      </c>
      <c r="BB147" s="110">
        <v>4250000</v>
      </c>
      <c r="BC147" s="73"/>
      <c r="BD147" s="73"/>
      <c r="BE147" s="73"/>
      <c r="BF147" s="73"/>
      <c r="BG147" s="73"/>
      <c r="BH147" s="73"/>
    </row>
    <row r="148" spans="1:67" ht="120" x14ac:dyDescent="0.25">
      <c r="A148" s="80">
        <v>11900</v>
      </c>
      <c r="B148" s="79" t="str">
        <f>+VLOOKUP(A148,'[6]TAB. REF. PA'!$A$4:$B$14,2,FALSE)</f>
        <v>Oficina Asesora Jurídica</v>
      </c>
      <c r="C148" s="80" t="s">
        <v>357</v>
      </c>
      <c r="D148" s="79" t="s">
        <v>146</v>
      </c>
      <c r="E148" s="121" t="s">
        <v>692</v>
      </c>
      <c r="F148" s="79" t="s">
        <v>700</v>
      </c>
      <c r="G148" s="80" t="s">
        <v>123</v>
      </c>
      <c r="H148" s="122">
        <v>1</v>
      </c>
      <c r="I148" s="121" t="s">
        <v>693</v>
      </c>
      <c r="J148" s="81" t="s">
        <v>702</v>
      </c>
      <c r="K148" s="82">
        <v>0</v>
      </c>
      <c r="L148" s="83">
        <v>1</v>
      </c>
      <c r="M148" s="84" t="s">
        <v>46</v>
      </c>
      <c r="N148" s="84" t="s">
        <v>74</v>
      </c>
      <c r="O148" s="84" t="s">
        <v>21</v>
      </c>
      <c r="P148" s="84" t="s">
        <v>36</v>
      </c>
      <c r="Q148" s="84" t="s">
        <v>229</v>
      </c>
      <c r="R148" s="85"/>
      <c r="S148" s="84" t="s">
        <v>703</v>
      </c>
      <c r="T148" s="84" t="s">
        <v>99</v>
      </c>
      <c r="U148" s="83">
        <v>1</v>
      </c>
      <c r="V148" s="81" t="s">
        <v>702</v>
      </c>
      <c r="W148" s="82">
        <v>0</v>
      </c>
      <c r="X148" s="78" t="s">
        <v>117</v>
      </c>
      <c r="Y148" s="83">
        <v>0.1</v>
      </c>
      <c r="Z148" s="81" t="s">
        <v>702</v>
      </c>
      <c r="AA148" s="82">
        <v>0</v>
      </c>
      <c r="AB148" s="85"/>
      <c r="AC148" s="85"/>
      <c r="AD148" s="83">
        <f>+(AB148/Y148)</f>
        <v>0</v>
      </c>
      <c r="AE148" s="83" t="e">
        <f>+(AC148/AA148)</f>
        <v>#DIV/0!</v>
      </c>
      <c r="AF148" s="83">
        <f>+(AB148/U148)</f>
        <v>0</v>
      </c>
      <c r="AG148" s="83" t="e">
        <f>+(AC148/W148)</f>
        <v>#DIV/0!</v>
      </c>
      <c r="AH148" s="83">
        <v>0.3</v>
      </c>
      <c r="AI148" s="81" t="s">
        <v>702</v>
      </c>
      <c r="AJ148" s="82">
        <v>0</v>
      </c>
      <c r="AK148" s="85"/>
      <c r="AL148" s="85"/>
      <c r="AM148" s="83">
        <f>+(AK148/AH148)</f>
        <v>0</v>
      </c>
      <c r="AN148" s="83" t="e">
        <f>+(AL148/AJ148)</f>
        <v>#DIV/0!</v>
      </c>
      <c r="AO148" s="83">
        <f>+(AK148+AB148)/U148</f>
        <v>0</v>
      </c>
      <c r="AP148" s="87" t="e">
        <f>+(AL148+AC148)/W148</f>
        <v>#DIV/0!</v>
      </c>
      <c r="AQ148" s="83">
        <v>0.3</v>
      </c>
      <c r="AR148" s="81" t="s">
        <v>702</v>
      </c>
      <c r="AS148" s="82">
        <v>0</v>
      </c>
      <c r="AT148" s="85"/>
      <c r="AU148" s="85"/>
      <c r="AV148" s="83">
        <f>+(AT148/AQ148)</f>
        <v>0</v>
      </c>
      <c r="AW148" s="83" t="e">
        <f>+(AU148/AS148)</f>
        <v>#DIV/0!</v>
      </c>
      <c r="AX148" s="83">
        <f>+(AK148+AB148+AT148)/U148</f>
        <v>0</v>
      </c>
      <c r="AY148" s="83" t="e">
        <f>+(AL148+AC148+AU148)/W148</f>
        <v>#DIV/0!</v>
      </c>
      <c r="AZ148" s="83">
        <v>0.3</v>
      </c>
      <c r="BA148" s="81" t="s">
        <v>702</v>
      </c>
      <c r="BB148" s="82">
        <v>0</v>
      </c>
      <c r="BC148" s="85"/>
      <c r="BD148" s="85"/>
      <c r="BE148" s="83">
        <f>+(BC148/AZ148)</f>
        <v>0</v>
      </c>
      <c r="BF148" s="83" t="e">
        <f>+(BD148/BB148)</f>
        <v>#DIV/0!</v>
      </c>
      <c r="BG148" s="83">
        <f>+(AK148+AB148+AT148+BC148)/U148</f>
        <v>0</v>
      </c>
      <c r="BH148" s="83" t="e">
        <f>+(AL148+AC148+AU148+BD148)/W148</f>
        <v>#DIV/0!</v>
      </c>
    </row>
    <row r="149" spans="1:67" ht="105" x14ac:dyDescent="0.25">
      <c r="A149" s="80">
        <v>11900</v>
      </c>
      <c r="B149" s="79" t="str">
        <f>+VLOOKUP(A149,'[6]TAB. REF. PA'!$A$4:$B$14,2,FALSE)</f>
        <v>Oficina Asesora Jurídica</v>
      </c>
      <c r="C149" s="80" t="s">
        <v>357</v>
      </c>
      <c r="D149" s="79" t="s">
        <v>146</v>
      </c>
      <c r="E149" s="121" t="s">
        <v>719</v>
      </c>
      <c r="F149" s="79" t="s">
        <v>704</v>
      </c>
      <c r="G149" s="80" t="s">
        <v>123</v>
      </c>
      <c r="H149" s="122">
        <v>1</v>
      </c>
      <c r="I149" s="121" t="s">
        <v>720</v>
      </c>
      <c r="J149" s="81" t="s">
        <v>705</v>
      </c>
      <c r="K149" s="82">
        <v>0</v>
      </c>
      <c r="L149" s="83">
        <v>1</v>
      </c>
      <c r="M149" s="84" t="s">
        <v>46</v>
      </c>
      <c r="N149" s="84" t="s">
        <v>74</v>
      </c>
      <c r="O149" s="84" t="s">
        <v>21</v>
      </c>
      <c r="P149" s="84" t="s">
        <v>36</v>
      </c>
      <c r="Q149" s="84" t="s">
        <v>229</v>
      </c>
      <c r="R149" s="85"/>
      <c r="S149" s="84" t="s">
        <v>706</v>
      </c>
      <c r="T149" s="84" t="s">
        <v>99</v>
      </c>
      <c r="U149" s="83">
        <v>1</v>
      </c>
      <c r="V149" s="81" t="s">
        <v>705</v>
      </c>
      <c r="W149" s="82">
        <v>0</v>
      </c>
      <c r="X149" s="78" t="s">
        <v>117</v>
      </c>
      <c r="Y149" s="83">
        <v>0.25</v>
      </c>
      <c r="Z149" s="81" t="s">
        <v>705</v>
      </c>
      <c r="AA149" s="82">
        <v>0</v>
      </c>
      <c r="AB149" s="85"/>
      <c r="AC149" s="85"/>
      <c r="AD149" s="83">
        <f>+(AB149/Y149)</f>
        <v>0</v>
      </c>
      <c r="AE149" s="83" t="e">
        <f>+(AC149/AA149)</f>
        <v>#DIV/0!</v>
      </c>
      <c r="AF149" s="83">
        <f>+(AB149/U149)</f>
        <v>0</v>
      </c>
      <c r="AG149" s="83" t="e">
        <f>+(AC149/W149)</f>
        <v>#DIV/0!</v>
      </c>
      <c r="AH149" s="83">
        <v>0.25</v>
      </c>
      <c r="AI149" s="81" t="s">
        <v>705</v>
      </c>
      <c r="AJ149" s="85"/>
      <c r="AK149" s="85"/>
      <c r="AL149" s="85"/>
      <c r="AM149" s="83">
        <f>+(AK149/AH149)</f>
        <v>0</v>
      </c>
      <c r="AN149" s="83" t="e">
        <f>+(AL149/AJ149)</f>
        <v>#DIV/0!</v>
      </c>
      <c r="AO149" s="83">
        <f>+(AK149+AB149)/U149</f>
        <v>0</v>
      </c>
      <c r="AP149" s="87" t="e">
        <f>+(AL149+AC149)/W149</f>
        <v>#DIV/0!</v>
      </c>
      <c r="AQ149" s="83">
        <v>0.25</v>
      </c>
      <c r="AR149" s="81" t="s">
        <v>705</v>
      </c>
      <c r="AS149" s="85"/>
      <c r="AT149" s="85"/>
      <c r="AU149" s="85"/>
      <c r="AV149" s="83">
        <f>+(AT149/AQ149)</f>
        <v>0</v>
      </c>
      <c r="AW149" s="83" t="e">
        <f>+(AU149/AS149)</f>
        <v>#DIV/0!</v>
      </c>
      <c r="AX149" s="83">
        <f>+(AK149+AB149+AT149)/U149</f>
        <v>0</v>
      </c>
      <c r="AY149" s="83" t="e">
        <f>+(AL149+AC149+AU149)/W149</f>
        <v>#DIV/0!</v>
      </c>
      <c r="AZ149" s="83">
        <v>0.25</v>
      </c>
      <c r="BA149" s="81" t="s">
        <v>705</v>
      </c>
      <c r="BB149" s="82">
        <v>0</v>
      </c>
      <c r="BC149" s="85"/>
      <c r="BD149" s="85"/>
      <c r="BE149" s="83">
        <f>+(BC149/AZ149)</f>
        <v>0</v>
      </c>
      <c r="BF149" s="83" t="e">
        <f>+(BD149/BB149)</f>
        <v>#DIV/0!</v>
      </c>
      <c r="BG149" s="83">
        <f>+(AK149+AB149+AT149+BC149)/U149</f>
        <v>0</v>
      </c>
      <c r="BH149" s="83" t="e">
        <f>+(AL149+AC149+AU149+BD149)/W149</f>
        <v>#DIV/0!</v>
      </c>
    </row>
    <row r="150" spans="1:67" ht="270" x14ac:dyDescent="0.25">
      <c r="A150" s="80">
        <v>11900</v>
      </c>
      <c r="B150" s="79" t="str">
        <f>+VLOOKUP(A150,'[6]TAB. REF. PA'!$A$4:$B$14,2,FALSE)</f>
        <v>Oficina Asesora Jurídica</v>
      </c>
      <c r="C150" s="80" t="s">
        <v>357</v>
      </c>
      <c r="D150" s="79" t="s">
        <v>146</v>
      </c>
      <c r="E150" s="121" t="s">
        <v>701</v>
      </c>
      <c r="F150" s="124" t="s">
        <v>712</v>
      </c>
      <c r="G150" s="80" t="s">
        <v>123</v>
      </c>
      <c r="H150" s="122">
        <v>1</v>
      </c>
      <c r="I150" s="121" t="s">
        <v>707</v>
      </c>
      <c r="J150" s="123" t="s">
        <v>468</v>
      </c>
      <c r="K150" s="82">
        <f>+'[1]Plan Adquisiciones'!G80</f>
        <v>150000000</v>
      </c>
      <c r="L150" s="83">
        <v>1</v>
      </c>
      <c r="M150" s="84" t="s">
        <v>46</v>
      </c>
      <c r="N150" s="84" t="s">
        <v>74</v>
      </c>
      <c r="O150" s="84" t="s">
        <v>21</v>
      </c>
      <c r="P150" s="84" t="s">
        <v>36</v>
      </c>
      <c r="Q150" s="84" t="s">
        <v>229</v>
      </c>
      <c r="R150" s="85"/>
      <c r="S150" s="84" t="s">
        <v>182</v>
      </c>
      <c r="T150" s="84" t="s">
        <v>99</v>
      </c>
      <c r="U150" s="83">
        <v>1</v>
      </c>
      <c r="V150" s="81" t="str">
        <f t="shared" ref="V150:W152" si="90">+J150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W150" s="82">
        <f t="shared" si="90"/>
        <v>150000000</v>
      </c>
      <c r="X150" s="78"/>
      <c r="Y150" s="83">
        <v>0.25</v>
      </c>
      <c r="Z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A150" s="82">
        <f>+W150*Y150</f>
        <v>37500000</v>
      </c>
      <c r="AB150" s="85"/>
      <c r="AC150" s="85"/>
      <c r="AD150" s="83">
        <f>+(AB150/Y150)</f>
        <v>0</v>
      </c>
      <c r="AE150" s="83"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F150" s="83">
        <f>+(AB150/U150)</f>
        <v>0</v>
      </c>
      <c r="AG150" s="83"/>
      <c r="AH150" s="83">
        <v>0.25</v>
      </c>
      <c r="AI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J150" s="85">
        <v>37500000</v>
      </c>
      <c r="AK150" s="85"/>
      <c r="AL150" s="85"/>
      <c r="AM150" s="83"/>
      <c r="AN150" s="83"/>
      <c r="AO150" s="83">
        <f>+(AK150+AB150)/U150</f>
        <v>0</v>
      </c>
      <c r="AP150" s="87"/>
      <c r="AQ150" s="83">
        <v>0.25</v>
      </c>
      <c r="AR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S150" s="85">
        <v>37500000</v>
      </c>
      <c r="AT150" s="85"/>
      <c r="AU150" s="85"/>
      <c r="AV150" s="83"/>
      <c r="AW150" s="83"/>
      <c r="AX150" s="83">
        <f>+(AK150+AB150+AT150)/U150</f>
        <v>0</v>
      </c>
      <c r="AY150" s="83"/>
      <c r="AZ150" s="83">
        <v>0.25</v>
      </c>
      <c r="BA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B150" s="82">
        <v>37500000</v>
      </c>
      <c r="BC150" s="85"/>
      <c r="BD150" s="85"/>
      <c r="BE150" s="83"/>
      <c r="BF150" s="83"/>
      <c r="BG150" s="83">
        <f>+(AK150+AB150+AT150+BC150)/U150</f>
        <v>0</v>
      </c>
      <c r="BH150" s="83"/>
    </row>
    <row r="151" spans="1:67" ht="270" x14ac:dyDescent="0.25">
      <c r="A151" s="80">
        <v>11900</v>
      </c>
      <c r="B151" s="79" t="str">
        <f>+VLOOKUP(A151,'[6]TAB. REF. PA'!$A$4:$B$14,2,FALSE)</f>
        <v>Oficina Asesora Jurídica</v>
      </c>
      <c r="C151" s="80" t="s">
        <v>357</v>
      </c>
      <c r="D151" s="79" t="s">
        <v>146</v>
      </c>
      <c r="E151" s="121" t="s">
        <v>721</v>
      </c>
      <c r="F151" s="124" t="s">
        <v>709</v>
      </c>
      <c r="G151" s="80" t="s">
        <v>123</v>
      </c>
      <c r="H151" s="122">
        <v>1</v>
      </c>
      <c r="I151" s="121" t="s">
        <v>708</v>
      </c>
      <c r="J151" s="123" t="s">
        <v>374</v>
      </c>
      <c r="K151" s="82">
        <f>+'[1]Plan Adquisiciones'!G79</f>
        <v>144328579</v>
      </c>
      <c r="L151" s="83">
        <v>1</v>
      </c>
      <c r="M151" s="84" t="s">
        <v>46</v>
      </c>
      <c r="N151" s="84" t="s">
        <v>74</v>
      </c>
      <c r="O151" s="84" t="s">
        <v>21</v>
      </c>
      <c r="P151" s="84" t="s">
        <v>36</v>
      </c>
      <c r="Q151" s="84" t="s">
        <v>229</v>
      </c>
      <c r="R151" s="85"/>
      <c r="S151" s="84" t="s">
        <v>182</v>
      </c>
      <c r="T151" s="84" t="s">
        <v>99</v>
      </c>
      <c r="U151" s="83">
        <v>1</v>
      </c>
      <c r="V151" s="81" t="str">
        <f t="shared" si="90"/>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W151" s="82">
        <f t="shared" si="90"/>
        <v>144328579</v>
      </c>
      <c r="X151" s="78"/>
      <c r="Y151" s="83">
        <v>0.25</v>
      </c>
      <c r="Z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A151" s="82">
        <f>+W151*Y151</f>
        <v>36082144.75</v>
      </c>
      <c r="AB151" s="85"/>
      <c r="AC151" s="85"/>
      <c r="AD151" s="83"/>
      <c r="AE151" s="83"/>
      <c r="AF151" s="83">
        <f>+(AB151/U151)</f>
        <v>0</v>
      </c>
      <c r="AG151" s="83"/>
      <c r="AH151" s="83">
        <v>0.25</v>
      </c>
      <c r="AI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J151" s="85">
        <v>36082144.75</v>
      </c>
      <c r="AK151" s="85"/>
      <c r="AL151" s="85"/>
      <c r="AM151" s="83"/>
      <c r="AN151" s="83"/>
      <c r="AO151" s="83">
        <f>+(AK151+AB151)/U151</f>
        <v>0</v>
      </c>
      <c r="AP151" s="87"/>
      <c r="AQ151" s="83">
        <v>0.25</v>
      </c>
      <c r="AR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S151" s="85">
        <v>36082144.75</v>
      </c>
      <c r="AT151" s="85"/>
      <c r="AU151" s="85"/>
      <c r="AV151" s="83"/>
      <c r="AW151" s="83"/>
      <c r="AX151" s="83">
        <f>+(AK151+AB151+AT151)/U151</f>
        <v>0</v>
      </c>
      <c r="AY151" s="83"/>
      <c r="AZ151" s="83">
        <v>0.25</v>
      </c>
      <c r="BA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B151" s="82">
        <v>36082144.75</v>
      </c>
      <c r="BC151" s="85"/>
      <c r="BD151" s="85"/>
      <c r="BE151" s="83"/>
      <c r="BF151" s="83"/>
      <c r="BG151" s="83">
        <f>+(AK151+AB151+AT151+BC151)/U151</f>
        <v>0</v>
      </c>
      <c r="BH151" s="83"/>
    </row>
    <row r="152" spans="1:67" ht="165" x14ac:dyDescent="0.25">
      <c r="A152" s="80">
        <v>11900</v>
      </c>
      <c r="B152" s="79" t="str">
        <f>+VLOOKUP(A152,'[6]TAB. REF. PA'!$A$4:$B$14,2,FALSE)</f>
        <v>Oficina Asesora Jurídica</v>
      </c>
      <c r="C152" s="80" t="s">
        <v>357</v>
      </c>
      <c r="D152" s="79" t="s">
        <v>146</v>
      </c>
      <c r="E152" s="121" t="s">
        <v>710</v>
      </c>
      <c r="F152" s="124" t="s">
        <v>713</v>
      </c>
      <c r="G152" s="80" t="s">
        <v>123</v>
      </c>
      <c r="H152" s="122">
        <v>1</v>
      </c>
      <c r="I152" s="121" t="s">
        <v>711</v>
      </c>
      <c r="J152" s="123" t="s">
        <v>375</v>
      </c>
      <c r="K152" s="82">
        <f>+'[1]Plan Adquisiciones'!G81+'[1]Plan Adquisiciones'!H176</f>
        <v>163716856</v>
      </c>
      <c r="L152" s="83">
        <v>1</v>
      </c>
      <c r="M152" s="84" t="s">
        <v>46</v>
      </c>
      <c r="N152" s="84" t="s">
        <v>74</v>
      </c>
      <c r="O152" s="84" t="s">
        <v>21</v>
      </c>
      <c r="P152" s="84" t="s">
        <v>36</v>
      </c>
      <c r="Q152" s="84" t="s">
        <v>229</v>
      </c>
      <c r="R152" s="85"/>
      <c r="S152" s="84" t="s">
        <v>714</v>
      </c>
      <c r="T152" s="84" t="s">
        <v>99</v>
      </c>
      <c r="U152" s="83">
        <v>1</v>
      </c>
      <c r="V152" s="81" t="str">
        <f t="shared" si="90"/>
        <v>Ejercer la representación judicial en los procesos penales en que sea parte la Administradora de los Recursos del Sistema General de Seguridad Social en Salud – Administradora de los Recursos del Sistema General de Seguridad Social en Salud - ADRES.</v>
      </c>
      <c r="W152" s="82">
        <f t="shared" si="90"/>
        <v>163716856</v>
      </c>
      <c r="X152" s="78"/>
      <c r="Y152" s="83">
        <v>0.25</v>
      </c>
      <c r="Z152" s="81" t="str">
        <f>+V152</f>
        <v>Ejercer la representación judicial en los procesos penales en que sea parte la Administradora de los Recursos del Sistema General de Seguridad Social en Salud – Administradora de los Recursos del Sistema General de Seguridad Social en Salud - ADRES.</v>
      </c>
      <c r="AA152" s="82">
        <f>+W152*Y152</f>
        <v>40929214</v>
      </c>
      <c r="AB152" s="85"/>
      <c r="AC152" s="85"/>
      <c r="AD152" s="83"/>
      <c r="AE152" s="83"/>
      <c r="AF152" s="83">
        <f>+(AB152/U152)</f>
        <v>0</v>
      </c>
      <c r="AG152" s="83"/>
      <c r="AH152" s="83">
        <v>0.25</v>
      </c>
      <c r="AI152" s="81" t="str">
        <f>+V152</f>
        <v>Ejercer la representación judicial en los procesos penales en que sea parte la Administradora de los Recursos del Sistema General de Seguridad Social en Salud – Administradora de los Recursos del Sistema General de Seguridad Social en Salud - ADRES.</v>
      </c>
      <c r="AJ152" s="85">
        <v>27286142</v>
      </c>
      <c r="AK152" s="85"/>
      <c r="AL152" s="85"/>
      <c r="AM152" s="83"/>
      <c r="AN152" s="83"/>
      <c r="AO152" s="83">
        <f>+(AK152+AB152)/U152</f>
        <v>0</v>
      </c>
      <c r="AP152" s="87"/>
      <c r="AQ152" s="83">
        <v>0.25</v>
      </c>
      <c r="AR152" s="81" t="str">
        <f>+V152</f>
        <v>Ejercer la representación judicial en los procesos penales en que sea parte la Administradora de los Recursos del Sistema General de Seguridad Social en Salud – Administradora de los Recursos del Sistema General de Seguridad Social en Salud - ADRES.</v>
      </c>
      <c r="AS152" s="85">
        <v>27286142</v>
      </c>
      <c r="AT152" s="85"/>
      <c r="AU152" s="85"/>
      <c r="AV152" s="83"/>
      <c r="AW152" s="83"/>
      <c r="AX152" s="83">
        <f>+(AK152+AB152+AT152)/U152</f>
        <v>0</v>
      </c>
      <c r="AY152" s="83"/>
      <c r="AZ152" s="83">
        <v>0.25</v>
      </c>
      <c r="BA152" s="81">
        <f>+BV152</f>
        <v>0</v>
      </c>
      <c r="BB152" s="82">
        <v>27286142</v>
      </c>
      <c r="BC152" s="85"/>
      <c r="BD152" s="85"/>
      <c r="BE152" s="83"/>
      <c r="BF152" s="83"/>
      <c r="BG152" s="83">
        <f>+(AK152+AB152+AT152+BC152)/U152</f>
        <v>0</v>
      </c>
      <c r="BH152" s="83"/>
    </row>
  </sheetData>
  <autoFilter ref="A8:BQ152" xr:uid="{00000000-0009-0000-0000-000000000000}"/>
  <mergeCells count="62">
    <mergeCell ref="D2:M2"/>
    <mergeCell ref="D3:M3"/>
    <mergeCell ref="D4:M4"/>
    <mergeCell ref="Y6:AE6"/>
    <mergeCell ref="AF6:AG7"/>
    <mergeCell ref="U7:X7"/>
    <mergeCell ref="Y7:AA7"/>
    <mergeCell ref="AB7:AC7"/>
    <mergeCell ref="AD7:AE7"/>
    <mergeCell ref="BI6:BP6"/>
    <mergeCell ref="AZ7:BB7"/>
    <mergeCell ref="BC7:BD7"/>
    <mergeCell ref="BE7:BF7"/>
    <mergeCell ref="BI7:BJ7"/>
    <mergeCell ref="BK7:BL7"/>
    <mergeCell ref="BM7:BN7"/>
    <mergeCell ref="BO7:BP7"/>
    <mergeCell ref="AX6:AY7"/>
    <mergeCell ref="AZ6:BF6"/>
    <mergeCell ref="BG6:BH7"/>
    <mergeCell ref="AT7:AU7"/>
    <mergeCell ref="AV7:AW7"/>
    <mergeCell ref="AH7:AJ7"/>
    <mergeCell ref="AK7:AL7"/>
    <mergeCell ref="AM7:AN7"/>
    <mergeCell ref="AQ7:AS7"/>
    <mergeCell ref="K121:K125"/>
    <mergeCell ref="L121:L125"/>
    <mergeCell ref="AA121:AA125"/>
    <mergeCell ref="AC121:AC125"/>
    <mergeCell ref="AJ121:AJ125"/>
    <mergeCell ref="AO6:AP7"/>
    <mergeCell ref="AQ6:AW6"/>
    <mergeCell ref="AH6:AN6"/>
    <mergeCell ref="AU121:AU125"/>
    <mergeCell ref="BB121:BB125"/>
    <mergeCell ref="BD121:BD125"/>
    <mergeCell ref="K126:K128"/>
    <mergeCell ref="L126:L128"/>
    <mergeCell ref="AA126:AA128"/>
    <mergeCell ref="AC126:AC128"/>
    <mergeCell ref="AJ126:AJ128"/>
    <mergeCell ref="AL126:AL128"/>
    <mergeCell ref="AS126:AS128"/>
    <mergeCell ref="AU126:AU128"/>
    <mergeCell ref="BB126:BB128"/>
    <mergeCell ref="BD126:BD128"/>
    <mergeCell ref="AL121:AL125"/>
    <mergeCell ref="AS121:AS125"/>
    <mergeCell ref="BJ139:BO139"/>
    <mergeCell ref="BJ140:BK140"/>
    <mergeCell ref="BL140:BO140"/>
    <mergeCell ref="BJ144:BK144"/>
    <mergeCell ref="BL144:BO144"/>
    <mergeCell ref="BJ145:BK145"/>
    <mergeCell ref="BL145:BO145"/>
    <mergeCell ref="BJ141:BK141"/>
    <mergeCell ref="BL141:BO141"/>
    <mergeCell ref="BJ142:BK142"/>
    <mergeCell ref="BL142:BO142"/>
    <mergeCell ref="BJ143:BK143"/>
    <mergeCell ref="BL143:BO143"/>
  </mergeCells>
  <conditionalFormatting sqref="BK134:BP135 BI136:BP137 BI25:BP35 BI109:BP121 BI90:BP95 BI44:BP54 BI57:BP62 BI74:BP88 BI123:BP132">
    <cfRule type="cellIs" dxfId="18731" priority="85" operator="equal">
      <formula>$BJ$140</formula>
    </cfRule>
    <cfRule type="cellIs" dxfId="18730" priority="86" operator="greaterThan">
      <formula>1</formula>
    </cfRule>
    <cfRule type="cellIs" dxfId="18729" priority="87" operator="equal">
      <formula>100%</formula>
    </cfRule>
    <cfRule type="cellIs" dxfId="18728" priority="88" operator="between">
      <formula>80%</formula>
      <formula>99%</formula>
    </cfRule>
    <cfRule type="cellIs" dxfId="18727" priority="89" operator="between">
      <formula>0%</formula>
      <formula>79%</formula>
    </cfRule>
  </conditionalFormatting>
  <conditionalFormatting sqref="BI133:BP133">
    <cfRule type="cellIs" dxfId="18726" priority="79" operator="equal">
      <formula>$BJ$140</formula>
    </cfRule>
    <cfRule type="cellIs" dxfId="18725" priority="80" operator="greaterThan">
      <formula>1</formula>
    </cfRule>
    <cfRule type="cellIs" dxfId="18724" priority="81" operator="equal">
      <formula>100%</formula>
    </cfRule>
    <cfRule type="cellIs" dxfId="18723" priority="82" operator="between">
      <formula>80%</formula>
      <formula>99%</formula>
    </cfRule>
    <cfRule type="cellIs" dxfId="18722" priority="83" operator="between">
      <formula>0%</formula>
      <formula>79%</formula>
    </cfRule>
  </conditionalFormatting>
  <conditionalFormatting sqref="BI134:BJ135">
    <cfRule type="cellIs" dxfId="18721" priority="73" operator="equal">
      <formula>$BJ$140</formula>
    </cfRule>
    <cfRule type="cellIs" dxfId="18720" priority="74" operator="greaterThan">
      <formula>1</formula>
    </cfRule>
    <cfRule type="cellIs" dxfId="18719" priority="75" operator="equal">
      <formula>100%</formula>
    </cfRule>
    <cfRule type="cellIs" dxfId="18718" priority="76" operator="between">
      <formula>80%</formula>
      <formula>99%</formula>
    </cfRule>
    <cfRule type="cellIs" dxfId="18717" priority="77" operator="between">
      <formula>0%</formula>
      <formula>79%</formula>
    </cfRule>
  </conditionalFormatting>
  <conditionalFormatting sqref="BI10:BP23">
    <cfRule type="cellIs" dxfId="18716" priority="67" operator="equal">
      <formula>$BJ$140</formula>
    </cfRule>
    <cfRule type="cellIs" dxfId="18715" priority="68" operator="greaterThan">
      <formula>1</formula>
    </cfRule>
    <cfRule type="cellIs" dxfId="18714" priority="69" operator="equal">
      <formula>100%</formula>
    </cfRule>
    <cfRule type="cellIs" dxfId="18713" priority="70" operator="between">
      <formula>80%</formula>
      <formula>99%</formula>
    </cfRule>
    <cfRule type="cellIs" dxfId="18712" priority="71" operator="between">
      <formula>0%</formula>
      <formula>79%</formula>
    </cfRule>
  </conditionalFormatting>
  <conditionalFormatting sqref="BI9:BP9">
    <cfRule type="cellIs" dxfId="18711" priority="61" operator="equal">
      <formula>$BJ$140</formula>
    </cfRule>
    <cfRule type="cellIs" dxfId="18710" priority="62" operator="greaterThan">
      <formula>1</formula>
    </cfRule>
    <cfRule type="cellIs" dxfId="18709" priority="63" operator="equal">
      <formula>100%</formula>
    </cfRule>
    <cfRule type="cellIs" dxfId="18708" priority="64" operator="between">
      <formula>80%</formula>
      <formula>99%</formula>
    </cfRule>
    <cfRule type="cellIs" dxfId="18707" priority="65" operator="between">
      <formula>0%</formula>
      <formula>79%</formula>
    </cfRule>
  </conditionalFormatting>
  <conditionalFormatting sqref="BI24:BP24">
    <cfRule type="cellIs" dxfId="18706" priority="55" operator="equal">
      <formula>$BJ$140</formula>
    </cfRule>
    <cfRule type="cellIs" dxfId="18705" priority="56" operator="greaterThan">
      <formula>1</formula>
    </cfRule>
    <cfRule type="cellIs" dxfId="18704" priority="57" operator="equal">
      <formula>100%</formula>
    </cfRule>
    <cfRule type="cellIs" dxfId="18703" priority="58" operator="between">
      <formula>80%</formula>
      <formula>99%</formula>
    </cfRule>
    <cfRule type="cellIs" dxfId="18702" priority="59" operator="between">
      <formula>0%</formula>
      <formula>79%</formula>
    </cfRule>
  </conditionalFormatting>
  <conditionalFormatting sqref="BI63:BP70">
    <cfRule type="cellIs" dxfId="18701" priority="49" operator="equal">
      <formula>$BJ$140</formula>
    </cfRule>
    <cfRule type="cellIs" dxfId="18700" priority="50" operator="greaterThan">
      <formula>1</formula>
    </cfRule>
    <cfRule type="cellIs" dxfId="18699" priority="51" operator="equal">
      <formula>100%</formula>
    </cfRule>
    <cfRule type="cellIs" dxfId="18698" priority="52" operator="between">
      <formula>80%</formula>
      <formula>99%</formula>
    </cfRule>
    <cfRule type="cellIs" dxfId="18697" priority="53" operator="between">
      <formula>0%</formula>
      <formula>79%</formula>
    </cfRule>
  </conditionalFormatting>
  <conditionalFormatting sqref="BI36:BP43">
    <cfRule type="cellIs" dxfId="18696" priority="43" operator="equal">
      <formula>$BJ$140</formula>
    </cfRule>
    <cfRule type="cellIs" dxfId="18695" priority="44" operator="greaterThan">
      <formula>1</formula>
    </cfRule>
    <cfRule type="cellIs" dxfId="18694" priority="45" operator="equal">
      <formula>100%</formula>
    </cfRule>
    <cfRule type="cellIs" dxfId="18693" priority="46" operator="between">
      <formula>80%</formula>
      <formula>99%</formula>
    </cfRule>
    <cfRule type="cellIs" dxfId="18692" priority="47" operator="between">
      <formula>0%</formula>
      <formula>79%</formula>
    </cfRule>
  </conditionalFormatting>
  <conditionalFormatting sqref="BI89:BP89">
    <cfRule type="cellIs" dxfId="18691" priority="37" operator="equal">
      <formula>$BJ$140</formula>
    </cfRule>
    <cfRule type="cellIs" dxfId="18690" priority="38" operator="greaterThan">
      <formula>1</formula>
    </cfRule>
    <cfRule type="cellIs" dxfId="18689" priority="39" operator="equal">
      <formula>100%</formula>
    </cfRule>
    <cfRule type="cellIs" dxfId="18688" priority="40" operator="between">
      <formula>80%</formula>
      <formula>99%</formula>
    </cfRule>
    <cfRule type="cellIs" dxfId="18687" priority="41" operator="between">
      <formula>0%</formula>
      <formula>79%</formula>
    </cfRule>
  </conditionalFormatting>
  <conditionalFormatting sqref="BI96:BP105">
    <cfRule type="cellIs" dxfId="18686" priority="31" operator="equal">
      <formula>$BJ$140</formula>
    </cfRule>
    <cfRule type="cellIs" dxfId="18685" priority="32" operator="greaterThan">
      <formula>1</formula>
    </cfRule>
    <cfRule type="cellIs" dxfId="18684" priority="33" operator="equal">
      <formula>100%</formula>
    </cfRule>
    <cfRule type="cellIs" dxfId="18683" priority="34" operator="between">
      <formula>80%</formula>
      <formula>99%</formula>
    </cfRule>
    <cfRule type="cellIs" dxfId="18682" priority="35" operator="between">
      <formula>0%</formula>
      <formula>79%</formula>
    </cfRule>
  </conditionalFormatting>
  <conditionalFormatting sqref="BI122:BP122">
    <cfRule type="cellIs" dxfId="18681" priority="25" operator="equal">
      <formula>$BJ$140</formula>
    </cfRule>
    <cfRule type="cellIs" dxfId="18680" priority="26" operator="greaterThan">
      <formula>1</formula>
    </cfRule>
    <cfRule type="cellIs" dxfId="18679" priority="27" operator="equal">
      <formula>100%</formula>
    </cfRule>
    <cfRule type="cellIs" dxfId="18678" priority="28" operator="between">
      <formula>80%</formula>
      <formula>99%</formula>
    </cfRule>
    <cfRule type="cellIs" dxfId="18677" priority="29" operator="between">
      <formula>0%</formula>
      <formula>79%</formula>
    </cfRule>
  </conditionalFormatting>
  <conditionalFormatting sqref="BI106:BP108">
    <cfRule type="cellIs" dxfId="18676" priority="19" operator="equal">
      <formula>$BJ$140</formula>
    </cfRule>
    <cfRule type="cellIs" dxfId="18675" priority="20" operator="greaterThan">
      <formula>1</formula>
    </cfRule>
    <cfRule type="cellIs" dxfId="18674" priority="21" operator="equal">
      <formula>100%</formula>
    </cfRule>
    <cfRule type="cellIs" dxfId="18673" priority="22" operator="between">
      <formula>80%</formula>
      <formula>99%</formula>
    </cfRule>
    <cfRule type="cellIs" dxfId="18672" priority="23" operator="between">
      <formula>0%</formula>
      <formula>79%</formula>
    </cfRule>
  </conditionalFormatting>
  <conditionalFormatting sqref="BI55:BP55">
    <cfRule type="cellIs" dxfId="18671" priority="13" operator="equal">
      <formula>$BJ$140</formula>
    </cfRule>
    <cfRule type="cellIs" dxfId="18670" priority="14" operator="greaterThan">
      <formula>1</formula>
    </cfRule>
    <cfRule type="cellIs" dxfId="18669" priority="15" operator="equal">
      <formula>100%</formula>
    </cfRule>
    <cfRule type="cellIs" dxfId="18668" priority="16" operator="between">
      <formula>80%</formula>
      <formula>99%</formula>
    </cfRule>
    <cfRule type="cellIs" dxfId="18667" priority="17" operator="between">
      <formula>0%</formula>
      <formula>79%</formula>
    </cfRule>
  </conditionalFormatting>
  <conditionalFormatting sqref="BI56:BP56">
    <cfRule type="cellIs" dxfId="18666" priority="7" operator="equal">
      <formula>$BJ$140</formula>
    </cfRule>
    <cfRule type="cellIs" dxfId="18665" priority="8" operator="greaterThan">
      <formula>1</formula>
    </cfRule>
    <cfRule type="cellIs" dxfId="18664" priority="9" operator="equal">
      <formula>100%</formula>
    </cfRule>
    <cfRule type="cellIs" dxfId="18663" priority="10" operator="between">
      <formula>80%</formula>
      <formula>99%</formula>
    </cfRule>
    <cfRule type="cellIs" dxfId="18662" priority="11" operator="between">
      <formula>0%</formula>
      <formula>79%</formula>
    </cfRule>
  </conditionalFormatting>
  <conditionalFormatting sqref="BI71:BP73">
    <cfRule type="cellIs" dxfId="18661" priority="1" operator="equal">
      <formula>$BJ$140</formula>
    </cfRule>
    <cfRule type="cellIs" dxfId="18660" priority="2" operator="greaterThan">
      <formula>1</formula>
    </cfRule>
    <cfRule type="cellIs" dxfId="18659" priority="3" operator="equal">
      <formula>100%</formula>
    </cfRule>
    <cfRule type="cellIs" dxfId="18658" priority="4" operator="between">
      <formula>80%</formula>
      <formula>99%</formula>
    </cfRule>
    <cfRule type="cellIs" dxfId="18657" priority="5" operator="between">
      <formula>0%</formula>
      <formula>79%</formula>
    </cfRule>
  </conditionalFormatting>
  <pageMargins left="0.7" right="0.7" top="0.75" bottom="0.75" header="0.3" footer="0.3"/>
  <pageSetup paperSize="41" scale="64" orientation="landscape" r:id="rId1"/>
  <colBreaks count="4" manualBreakCount="4">
    <brk id="24" max="1048575" man="1"/>
    <brk id="33" max="1048575" man="1"/>
    <brk id="42" max="1048575" man="1"/>
    <brk id="51"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90" operator="containsText" id="{007EAB42-66F3-4F2E-9945-1FD203AC41AA}">
            <xm:f>NOT(ISERROR(SEARCH($BJ$141,BI25)))</xm:f>
            <xm:f>$BJ$141</xm:f>
            <x14:dxf>
              <font>
                <color theme="4"/>
              </font>
              <fill>
                <patternFill>
                  <bgColor theme="5" tint="0.59996337778862885"/>
                </patternFill>
              </fill>
            </x14:dxf>
          </x14:cfRule>
          <xm:sqref>BK134:BP135 BI136:BP137 BI25:BP35 BI109:BP121 BI90:BP95 BI44:BP54 BI57:BP62 BI74:BP88 BI123:BP132</xm:sqref>
        </x14:conditionalFormatting>
        <x14:conditionalFormatting xmlns:xm="http://schemas.microsoft.com/office/excel/2006/main">
          <x14:cfRule type="containsText" priority="84" operator="containsText" id="{7681E8CC-6538-4190-91D8-571AC842841C}">
            <xm:f>NOT(ISERROR(SEARCH($BJ$141,BI133)))</xm:f>
            <xm:f>$BJ$141</xm:f>
            <x14:dxf>
              <font>
                <color theme="4"/>
              </font>
              <fill>
                <patternFill>
                  <bgColor theme="5" tint="0.59996337778862885"/>
                </patternFill>
              </fill>
            </x14:dxf>
          </x14:cfRule>
          <xm:sqref>BI133:BP133</xm:sqref>
        </x14:conditionalFormatting>
        <x14:conditionalFormatting xmlns:xm="http://schemas.microsoft.com/office/excel/2006/main">
          <x14:cfRule type="containsText" priority="78" operator="containsText" id="{C629A05A-F0BA-4FA3-8FF1-DED49DC8ABB5}">
            <xm:f>NOT(ISERROR(SEARCH($BJ$141,BI134)))</xm:f>
            <xm:f>$BJ$141</xm:f>
            <x14:dxf>
              <font>
                <color theme="4"/>
              </font>
              <fill>
                <patternFill>
                  <bgColor theme="5" tint="0.59996337778862885"/>
                </patternFill>
              </fill>
            </x14:dxf>
          </x14:cfRule>
          <xm:sqref>BI134:BJ135</xm:sqref>
        </x14:conditionalFormatting>
        <x14:conditionalFormatting xmlns:xm="http://schemas.microsoft.com/office/excel/2006/main">
          <x14:cfRule type="containsText" priority="72" operator="containsText" id="{D1C1D12E-8CAE-471B-8CE4-376F31E4B5CA}">
            <xm:f>NOT(ISERROR(SEARCH($BJ$141,BI10)))</xm:f>
            <xm:f>$BJ$141</xm:f>
            <x14:dxf>
              <font>
                <color theme="4"/>
              </font>
              <fill>
                <patternFill>
                  <bgColor theme="5" tint="0.59996337778862885"/>
                </patternFill>
              </fill>
            </x14:dxf>
          </x14:cfRule>
          <xm:sqref>BI10:BP23</xm:sqref>
        </x14:conditionalFormatting>
        <x14:conditionalFormatting xmlns:xm="http://schemas.microsoft.com/office/excel/2006/main">
          <x14:cfRule type="containsText" priority="66" operator="containsText" id="{F11C4EC2-27BC-4F02-888F-7F3BA9027A22}">
            <xm:f>NOT(ISERROR(SEARCH($BJ$141,BI9)))</xm:f>
            <xm:f>$BJ$141</xm:f>
            <x14:dxf>
              <font>
                <color theme="4"/>
              </font>
              <fill>
                <patternFill>
                  <bgColor theme="5" tint="0.59996337778862885"/>
                </patternFill>
              </fill>
            </x14:dxf>
          </x14:cfRule>
          <xm:sqref>BI9:BP9</xm:sqref>
        </x14:conditionalFormatting>
        <x14:conditionalFormatting xmlns:xm="http://schemas.microsoft.com/office/excel/2006/main">
          <x14:cfRule type="containsText" priority="60" operator="containsText" id="{D1F2B015-672B-45DE-B90E-100129E951E1}">
            <xm:f>NOT(ISERROR(SEARCH($BJ$141,BI24)))</xm:f>
            <xm:f>$BJ$141</xm:f>
            <x14:dxf>
              <font>
                <color theme="4"/>
              </font>
              <fill>
                <patternFill>
                  <bgColor theme="5" tint="0.59996337778862885"/>
                </patternFill>
              </fill>
            </x14:dxf>
          </x14:cfRule>
          <xm:sqref>BI24:BP24</xm:sqref>
        </x14:conditionalFormatting>
        <x14:conditionalFormatting xmlns:xm="http://schemas.microsoft.com/office/excel/2006/main">
          <x14:cfRule type="containsText" priority="54" operator="containsText" id="{B68D4765-311B-47C7-BE22-74B2E23C6FD7}">
            <xm:f>NOT(ISERROR(SEARCH($BJ$141,BI63)))</xm:f>
            <xm:f>$BJ$141</xm:f>
            <x14:dxf>
              <font>
                <color theme="4"/>
              </font>
              <fill>
                <patternFill>
                  <bgColor theme="5" tint="0.59996337778862885"/>
                </patternFill>
              </fill>
            </x14:dxf>
          </x14:cfRule>
          <xm:sqref>BI63:BP70</xm:sqref>
        </x14:conditionalFormatting>
        <x14:conditionalFormatting xmlns:xm="http://schemas.microsoft.com/office/excel/2006/main">
          <x14:cfRule type="containsText" priority="48" operator="containsText" id="{D6EB5F20-C001-4A53-9C6B-3507F3507491}">
            <xm:f>NOT(ISERROR(SEARCH($BJ$141,BI36)))</xm:f>
            <xm:f>$BJ$141</xm:f>
            <x14:dxf>
              <font>
                <color theme="4"/>
              </font>
              <fill>
                <patternFill>
                  <bgColor theme="5" tint="0.59996337778862885"/>
                </patternFill>
              </fill>
            </x14:dxf>
          </x14:cfRule>
          <xm:sqref>BI36:BP43</xm:sqref>
        </x14:conditionalFormatting>
        <x14:conditionalFormatting xmlns:xm="http://schemas.microsoft.com/office/excel/2006/main">
          <x14:cfRule type="containsText" priority="42" operator="containsText" id="{F84249D9-6A1B-457A-906D-BE3061A2BA61}">
            <xm:f>NOT(ISERROR(SEARCH($BJ$141,BI89)))</xm:f>
            <xm:f>$BJ$141</xm:f>
            <x14:dxf>
              <font>
                <color theme="4"/>
              </font>
              <fill>
                <patternFill>
                  <bgColor theme="5" tint="0.59996337778862885"/>
                </patternFill>
              </fill>
            </x14:dxf>
          </x14:cfRule>
          <xm:sqref>BI89:BP89</xm:sqref>
        </x14:conditionalFormatting>
        <x14:conditionalFormatting xmlns:xm="http://schemas.microsoft.com/office/excel/2006/main">
          <x14:cfRule type="containsText" priority="36" operator="containsText" id="{3677EEC8-BC7E-4E0C-ADA7-3D03757DE9DA}">
            <xm:f>NOT(ISERROR(SEARCH($BJ$141,BI96)))</xm:f>
            <xm:f>$BJ$141</xm:f>
            <x14:dxf>
              <font>
                <color theme="4"/>
              </font>
              <fill>
                <patternFill>
                  <bgColor theme="5" tint="0.59996337778862885"/>
                </patternFill>
              </fill>
            </x14:dxf>
          </x14:cfRule>
          <xm:sqref>BI96:BP105</xm:sqref>
        </x14:conditionalFormatting>
        <x14:conditionalFormatting xmlns:xm="http://schemas.microsoft.com/office/excel/2006/main">
          <x14:cfRule type="containsText" priority="30" operator="containsText" id="{4C853C18-6E83-4DB3-8176-1CC1A9DED568}">
            <xm:f>NOT(ISERROR(SEARCH($BJ$141,BI122)))</xm:f>
            <xm:f>$BJ$141</xm:f>
            <x14:dxf>
              <font>
                <color theme="4"/>
              </font>
              <fill>
                <patternFill>
                  <bgColor theme="5" tint="0.59996337778862885"/>
                </patternFill>
              </fill>
            </x14:dxf>
          </x14:cfRule>
          <xm:sqref>BI122:BP122</xm:sqref>
        </x14:conditionalFormatting>
        <x14:conditionalFormatting xmlns:xm="http://schemas.microsoft.com/office/excel/2006/main">
          <x14:cfRule type="containsText" priority="24" operator="containsText" id="{B7A2536B-96FF-49AB-88C5-BCC64412A8B7}">
            <xm:f>NOT(ISERROR(SEARCH($BJ$141,BI106)))</xm:f>
            <xm:f>$BJ$141</xm:f>
            <x14:dxf>
              <font>
                <color theme="4"/>
              </font>
              <fill>
                <patternFill>
                  <bgColor theme="5" tint="0.59996337778862885"/>
                </patternFill>
              </fill>
            </x14:dxf>
          </x14:cfRule>
          <xm:sqref>BI106:BP108</xm:sqref>
        </x14:conditionalFormatting>
        <x14:conditionalFormatting xmlns:xm="http://schemas.microsoft.com/office/excel/2006/main">
          <x14:cfRule type="containsText" priority="18" operator="containsText" id="{4053C043-27AD-409A-A3A0-5D4075017B80}">
            <xm:f>NOT(ISERROR(SEARCH($BJ$141,BI55)))</xm:f>
            <xm:f>$BJ$141</xm:f>
            <x14:dxf>
              <font>
                <color theme="4"/>
              </font>
              <fill>
                <patternFill>
                  <bgColor theme="5" tint="0.59996337778862885"/>
                </patternFill>
              </fill>
            </x14:dxf>
          </x14:cfRule>
          <xm:sqref>BI55:BP55</xm:sqref>
        </x14:conditionalFormatting>
        <x14:conditionalFormatting xmlns:xm="http://schemas.microsoft.com/office/excel/2006/main">
          <x14:cfRule type="containsText" priority="12" operator="containsText" id="{8F19641C-41A8-4A4B-87B1-44778F6749BD}">
            <xm:f>NOT(ISERROR(SEARCH($BJ$141,BI56)))</xm:f>
            <xm:f>$BJ$141</xm:f>
            <x14:dxf>
              <font>
                <color theme="4"/>
              </font>
              <fill>
                <patternFill>
                  <bgColor theme="5" tint="0.59996337778862885"/>
                </patternFill>
              </fill>
            </x14:dxf>
          </x14:cfRule>
          <xm:sqref>BI56:BP56</xm:sqref>
        </x14:conditionalFormatting>
        <x14:conditionalFormatting xmlns:xm="http://schemas.microsoft.com/office/excel/2006/main">
          <x14:cfRule type="containsText" priority="6" operator="containsText" id="{8584328B-D347-4C8D-A08F-4FFDF8A1B3AF}">
            <xm:f>NOT(ISERROR(SEARCH($BJ$141,BI71)))</xm:f>
            <xm:f>$BJ$141</xm:f>
            <x14:dxf>
              <font>
                <color theme="4"/>
              </font>
              <fill>
                <patternFill>
                  <bgColor theme="5" tint="0.59996337778862885"/>
                </patternFill>
              </fill>
            </x14:dxf>
          </x14:cfRule>
          <xm:sqref>BI71:BP73</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0000000}">
          <x14:formula1>
            <xm:f>'D:\Users\magdiela.delacarrera\Documents\PLAN DE ACCIÓN GRUPO COBRO COACTIVO\[Copia de Plan Accion ADRES Vigencia 2018 Cobro Coactivo 15-01-18 remitido x Ricardo.xlsx]TAB. REF. PA'!#REF!</xm:f>
          </x14:formula1>
          <xm:sqref>S131 D132 D148:D152 A132 A148:A152 M132:T132 M148:T149 X132 X148:X149 M150:R152 T150:T152</xm:sqref>
        </x14:dataValidation>
        <x14:dataValidation type="list" allowBlank="1" showInputMessage="1" showErrorMessage="1" xr:uid="{00000000-0002-0000-0000-000001000000}">
          <x14:formula1>
            <xm:f>'C:\Users\norela.briceno\Documents\Plan de acción\[Plan Accion ADRES Vigencia 2018 30-01-18.xlsx]TAB. REF. PA'!#REF!</xm:f>
          </x14:formula1>
          <xm:sqref>S150:S152 S117:S119 D9:D10 D109:D116 D133:D137 D87:D104 X9:X73 X104 X101:X102 X109:X116 X133:X137 X87:X99 M106:R107 M146:Q147 M87:R104 S104:T104 T101:T102 M109:T116 M133:T137 S87:T99 A9:A73 A109:A116 A133:A137 A87:A104 M9:T73</xm:sqref>
        </x14:dataValidation>
        <x14:dataValidation type="list" allowBlank="1" showInputMessage="1" showErrorMessage="1" xr:uid="{00000000-0002-0000-0000-000003000000}">
          <x14:formula1>
            <xm:f>'C:\Users\norela.briceno\AppData\Local\Microsoft\Windows\INetCache\Content.Outlook\FBI6K8AZ\[Plan Accion ADRES Vigencia 2018 ADRES 26-01-18 JCB.xlsx]TAB. REF. PA'!#REF!</xm:f>
          </x14:formula1>
          <xm:sqref>X103 S103:T103</xm:sqref>
        </x14:dataValidation>
        <x14:dataValidation type="list" allowBlank="1" showInputMessage="1" showErrorMessage="1" xr:uid="{00000000-0002-0000-0000-000004000000}">
          <x14:formula1>
            <xm:f>'C:\Users\norela.briceno\Documents\Plan de acción\[Plan Accion ADRES - DAF y OAJ.xlsx]TAB. REF. PA'!#REF!</xm:f>
          </x14:formula1>
          <xm:sqref>S102 X117:X132 M117:R132 T117:T132 A117:A132 D117:D132 S120:S130</xm:sqref>
        </x14:dataValidation>
        <x14:dataValidation type="list" allowBlank="1" showInputMessage="1" showErrorMessage="1" xr:uid="{00000000-0002-0000-0000-000005000000}">
          <x14:formula1>
            <xm:f>'C:\Users\norela.briceno\AppData\Local\Microsoft\Windows\INetCache\Content.Outlook\FBI6K8AZ\[PLAN DE ACCION TALENTO HUMANO OK.xlsx]TAB. REF. PA'!#REF!</xm:f>
          </x14:formula1>
          <xm:sqref>S100:S101 X100 T100 T146:T147</xm:sqref>
        </x14:dataValidation>
        <x14:dataValidation type="list" allowBlank="1" showInputMessage="1" showErrorMessage="1" xr:uid="{00000000-0002-0000-0000-000006000000}">
          <x14:formula1>
            <xm:f>'D:\Users\Alicia.benitez\Documents\PLAN DE ACCION\[Apoyo Logistico.xlsx]TAB. REF. PA'!#REF!</xm:f>
          </x14:formula1>
          <xm:sqref>S107 S146:S147</xm:sqref>
        </x14:dataValidation>
        <x14:dataValidation type="list" allowBlank="1" showInputMessage="1" showErrorMessage="1" xr:uid="{00000000-0002-0000-0000-000007000000}">
          <x14:formula1>
            <xm:f>'D:\Users\Alicia.benitez\Documents\PLAN DE ACCION\[Atencion al Ciudadano.XLSX]TAB. REF. PA'!#REF!</xm:f>
          </x14:formula1>
          <xm:sqref>T106</xm:sqref>
        </x14:dataValidation>
        <x14:dataValidation type="list" allowBlank="1" showInputMessage="1" showErrorMessage="1" xr:uid="{00000000-0002-0000-0000-000008000000}">
          <x14:formula1>
            <xm:f>'C:\Users\norela.briceno\Documents\Plan de acción\Plan Accion 2018\[Plan Accion ADRES Vigencia 2018 26-01-18 Atención al Ciudadano.xlsx]TAB. REF. PA'!#REF!</xm:f>
          </x14:formula1>
          <xm:sqref>D106:D107 T107 X106:X107 S106 A106:A107</xm:sqref>
        </x14:dataValidation>
        <x14:dataValidation type="list" allowBlank="1" showInputMessage="1" showErrorMessage="1" xr:uid="{00000000-0002-0000-0000-000009000000}">
          <x14:formula1>
            <xm:f>'C:\Users\norela.briceno\Documents\Plan de acción\Plan Accion 2018\[Plan Accion ADRES - DAF Gestión Documental.xlsx]TAB. REF. PA'!#REF!</xm:f>
          </x14:formula1>
          <xm:sqref>X105 X108 M105:T105 M108:T108 A105 A108 A146:A147 D105 D108 D146:D147</xm:sqref>
        </x14:dataValidation>
        <x14:dataValidation type="list" allowBlank="1" showInputMessage="1" showErrorMessage="1" xr:uid="{00000000-0002-0000-0000-00000A000000}">
          <x14:formula1>
            <xm:f>'C:\Users\norela.briceno\Documents\Plan de acción\[Plan Accion ADRES Vigencia 2018 Preliminar DTIC ADRES 25-01-18.xlsx]TAB. REF. PA'!#REF!</xm:f>
          </x14:formula1>
          <xm:sqref>X74:X86 A74:A86 D74:D86 M74:T86</xm:sqref>
        </x14:dataValidation>
        <x14:dataValidation type="list" allowBlank="1" showInputMessage="1" showErrorMessage="1" xr:uid="{00000000-0002-0000-0000-000016000000}">
          <x14:formula1>
            <xm:f>'C:\Users\Ricardo.triana\AppData\Local\Microsoft\Windows\INetCache\Content.Outlook\NSJG1V0A\[Plan Accion ADRES DOP 24-01-2018.xlsx]TAB. REF. PA'!#REF!</xm:f>
          </x14:formula1>
          <xm:sqref>D63:D73</xm:sqref>
        </x14:dataValidation>
        <x14:dataValidation type="list" allowBlank="1" showInputMessage="1" showErrorMessage="1" xr:uid="{00000000-0002-0000-0000-000017000000}">
          <x14:formula1>
            <xm:f>'D:\Users\ricardo.triana\Documents\ADRES\Plan de Accion\Plan Accion 2018\[Plan Accion ADRES Vigencia 2018 DLG 17-01-18.xlsx]TAB. REF. PA'!#REF!</xm:f>
          </x14:formula1>
          <xm:sqref>D44:D62</xm:sqref>
        </x14:dataValidation>
        <x14:dataValidation type="list" allowBlank="1" showInputMessage="1" showErrorMessage="1" xr:uid="{00000000-0002-0000-0000-000018000000}">
          <x14:formula1>
            <xm:f>'D:\Users\ricardo.triana\Documents\ADRES\Plan de Accion\Plan Accion 2018\[Plan Accion ADRES Vigencia 2018 DGRFS 17-01-18.xlsx]TAB. REF. PA'!#REF!</xm:f>
          </x14:formula1>
          <xm:sqref>D11:D43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538C4-0436-4186-B8F8-DB6D66C5D689}">
  <dimension ref="A1:BD11"/>
  <sheetViews>
    <sheetView showGridLines="0" topLeftCell="AK4" workbookViewId="0">
      <selection activeCell="BH8" sqref="BH8"/>
    </sheetView>
  </sheetViews>
  <sheetFormatPr baseColWidth="10" defaultRowHeight="15" x14ac:dyDescent="0.25"/>
  <cols>
    <col min="1" max="1" width="49" customWidth="1"/>
    <col min="2" max="2" width="2.28515625" customWidth="1"/>
    <col min="3" max="3" width="21.7109375" customWidth="1"/>
    <col min="4" max="8" width="3.28515625" customWidth="1"/>
    <col min="9" max="9" width="10.5703125" customWidth="1"/>
    <col min="10" max="10" width="11.7109375" customWidth="1"/>
    <col min="11" max="15" width="3.28515625" customWidth="1"/>
    <col min="16" max="16" width="2.7109375" customWidth="1"/>
    <col min="17" max="17" width="17.85546875" customWidth="1"/>
    <col min="18" max="22" width="3.28515625" customWidth="1"/>
    <col min="23" max="24" width="11.7109375" customWidth="1"/>
    <col min="25" max="29" width="3.28515625" customWidth="1"/>
    <col min="30" max="30" width="3.140625" customWidth="1"/>
    <col min="31" max="31" width="11.7109375" customWidth="1"/>
    <col min="32" max="36" width="3.28515625" customWidth="1"/>
    <col min="37" max="38" width="11.7109375" customWidth="1"/>
    <col min="39" max="43" width="3.28515625" customWidth="1"/>
    <col min="44" max="44" width="2.85546875" customWidth="1"/>
    <col min="45" max="45" width="11.7109375" customWidth="1"/>
    <col min="46" max="50" width="3.28515625" customWidth="1"/>
    <col min="51" max="51" width="12.5703125" customWidth="1"/>
    <col min="52" max="56" width="3.28515625" customWidth="1"/>
  </cols>
  <sheetData>
    <row r="1" spans="1:56" ht="15" customHeight="1" x14ac:dyDescent="0.25">
      <c r="A1" s="1503"/>
      <c r="B1" s="1335" t="s">
        <v>952</v>
      </c>
      <c r="C1" s="1336"/>
      <c r="D1" s="1336"/>
      <c r="E1" s="1336"/>
      <c r="F1" s="1336"/>
      <c r="G1" s="1336"/>
      <c r="H1" s="1337"/>
      <c r="I1" s="1314" t="s">
        <v>953</v>
      </c>
      <c r="J1" s="1336"/>
      <c r="K1" s="1336"/>
      <c r="L1" s="1336"/>
      <c r="M1" s="1336"/>
      <c r="N1" s="1336"/>
      <c r="O1" s="1336"/>
      <c r="P1" s="1336"/>
      <c r="Q1" s="1336"/>
      <c r="R1" s="1336"/>
      <c r="S1" s="1336"/>
      <c r="T1" s="1336"/>
      <c r="U1" s="1336"/>
      <c r="V1" s="1336"/>
      <c r="W1" s="1336"/>
      <c r="X1" s="1336"/>
      <c r="Y1" s="1336"/>
      <c r="Z1" s="1336"/>
      <c r="AA1" s="1336"/>
      <c r="AB1" s="1336"/>
      <c r="AC1" s="1336"/>
      <c r="AD1" s="1336"/>
      <c r="AE1" s="1336"/>
      <c r="AF1" s="1336"/>
      <c r="AG1" s="1336"/>
      <c r="AH1" s="1336"/>
      <c r="AI1" s="1336"/>
      <c r="AJ1" s="1336"/>
      <c r="AK1" s="1336"/>
      <c r="AL1" s="1336"/>
      <c r="AM1" s="1336"/>
      <c r="AN1" s="1336"/>
      <c r="AO1" s="1336"/>
      <c r="AP1" s="1336"/>
      <c r="AQ1" s="1336"/>
      <c r="AR1" s="1336"/>
      <c r="AS1" s="1326"/>
      <c r="AT1" s="1327"/>
      <c r="AU1" s="1327"/>
      <c r="AV1" s="1327"/>
      <c r="AW1" s="1327"/>
      <c r="AX1" s="1327"/>
      <c r="AY1" s="1327"/>
      <c r="AZ1" s="1327"/>
      <c r="BA1" s="1327"/>
      <c r="BB1" s="1327"/>
      <c r="BC1" s="1327"/>
      <c r="BD1" s="1328"/>
    </row>
    <row r="2" spans="1:56" ht="15" customHeight="1" x14ac:dyDescent="0.25">
      <c r="A2" s="1504"/>
      <c r="B2" s="1338" t="s">
        <v>954</v>
      </c>
      <c r="C2" s="1339"/>
      <c r="D2" s="1339"/>
      <c r="E2" s="1339"/>
      <c r="F2" s="1339"/>
      <c r="G2" s="1339"/>
      <c r="H2" s="1340"/>
      <c r="I2" s="1321" t="s">
        <v>800</v>
      </c>
      <c r="J2" s="1339"/>
      <c r="K2" s="1339"/>
      <c r="L2" s="1339"/>
      <c r="M2" s="1339"/>
      <c r="N2" s="1339"/>
      <c r="O2" s="1339"/>
      <c r="P2" s="1339"/>
      <c r="Q2" s="1339"/>
      <c r="R2" s="1339"/>
      <c r="S2" s="1339"/>
      <c r="T2" s="1339"/>
      <c r="U2" s="1339"/>
      <c r="V2" s="1339"/>
      <c r="W2" s="1339"/>
      <c r="X2" s="1339"/>
      <c r="Y2" s="1339"/>
      <c r="Z2" s="1339"/>
      <c r="AA2" s="1339"/>
      <c r="AB2" s="1339"/>
      <c r="AC2" s="1339"/>
      <c r="AD2" s="1339"/>
      <c r="AE2" s="1339"/>
      <c r="AF2" s="1339"/>
      <c r="AG2" s="1339"/>
      <c r="AH2" s="1339"/>
      <c r="AI2" s="1339"/>
      <c r="AJ2" s="1339"/>
      <c r="AK2" s="1339"/>
      <c r="AL2" s="1339"/>
      <c r="AM2" s="1339"/>
      <c r="AN2" s="1339"/>
      <c r="AO2" s="1339"/>
      <c r="AP2" s="1339"/>
      <c r="AQ2" s="1339"/>
      <c r="AR2" s="1339"/>
      <c r="AS2" s="1329"/>
      <c r="AT2" s="1330"/>
      <c r="AU2" s="1330"/>
      <c r="AV2" s="1330"/>
      <c r="AW2" s="1330"/>
      <c r="AX2" s="1330"/>
      <c r="AY2" s="1330"/>
      <c r="AZ2" s="1330"/>
      <c r="BA2" s="1330"/>
      <c r="BB2" s="1330"/>
      <c r="BC2" s="1330"/>
      <c r="BD2" s="1331"/>
    </row>
    <row r="3" spans="1:56" ht="15.75" customHeight="1" thickBot="1" x14ac:dyDescent="0.3">
      <c r="A3" s="1505"/>
      <c r="B3" s="1341" t="s">
        <v>852</v>
      </c>
      <c r="C3" s="1342"/>
      <c r="D3" s="1342"/>
      <c r="E3" s="1342"/>
      <c r="F3" s="1342"/>
      <c r="G3" s="1342"/>
      <c r="H3" s="1343"/>
      <c r="I3" s="1344" t="s">
        <v>958</v>
      </c>
      <c r="J3" s="1342"/>
      <c r="K3" s="1342"/>
      <c r="L3" s="1342"/>
      <c r="M3" s="1342"/>
      <c r="N3" s="1342"/>
      <c r="O3" s="1343"/>
      <c r="P3" s="1345" t="s">
        <v>960</v>
      </c>
      <c r="Q3" s="1346"/>
      <c r="R3" s="1346"/>
      <c r="S3" s="1346"/>
      <c r="T3" s="1346"/>
      <c r="U3" s="1346"/>
      <c r="V3" s="1346"/>
      <c r="W3" s="1346"/>
      <c r="X3" s="1346"/>
      <c r="Y3" s="1346"/>
      <c r="Z3" s="1346"/>
      <c r="AA3" s="1346"/>
      <c r="AB3" s="1346"/>
      <c r="AC3" s="1346"/>
      <c r="AD3" s="1346"/>
      <c r="AE3" s="1346"/>
      <c r="AF3" s="1346"/>
      <c r="AG3" s="1346"/>
      <c r="AH3" s="1346"/>
      <c r="AI3" s="1346"/>
      <c r="AJ3" s="1347"/>
      <c r="AK3" s="626" t="s">
        <v>957</v>
      </c>
      <c r="AL3" s="628"/>
      <c r="AM3" s="1344">
        <v>1</v>
      </c>
      <c r="AN3" s="1342"/>
      <c r="AO3" s="1342"/>
      <c r="AP3" s="1342"/>
      <c r="AQ3" s="1342"/>
      <c r="AR3" s="1342"/>
      <c r="AS3" s="1332"/>
      <c r="AT3" s="1333"/>
      <c r="AU3" s="1333"/>
      <c r="AV3" s="1333"/>
      <c r="AW3" s="1333"/>
      <c r="AX3" s="1333"/>
      <c r="AY3" s="1333"/>
      <c r="AZ3" s="1333"/>
      <c r="BA3" s="1333"/>
      <c r="BB3" s="1333"/>
      <c r="BC3" s="1333"/>
      <c r="BD3" s="1334"/>
    </row>
    <row r="4" spans="1:56" ht="15.75" thickBot="1" x14ac:dyDescent="0.3"/>
    <row r="5" spans="1:56" ht="72.75" customHeight="1" thickBot="1" x14ac:dyDescent="0.3">
      <c r="A5" s="289" t="s">
        <v>795</v>
      </c>
      <c r="B5" s="294"/>
      <c r="C5" s="1315" t="s">
        <v>1098</v>
      </c>
      <c r="D5" s="1501"/>
      <c r="E5" s="1501"/>
      <c r="F5" s="1501"/>
      <c r="G5" s="1501"/>
      <c r="H5" s="1502"/>
      <c r="I5" s="1318" t="s">
        <v>1099</v>
      </c>
      <c r="J5" s="1319"/>
      <c r="K5" s="1319"/>
      <c r="L5" s="1319"/>
      <c r="M5" s="1319"/>
      <c r="N5" s="1319"/>
      <c r="O5" s="1319"/>
      <c r="Q5" s="1315" t="s">
        <v>1100</v>
      </c>
      <c r="R5" s="1501"/>
      <c r="S5" s="1501"/>
      <c r="T5" s="1501"/>
      <c r="U5" s="1501"/>
      <c r="V5" s="1502"/>
      <c r="W5" s="1318" t="s">
        <v>1101</v>
      </c>
      <c r="X5" s="1319"/>
      <c r="Y5" s="1319"/>
      <c r="Z5" s="1319"/>
      <c r="AA5" s="1319"/>
      <c r="AB5" s="1319"/>
      <c r="AC5" s="1319"/>
      <c r="AD5" s="502"/>
      <c r="AE5" s="1315" t="s">
        <v>1102</v>
      </c>
      <c r="AF5" s="1501"/>
      <c r="AG5" s="1501"/>
      <c r="AH5" s="1501"/>
      <c r="AI5" s="1501"/>
      <c r="AJ5" s="1502"/>
      <c r="AK5" s="1318" t="s">
        <v>1103</v>
      </c>
      <c r="AL5" s="1319"/>
      <c r="AM5" s="1319"/>
      <c r="AN5" s="1319"/>
      <c r="AO5" s="1319"/>
      <c r="AP5" s="1319"/>
      <c r="AQ5" s="1319"/>
      <c r="AR5" s="502"/>
      <c r="AS5" s="1315" t="s">
        <v>1104</v>
      </c>
      <c r="AT5" s="1501"/>
      <c r="AU5" s="1501"/>
      <c r="AV5" s="1501"/>
      <c r="AW5" s="1501"/>
      <c r="AX5" s="1502"/>
      <c r="AY5" s="1318" t="s">
        <v>1105</v>
      </c>
      <c r="AZ5" s="1319"/>
      <c r="BA5" s="1319"/>
      <c r="BB5" s="1319"/>
      <c r="BC5" s="1319"/>
      <c r="BD5" s="1319"/>
    </row>
    <row r="6" spans="1:56" ht="18" x14ac:dyDescent="0.25">
      <c r="A6" s="295" t="s">
        <v>885</v>
      </c>
      <c r="B6" s="290"/>
      <c r="C6" s="665">
        <f>SUM('Cuadro Mando Integral Detallado'!J15:J42,'Cuadro Mando Integral Detallado'!J120:J182,'Cuadro Mando Integral Detallado'!J239:J302,'Cuadro Mando Integral Detallado'!J334:J381)/COUNT('Cuadro Mando Integral Detallado'!J15:J42,'Cuadro Mando Integral Detallado'!J120:J182,'Cuadro Mando Integral Detallado'!J239:J302,'Cuadro Mando Integral Detallado'!J334:J381)</f>
        <v>0.82318147434273836</v>
      </c>
      <c r="D6" s="581">
        <f t="shared" ref="D6:D11" si="0">+C6</f>
        <v>0.82318147434273836</v>
      </c>
      <c r="E6" s="557">
        <f t="shared" ref="E6:E11" si="1">+C6</f>
        <v>0.82318147434273836</v>
      </c>
      <c r="F6" s="557">
        <f t="shared" ref="F6:F11" si="2">+C6</f>
        <v>0.82318147434273836</v>
      </c>
      <c r="G6" s="557">
        <f t="shared" ref="G6:G11" si="3">+C6</f>
        <v>0.82318147434273836</v>
      </c>
      <c r="H6" s="497">
        <f t="shared" ref="H6:H11" si="4">+C6</f>
        <v>0.82318147434273836</v>
      </c>
      <c r="I6" s="588">
        <f>SUM('Cuadro Mando Integral Detallado'!L15:L42,'Cuadro Mando Integral Detallado'!L120:L182,'Cuadro Mando Integral Detallado'!L239:L302,'Cuadro Mando Integral Detallado'!L334:L381)/COUNT('Cuadro Mando Integral Detallado'!L15:L42,'Cuadro Mando Integral Detallado'!L120:L182,'Cuadro Mando Integral Detallado'!L239:L302,'Cuadro Mando Integral Detallado'!L334:L381)</f>
        <v>0.11654049766058003</v>
      </c>
      <c r="J6" s="588">
        <f>SUM('Cuadro Mando Integral Detallado'!M15:M42,'Cuadro Mando Integral Detallado'!M120:M182,'Cuadro Mando Integral Detallado'!M239:M302,'Cuadro Mando Integral Detallado'!M334:M381)/COUNT('Cuadro Mando Integral Detallado'!M15:M42,'Cuadro Mando Integral Detallado'!M120:M182,'Cuadro Mando Integral Detallado'!M239:M302,'Cuadro Mando Integral Detallado'!M334:M381)</f>
        <v>0.40616104529990793</v>
      </c>
      <c r="K6" s="569">
        <f t="shared" ref="K6:K11" si="5">+I6</f>
        <v>0.11654049766058003</v>
      </c>
      <c r="L6" s="570">
        <f t="shared" ref="L6:L11" si="6">+I6</f>
        <v>0.11654049766058003</v>
      </c>
      <c r="M6" s="570">
        <f t="shared" ref="M6:M11" si="7">+I6</f>
        <v>0.11654049766058003</v>
      </c>
      <c r="N6" s="570">
        <f t="shared" ref="N6:N11" si="8">+I6</f>
        <v>0.11654049766058003</v>
      </c>
      <c r="O6" s="507">
        <f t="shared" ref="O6:O11" si="9">+I6</f>
        <v>0.11654049766058003</v>
      </c>
      <c r="P6" s="177"/>
      <c r="Q6" s="588">
        <f>SUM('Cuadro Mando Integral Detallado'!Q15:Q42,'Cuadro Mando Integral Detallado'!Q120:Q182,'Cuadro Mando Integral Detallado'!Q239:Q302,'Cuadro Mando Integral Detallado'!Q334:Q381)/COUNT('Cuadro Mando Integral Detallado'!Q15:Q42,'Cuadro Mando Integral Detallado'!Q120:Q182,'Cuadro Mando Integral Detallado'!Q239:Q302,'Cuadro Mando Integral Detallado'!Q334:Q381)</f>
        <v>0.73495289178078316</v>
      </c>
      <c r="R6" s="581">
        <f t="shared" ref="R6:R11" si="10">+Q6</f>
        <v>0.73495289178078316</v>
      </c>
      <c r="S6" s="557">
        <f t="shared" ref="S6:S11" si="11">+Q6</f>
        <v>0.73495289178078316</v>
      </c>
      <c r="T6" s="557">
        <f t="shared" ref="T6:T11" si="12">+Q6</f>
        <v>0.73495289178078316</v>
      </c>
      <c r="U6" s="557">
        <f t="shared" ref="U6:U11" si="13">+Q6</f>
        <v>0.73495289178078316</v>
      </c>
      <c r="V6" s="497">
        <f t="shared" ref="V6:V11" si="14">+Q6</f>
        <v>0.73495289178078316</v>
      </c>
      <c r="W6" s="665">
        <f>SUM('Cuadro Mando Integral Detallado'!S15:S42,'Cuadro Mando Integral Detallado'!S120:S182,'Cuadro Mando Integral Detallado'!S239:S302,'Cuadro Mando Integral Detallado'!S334:S381)/COUNT('Cuadro Mando Integral Detallado'!S15:S42,'Cuadro Mando Integral Detallado'!S120:S182,'Cuadro Mando Integral Detallado'!S239:S302,'Cuadro Mando Integral Detallado'!S334:S381)</f>
        <v>0.26909642312889803</v>
      </c>
      <c r="X6" s="665">
        <f>SUM('Cuadro Mando Integral Detallado'!T15:T42,'Cuadro Mando Integral Detallado'!T120:T182,'Cuadro Mando Integral Detallado'!T239:T302,'Cuadro Mando Integral Detallado'!T334:T381)/COUNT('Cuadro Mando Integral Detallado'!T15:T42,'Cuadro Mando Integral Detallado'!T120:T182,'Cuadro Mando Integral Detallado'!T239:T302,'Cuadro Mando Integral Detallado'!T334:T381)</f>
        <v>0.61104870003082223</v>
      </c>
      <c r="Y6" s="569">
        <f t="shared" ref="Y6:Y11" si="15">+W6</f>
        <v>0.26909642312889803</v>
      </c>
      <c r="Z6" s="570">
        <f t="shared" ref="Z6:Z11" si="16">+W6</f>
        <v>0.26909642312889803</v>
      </c>
      <c r="AA6" s="570">
        <f t="shared" ref="AA6:AA11" si="17">+W6</f>
        <v>0.26909642312889803</v>
      </c>
      <c r="AB6" s="570">
        <f t="shared" ref="AB6:AB11" si="18">+W6</f>
        <v>0.26909642312889803</v>
      </c>
      <c r="AC6" s="507">
        <f t="shared" ref="AC6:AC11" si="19">+W6</f>
        <v>0.26909642312889803</v>
      </c>
      <c r="AD6" s="505"/>
      <c r="AE6" s="588">
        <f>SUM('Cuadro Mando Integral Detallado'!X15:X42,'Cuadro Mando Integral Detallado'!X120:X182,'Cuadro Mando Integral Detallado'!X239:X302,'Cuadro Mando Integral Detallado'!X334:X381)/COUNT('Cuadro Mando Integral Detallado'!X15:X42,'Cuadro Mando Integral Detallado'!X120:X182,'Cuadro Mando Integral Detallado'!X239:X302,'Cuadro Mando Integral Detallado'!X334:X381)</f>
        <v>0.74888411355655582</v>
      </c>
      <c r="AF6" s="581">
        <f t="shared" ref="AF6:AF11" si="20">+AE6</f>
        <v>0.74888411355655582</v>
      </c>
      <c r="AG6" s="557">
        <f t="shared" ref="AG6:AG11" si="21">+AE6</f>
        <v>0.74888411355655582</v>
      </c>
      <c r="AH6" s="557">
        <f t="shared" ref="AH6:AH11" si="22">+AE6</f>
        <v>0.74888411355655582</v>
      </c>
      <c r="AI6" s="557">
        <f>+AE6</f>
        <v>0.74888411355655582</v>
      </c>
      <c r="AJ6" s="497">
        <f t="shared" ref="AJ6:AJ11" si="23">+AE6</f>
        <v>0.74888411355655582</v>
      </c>
      <c r="AK6" s="665">
        <f>SUM('Cuadro Mando Integral Detallado'!Z15:Z42,'Cuadro Mando Integral Detallado'!Z120:Z182,'Cuadro Mando Integral Detallado'!Z239:Z302,'Cuadro Mando Integral Detallado'!Z334:Z381)/COUNT('Cuadro Mando Integral Detallado'!Z15:Z42,'Cuadro Mando Integral Detallado'!Z120:Z182,'Cuadro Mando Integral Detallado'!Z239:Z302,'Cuadro Mando Integral Detallado'!Z334:Z381)</f>
        <v>0.47661296443201778</v>
      </c>
      <c r="AL6" s="665">
        <f>SUM('Cuadro Mando Integral Detallado'!AA15:AA42,'Cuadro Mando Integral Detallado'!AA120:AA182,'Cuadro Mando Integral Detallado'!AA239:AA302,'Cuadro Mando Integral Detallado'!AA334:AA381)/COUNT('Cuadro Mando Integral Detallado'!AA15:AA42,'Cuadro Mando Integral Detallado'!AA120:AA182,'Cuadro Mando Integral Detallado'!AA239:AA302,'Cuadro Mando Integral Detallado'!AA334:AA381)</f>
        <v>0.72456435420944787</v>
      </c>
      <c r="AM6" s="581">
        <f t="shared" ref="AM6:AM11" si="24">+AK6</f>
        <v>0.47661296443201778</v>
      </c>
      <c r="AN6" s="570">
        <f t="shared" ref="AN6:AN11" si="25">+AK6</f>
        <v>0.47661296443201778</v>
      </c>
      <c r="AO6" s="570">
        <f t="shared" ref="AO6:AO11" si="26">+AK6</f>
        <v>0.47661296443201778</v>
      </c>
      <c r="AP6" s="570">
        <f t="shared" ref="AP6:AP11" si="27">+AK6</f>
        <v>0.47661296443201778</v>
      </c>
      <c r="AQ6" s="507">
        <f t="shared" ref="AQ6:AQ11" si="28">+AK6</f>
        <v>0.47661296443201778</v>
      </c>
      <c r="AR6" s="505"/>
      <c r="AS6" s="588">
        <f>SUM('Cuadro Mando Integral Detallado'!AE15:AE42,'Cuadro Mando Integral Detallado'!AE120:AE182,'Cuadro Mando Integral Detallado'!AE239:AE302,'Cuadro Mando Integral Detallado'!AE334:AE381)/COUNT('Cuadro Mando Integral Detallado'!AE15:AE42,'Cuadro Mando Integral Detallado'!AE120:AE182,'Cuadro Mando Integral Detallado'!AE239:AE302,'Cuadro Mando Integral Detallado'!AE334:AE381)</f>
        <v>0.75116431543737228</v>
      </c>
      <c r="AT6" s="581">
        <f t="shared" ref="AT6:AT11" si="29">+AS6</f>
        <v>0.75116431543737228</v>
      </c>
      <c r="AU6" s="557">
        <f t="shared" ref="AU6:AU11" si="30">+AS6</f>
        <v>0.75116431543737228</v>
      </c>
      <c r="AV6" s="557">
        <f t="shared" ref="AV6:AV11" si="31">+AS6</f>
        <v>0.75116431543737228</v>
      </c>
      <c r="AW6" s="557">
        <f t="shared" ref="AW6:AW11" si="32">+AS6</f>
        <v>0.75116431543737228</v>
      </c>
      <c r="AX6" s="497">
        <f t="shared" ref="AX6:AX11" si="33">+AS6</f>
        <v>0.75116431543737228</v>
      </c>
      <c r="AY6" s="665">
        <f>SUM('Cuadro Mando Integral Detallado'!AG15:AG42,'Cuadro Mando Integral Detallado'!AG120:AG182,'Cuadro Mando Integral Detallado'!AG239:AG302,'Cuadro Mando Integral Detallado'!AG334:AG381)/COUNT('Cuadro Mando Integral Detallado'!AG15:AG42,'Cuadro Mando Integral Detallado'!AG120:AG182,'Cuadro Mando Integral Detallado'!AG239:AG302,'Cuadro Mando Integral Detallado'!AG334:AG381)</f>
        <v>0.86880298407848577</v>
      </c>
      <c r="AZ6" s="581">
        <f t="shared" ref="AZ6:AZ11" si="34">+AY6</f>
        <v>0.86880298407848577</v>
      </c>
      <c r="BA6" s="570">
        <f t="shared" ref="BA6:BA11" si="35">+AY6</f>
        <v>0.86880298407848577</v>
      </c>
      <c r="BB6" s="570">
        <f t="shared" ref="BB6:BB11" si="36">+AY6</f>
        <v>0.86880298407848577</v>
      </c>
      <c r="BC6" s="570">
        <f t="shared" ref="BC6:BC11" si="37">+AY6</f>
        <v>0.86880298407848577</v>
      </c>
      <c r="BD6" s="507">
        <f t="shared" ref="BD6:BD11" si="38">+AY6</f>
        <v>0.86880298407848577</v>
      </c>
    </row>
    <row r="7" spans="1:56" ht="54" x14ac:dyDescent="0.25">
      <c r="A7" s="292" t="s">
        <v>886</v>
      </c>
      <c r="B7" s="290"/>
      <c r="C7" s="589">
        <f>SUM('Cuadro Mando Integral Detallado'!J44:J69,'Cuadro Mando Integral Detallado'!J207:J214)/COUNT('Cuadro Mando Integral Detallado'!J44:J69,'Cuadro Mando Integral Detallado'!J207:J214)</f>
        <v>0.74816744873321317</v>
      </c>
      <c r="D7" s="582">
        <f t="shared" si="0"/>
        <v>0.74816744873321317</v>
      </c>
      <c r="E7" s="556">
        <f t="shared" si="1"/>
        <v>0.74816744873321317</v>
      </c>
      <c r="F7" s="556">
        <f t="shared" si="2"/>
        <v>0.74816744873321317</v>
      </c>
      <c r="G7" s="556">
        <f t="shared" si="3"/>
        <v>0.74816744873321317</v>
      </c>
      <c r="H7" s="498">
        <f t="shared" si="4"/>
        <v>0.74816744873321317</v>
      </c>
      <c r="I7" s="589">
        <f>SUM('Cuadro Mando Integral Detallado'!L44:L63,'Cuadro Mando Integral Detallado'!L65:L69,'Cuadro Mando Integral Detallado'!L207:L214)/COUNT('Cuadro Mando Integral Detallado'!L44:L63,'Cuadro Mando Integral Detallado'!L65:L69,'Cuadro Mando Integral Detallado'!L207:L214)</f>
        <v>0.19598410109778175</v>
      </c>
      <c r="J7" s="589">
        <f>SUM('Cuadro Mando Integral Detallado'!M44:M63,'Cuadro Mando Integral Detallado'!M65:M69,'Cuadro Mando Integral Detallado'!M207:M214)/COUNT('Cuadro Mando Integral Detallado'!M44:M63,'Cuadro Mando Integral Detallado'!M65:M69,'Cuadro Mando Integral Detallado'!M207:M214)</f>
        <v>0.19598410109778175</v>
      </c>
      <c r="K7" s="571">
        <f t="shared" si="5"/>
        <v>0.19598410109778175</v>
      </c>
      <c r="L7" s="568">
        <f t="shared" si="6"/>
        <v>0.19598410109778175</v>
      </c>
      <c r="M7" s="568">
        <f t="shared" si="7"/>
        <v>0.19598410109778175</v>
      </c>
      <c r="N7" s="568">
        <f t="shared" si="8"/>
        <v>0.19598410109778175</v>
      </c>
      <c r="O7" s="508">
        <f t="shared" si="9"/>
        <v>0.19598410109778175</v>
      </c>
      <c r="P7" s="163"/>
      <c r="Q7" s="589">
        <f>SUM('Cuadro Mando Integral Detallado'!Q44:Q69,'Cuadro Mando Integral Detallado'!Q207:Q214)/COUNT('Cuadro Mando Integral Detallado'!Q44:Q69,'Cuadro Mando Integral Detallado'!Q207:Q214)</f>
        <v>0.75465692460776423</v>
      </c>
      <c r="R7" s="582">
        <f>+Q7</f>
        <v>0.75465692460776423</v>
      </c>
      <c r="S7" s="556">
        <f t="shared" si="11"/>
        <v>0.75465692460776423</v>
      </c>
      <c r="T7" s="556">
        <f t="shared" si="12"/>
        <v>0.75465692460776423</v>
      </c>
      <c r="U7" s="556">
        <f t="shared" si="13"/>
        <v>0.75465692460776423</v>
      </c>
      <c r="V7" s="498">
        <f t="shared" si="14"/>
        <v>0.75465692460776423</v>
      </c>
      <c r="W7" s="589">
        <f>SUM('Cuadro Mando Integral Detallado'!S44:S63,'Cuadro Mando Integral Detallado'!S65:S69,'Cuadro Mando Integral Detallado'!S207:S214)/COUNT('Cuadro Mando Integral Detallado'!S44:S63,'Cuadro Mando Integral Detallado'!S65:S69,'Cuadro Mando Integral Detallado'!S207:S214)</f>
        <v>0.40695876252970614</v>
      </c>
      <c r="X7" s="589">
        <f>SUM('Cuadro Mando Integral Detallado'!T44:T63,'Cuadro Mando Integral Detallado'!T65:T69,'Cuadro Mando Integral Detallado'!T207:T214)/COUNT('Cuadro Mando Integral Detallado'!T44:T63,'Cuadro Mando Integral Detallado'!T65:T69,'Cuadro Mando Integral Detallado'!T207:T214)</f>
        <v>0.40695876252970614</v>
      </c>
      <c r="Y7" s="571">
        <f t="shared" si="15"/>
        <v>0.40695876252970614</v>
      </c>
      <c r="Z7" s="568">
        <f t="shared" si="16"/>
        <v>0.40695876252970614</v>
      </c>
      <c r="AA7" s="568">
        <f t="shared" si="17"/>
        <v>0.40695876252970614</v>
      </c>
      <c r="AB7" s="568">
        <f t="shared" si="18"/>
        <v>0.40695876252970614</v>
      </c>
      <c r="AC7" s="508">
        <f t="shared" si="19"/>
        <v>0.40695876252970614</v>
      </c>
      <c r="AD7" s="505"/>
      <c r="AE7" s="589">
        <f>SUM('Cuadro Mando Integral Detallado'!X44:X69,'Cuadro Mando Integral Detallado'!X207:X214)/COUNT('Cuadro Mando Integral Detallado'!X44:X69,'Cuadro Mando Integral Detallado'!X207:X214)</f>
        <v>0.77879217677944923</v>
      </c>
      <c r="AF7" s="582">
        <f t="shared" si="20"/>
        <v>0.77879217677944923</v>
      </c>
      <c r="AG7" s="556">
        <f t="shared" si="21"/>
        <v>0.77879217677944923</v>
      </c>
      <c r="AH7" s="556">
        <f t="shared" si="22"/>
        <v>0.77879217677944923</v>
      </c>
      <c r="AI7" s="556">
        <f>+AE7</f>
        <v>0.77879217677944923</v>
      </c>
      <c r="AJ7" s="498">
        <f t="shared" si="23"/>
        <v>0.77879217677944923</v>
      </c>
      <c r="AK7" s="589">
        <f>SUM('Cuadro Mando Integral Detallado'!Z44:Z63,'Cuadro Mando Integral Detallado'!Z65:Z69,'Cuadro Mando Integral Detallado'!Z207:Z214)/COUNT('Cuadro Mando Integral Detallado'!Z44:Z63,'Cuadro Mando Integral Detallado'!Z65:Z69,'Cuadro Mando Integral Detallado'!Z207:Z214)</f>
        <v>0.61544336649024456</v>
      </c>
      <c r="AL7" s="589">
        <f>SUM('Cuadro Mando Integral Detallado'!AA44:AA63,'Cuadro Mando Integral Detallado'!AA65:AA69,'Cuadro Mando Integral Detallado'!AA207:AA214)/COUNT('Cuadro Mando Integral Detallado'!AA44:AA63,'Cuadro Mando Integral Detallado'!AA65:AA69,'Cuadro Mando Integral Detallado'!AA207:AA214)</f>
        <v>0.61544336649024456</v>
      </c>
      <c r="AM7" s="582">
        <f t="shared" si="24"/>
        <v>0.61544336649024456</v>
      </c>
      <c r="AN7" s="568">
        <f t="shared" si="25"/>
        <v>0.61544336649024456</v>
      </c>
      <c r="AO7" s="568">
        <f t="shared" si="26"/>
        <v>0.61544336649024456</v>
      </c>
      <c r="AP7" s="568">
        <f t="shared" si="27"/>
        <v>0.61544336649024456</v>
      </c>
      <c r="AQ7" s="508">
        <f t="shared" si="28"/>
        <v>0.61544336649024456</v>
      </c>
      <c r="AR7" s="505"/>
      <c r="AS7" s="589">
        <f>SUM('Cuadro Mando Integral Detallado'!AE44:AE69,'Cuadro Mando Integral Detallado'!AE207:AE214)/COUNT('Cuadro Mando Integral Detallado'!AE44:AE69,'Cuadro Mando Integral Detallado'!AE207:AE214)</f>
        <v>0.86412371784840736</v>
      </c>
      <c r="AT7" s="582">
        <f t="shared" si="29"/>
        <v>0.86412371784840736</v>
      </c>
      <c r="AU7" s="556">
        <f t="shared" si="30"/>
        <v>0.86412371784840736</v>
      </c>
      <c r="AV7" s="556">
        <f t="shared" si="31"/>
        <v>0.86412371784840736</v>
      </c>
      <c r="AW7" s="556">
        <f t="shared" si="32"/>
        <v>0.86412371784840736</v>
      </c>
      <c r="AX7" s="498">
        <f t="shared" si="33"/>
        <v>0.86412371784840736</v>
      </c>
      <c r="AY7" s="589">
        <f>SUM('Cuadro Mando Integral Detallado'!AG44:AG63,'Cuadro Mando Integral Detallado'!AG65:AG69,'Cuadro Mando Integral Detallado'!AG207:AG214)/COUNT('Cuadro Mando Integral Detallado'!AG44:AG63,'Cuadro Mando Integral Detallado'!AG65:AG69,'Cuadro Mando Integral Detallado'!AG207:AG214)</f>
        <v>0.92829685476184975</v>
      </c>
      <c r="AZ7" s="582">
        <f t="shared" si="34"/>
        <v>0.92829685476184975</v>
      </c>
      <c r="BA7" s="568">
        <f t="shared" si="35"/>
        <v>0.92829685476184975</v>
      </c>
      <c r="BB7" s="568">
        <f t="shared" si="36"/>
        <v>0.92829685476184975</v>
      </c>
      <c r="BC7" s="568">
        <f t="shared" si="37"/>
        <v>0.92829685476184975</v>
      </c>
      <c r="BD7" s="508">
        <f t="shared" si="38"/>
        <v>0.92829685476184975</v>
      </c>
    </row>
    <row r="8" spans="1:56" ht="54" x14ac:dyDescent="0.25">
      <c r="A8" s="292" t="s">
        <v>887</v>
      </c>
      <c r="B8" s="290"/>
      <c r="C8" s="589">
        <f>SUM('Cuadro Mando Integral Detallado'!J110:J117,'Cuadro Mando Integral Detallado'!J184:J205,'Cuadro Mando Integral Detallado'!J304:J306)/COUNT('Cuadro Mando Integral Detallado'!J110:J117,'Cuadro Mando Integral Detallado'!J184:J205,'Cuadro Mando Integral Detallado'!J304:J306)</f>
        <v>0.81874900787487481</v>
      </c>
      <c r="D8" s="582">
        <f t="shared" si="0"/>
        <v>0.81874900787487481</v>
      </c>
      <c r="E8" s="556">
        <f t="shared" si="1"/>
        <v>0.81874900787487481</v>
      </c>
      <c r="F8" s="556">
        <f t="shared" si="2"/>
        <v>0.81874900787487481</v>
      </c>
      <c r="G8" s="556">
        <f t="shared" si="3"/>
        <v>0.81874900787487481</v>
      </c>
      <c r="H8" s="498">
        <f t="shared" si="4"/>
        <v>0.81874900787487481</v>
      </c>
      <c r="I8" s="589">
        <f>SUM('Cuadro Mando Integral Detallado'!L110:L117,'Cuadro Mando Integral Detallado'!L184:L205,'Cuadro Mando Integral Detallado'!L304:L306)/COUNT('Cuadro Mando Integral Detallado'!L110:L117,'Cuadro Mando Integral Detallado'!L184:L205,'Cuadro Mando Integral Detallado'!L304:L306)</f>
        <v>0.20595328382556161</v>
      </c>
      <c r="J8" s="589">
        <f>SUM('Cuadro Mando Integral Detallado'!M110:M117,'Cuadro Mando Integral Detallado'!M184:M205,'Cuadro Mando Integral Detallado'!M304:M306)/COUNT('Cuadro Mando Integral Detallado'!M110:M117,'Cuadro Mando Integral Detallado'!M184:M205,'Cuadro Mando Integral Detallado'!M304:M306)</f>
        <v>0.24273065593726903</v>
      </c>
      <c r="K8" s="571">
        <f t="shared" si="5"/>
        <v>0.20595328382556161</v>
      </c>
      <c r="L8" s="568">
        <f t="shared" si="6"/>
        <v>0.20595328382556161</v>
      </c>
      <c r="M8" s="568">
        <f t="shared" si="7"/>
        <v>0.20595328382556161</v>
      </c>
      <c r="N8" s="568">
        <f t="shared" si="8"/>
        <v>0.20595328382556161</v>
      </c>
      <c r="O8" s="508">
        <f t="shared" si="9"/>
        <v>0.20595328382556161</v>
      </c>
      <c r="P8" s="163"/>
      <c r="Q8" s="589">
        <f>SUM('Cuadro Mando Integral Detallado'!Q110:Q117,'Cuadro Mando Integral Detallado'!Q184:Q205,'Cuadro Mando Integral Detallado'!Q304:Q306)/COUNT('Cuadro Mando Integral Detallado'!Q110:Q117,'Cuadro Mando Integral Detallado'!Q184:Q205,'Cuadro Mando Integral Detallado'!Q304:Q306)</f>
        <v>0.92683118565813771</v>
      </c>
      <c r="R8" s="582">
        <f>+Q8</f>
        <v>0.92683118565813771</v>
      </c>
      <c r="S8" s="556">
        <f t="shared" si="11"/>
        <v>0.92683118565813771</v>
      </c>
      <c r="T8" s="556">
        <f t="shared" si="12"/>
        <v>0.92683118565813771</v>
      </c>
      <c r="U8" s="556">
        <f t="shared" si="13"/>
        <v>0.92683118565813771</v>
      </c>
      <c r="V8" s="498">
        <f t="shared" si="14"/>
        <v>0.92683118565813771</v>
      </c>
      <c r="W8" s="589">
        <f>SUM('Cuadro Mando Integral Detallado'!S110:S117,'Cuadro Mando Integral Detallado'!S184:S205,'Cuadro Mando Integral Detallado'!S304:S306)/COUNT('Cuadro Mando Integral Detallado'!S110:S117,'Cuadro Mando Integral Detallado'!S184:S205,'Cuadro Mando Integral Detallado'!S304:S306)</f>
        <v>0.39806739872821001</v>
      </c>
      <c r="X8" s="589">
        <f>SUM('Cuadro Mando Integral Detallado'!T110:T117,'Cuadro Mando Integral Detallado'!T184:T205,'Cuadro Mando Integral Detallado'!T304:T306)/COUNT('Cuadro Mando Integral Detallado'!T110:T117,'Cuadro Mando Integral Detallado'!T184:T205,'Cuadro Mando Integral Detallado'!T304:T306)</f>
        <v>0.46915086278681895</v>
      </c>
      <c r="Y8" s="571">
        <f t="shared" si="15"/>
        <v>0.39806739872821001</v>
      </c>
      <c r="Z8" s="568">
        <f t="shared" si="16"/>
        <v>0.39806739872821001</v>
      </c>
      <c r="AA8" s="568">
        <f t="shared" si="17"/>
        <v>0.39806739872821001</v>
      </c>
      <c r="AB8" s="568">
        <f t="shared" si="18"/>
        <v>0.39806739872821001</v>
      </c>
      <c r="AC8" s="508">
        <f t="shared" si="19"/>
        <v>0.39806739872821001</v>
      </c>
      <c r="AD8" s="505"/>
      <c r="AE8" s="589">
        <f>SUM('Cuadro Mando Integral Detallado'!X110:X117,'Cuadro Mando Integral Detallado'!X184:X205,'Cuadro Mando Integral Detallado'!X304:X306)/COUNT('Cuadro Mando Integral Detallado'!X110:X117,'Cuadro Mando Integral Detallado'!X184:X205,'Cuadro Mando Integral Detallado'!X304:X306)</f>
        <v>0.93404504756932127</v>
      </c>
      <c r="AF8" s="582">
        <f t="shared" si="20"/>
        <v>0.93404504756932127</v>
      </c>
      <c r="AG8" s="556">
        <f t="shared" si="21"/>
        <v>0.93404504756932127</v>
      </c>
      <c r="AH8" s="556">
        <f t="shared" si="22"/>
        <v>0.93404504756932127</v>
      </c>
      <c r="AI8" s="556">
        <f>+AE8</f>
        <v>0.93404504756932127</v>
      </c>
      <c r="AJ8" s="498">
        <f t="shared" si="23"/>
        <v>0.93404504756932127</v>
      </c>
      <c r="AK8" s="589">
        <f>SUM('Cuadro Mando Integral Detallado'!Z110:Z117,'Cuadro Mando Integral Detallado'!Z184:Z205,'Cuadro Mando Integral Detallado'!Z304:Z306)/COUNT('Cuadro Mando Integral Detallado'!Z110:Z117,'Cuadro Mando Integral Detallado'!Z184:Z205,'Cuadro Mando Integral Detallado'!Z304:Z306)</f>
        <v>0.62441677980397414</v>
      </c>
      <c r="AL8" s="589">
        <f>SUM('Cuadro Mando Integral Detallado'!AA110:AA117,'Cuadro Mando Integral Detallado'!AA184:AA205,'Cuadro Mando Integral Detallado'!AA304:AA306)/COUNT('Cuadro Mando Integral Detallado'!AA110:AA117,'Cuadro Mando Integral Detallado'!AA184:AA205,'Cuadro Mando Integral Detallado'!AA304:AA306)</f>
        <v>0.7359197761975409</v>
      </c>
      <c r="AM8" s="582">
        <f t="shared" si="24"/>
        <v>0.62441677980397414</v>
      </c>
      <c r="AN8" s="568">
        <f t="shared" si="25"/>
        <v>0.62441677980397414</v>
      </c>
      <c r="AO8" s="568">
        <f t="shared" si="26"/>
        <v>0.62441677980397414</v>
      </c>
      <c r="AP8" s="568">
        <f t="shared" si="27"/>
        <v>0.62441677980397414</v>
      </c>
      <c r="AQ8" s="508">
        <f t="shared" si="28"/>
        <v>0.62441677980397414</v>
      </c>
      <c r="AR8" s="505"/>
      <c r="AS8" s="589">
        <f>SUM('Cuadro Mando Integral Detallado'!AE110:AE117,'Cuadro Mando Integral Detallado'!AE184:AE205,'Cuadro Mando Integral Detallado'!AE304:AE306)/COUNT('Cuadro Mando Integral Detallado'!AE110:AE117,'Cuadro Mando Integral Detallado'!AE184:AE205,'Cuadro Mando Integral Detallado'!AE304:AE306)</f>
        <v>0.88425347602665161</v>
      </c>
      <c r="AT8" s="582">
        <f t="shared" si="29"/>
        <v>0.88425347602665161</v>
      </c>
      <c r="AU8" s="556">
        <f t="shared" si="30"/>
        <v>0.88425347602665161</v>
      </c>
      <c r="AV8" s="556">
        <f t="shared" si="31"/>
        <v>0.88425347602665161</v>
      </c>
      <c r="AW8" s="556">
        <f t="shared" si="32"/>
        <v>0.88425347602665161</v>
      </c>
      <c r="AX8" s="498">
        <f t="shared" si="33"/>
        <v>0.88425347602665161</v>
      </c>
      <c r="AY8" s="589">
        <f>SUM('Cuadro Mando Integral Detallado'!AG110:AG117,'Cuadro Mando Integral Detallado'!AG184:AG205,'Cuadro Mando Integral Detallado'!AG304:AN306)/COUNT('Cuadro Mando Integral Detallado'!AG110:AG117,'Cuadro Mando Integral Detallado'!AG184:AG205,'Cuadro Mando Integral Detallado'!AG304:AG306)</f>
        <v>0.86533226115016182</v>
      </c>
      <c r="AZ8" s="582">
        <f t="shared" si="34"/>
        <v>0.86533226115016182</v>
      </c>
      <c r="BA8" s="568">
        <f t="shared" si="35"/>
        <v>0.86533226115016182</v>
      </c>
      <c r="BB8" s="568">
        <f t="shared" si="36"/>
        <v>0.86533226115016182</v>
      </c>
      <c r="BC8" s="568">
        <f t="shared" si="37"/>
        <v>0.86533226115016182</v>
      </c>
      <c r="BD8" s="508">
        <f t="shared" si="38"/>
        <v>0.86533226115016182</v>
      </c>
    </row>
    <row r="9" spans="1:56" ht="36" x14ac:dyDescent="0.25">
      <c r="A9" s="292" t="s">
        <v>888</v>
      </c>
      <c r="B9" s="290"/>
      <c r="C9" s="589">
        <f>SUM('Cuadro Mando Integral Detallado'!J71:J84,'Cuadro Mando Integral Detallado'!J308:J321)/COUNT('Cuadro Mando Integral Detallado'!J71:J84,'Cuadro Mando Integral Detallado'!J308:J321)</f>
        <v>0.71099108306135661</v>
      </c>
      <c r="D9" s="582">
        <f t="shared" si="0"/>
        <v>0.71099108306135661</v>
      </c>
      <c r="E9" s="556">
        <f t="shared" si="1"/>
        <v>0.71099108306135661</v>
      </c>
      <c r="F9" s="556">
        <f t="shared" si="2"/>
        <v>0.71099108306135661</v>
      </c>
      <c r="G9" s="556">
        <f t="shared" si="3"/>
        <v>0.71099108306135661</v>
      </c>
      <c r="H9" s="498">
        <f t="shared" si="4"/>
        <v>0.71099108306135661</v>
      </c>
      <c r="I9" s="662">
        <f>SUM('Cuadro Mando Integral Detallado'!L71:L83,'Cuadro Mando Integral Detallado'!L308:L321)/COUNT('Cuadro Mando Integral Detallado'!L71:L83,'Cuadro Mando Integral Detallado'!L308:L321)</f>
        <v>4.5050055745607484E-2</v>
      </c>
      <c r="J9" s="589">
        <f>SUM('Cuadro Mando Integral Detallado'!M71:M84,'Cuadro Mando Integral Detallado'!M308:M321)/COUNT('Cuadro Mando Integral Detallado'!M71:M84,'Cuadro Mando Integral Detallado'!M308:M321)</f>
        <v>0.17376450073305744</v>
      </c>
      <c r="K9" s="571">
        <f t="shared" si="5"/>
        <v>4.5050055745607484E-2</v>
      </c>
      <c r="L9" s="568">
        <f t="shared" si="6"/>
        <v>4.5050055745607484E-2</v>
      </c>
      <c r="M9" s="568">
        <f t="shared" si="7"/>
        <v>4.5050055745607484E-2</v>
      </c>
      <c r="N9" s="568">
        <f t="shared" si="8"/>
        <v>4.5050055745607484E-2</v>
      </c>
      <c r="O9" s="508">
        <f t="shared" si="9"/>
        <v>4.5050055745607484E-2</v>
      </c>
      <c r="P9" s="163"/>
      <c r="Q9" s="589">
        <f>SUM('Cuadro Mando Integral Detallado'!Q71:Q84,'Cuadro Mando Integral Detallado'!Q308:Q321)/COUNT('Cuadro Mando Integral Detallado'!Q71:Q84,'Cuadro Mando Integral Detallado'!Q308:Q321)</f>
        <v>0.55086518440541754</v>
      </c>
      <c r="R9" s="582">
        <f>+Q9</f>
        <v>0.55086518440541754</v>
      </c>
      <c r="S9" s="556">
        <f t="shared" si="11"/>
        <v>0.55086518440541754</v>
      </c>
      <c r="T9" s="556">
        <f t="shared" si="12"/>
        <v>0.55086518440541754</v>
      </c>
      <c r="U9" s="556">
        <f t="shared" si="13"/>
        <v>0.55086518440541754</v>
      </c>
      <c r="V9" s="498">
        <f t="shared" si="14"/>
        <v>0.55086518440541754</v>
      </c>
      <c r="W9" s="589">
        <f>SUM('Cuadro Mando Integral Detallado'!S71:S84,'Cuadro Mando Integral Detallado'!S308:S321)/COUNT('Cuadro Mando Integral Detallado'!S71:S84,'Cuadro Mando Integral Detallado'!S308:S321)</f>
        <v>0.11562599018555374</v>
      </c>
      <c r="X9" s="589">
        <f>SUM('Cuadro Mando Integral Detallado'!T71:T84,'Cuadro Mando Integral Detallado'!T308:T321)/COUNT('Cuadro Mando Integral Detallado'!T71:T84,'Cuadro Mando Integral Detallado'!T308:T321)</f>
        <v>0.23125198037110747</v>
      </c>
      <c r="Y9" s="571">
        <f t="shared" si="15"/>
        <v>0.11562599018555374</v>
      </c>
      <c r="Z9" s="568">
        <f t="shared" si="16"/>
        <v>0.11562599018555374</v>
      </c>
      <c r="AA9" s="568">
        <f t="shared" si="17"/>
        <v>0.11562599018555374</v>
      </c>
      <c r="AB9" s="568">
        <f t="shared" si="18"/>
        <v>0.11562599018555374</v>
      </c>
      <c r="AC9" s="508">
        <f t="shared" si="19"/>
        <v>0.11562599018555374</v>
      </c>
      <c r="AD9" s="505"/>
      <c r="AE9" s="589">
        <f>SUM('Cuadro Mando Integral Detallado'!X71:X84,'Cuadro Mando Integral Detallado'!X308:X321)/COUNT('Cuadro Mando Integral Detallado'!X71:X84,'Cuadro Mando Integral Detallado'!X308:X321)</f>
        <v>0.44361338399265371</v>
      </c>
      <c r="AF9" s="582">
        <f t="shared" si="20"/>
        <v>0.44361338399265371</v>
      </c>
      <c r="AG9" s="556">
        <f t="shared" si="21"/>
        <v>0.44361338399265371</v>
      </c>
      <c r="AH9" s="556">
        <f t="shared" si="22"/>
        <v>0.44361338399265371</v>
      </c>
      <c r="AI9" s="556">
        <f>+AE9</f>
        <v>0.44361338399265371</v>
      </c>
      <c r="AJ9" s="498">
        <f t="shared" si="23"/>
        <v>0.44361338399265371</v>
      </c>
      <c r="AK9" s="589">
        <f>SUM('Cuadro Mando Integral Detallado'!Z71:Z83,'Cuadro Mando Integral Detallado'!Z308:Z321)/COUNT('Cuadro Mando Integral Detallado'!Z71:Z83,'Cuadro Mando Integral Detallado'!Z308:Z321)</f>
        <v>0.25120073832202849</v>
      </c>
      <c r="AL9" s="589">
        <f>SUM('Cuadro Mando Integral Detallado'!AA71:AA84,'Cuadro Mando Integral Detallado'!AA308:AA321)/COUNT('Cuadro Mando Integral Detallado'!AA71:AA83,'Cuadro Mando Integral Detallado'!AA308:AA321)</f>
        <v>0.35696947024709313</v>
      </c>
      <c r="AM9" s="582">
        <f t="shared" si="24"/>
        <v>0.25120073832202849</v>
      </c>
      <c r="AN9" s="568">
        <f t="shared" si="25"/>
        <v>0.25120073832202849</v>
      </c>
      <c r="AO9" s="568">
        <f t="shared" si="26"/>
        <v>0.25120073832202849</v>
      </c>
      <c r="AP9" s="568">
        <f t="shared" si="27"/>
        <v>0.25120073832202849</v>
      </c>
      <c r="AQ9" s="508">
        <f t="shared" si="28"/>
        <v>0.25120073832202849</v>
      </c>
      <c r="AR9" s="505"/>
      <c r="AS9" s="589">
        <f>SUM('Cuadro Mando Integral Detallado'!AE71:AE84,'Cuadro Mando Integral Detallado'!AE308:AE321)/COUNT('Cuadro Mando Integral Detallado'!AE71:AE84,'Cuadro Mando Integral Detallado'!AS308:AS321)</f>
        <v>1.097792741069074</v>
      </c>
      <c r="AT9" s="582">
        <f t="shared" si="29"/>
        <v>1.097792741069074</v>
      </c>
      <c r="AU9" s="556">
        <f t="shared" si="30"/>
        <v>1.097792741069074</v>
      </c>
      <c r="AV9" s="556">
        <f t="shared" si="31"/>
        <v>1.097792741069074</v>
      </c>
      <c r="AW9" s="556">
        <f t="shared" si="32"/>
        <v>1.097792741069074</v>
      </c>
      <c r="AX9" s="498">
        <f t="shared" si="33"/>
        <v>1.097792741069074</v>
      </c>
      <c r="AY9" s="589">
        <f>SUM('Cuadro Mando Integral Detallado'!AG71:AG84,'Cuadro Mando Integral Detallado'!AG308:AG321)/COUNT('Cuadro Mando Integral Detallado'!AG71:AG83,'Cuadro Mando Integral Detallado'!AG308:AG321)</f>
        <v>0.62637413688242038</v>
      </c>
      <c r="AZ9" s="582">
        <f t="shared" si="34"/>
        <v>0.62637413688242038</v>
      </c>
      <c r="BA9" s="568">
        <f t="shared" si="35"/>
        <v>0.62637413688242038</v>
      </c>
      <c r="BB9" s="568">
        <f t="shared" si="36"/>
        <v>0.62637413688242038</v>
      </c>
      <c r="BC9" s="568">
        <f t="shared" si="37"/>
        <v>0.62637413688242038</v>
      </c>
      <c r="BD9" s="508">
        <f t="shared" si="38"/>
        <v>0.62637413688242038</v>
      </c>
    </row>
    <row r="10" spans="1:56" ht="36" x14ac:dyDescent="0.25">
      <c r="A10" s="292" t="s">
        <v>146</v>
      </c>
      <c r="B10" s="290"/>
      <c r="C10" s="589">
        <f>SUM('Cuadro Mando Integral Detallado'!J86:J108,'Cuadro Mando Integral Detallado'!J216:J226,'Cuadro Mando Integral Detallado'!J323:J331)/COUNT('Cuadro Mando Integral Detallado'!J86:J108,'Cuadro Mando Integral Detallado'!J216:J226,'Cuadro Mando Integral Detallado'!J323:J331)</f>
        <v>0.467151942417321</v>
      </c>
      <c r="D10" s="582">
        <f t="shared" si="0"/>
        <v>0.467151942417321</v>
      </c>
      <c r="E10" s="556">
        <f t="shared" si="1"/>
        <v>0.467151942417321</v>
      </c>
      <c r="F10" s="556">
        <f t="shared" si="2"/>
        <v>0.467151942417321</v>
      </c>
      <c r="G10" s="556">
        <f t="shared" si="3"/>
        <v>0.467151942417321</v>
      </c>
      <c r="H10" s="498">
        <f t="shared" si="4"/>
        <v>0.467151942417321</v>
      </c>
      <c r="I10" s="589">
        <f>SUM('Cuadro Mando Integral Detallado'!L86:L108,'Cuadro Mando Integral Detallado'!L216:L226,'Cuadro Mando Integral Detallado'!L323:L331)/COUNT('Cuadro Mando Integral Detallado'!L86:L108,'Cuadro Mando Integral Detallado'!L216:L226,'Cuadro Mando Integral Detallado'!L323:L331)</f>
        <v>0.12008177003624627</v>
      </c>
      <c r="J10" s="589">
        <f>SUM('Cuadro Mando Integral Detallado'!M86:M108,'Cuadro Mando Integral Detallado'!M216:M226,'Cuadro Mando Integral Detallado'!M323:M331)/COUNT('Cuadro Mando Integral Detallado'!M86:M108,'Cuadro Mando Integral Detallado'!M216:M226,'Cuadro Mando Integral Detallado'!M323:M331)</f>
        <v>0.12694358546688891</v>
      </c>
      <c r="K10" s="571">
        <f>+I10</f>
        <v>0.12008177003624627</v>
      </c>
      <c r="L10" s="568">
        <f t="shared" si="6"/>
        <v>0.12008177003624627</v>
      </c>
      <c r="M10" s="568">
        <f t="shared" si="7"/>
        <v>0.12008177003624627</v>
      </c>
      <c r="N10" s="568">
        <f t="shared" si="8"/>
        <v>0.12008177003624627</v>
      </c>
      <c r="O10" s="508">
        <f t="shared" si="9"/>
        <v>0.12008177003624627</v>
      </c>
      <c r="P10" s="163"/>
      <c r="Q10" s="589">
        <f>SUM('Cuadro Mando Integral Detallado'!Q86:Q108,'Cuadro Mando Integral Detallado'!Q216:Q226,'Cuadro Mando Integral Detallado'!Q323:Q331)/COUNT('Cuadro Mando Integral Detallado'!Q86:Q108,'Cuadro Mando Integral Detallado'!Q216:Q226,'Cuadro Mando Integral Detallado'!Q323:Q331)</f>
        <v>0.70796449945471096</v>
      </c>
      <c r="R10" s="582">
        <f t="shared" si="10"/>
        <v>0.70796449945471096</v>
      </c>
      <c r="S10" s="556">
        <f t="shared" si="11"/>
        <v>0.70796449945471096</v>
      </c>
      <c r="T10" s="556">
        <f t="shared" si="12"/>
        <v>0.70796449945471096</v>
      </c>
      <c r="U10" s="556">
        <f t="shared" si="13"/>
        <v>0.70796449945471096</v>
      </c>
      <c r="V10" s="498">
        <f t="shared" si="14"/>
        <v>0.70796449945471096</v>
      </c>
      <c r="W10" s="589">
        <f>SUM('Cuadro Mando Integral Detallado'!S86:S108,'Cuadro Mando Integral Detallado'!S216:S226,'Cuadro Mando Integral Detallado'!S323:S331)/COUNT('Cuadro Mando Integral Detallado'!S86:S108,'Cuadro Mando Integral Detallado'!S216:S226,'Cuadro Mando Integral Detallado'!S323:S331)</f>
        <v>0.26951968599527021</v>
      </c>
      <c r="X10" s="589">
        <f>SUM('Cuadro Mando Integral Detallado'!T86:T108,'Cuadro Mando Integral Detallado'!T216:T226,'Cuadro Mando Integral Detallado'!T323:T331)/COUNT('Cuadro Mando Integral Detallado'!T86:T108,'Cuadro Mando Integral Detallado'!T216:T226,'Cuadro Mando Integral Detallado'!T323:T331)</f>
        <v>0.33240761272749991</v>
      </c>
      <c r="Y10" s="571">
        <f t="shared" si="15"/>
        <v>0.26951968599527021</v>
      </c>
      <c r="Z10" s="568">
        <f t="shared" si="16"/>
        <v>0.26951968599527021</v>
      </c>
      <c r="AA10" s="568">
        <f t="shared" si="17"/>
        <v>0.26951968599527021</v>
      </c>
      <c r="AB10" s="568">
        <f t="shared" si="18"/>
        <v>0.26951968599527021</v>
      </c>
      <c r="AC10" s="508">
        <f t="shared" si="19"/>
        <v>0.26951968599527021</v>
      </c>
      <c r="AD10" s="505"/>
      <c r="AE10" s="589">
        <f>SUM('Cuadro Mando Integral Detallado'!X86:X108,'Cuadro Mando Integral Detallado'!X216:X226,'Cuadro Mando Integral Detallado'!X323:X331)/COUNT('Cuadro Mando Integral Detallado'!X86:X108,'Cuadro Mando Integral Detallado'!X216:X226,'Cuadro Mando Integral Detallado'!X323:X331)</f>
        <v>0.61313609180776263</v>
      </c>
      <c r="AF10" s="582">
        <f t="shared" si="20"/>
        <v>0.61313609180776263</v>
      </c>
      <c r="AG10" s="556">
        <f t="shared" si="21"/>
        <v>0.61313609180776263</v>
      </c>
      <c r="AH10" s="556">
        <f t="shared" si="22"/>
        <v>0.61313609180776263</v>
      </c>
      <c r="AI10" s="556">
        <f>+AE10</f>
        <v>0.61313609180776263</v>
      </c>
      <c r="AJ10" s="498">
        <f t="shared" si="23"/>
        <v>0.61313609180776263</v>
      </c>
      <c r="AK10" s="589">
        <f>SUM('Cuadro Mando Integral Detallado'!Z86:Z108,'Cuadro Mando Integral Detallado'!Z216:Z226,'Cuadro Mando Integral Detallado'!Z323:Z331)/COUNT('Cuadro Mando Integral Detallado'!Z86:Z108,'Cuadro Mando Integral Detallado'!Z216:Z226,'Cuadro Mando Integral Detallado'!Z323:Z331)</f>
        <v>0.39036193490033205</v>
      </c>
      <c r="AL10" s="589">
        <f>SUM('Cuadro Mando Integral Detallado'!AA86:AA108,'Cuadro Mando Integral Detallado'!AA216:AA226,'Cuadro Mando Integral Detallado'!AA323:AA331)/COUNT('Cuadro Mando Integral Detallado'!AA86:AA108,'Cuadro Mando Integral Detallado'!AA216:AA226,'Cuadro Mando Integral Detallado'!AA323:AA331)</f>
        <v>0.45135598722850895</v>
      </c>
      <c r="AM10" s="582">
        <f t="shared" si="24"/>
        <v>0.39036193490033205</v>
      </c>
      <c r="AN10" s="568">
        <f t="shared" si="25"/>
        <v>0.39036193490033205</v>
      </c>
      <c r="AO10" s="568">
        <f t="shared" si="26"/>
        <v>0.39036193490033205</v>
      </c>
      <c r="AP10" s="568">
        <f t="shared" si="27"/>
        <v>0.39036193490033205</v>
      </c>
      <c r="AQ10" s="508">
        <f t="shared" si="28"/>
        <v>0.39036193490033205</v>
      </c>
      <c r="AR10" s="505"/>
      <c r="AS10" s="589">
        <f>SUM('Cuadro Mando Integral Detallado'!AE86:AE108,'Cuadro Mando Integral Detallado'!AE216:AE226,'Cuadro Mando Integral Detallado'!AE323:AE331)/COUNT('Cuadro Mando Integral Detallado'!AE86:AE108,'Cuadro Mando Integral Detallado'!AE216:AE226,'Cuadro Mando Integral Detallado'!AE323:AE331)</f>
        <v>0.74117227874423597</v>
      </c>
      <c r="AT10" s="582">
        <f t="shared" si="29"/>
        <v>0.74117227874423597</v>
      </c>
      <c r="AU10" s="556">
        <f t="shared" si="30"/>
        <v>0.74117227874423597</v>
      </c>
      <c r="AV10" s="556">
        <f t="shared" si="31"/>
        <v>0.74117227874423597</v>
      </c>
      <c r="AW10" s="556">
        <f t="shared" si="32"/>
        <v>0.74117227874423597</v>
      </c>
      <c r="AX10" s="498">
        <f t="shared" si="33"/>
        <v>0.74117227874423597</v>
      </c>
      <c r="AY10" s="589">
        <f>SUM('Cuadro Mando Integral Detallado'!AG86:AG108,'Cuadro Mando Integral Detallado'!AG216:AG226,'Cuadro Mando Integral Detallado'!AG323:AG331)/COUNT('Cuadro Mando Integral Detallado'!AG86:AG108,'Cuadro Mando Integral Detallado'!AG216:AG226,'Cuadro Mando Integral Detallado'!AG323:AG331)</f>
        <v>0.66233788689872553</v>
      </c>
      <c r="AZ10" s="582">
        <f t="shared" si="34"/>
        <v>0.66233788689872553</v>
      </c>
      <c r="BA10" s="568">
        <f t="shared" si="35"/>
        <v>0.66233788689872553</v>
      </c>
      <c r="BB10" s="568">
        <f t="shared" si="36"/>
        <v>0.66233788689872553</v>
      </c>
      <c r="BC10" s="568">
        <f t="shared" si="37"/>
        <v>0.66233788689872553</v>
      </c>
      <c r="BD10" s="508">
        <f t="shared" si="38"/>
        <v>0.66233788689872553</v>
      </c>
    </row>
    <row r="11" spans="1:56" ht="36.75" thickBot="1" x14ac:dyDescent="0.3">
      <c r="A11" s="293" t="s">
        <v>889</v>
      </c>
      <c r="B11" s="290"/>
      <c r="C11" s="591">
        <f>SUM('Cuadro Mando Integral Detallado'!J228:J236)/COUNT('Cuadro Mando Integral Detallado'!J228:J236)</f>
        <v>1</v>
      </c>
      <c r="D11" s="583">
        <f t="shared" si="0"/>
        <v>1</v>
      </c>
      <c r="E11" s="558">
        <f t="shared" si="1"/>
        <v>1</v>
      </c>
      <c r="F11" s="558">
        <f t="shared" si="2"/>
        <v>1</v>
      </c>
      <c r="G11" s="558">
        <f t="shared" si="3"/>
        <v>1</v>
      </c>
      <c r="H11" s="499">
        <f t="shared" si="4"/>
        <v>1</v>
      </c>
      <c r="I11" s="591">
        <f>SUM('Cuadro Mando Integral Detallado'!L228:L236)/COUNT('Cuadro Mando Integral Detallado'!L228:L236)</f>
        <v>0.25</v>
      </c>
      <c r="J11" s="591">
        <f>SUM('Cuadro Mando Integral Detallado'!M228:M236)/COUNT('Cuadro Mando Integral Detallado'!M228:M236)</f>
        <v>0.25</v>
      </c>
      <c r="K11" s="572">
        <f t="shared" si="5"/>
        <v>0.25</v>
      </c>
      <c r="L11" s="573">
        <f t="shared" si="6"/>
        <v>0.25</v>
      </c>
      <c r="M11" s="573">
        <f t="shared" si="7"/>
        <v>0.25</v>
      </c>
      <c r="N11" s="573">
        <f t="shared" si="8"/>
        <v>0.25</v>
      </c>
      <c r="O11" s="509">
        <f t="shared" si="9"/>
        <v>0.25</v>
      </c>
      <c r="P11" s="163"/>
      <c r="Q11" s="663">
        <f>SUM('Cuadro Mando Integral Detallado'!Q228:Q236)/COUNT('Cuadro Mando Integral Detallado'!Q228:Q236)</f>
        <v>1</v>
      </c>
      <c r="R11" s="583">
        <f t="shared" si="10"/>
        <v>1</v>
      </c>
      <c r="S11" s="558">
        <f t="shared" si="11"/>
        <v>1</v>
      </c>
      <c r="T11" s="558">
        <f t="shared" si="12"/>
        <v>1</v>
      </c>
      <c r="U11" s="558">
        <f t="shared" si="13"/>
        <v>1</v>
      </c>
      <c r="V11" s="499">
        <f t="shared" si="14"/>
        <v>1</v>
      </c>
      <c r="W11" s="591">
        <f>SUM('Cuadro Mando Integral Detallado'!S228:S236)/COUNT('Cuadro Mando Integral Detallado'!S228:S236)</f>
        <v>0.5</v>
      </c>
      <c r="X11" s="591">
        <f>SUM('Cuadro Mando Integral Detallado'!T228:T236)/COUNT('Cuadro Mando Integral Detallado'!T228:T236)</f>
        <v>0.5</v>
      </c>
      <c r="Y11" s="572">
        <f t="shared" si="15"/>
        <v>0.5</v>
      </c>
      <c r="Z11" s="573">
        <f t="shared" si="16"/>
        <v>0.5</v>
      </c>
      <c r="AA11" s="573">
        <f t="shared" si="17"/>
        <v>0.5</v>
      </c>
      <c r="AB11" s="573">
        <f t="shared" si="18"/>
        <v>0.5</v>
      </c>
      <c r="AC11" s="509">
        <f t="shared" si="19"/>
        <v>0.5</v>
      </c>
      <c r="AD11" s="505"/>
      <c r="AE11" s="591">
        <f>SUM('Cuadro Mando Integral Detallado'!X228:X236)/COUNT('Cuadro Mando Integral Detallado'!X228:X236)</f>
        <v>1</v>
      </c>
      <c r="AF11" s="583">
        <f t="shared" si="20"/>
        <v>1</v>
      </c>
      <c r="AG11" s="558">
        <f t="shared" si="21"/>
        <v>1</v>
      </c>
      <c r="AH11" s="558">
        <f t="shared" si="22"/>
        <v>1</v>
      </c>
      <c r="AI11" s="558">
        <f>+AD11</f>
        <v>0</v>
      </c>
      <c r="AJ11" s="499">
        <f t="shared" si="23"/>
        <v>1</v>
      </c>
      <c r="AK11" s="591">
        <f>SUM('Cuadro Mando Integral Detallado'!Z228:Z236)/COUNT('Cuadro Mando Integral Detallado'!Z228:Z236)</f>
        <v>0.75</v>
      </c>
      <c r="AL11" s="591">
        <f>SUM('Cuadro Mando Integral Detallado'!AA228:AA236)/COUNT('Cuadro Mando Integral Detallado'!AA228:AA236)</f>
        <v>0.75</v>
      </c>
      <c r="AM11" s="583">
        <f t="shared" si="24"/>
        <v>0.75</v>
      </c>
      <c r="AN11" s="573">
        <f t="shared" si="25"/>
        <v>0.75</v>
      </c>
      <c r="AO11" s="573">
        <f t="shared" si="26"/>
        <v>0.75</v>
      </c>
      <c r="AP11" s="573">
        <f t="shared" si="27"/>
        <v>0.75</v>
      </c>
      <c r="AQ11" s="509">
        <f t="shared" si="28"/>
        <v>0.75</v>
      </c>
      <c r="AR11" s="505"/>
      <c r="AS11" s="591">
        <f>SUM('Cuadro Mando Integral Detallado'!AE228:AE236)/COUNT('Cuadro Mando Integral Detallado'!AE228:AE236)</f>
        <v>1</v>
      </c>
      <c r="AT11" s="583">
        <f t="shared" si="29"/>
        <v>1</v>
      </c>
      <c r="AU11" s="558">
        <f t="shared" si="30"/>
        <v>1</v>
      </c>
      <c r="AV11" s="558">
        <f t="shared" si="31"/>
        <v>1</v>
      </c>
      <c r="AW11" s="558">
        <f t="shared" si="32"/>
        <v>1</v>
      </c>
      <c r="AX11" s="499">
        <f t="shared" si="33"/>
        <v>1</v>
      </c>
      <c r="AY11" s="591">
        <f>SUM('Cuadro Mando Integral Detallado'!AG228:AG236)/COUNT('Cuadro Mando Integral Detallado'!AG228:AG236)</f>
        <v>1</v>
      </c>
      <c r="AZ11" s="583">
        <f t="shared" si="34"/>
        <v>1</v>
      </c>
      <c r="BA11" s="573">
        <f t="shared" si="35"/>
        <v>1</v>
      </c>
      <c r="BB11" s="573">
        <f t="shared" si="36"/>
        <v>1</v>
      </c>
      <c r="BC11" s="573">
        <f t="shared" si="37"/>
        <v>1</v>
      </c>
      <c r="BD11" s="509">
        <f t="shared" si="38"/>
        <v>1</v>
      </c>
    </row>
  </sheetData>
  <mergeCells count="18">
    <mergeCell ref="A1:A3"/>
    <mergeCell ref="B1:H1"/>
    <mergeCell ref="I1:AR1"/>
    <mergeCell ref="AS1:BD3"/>
    <mergeCell ref="B2:H2"/>
    <mergeCell ref="I2:AR2"/>
    <mergeCell ref="B3:H3"/>
    <mergeCell ref="I3:O3"/>
    <mergeCell ref="P3:AJ3"/>
    <mergeCell ref="AM3:AR3"/>
    <mergeCell ref="AS5:AX5"/>
    <mergeCell ref="AY5:BD5"/>
    <mergeCell ref="C5:H5"/>
    <mergeCell ref="I5:O5"/>
    <mergeCell ref="Q5:V5"/>
    <mergeCell ref="W5:AC5"/>
    <mergeCell ref="AE5:AJ5"/>
    <mergeCell ref="AK5:AQ5"/>
  </mergeCells>
  <conditionalFormatting sqref="D6">
    <cfRule type="cellIs" dxfId="967" priority="240" stopIfTrue="1" operator="between">
      <formula>0</formula>
      <formula>0.5</formula>
    </cfRule>
  </conditionalFormatting>
  <conditionalFormatting sqref="E6">
    <cfRule type="cellIs" dxfId="966" priority="239" operator="between">
      <formula>0.51</formula>
      <formula>0.75</formula>
    </cfRule>
  </conditionalFormatting>
  <conditionalFormatting sqref="F6">
    <cfRule type="cellIs" dxfId="965" priority="238" operator="between">
      <formula>0.7505</formula>
      <formula>0.95</formula>
    </cfRule>
  </conditionalFormatting>
  <conditionalFormatting sqref="G6">
    <cfRule type="cellIs" dxfId="964" priority="237" operator="between">
      <formula>0.95</formula>
      <formula>1</formula>
    </cfRule>
  </conditionalFormatting>
  <conditionalFormatting sqref="H6">
    <cfRule type="cellIs" dxfId="963" priority="236" operator="greaterThan">
      <formula>1</formula>
    </cfRule>
  </conditionalFormatting>
  <conditionalFormatting sqref="D7">
    <cfRule type="cellIs" dxfId="962" priority="235" stopIfTrue="1" operator="between">
      <formula>0</formula>
      <formula>0.5</formula>
    </cfRule>
  </conditionalFormatting>
  <conditionalFormatting sqref="E7">
    <cfRule type="cellIs" dxfId="961" priority="234" operator="between">
      <formula>0.51</formula>
      <formula>0.75</formula>
    </cfRule>
  </conditionalFormatting>
  <conditionalFormatting sqref="F7">
    <cfRule type="cellIs" dxfId="960" priority="233" operator="between">
      <formula>0.76</formula>
      <formula>0.95</formula>
    </cfRule>
  </conditionalFormatting>
  <conditionalFormatting sqref="G7">
    <cfRule type="cellIs" dxfId="959" priority="232" operator="between">
      <formula>0.95</formula>
      <formula>1</formula>
    </cfRule>
  </conditionalFormatting>
  <conditionalFormatting sqref="H7">
    <cfRule type="cellIs" dxfId="958" priority="231" operator="greaterThan">
      <formula>1</formula>
    </cfRule>
  </conditionalFormatting>
  <conditionalFormatting sqref="D8">
    <cfRule type="cellIs" dxfId="957" priority="230" stopIfTrue="1" operator="between">
      <formula>0</formula>
      <formula>0.5</formula>
    </cfRule>
  </conditionalFormatting>
  <conditionalFormatting sqref="E8">
    <cfRule type="cellIs" dxfId="956" priority="229" operator="between">
      <formula>0.51</formula>
      <formula>0.75</formula>
    </cfRule>
  </conditionalFormatting>
  <conditionalFormatting sqref="F8">
    <cfRule type="cellIs" dxfId="955" priority="228" operator="between">
      <formula>0.76</formula>
      <formula>0.95</formula>
    </cfRule>
  </conditionalFormatting>
  <conditionalFormatting sqref="G8">
    <cfRule type="cellIs" dxfId="954" priority="227" operator="between">
      <formula>0.95</formula>
      <formula>1</formula>
    </cfRule>
  </conditionalFormatting>
  <conditionalFormatting sqref="H8">
    <cfRule type="cellIs" dxfId="953" priority="226" operator="greaterThan">
      <formula>1</formula>
    </cfRule>
  </conditionalFormatting>
  <conditionalFormatting sqref="D9">
    <cfRule type="cellIs" dxfId="952" priority="225" stopIfTrue="1" operator="between">
      <formula>0</formula>
      <formula>0.5</formula>
    </cfRule>
  </conditionalFormatting>
  <conditionalFormatting sqref="E9">
    <cfRule type="cellIs" dxfId="951" priority="224" operator="between">
      <formula>0.51</formula>
      <formula>0.75</formula>
    </cfRule>
  </conditionalFormatting>
  <conditionalFormatting sqref="F9">
    <cfRule type="cellIs" dxfId="950" priority="223" operator="between">
      <formula>0.76</formula>
      <formula>0.95</formula>
    </cfRule>
  </conditionalFormatting>
  <conditionalFormatting sqref="G9">
    <cfRule type="cellIs" dxfId="949" priority="222" operator="between">
      <formula>0.95</formula>
      <formula>1</formula>
    </cfRule>
  </conditionalFormatting>
  <conditionalFormatting sqref="H9">
    <cfRule type="cellIs" dxfId="948" priority="221" operator="greaterThan">
      <formula>1</formula>
    </cfRule>
  </conditionalFormatting>
  <conditionalFormatting sqref="D10">
    <cfRule type="cellIs" dxfId="947" priority="220" stopIfTrue="1" operator="between">
      <formula>0</formula>
      <formula>0.5</formula>
    </cfRule>
  </conditionalFormatting>
  <conditionalFormatting sqref="E10">
    <cfRule type="cellIs" dxfId="946" priority="219" operator="between">
      <formula>0.51</formula>
      <formula>0.75</formula>
    </cfRule>
  </conditionalFormatting>
  <conditionalFormatting sqref="F10">
    <cfRule type="cellIs" dxfId="945" priority="218" operator="between">
      <formula>0.76</formula>
      <formula>0.95</formula>
    </cfRule>
  </conditionalFormatting>
  <conditionalFormatting sqref="G10">
    <cfRule type="cellIs" dxfId="944" priority="217" operator="between">
      <formula>0.95</formula>
      <formula>1</formula>
    </cfRule>
  </conditionalFormatting>
  <conditionalFormatting sqref="H10">
    <cfRule type="cellIs" dxfId="943" priority="216" operator="greaterThan">
      <formula>1</formula>
    </cfRule>
  </conditionalFormatting>
  <conditionalFormatting sqref="D11">
    <cfRule type="cellIs" dxfId="942" priority="215" stopIfTrue="1" operator="between">
      <formula>0</formula>
      <formula>0.5</formula>
    </cfRule>
  </conditionalFormatting>
  <conditionalFormatting sqref="E11">
    <cfRule type="cellIs" dxfId="941" priority="214" operator="between">
      <formula>0.51</formula>
      <formula>0.75</formula>
    </cfRule>
  </conditionalFormatting>
  <conditionalFormatting sqref="F11">
    <cfRule type="cellIs" dxfId="940" priority="213" operator="between">
      <formula>0.76</formula>
      <formula>0.95</formula>
    </cfRule>
  </conditionalFormatting>
  <conditionalFormatting sqref="G11">
    <cfRule type="cellIs" dxfId="939" priority="212" operator="between">
      <formula>0.95</formula>
      <formula>1</formula>
    </cfRule>
  </conditionalFormatting>
  <conditionalFormatting sqref="H11">
    <cfRule type="cellIs" dxfId="938" priority="211" operator="greaterThan">
      <formula>1</formula>
    </cfRule>
  </conditionalFormatting>
  <conditionalFormatting sqref="K6">
    <cfRule type="cellIs" dxfId="937" priority="210" stopIfTrue="1" operator="between">
      <formula>0</formula>
      <formula>0.125</formula>
    </cfRule>
  </conditionalFormatting>
  <conditionalFormatting sqref="L6">
    <cfRule type="cellIs" dxfId="936" priority="209" operator="between">
      <formula>0.1251</formula>
      <formula>0.19</formula>
    </cfRule>
  </conditionalFormatting>
  <conditionalFormatting sqref="M6">
    <cfRule type="cellIs" dxfId="935" priority="208" operator="between">
      <formula>0.191</formula>
      <formula>0.24</formula>
    </cfRule>
  </conditionalFormatting>
  <conditionalFormatting sqref="N6">
    <cfRule type="cellIs" dxfId="934" priority="207" operator="between">
      <formula>0.2401</formula>
      <formula>0.26</formula>
    </cfRule>
  </conditionalFormatting>
  <conditionalFormatting sqref="O6">
    <cfRule type="cellIs" dxfId="933" priority="206" operator="greaterThan">
      <formula>0.2601</formula>
    </cfRule>
  </conditionalFormatting>
  <conditionalFormatting sqref="K7">
    <cfRule type="cellIs" dxfId="932" priority="205" stopIfTrue="1" operator="between">
      <formula>0</formula>
      <formula>0.125</formula>
    </cfRule>
  </conditionalFormatting>
  <conditionalFormatting sqref="L7">
    <cfRule type="cellIs" dxfId="931" priority="204" operator="between">
      <formula>0.1251</formula>
      <formula>0.19</formula>
    </cfRule>
  </conditionalFormatting>
  <conditionalFormatting sqref="M7">
    <cfRule type="cellIs" dxfId="930" priority="203" operator="between">
      <formula>0.191</formula>
      <formula>0.24</formula>
    </cfRule>
  </conditionalFormatting>
  <conditionalFormatting sqref="N7">
    <cfRule type="cellIs" dxfId="929" priority="202" operator="between">
      <formula>0.2401</formula>
      <formula>0.26</formula>
    </cfRule>
  </conditionalFormatting>
  <conditionalFormatting sqref="O7">
    <cfRule type="cellIs" dxfId="928" priority="201" operator="greaterThan">
      <formula>0.2601</formula>
    </cfRule>
  </conditionalFormatting>
  <conditionalFormatting sqref="K8">
    <cfRule type="cellIs" dxfId="927" priority="200" stopIfTrue="1" operator="between">
      <formula>0</formula>
      <formula>0.125</formula>
    </cfRule>
  </conditionalFormatting>
  <conditionalFormatting sqref="L8">
    <cfRule type="cellIs" dxfId="926" priority="199" operator="between">
      <formula>0.1251</formula>
      <formula>0.19</formula>
    </cfRule>
  </conditionalFormatting>
  <conditionalFormatting sqref="M8">
    <cfRule type="cellIs" dxfId="925" priority="198" operator="between">
      <formula>0.191</formula>
      <formula>0.24</formula>
    </cfRule>
  </conditionalFormatting>
  <conditionalFormatting sqref="N8">
    <cfRule type="cellIs" dxfId="924" priority="197" operator="between">
      <formula>0.2401</formula>
      <formula>0.26</formula>
    </cfRule>
  </conditionalFormatting>
  <conditionalFormatting sqref="O8">
    <cfRule type="cellIs" dxfId="923" priority="196" operator="greaterThan">
      <formula>0.2601</formula>
    </cfRule>
  </conditionalFormatting>
  <conditionalFormatting sqref="K9">
    <cfRule type="cellIs" dxfId="922" priority="195" stopIfTrue="1" operator="between">
      <formula>0</formula>
      <formula>0.125</formula>
    </cfRule>
  </conditionalFormatting>
  <conditionalFormatting sqref="L9">
    <cfRule type="cellIs" dxfId="921" priority="194" operator="between">
      <formula>0.1251</formula>
      <formula>0.19</formula>
    </cfRule>
  </conditionalFormatting>
  <conditionalFormatting sqref="M9">
    <cfRule type="cellIs" dxfId="920" priority="193" operator="between">
      <formula>0.191</formula>
      <formula>0.24</formula>
    </cfRule>
  </conditionalFormatting>
  <conditionalFormatting sqref="N9">
    <cfRule type="cellIs" dxfId="919" priority="192" operator="between">
      <formula>0.2401</formula>
      <formula>0.26</formula>
    </cfRule>
  </conditionalFormatting>
  <conditionalFormatting sqref="O9">
    <cfRule type="cellIs" dxfId="918" priority="191" operator="greaterThan">
      <formula>0.2601</formula>
    </cfRule>
  </conditionalFormatting>
  <conditionalFormatting sqref="K10">
    <cfRule type="cellIs" dxfId="917" priority="190" stopIfTrue="1" operator="between">
      <formula>0</formula>
      <formula>0.125</formula>
    </cfRule>
  </conditionalFormatting>
  <conditionalFormatting sqref="L10">
    <cfRule type="cellIs" dxfId="916" priority="189" operator="between">
      <formula>0.1251</formula>
      <formula>0.19</formula>
    </cfRule>
  </conditionalFormatting>
  <conditionalFormatting sqref="M10">
    <cfRule type="cellIs" dxfId="915" priority="188" operator="between">
      <formula>0.191</formula>
      <formula>0.24</formula>
    </cfRule>
  </conditionalFormatting>
  <conditionalFormatting sqref="N10">
    <cfRule type="cellIs" dxfId="914" priority="187" operator="between">
      <formula>0.2401</formula>
      <formula>0.26</formula>
    </cfRule>
  </conditionalFormatting>
  <conditionalFormatting sqref="O10">
    <cfRule type="cellIs" dxfId="913" priority="186" operator="greaterThan">
      <formula>0.2601</formula>
    </cfRule>
  </conditionalFormatting>
  <conditionalFormatting sqref="K11">
    <cfRule type="cellIs" dxfId="912" priority="185" stopIfTrue="1" operator="between">
      <formula>0</formula>
      <formula>0.125</formula>
    </cfRule>
  </conditionalFormatting>
  <conditionalFormatting sqref="L11">
    <cfRule type="cellIs" dxfId="911" priority="184" operator="between">
      <formula>0.1251</formula>
      <formula>0.19</formula>
    </cfRule>
  </conditionalFormatting>
  <conditionalFormatting sqref="M11">
    <cfRule type="cellIs" dxfId="910" priority="183" operator="between">
      <formula>0.191</formula>
      <formula>0.24</formula>
    </cfRule>
  </conditionalFormatting>
  <conditionalFormatting sqref="N11">
    <cfRule type="cellIs" dxfId="909" priority="182" operator="between">
      <formula>0.2401</formula>
      <formula>0.26</formula>
    </cfRule>
  </conditionalFormatting>
  <conditionalFormatting sqref="O11">
    <cfRule type="cellIs" dxfId="908" priority="181" operator="greaterThan">
      <formula>0.2601</formula>
    </cfRule>
  </conditionalFormatting>
  <conditionalFormatting sqref="R6">
    <cfRule type="cellIs" dxfId="907" priority="180" stopIfTrue="1" operator="between">
      <formula>0</formula>
      <formula>0.5</formula>
    </cfRule>
  </conditionalFormatting>
  <conditionalFormatting sqref="S6">
    <cfRule type="cellIs" dxfId="906" priority="179" operator="between">
      <formula>0.51</formula>
      <formula>0.75</formula>
    </cfRule>
  </conditionalFormatting>
  <conditionalFormatting sqref="T6">
    <cfRule type="cellIs" dxfId="905" priority="178" operator="between">
      <formula>0.76</formula>
      <formula>0.95</formula>
    </cfRule>
  </conditionalFormatting>
  <conditionalFormatting sqref="U6">
    <cfRule type="cellIs" dxfId="904" priority="177" operator="between">
      <formula>0.95</formula>
      <formula>1</formula>
    </cfRule>
  </conditionalFormatting>
  <conditionalFormatting sqref="V6">
    <cfRule type="cellIs" dxfId="903" priority="176" operator="greaterThan">
      <formula>1</formula>
    </cfRule>
  </conditionalFormatting>
  <conditionalFormatting sqref="R7">
    <cfRule type="cellIs" dxfId="902" priority="175" stopIfTrue="1" operator="between">
      <formula>0</formula>
      <formula>0.5</formula>
    </cfRule>
  </conditionalFormatting>
  <conditionalFormatting sqref="S7">
    <cfRule type="cellIs" dxfId="901" priority="174" operator="between">
      <formula>0.51</formula>
      <formula>0.75</formula>
    </cfRule>
  </conditionalFormatting>
  <conditionalFormatting sqref="T7">
    <cfRule type="cellIs" dxfId="900" priority="173" operator="between">
      <formula>0.76</formula>
      <formula>0.95</formula>
    </cfRule>
  </conditionalFormatting>
  <conditionalFormatting sqref="U7">
    <cfRule type="cellIs" dxfId="899" priority="172" operator="between">
      <formula>0.95</formula>
      <formula>1</formula>
    </cfRule>
  </conditionalFormatting>
  <conditionalFormatting sqref="V7">
    <cfRule type="cellIs" dxfId="898" priority="171" operator="greaterThan">
      <formula>1</formula>
    </cfRule>
  </conditionalFormatting>
  <conditionalFormatting sqref="R8">
    <cfRule type="cellIs" dxfId="897" priority="170" stopIfTrue="1" operator="between">
      <formula>0</formula>
      <formula>0.5</formula>
    </cfRule>
  </conditionalFormatting>
  <conditionalFormatting sqref="S8">
    <cfRule type="cellIs" dxfId="896" priority="169" operator="between">
      <formula>0.51</formula>
      <formula>0.75</formula>
    </cfRule>
  </conditionalFormatting>
  <conditionalFormatting sqref="T8">
    <cfRule type="cellIs" dxfId="895" priority="168" operator="between">
      <formula>0.76</formula>
      <formula>0.95</formula>
    </cfRule>
  </conditionalFormatting>
  <conditionalFormatting sqref="U8">
    <cfRule type="cellIs" dxfId="894" priority="167" operator="between">
      <formula>0.95</formula>
      <formula>1</formula>
    </cfRule>
  </conditionalFormatting>
  <conditionalFormatting sqref="V8">
    <cfRule type="cellIs" dxfId="893" priority="166" operator="greaterThan">
      <formula>1</formula>
    </cfRule>
  </conditionalFormatting>
  <conditionalFormatting sqref="R9">
    <cfRule type="cellIs" dxfId="892" priority="165" stopIfTrue="1" operator="between">
      <formula>0</formula>
      <formula>0.5</formula>
    </cfRule>
  </conditionalFormatting>
  <conditionalFormatting sqref="S9">
    <cfRule type="cellIs" dxfId="891" priority="164" operator="between">
      <formula>0.51</formula>
      <formula>0.75</formula>
    </cfRule>
  </conditionalFormatting>
  <conditionalFormatting sqref="T9">
    <cfRule type="cellIs" dxfId="890" priority="163" operator="between">
      <formula>0.76</formula>
      <formula>0.95</formula>
    </cfRule>
  </conditionalFormatting>
  <conditionalFormatting sqref="U9">
    <cfRule type="cellIs" dxfId="889" priority="162" operator="between">
      <formula>0.95</formula>
      <formula>1</formula>
    </cfRule>
  </conditionalFormatting>
  <conditionalFormatting sqref="V9">
    <cfRule type="cellIs" dxfId="888" priority="161" operator="greaterThan">
      <formula>1</formula>
    </cfRule>
  </conditionalFormatting>
  <conditionalFormatting sqref="R10">
    <cfRule type="cellIs" dxfId="887" priority="160" stopIfTrue="1" operator="between">
      <formula>0</formula>
      <formula>0.5</formula>
    </cfRule>
  </conditionalFormatting>
  <conditionalFormatting sqref="S10">
    <cfRule type="cellIs" dxfId="886" priority="159" operator="between">
      <formula>0.51</formula>
      <formula>0.75</formula>
    </cfRule>
  </conditionalFormatting>
  <conditionalFormatting sqref="T10">
    <cfRule type="cellIs" dxfId="885" priority="158" operator="between">
      <formula>0.76</formula>
      <formula>0.95</formula>
    </cfRule>
  </conditionalFormatting>
  <conditionalFormatting sqref="U10">
    <cfRule type="cellIs" dxfId="884" priority="157" operator="between">
      <formula>0.95</formula>
      <formula>1</formula>
    </cfRule>
  </conditionalFormatting>
  <conditionalFormatting sqref="V10">
    <cfRule type="cellIs" dxfId="883" priority="156" operator="greaterThan">
      <formula>1</formula>
    </cfRule>
  </conditionalFormatting>
  <conditionalFormatting sqref="R11">
    <cfRule type="cellIs" dxfId="882" priority="155" stopIfTrue="1" operator="between">
      <formula>0</formula>
      <formula>0.5</formula>
    </cfRule>
  </conditionalFormatting>
  <conditionalFormatting sqref="S11">
    <cfRule type="cellIs" dxfId="881" priority="154" operator="between">
      <formula>0.51</formula>
      <formula>0.75</formula>
    </cfRule>
  </conditionalFormatting>
  <conditionalFormatting sqref="T11">
    <cfRule type="cellIs" dxfId="880" priority="153" operator="between">
      <formula>0.76</formula>
      <formula>0.95</formula>
    </cfRule>
  </conditionalFormatting>
  <conditionalFormatting sqref="U11">
    <cfRule type="cellIs" dxfId="879" priority="152" operator="between">
      <formula>0.95</formula>
      <formula>1</formula>
    </cfRule>
  </conditionalFormatting>
  <conditionalFormatting sqref="V11">
    <cfRule type="cellIs" dxfId="878" priority="151" operator="greaterThan">
      <formula>1</formula>
    </cfRule>
  </conditionalFormatting>
  <conditionalFormatting sqref="Y6">
    <cfRule type="cellIs" dxfId="877" priority="150" stopIfTrue="1" operator="between">
      <formula>0</formula>
      <formula>0.255</formula>
    </cfRule>
  </conditionalFormatting>
  <conditionalFormatting sqref="Z6">
    <cfRule type="cellIs" dxfId="876" priority="149" operator="between">
      <formula>0.2551</formula>
      <formula>0.375</formula>
    </cfRule>
  </conditionalFormatting>
  <conditionalFormatting sqref="AA6">
    <cfRule type="cellIs" dxfId="875" priority="148" operator="between">
      <formula>0.38</formula>
      <formula>0.475</formula>
    </cfRule>
  </conditionalFormatting>
  <conditionalFormatting sqref="AB6">
    <cfRule type="cellIs" dxfId="874" priority="147" operator="between">
      <formula>0.4751</formula>
      <formula>0.51</formula>
    </cfRule>
  </conditionalFormatting>
  <conditionalFormatting sqref="AC6">
    <cfRule type="cellIs" dxfId="873" priority="146" operator="greaterThan">
      <formula>0.505</formula>
    </cfRule>
  </conditionalFormatting>
  <conditionalFormatting sqref="Y7">
    <cfRule type="cellIs" dxfId="872" priority="145" stopIfTrue="1" operator="between">
      <formula>0</formula>
      <formula>0.255</formula>
    </cfRule>
  </conditionalFormatting>
  <conditionalFormatting sqref="Z7">
    <cfRule type="cellIs" dxfId="871" priority="144" operator="between">
      <formula>0.2551</formula>
      <formula>0.375</formula>
    </cfRule>
  </conditionalFormatting>
  <conditionalFormatting sqref="AA7">
    <cfRule type="cellIs" dxfId="870" priority="143" operator="between">
      <formula>0.38</formula>
      <formula>0.475</formula>
    </cfRule>
  </conditionalFormatting>
  <conditionalFormatting sqref="AB7">
    <cfRule type="cellIs" dxfId="869" priority="142" operator="between">
      <formula>0.48</formula>
      <formula>0.51</formula>
    </cfRule>
  </conditionalFormatting>
  <conditionalFormatting sqref="AC7">
    <cfRule type="cellIs" dxfId="868" priority="141" operator="greaterThan">
      <formula>0.505</formula>
    </cfRule>
  </conditionalFormatting>
  <conditionalFormatting sqref="Y8">
    <cfRule type="cellIs" dxfId="867" priority="140" stopIfTrue="1" operator="between">
      <formula>0</formula>
      <formula>0.255</formula>
    </cfRule>
  </conditionalFormatting>
  <conditionalFormatting sqref="Z8">
    <cfRule type="cellIs" dxfId="866" priority="139" operator="between">
      <formula>0.2551</formula>
      <formula>0.375</formula>
    </cfRule>
  </conditionalFormatting>
  <conditionalFormatting sqref="AA8">
    <cfRule type="cellIs" dxfId="865" priority="138" operator="between">
      <formula>0.38</formula>
      <formula>0.475</formula>
    </cfRule>
  </conditionalFormatting>
  <conditionalFormatting sqref="AB8">
    <cfRule type="cellIs" dxfId="864" priority="137" operator="between">
      <formula>0.48</formula>
      <formula>0.51</formula>
    </cfRule>
  </conditionalFormatting>
  <conditionalFormatting sqref="AC8">
    <cfRule type="cellIs" dxfId="863" priority="136" operator="greaterThan">
      <formula>0.505</formula>
    </cfRule>
  </conditionalFormatting>
  <conditionalFormatting sqref="Y9">
    <cfRule type="cellIs" dxfId="862" priority="135" stopIfTrue="1" operator="between">
      <formula>0</formula>
      <formula>0.255</formula>
    </cfRule>
  </conditionalFormatting>
  <conditionalFormatting sqref="Z9">
    <cfRule type="cellIs" dxfId="861" priority="134" operator="between">
      <formula>0.2551</formula>
      <formula>0.375</formula>
    </cfRule>
  </conditionalFormatting>
  <conditionalFormatting sqref="AA9">
    <cfRule type="cellIs" dxfId="860" priority="133" operator="between">
      <formula>0.38</formula>
      <formula>0.475</formula>
    </cfRule>
  </conditionalFormatting>
  <conditionalFormatting sqref="AB9">
    <cfRule type="cellIs" dxfId="859" priority="132" operator="between">
      <formula>0.48</formula>
      <formula>0.51</formula>
    </cfRule>
  </conditionalFormatting>
  <conditionalFormatting sqref="AC9">
    <cfRule type="cellIs" dxfId="858" priority="131" operator="greaterThan">
      <formula>0.505</formula>
    </cfRule>
  </conditionalFormatting>
  <conditionalFormatting sqref="Y10">
    <cfRule type="cellIs" dxfId="857" priority="130" stopIfTrue="1" operator="between">
      <formula>0</formula>
      <formula>0.255</formula>
    </cfRule>
  </conditionalFormatting>
  <conditionalFormatting sqref="Z10">
    <cfRule type="cellIs" dxfId="856" priority="129" operator="between">
      <formula>0.2551</formula>
      <formula>0.375</formula>
    </cfRule>
  </conditionalFormatting>
  <conditionalFormatting sqref="AA10">
    <cfRule type="cellIs" dxfId="855" priority="128" operator="between">
      <formula>0.38</formula>
      <formula>0.475</formula>
    </cfRule>
  </conditionalFormatting>
  <conditionalFormatting sqref="AB10">
    <cfRule type="cellIs" dxfId="854" priority="127" operator="between">
      <formula>0.48</formula>
      <formula>0.51</formula>
    </cfRule>
  </conditionalFormatting>
  <conditionalFormatting sqref="AC10">
    <cfRule type="cellIs" dxfId="853" priority="126" operator="greaterThan">
      <formula>0.505</formula>
    </cfRule>
  </conditionalFormatting>
  <conditionalFormatting sqref="Y11">
    <cfRule type="cellIs" dxfId="852" priority="125" stopIfTrue="1" operator="between">
      <formula>0</formula>
      <formula>0.255</formula>
    </cfRule>
  </conditionalFormatting>
  <conditionalFormatting sqref="Z11">
    <cfRule type="cellIs" dxfId="851" priority="124" operator="between">
      <formula>0.2551</formula>
      <formula>0.375</formula>
    </cfRule>
  </conditionalFormatting>
  <conditionalFormatting sqref="AA11">
    <cfRule type="cellIs" dxfId="850" priority="123" operator="between">
      <formula>0.38</formula>
      <formula>0.475</formula>
    </cfRule>
  </conditionalFormatting>
  <conditionalFormatting sqref="AB11">
    <cfRule type="cellIs" dxfId="849" priority="122" operator="between">
      <formula>0.48</formula>
      <formula>0.51</formula>
    </cfRule>
  </conditionalFormatting>
  <conditionalFormatting sqref="AC11">
    <cfRule type="cellIs" dxfId="848" priority="121" operator="greaterThan">
      <formula>0.505</formula>
    </cfRule>
  </conditionalFormatting>
  <conditionalFormatting sqref="AF6">
    <cfRule type="cellIs" dxfId="847" priority="120" stopIfTrue="1" operator="between">
      <formula>0</formula>
      <formula>0.5</formula>
    </cfRule>
  </conditionalFormatting>
  <conditionalFormatting sqref="AG6">
    <cfRule type="cellIs" dxfId="846" priority="119" operator="between">
      <formula>0.51</formula>
      <formula>0.75</formula>
    </cfRule>
  </conditionalFormatting>
  <conditionalFormatting sqref="AH6">
    <cfRule type="cellIs" dxfId="845" priority="118" operator="between">
      <formula>0.76</formula>
      <formula>0.95</formula>
    </cfRule>
  </conditionalFormatting>
  <conditionalFormatting sqref="AI6">
    <cfRule type="cellIs" dxfId="844" priority="117" operator="between">
      <formula>0.95</formula>
      <formula>1</formula>
    </cfRule>
  </conditionalFormatting>
  <conditionalFormatting sqref="AJ6">
    <cfRule type="cellIs" dxfId="843" priority="116" operator="greaterThan">
      <formula>1</formula>
    </cfRule>
  </conditionalFormatting>
  <conditionalFormatting sqref="AF7">
    <cfRule type="cellIs" dxfId="842" priority="115" stopIfTrue="1" operator="between">
      <formula>0</formula>
      <formula>0.5</formula>
    </cfRule>
  </conditionalFormatting>
  <conditionalFormatting sqref="AG7">
    <cfRule type="cellIs" dxfId="841" priority="114" operator="between">
      <formula>0.51</formula>
      <formula>0.75</formula>
    </cfRule>
  </conditionalFormatting>
  <conditionalFormatting sqref="AH7">
    <cfRule type="cellIs" dxfId="840" priority="113" operator="between">
      <formula>0.76</formula>
      <formula>0.95</formula>
    </cfRule>
  </conditionalFormatting>
  <conditionalFormatting sqref="AI7">
    <cfRule type="cellIs" dxfId="839" priority="112" operator="between">
      <formula>0.95</formula>
      <formula>1</formula>
    </cfRule>
  </conditionalFormatting>
  <conditionalFormatting sqref="AJ7">
    <cfRule type="cellIs" dxfId="838" priority="111" operator="greaterThan">
      <formula>1</formula>
    </cfRule>
  </conditionalFormatting>
  <conditionalFormatting sqref="AF8">
    <cfRule type="cellIs" dxfId="837" priority="110" stopIfTrue="1" operator="between">
      <formula>0</formula>
      <formula>0.5</formula>
    </cfRule>
  </conditionalFormatting>
  <conditionalFormatting sqref="AG8">
    <cfRule type="cellIs" dxfId="836" priority="109" operator="between">
      <formula>0.51</formula>
      <formula>0.75</formula>
    </cfRule>
  </conditionalFormatting>
  <conditionalFormatting sqref="AH8">
    <cfRule type="cellIs" dxfId="835" priority="108" operator="between">
      <formula>0.76</formula>
      <formula>0.95</formula>
    </cfRule>
  </conditionalFormatting>
  <conditionalFormatting sqref="AI8">
    <cfRule type="cellIs" dxfId="834" priority="107" operator="between">
      <formula>0.95</formula>
      <formula>1</formula>
    </cfRule>
  </conditionalFormatting>
  <conditionalFormatting sqref="AJ8">
    <cfRule type="cellIs" dxfId="833" priority="106" operator="greaterThan">
      <formula>1</formula>
    </cfRule>
  </conditionalFormatting>
  <conditionalFormatting sqref="AF9">
    <cfRule type="cellIs" dxfId="832" priority="105" stopIfTrue="1" operator="between">
      <formula>0</formula>
      <formula>0.5</formula>
    </cfRule>
  </conditionalFormatting>
  <conditionalFormatting sqref="AG9">
    <cfRule type="cellIs" dxfId="831" priority="104" operator="between">
      <formula>0.51</formula>
      <formula>0.75</formula>
    </cfRule>
  </conditionalFormatting>
  <conditionalFormatting sqref="AH9">
    <cfRule type="cellIs" dxfId="830" priority="103" operator="between">
      <formula>0.76</formula>
      <formula>0.95</formula>
    </cfRule>
  </conditionalFormatting>
  <conditionalFormatting sqref="AI9">
    <cfRule type="cellIs" dxfId="829" priority="102" operator="between">
      <formula>0.95</formula>
      <formula>1</formula>
    </cfRule>
  </conditionalFormatting>
  <conditionalFormatting sqref="AJ9">
    <cfRule type="cellIs" dxfId="828" priority="101" operator="greaterThan">
      <formula>1</formula>
    </cfRule>
  </conditionalFormatting>
  <conditionalFormatting sqref="AF10">
    <cfRule type="cellIs" dxfId="827" priority="100" stopIfTrue="1" operator="between">
      <formula>0</formula>
      <formula>0.5</formula>
    </cfRule>
  </conditionalFormatting>
  <conditionalFormatting sqref="AG10">
    <cfRule type="cellIs" dxfId="826" priority="99" operator="between">
      <formula>0.51</formula>
      <formula>0.75</formula>
    </cfRule>
  </conditionalFormatting>
  <conditionalFormatting sqref="AH10">
    <cfRule type="cellIs" dxfId="825" priority="98" operator="between">
      <formula>0.76</formula>
      <formula>0.95</formula>
    </cfRule>
  </conditionalFormatting>
  <conditionalFormatting sqref="AI10">
    <cfRule type="cellIs" dxfId="824" priority="97" operator="between">
      <formula>0.95</formula>
      <formula>1</formula>
    </cfRule>
  </conditionalFormatting>
  <conditionalFormatting sqref="AJ10">
    <cfRule type="cellIs" dxfId="823" priority="96" operator="greaterThan">
      <formula>1</formula>
    </cfRule>
  </conditionalFormatting>
  <conditionalFormatting sqref="AF11">
    <cfRule type="cellIs" dxfId="822" priority="95" stopIfTrue="1" operator="between">
      <formula>0</formula>
      <formula>0.5</formula>
    </cfRule>
  </conditionalFormatting>
  <conditionalFormatting sqref="AG11">
    <cfRule type="cellIs" dxfId="821" priority="94" operator="between">
      <formula>0.51</formula>
      <formula>0.75</formula>
    </cfRule>
  </conditionalFormatting>
  <conditionalFormatting sqref="AH11">
    <cfRule type="cellIs" dxfId="820" priority="93" operator="between">
      <formula>0.76</formula>
      <formula>0.95</formula>
    </cfRule>
  </conditionalFormatting>
  <conditionalFormatting sqref="AI11">
    <cfRule type="cellIs" dxfId="819" priority="92" operator="between">
      <formula>0.95</formula>
      <formula>1</formula>
    </cfRule>
  </conditionalFormatting>
  <conditionalFormatting sqref="AJ11">
    <cfRule type="cellIs" dxfId="818" priority="91" operator="greaterThan">
      <formula>1</formula>
    </cfRule>
  </conditionalFormatting>
  <conditionalFormatting sqref="AM6">
    <cfRule type="cellIs" dxfId="817" priority="90" stopIfTrue="1" operator="between">
      <formula>0</formula>
      <formula>0.375</formula>
    </cfRule>
  </conditionalFormatting>
  <conditionalFormatting sqref="AN6">
    <cfRule type="cellIs" dxfId="816" priority="89" operator="between">
      <formula>0.3751</formula>
      <formula>0.5625</formula>
    </cfRule>
  </conditionalFormatting>
  <conditionalFormatting sqref="AO6">
    <cfRule type="cellIs" dxfId="815" priority="88" operator="between">
      <formula>0.563</formula>
      <formula>0.7125</formula>
    </cfRule>
  </conditionalFormatting>
  <conditionalFormatting sqref="AP6">
    <cfRule type="cellIs" dxfId="814" priority="87" operator="between">
      <formula>0.713</formula>
      <formula>0.75</formula>
    </cfRule>
  </conditionalFormatting>
  <conditionalFormatting sqref="AQ6">
    <cfRule type="cellIs" dxfId="813" priority="86" operator="greaterThan">
      <formula>0.755</formula>
    </cfRule>
  </conditionalFormatting>
  <conditionalFormatting sqref="AM7">
    <cfRule type="cellIs" dxfId="812" priority="85" stopIfTrue="1" operator="between">
      <formula>0</formula>
      <formula>0.375</formula>
    </cfRule>
  </conditionalFormatting>
  <conditionalFormatting sqref="AN7">
    <cfRule type="cellIs" dxfId="811" priority="84" operator="between">
      <formula>0.3751</formula>
      <formula>0.5625</formula>
    </cfRule>
  </conditionalFormatting>
  <conditionalFormatting sqref="AO7">
    <cfRule type="cellIs" dxfId="810" priority="83" operator="between">
      <formula>0.563</formula>
      <formula>0.7125</formula>
    </cfRule>
  </conditionalFormatting>
  <conditionalFormatting sqref="AP7">
    <cfRule type="cellIs" dxfId="809" priority="82" operator="between">
      <formula>0.713</formula>
      <formula>0.75</formula>
    </cfRule>
  </conditionalFormatting>
  <conditionalFormatting sqref="AQ7">
    <cfRule type="cellIs" dxfId="808" priority="81" operator="greaterThan">
      <formula>0.755</formula>
    </cfRule>
  </conditionalFormatting>
  <conditionalFormatting sqref="AM8">
    <cfRule type="cellIs" dxfId="807" priority="80" stopIfTrue="1" operator="between">
      <formula>0</formula>
      <formula>0.375</formula>
    </cfRule>
  </conditionalFormatting>
  <conditionalFormatting sqref="AN8">
    <cfRule type="cellIs" dxfId="806" priority="79" operator="between">
      <formula>0.3751</formula>
      <formula>0.5625</formula>
    </cfRule>
  </conditionalFormatting>
  <conditionalFormatting sqref="AO8">
    <cfRule type="cellIs" dxfId="805" priority="78" operator="between">
      <formula>0.563</formula>
      <formula>0.7125</formula>
    </cfRule>
  </conditionalFormatting>
  <conditionalFormatting sqref="AP8">
    <cfRule type="cellIs" dxfId="804" priority="77" operator="between">
      <formula>0.713</formula>
      <formula>0.75</formula>
    </cfRule>
  </conditionalFormatting>
  <conditionalFormatting sqref="AQ8">
    <cfRule type="cellIs" dxfId="803" priority="76" operator="greaterThan">
      <formula>0.755</formula>
    </cfRule>
  </conditionalFormatting>
  <conditionalFormatting sqref="AM9">
    <cfRule type="cellIs" dxfId="802" priority="75" stopIfTrue="1" operator="between">
      <formula>0</formula>
      <formula>0.375</formula>
    </cfRule>
  </conditionalFormatting>
  <conditionalFormatting sqref="AN9">
    <cfRule type="cellIs" dxfId="801" priority="74" operator="between">
      <formula>0.3751</formula>
      <formula>0.5625</formula>
    </cfRule>
  </conditionalFormatting>
  <conditionalFormatting sqref="AO9">
    <cfRule type="cellIs" dxfId="800" priority="73" operator="between">
      <formula>0.563</formula>
      <formula>0.7125</formula>
    </cfRule>
  </conditionalFormatting>
  <conditionalFormatting sqref="AP9">
    <cfRule type="cellIs" dxfId="799" priority="72" operator="between">
      <formula>0.713</formula>
      <formula>0.75</formula>
    </cfRule>
  </conditionalFormatting>
  <conditionalFormatting sqref="AQ9">
    <cfRule type="cellIs" dxfId="798" priority="71" operator="greaterThan">
      <formula>0.755</formula>
    </cfRule>
  </conditionalFormatting>
  <conditionalFormatting sqref="AM10">
    <cfRule type="cellIs" dxfId="797" priority="70" stopIfTrue="1" operator="between">
      <formula>0</formula>
      <formula>0.375</formula>
    </cfRule>
  </conditionalFormatting>
  <conditionalFormatting sqref="AN10">
    <cfRule type="cellIs" dxfId="796" priority="69" operator="between">
      <formula>0.3751</formula>
      <formula>0.5625</formula>
    </cfRule>
  </conditionalFormatting>
  <conditionalFormatting sqref="AO10">
    <cfRule type="cellIs" dxfId="795" priority="68" operator="between">
      <formula>0.563</formula>
      <formula>0.7125</formula>
    </cfRule>
  </conditionalFormatting>
  <conditionalFormatting sqref="AP10">
    <cfRule type="cellIs" dxfId="794" priority="67" operator="between">
      <formula>0.713</formula>
      <formula>0.75</formula>
    </cfRule>
  </conditionalFormatting>
  <conditionalFormatting sqref="AQ10">
    <cfRule type="cellIs" dxfId="793" priority="66" operator="greaterThan">
      <formula>0.755</formula>
    </cfRule>
  </conditionalFormatting>
  <conditionalFormatting sqref="AM11">
    <cfRule type="cellIs" dxfId="792" priority="65" stopIfTrue="1" operator="between">
      <formula>0</formula>
      <formula>0.375</formula>
    </cfRule>
  </conditionalFormatting>
  <conditionalFormatting sqref="AN11">
    <cfRule type="cellIs" dxfId="791" priority="64" operator="between">
      <formula>0.3751</formula>
      <formula>0.5625</formula>
    </cfRule>
  </conditionalFormatting>
  <conditionalFormatting sqref="AO11">
    <cfRule type="cellIs" dxfId="790" priority="63" operator="between">
      <formula>0.563</formula>
      <formula>0.7125</formula>
    </cfRule>
  </conditionalFormatting>
  <conditionalFormatting sqref="AP11">
    <cfRule type="cellIs" dxfId="789" priority="62" operator="between">
      <formula>0.713</formula>
      <formula>0.75</formula>
    </cfRule>
  </conditionalFormatting>
  <conditionalFormatting sqref="AQ11">
    <cfRule type="cellIs" dxfId="788" priority="61" operator="greaterThan">
      <formula>0.755</formula>
    </cfRule>
  </conditionalFormatting>
  <conditionalFormatting sqref="AT6">
    <cfRule type="cellIs" dxfId="787" priority="60" stopIfTrue="1" operator="between">
      <formula>0</formula>
      <formula>0.5</formula>
    </cfRule>
  </conditionalFormatting>
  <conditionalFormatting sqref="AU6">
    <cfRule type="cellIs" dxfId="786" priority="59" operator="between">
      <formula>0.51</formula>
      <formula>0.75</formula>
    </cfRule>
  </conditionalFormatting>
  <conditionalFormatting sqref="AV6">
    <cfRule type="cellIs" dxfId="785" priority="58" operator="between">
      <formula>0.76</formula>
      <formula>0.95</formula>
    </cfRule>
  </conditionalFormatting>
  <conditionalFormatting sqref="AW6">
    <cfRule type="cellIs" dxfId="784" priority="57" operator="between">
      <formula>0.95</formula>
      <formula>1</formula>
    </cfRule>
  </conditionalFormatting>
  <conditionalFormatting sqref="AX6">
    <cfRule type="cellIs" dxfId="783" priority="56" operator="greaterThan">
      <formula>1</formula>
    </cfRule>
  </conditionalFormatting>
  <conditionalFormatting sqref="AT7">
    <cfRule type="cellIs" dxfId="782" priority="55" stopIfTrue="1" operator="between">
      <formula>0</formula>
      <formula>0.5</formula>
    </cfRule>
  </conditionalFormatting>
  <conditionalFormatting sqref="AU7">
    <cfRule type="cellIs" dxfId="781" priority="54" operator="between">
      <formula>0.51</formula>
      <formula>0.75</formula>
    </cfRule>
  </conditionalFormatting>
  <conditionalFormatting sqref="AV7">
    <cfRule type="cellIs" dxfId="780" priority="53" operator="between">
      <formula>0.76</formula>
      <formula>0.95</formula>
    </cfRule>
  </conditionalFormatting>
  <conditionalFormatting sqref="AW7">
    <cfRule type="cellIs" dxfId="779" priority="52" operator="between">
      <formula>0.95</formula>
      <formula>1</formula>
    </cfRule>
  </conditionalFormatting>
  <conditionalFormatting sqref="AX7">
    <cfRule type="cellIs" dxfId="778" priority="51" operator="greaterThan">
      <formula>1</formula>
    </cfRule>
  </conditionalFormatting>
  <conditionalFormatting sqref="AT8">
    <cfRule type="cellIs" dxfId="777" priority="50" stopIfTrue="1" operator="between">
      <formula>0</formula>
      <formula>0.5</formula>
    </cfRule>
  </conditionalFormatting>
  <conditionalFormatting sqref="AU8">
    <cfRule type="cellIs" dxfId="776" priority="49" operator="between">
      <formula>0.51</formula>
      <formula>0.75</formula>
    </cfRule>
  </conditionalFormatting>
  <conditionalFormatting sqref="AV8">
    <cfRule type="cellIs" dxfId="775" priority="48" operator="between">
      <formula>0.76</formula>
      <formula>0.95</formula>
    </cfRule>
  </conditionalFormatting>
  <conditionalFormatting sqref="AW8">
    <cfRule type="cellIs" dxfId="774" priority="47" operator="between">
      <formula>0.95</formula>
      <formula>1</formula>
    </cfRule>
  </conditionalFormatting>
  <conditionalFormatting sqref="AX8">
    <cfRule type="cellIs" dxfId="773" priority="46" operator="greaterThan">
      <formula>1</formula>
    </cfRule>
  </conditionalFormatting>
  <conditionalFormatting sqref="AT9">
    <cfRule type="cellIs" dxfId="772" priority="45" stopIfTrue="1" operator="between">
      <formula>0</formula>
      <formula>0.5</formula>
    </cfRule>
  </conditionalFormatting>
  <conditionalFormatting sqref="AU9">
    <cfRule type="cellIs" dxfId="771" priority="44" operator="between">
      <formula>0.51</formula>
      <formula>0.75</formula>
    </cfRule>
  </conditionalFormatting>
  <conditionalFormatting sqref="AV9">
    <cfRule type="cellIs" dxfId="770" priority="43" operator="between">
      <formula>0.76</formula>
      <formula>0.95</formula>
    </cfRule>
  </conditionalFormatting>
  <conditionalFormatting sqref="AW9">
    <cfRule type="cellIs" dxfId="769" priority="42" operator="between">
      <formula>0.95</formula>
      <formula>1</formula>
    </cfRule>
  </conditionalFormatting>
  <conditionalFormatting sqref="AX9">
    <cfRule type="cellIs" dxfId="768" priority="41" operator="greaterThan">
      <formula>1</formula>
    </cfRule>
  </conditionalFormatting>
  <conditionalFormatting sqref="AT10">
    <cfRule type="cellIs" dxfId="767" priority="40" stopIfTrue="1" operator="between">
      <formula>0</formula>
      <formula>0.5</formula>
    </cfRule>
  </conditionalFormatting>
  <conditionalFormatting sqref="AU10">
    <cfRule type="cellIs" dxfId="766" priority="39" operator="between">
      <formula>0.51</formula>
      <formula>0.75</formula>
    </cfRule>
  </conditionalFormatting>
  <conditionalFormatting sqref="AV10">
    <cfRule type="cellIs" dxfId="765" priority="38" operator="between">
      <formula>0.76</formula>
      <formula>0.95</formula>
    </cfRule>
  </conditionalFormatting>
  <conditionalFormatting sqref="AW10">
    <cfRule type="cellIs" dxfId="764" priority="37" operator="between">
      <formula>0.95</formula>
      <formula>1</formula>
    </cfRule>
  </conditionalFormatting>
  <conditionalFormatting sqref="AX10">
    <cfRule type="cellIs" dxfId="763" priority="36" operator="greaterThan">
      <formula>1</formula>
    </cfRule>
  </conditionalFormatting>
  <conditionalFormatting sqref="AT11">
    <cfRule type="cellIs" dxfId="762" priority="35" stopIfTrue="1" operator="between">
      <formula>0</formula>
      <formula>0.5</formula>
    </cfRule>
  </conditionalFormatting>
  <conditionalFormatting sqref="AU11">
    <cfRule type="cellIs" dxfId="761" priority="34" operator="between">
      <formula>0.51</formula>
      <formula>0.75</formula>
    </cfRule>
  </conditionalFormatting>
  <conditionalFormatting sqref="AV11">
    <cfRule type="cellIs" dxfId="760" priority="33" operator="between">
      <formula>0.76</formula>
      <formula>0.95</formula>
    </cfRule>
  </conditionalFormatting>
  <conditionalFormatting sqref="AW11">
    <cfRule type="cellIs" dxfId="759" priority="32" operator="between">
      <formula>0.95</formula>
      <formula>1</formula>
    </cfRule>
  </conditionalFormatting>
  <conditionalFormatting sqref="AX11">
    <cfRule type="cellIs" dxfId="758" priority="31" operator="greaterThan">
      <formula>1</formula>
    </cfRule>
  </conditionalFormatting>
  <conditionalFormatting sqref="BA6">
    <cfRule type="cellIs" dxfId="757" priority="30" operator="between">
      <formula>0.501</formula>
      <formula>0.75</formula>
    </cfRule>
  </conditionalFormatting>
  <conditionalFormatting sqref="BB6">
    <cfRule type="cellIs" dxfId="756" priority="29" operator="between">
      <formula>0.76</formula>
      <formula>0.95</formula>
    </cfRule>
  </conditionalFormatting>
  <conditionalFormatting sqref="BC6">
    <cfRule type="cellIs" dxfId="755" priority="28" operator="between">
      <formula>0.95</formula>
      <formula>1</formula>
    </cfRule>
  </conditionalFormatting>
  <conditionalFormatting sqref="BD6">
    <cfRule type="cellIs" dxfId="754" priority="27" operator="greaterThan">
      <formula>1</formula>
    </cfRule>
  </conditionalFormatting>
  <conditionalFormatting sqref="AZ7">
    <cfRule type="cellIs" dxfId="753" priority="26" stopIfTrue="1" operator="between">
      <formula>0</formula>
      <formula>0.5</formula>
    </cfRule>
  </conditionalFormatting>
  <conditionalFormatting sqref="BA7">
    <cfRule type="cellIs" dxfId="752" priority="25" operator="between">
      <formula>0.51</formula>
      <formula>0.75</formula>
    </cfRule>
  </conditionalFormatting>
  <conditionalFormatting sqref="BB7">
    <cfRule type="cellIs" dxfId="751" priority="24" operator="between">
      <formula>0.76</formula>
      <formula>0.95</formula>
    </cfRule>
  </conditionalFormatting>
  <conditionalFormatting sqref="BC7">
    <cfRule type="cellIs" dxfId="750" priority="23" operator="between">
      <formula>0.95</formula>
      <formula>1</formula>
    </cfRule>
  </conditionalFormatting>
  <conditionalFormatting sqref="BD7">
    <cfRule type="cellIs" dxfId="749" priority="22" operator="greaterThan">
      <formula>1</formula>
    </cfRule>
  </conditionalFormatting>
  <conditionalFormatting sqref="AZ8">
    <cfRule type="cellIs" dxfId="748" priority="21" stopIfTrue="1" operator="between">
      <formula>0</formula>
      <formula>0.5</formula>
    </cfRule>
  </conditionalFormatting>
  <conditionalFormatting sqref="BA8">
    <cfRule type="cellIs" dxfId="747" priority="20" operator="between">
      <formula>0.51</formula>
      <formula>0.75</formula>
    </cfRule>
  </conditionalFormatting>
  <conditionalFormatting sqref="BB8">
    <cfRule type="cellIs" dxfId="746" priority="19" operator="between">
      <formula>0.76</formula>
      <formula>0.95</formula>
    </cfRule>
  </conditionalFormatting>
  <conditionalFormatting sqref="BC8">
    <cfRule type="cellIs" dxfId="745" priority="18" operator="between">
      <formula>0.95</formula>
      <formula>1</formula>
    </cfRule>
  </conditionalFormatting>
  <conditionalFormatting sqref="BD8">
    <cfRule type="cellIs" dxfId="744" priority="17" operator="greaterThan">
      <formula>1</formula>
    </cfRule>
  </conditionalFormatting>
  <conditionalFormatting sqref="AZ9">
    <cfRule type="cellIs" dxfId="743" priority="16" stopIfTrue="1" operator="between">
      <formula>0</formula>
      <formula>0.5</formula>
    </cfRule>
  </conditionalFormatting>
  <conditionalFormatting sqref="BA9">
    <cfRule type="cellIs" dxfId="742" priority="15" operator="between">
      <formula>0.51</formula>
      <formula>0.75</formula>
    </cfRule>
  </conditionalFormatting>
  <conditionalFormatting sqref="BB9">
    <cfRule type="cellIs" dxfId="741" priority="14" operator="between">
      <formula>0.76</formula>
      <formula>0.95</formula>
    </cfRule>
  </conditionalFormatting>
  <conditionalFormatting sqref="BC9">
    <cfRule type="cellIs" dxfId="740" priority="13" operator="between">
      <formula>0.95</formula>
      <formula>1</formula>
    </cfRule>
  </conditionalFormatting>
  <conditionalFormatting sqref="BD9">
    <cfRule type="cellIs" dxfId="739" priority="12" operator="greaterThan">
      <formula>1</formula>
    </cfRule>
  </conditionalFormatting>
  <conditionalFormatting sqref="AZ10">
    <cfRule type="cellIs" dxfId="738" priority="11" stopIfTrue="1" operator="between">
      <formula>0</formula>
      <formula>0.5</formula>
    </cfRule>
  </conditionalFormatting>
  <conditionalFormatting sqref="BA10">
    <cfRule type="cellIs" dxfId="737" priority="10" operator="between">
      <formula>0.51</formula>
      <formula>0.75</formula>
    </cfRule>
  </conditionalFormatting>
  <conditionalFormatting sqref="BB10">
    <cfRule type="cellIs" dxfId="736" priority="9" operator="between">
      <formula>0.76</formula>
      <formula>0.95</formula>
    </cfRule>
  </conditionalFormatting>
  <conditionalFormatting sqref="BC10">
    <cfRule type="cellIs" dxfId="735" priority="8" operator="between">
      <formula>0.95</formula>
      <formula>1</formula>
    </cfRule>
  </conditionalFormatting>
  <conditionalFormatting sqref="BD10">
    <cfRule type="cellIs" dxfId="734" priority="7" operator="greaterThan">
      <formula>1</formula>
    </cfRule>
  </conditionalFormatting>
  <conditionalFormatting sqref="AZ11">
    <cfRule type="cellIs" dxfId="733" priority="6" stopIfTrue="1" operator="between">
      <formula>0</formula>
      <formula>0.5</formula>
    </cfRule>
  </conditionalFormatting>
  <conditionalFormatting sqref="BA11">
    <cfRule type="cellIs" dxfId="732" priority="5" operator="between">
      <formula>0.51</formula>
      <formula>0.75</formula>
    </cfRule>
  </conditionalFormatting>
  <conditionalFormatting sqref="BB11">
    <cfRule type="cellIs" dxfId="731" priority="4" operator="between">
      <formula>0.76</formula>
      <formula>0.95</formula>
    </cfRule>
  </conditionalFormatting>
  <conditionalFormatting sqref="BC11">
    <cfRule type="cellIs" dxfId="730" priority="3" operator="between">
      <formula>0.95</formula>
      <formula>1</formula>
    </cfRule>
  </conditionalFormatting>
  <conditionalFormatting sqref="BD11">
    <cfRule type="cellIs" dxfId="729" priority="2" operator="greaterThan">
      <formula>1</formula>
    </cfRule>
  </conditionalFormatting>
  <conditionalFormatting sqref="AZ6">
    <cfRule type="cellIs" dxfId="728" priority="1" stopIfTrue="1" operator="between">
      <formula>0</formula>
      <formula>0.5</formula>
    </cfRule>
  </conditionalFormatting>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A15"/>
  <sheetViews>
    <sheetView showGridLines="0" zoomScale="80" zoomScaleNormal="80" workbookViewId="0">
      <selection activeCell="AA23" sqref="AA23"/>
    </sheetView>
  </sheetViews>
  <sheetFormatPr baseColWidth="10" defaultRowHeight="15" x14ac:dyDescent="0.25"/>
  <cols>
    <col min="1" max="1" width="49" customWidth="1"/>
    <col min="2" max="2" width="2.28515625" customWidth="1"/>
    <col min="3" max="3" width="21.7109375" customWidth="1"/>
    <col min="4" max="8" width="3.28515625" customWidth="1"/>
    <col min="9" max="9" width="21.7109375" customWidth="1"/>
    <col min="10" max="14" width="3.28515625" customWidth="1"/>
    <col min="15" max="15" width="2.7109375" customWidth="1"/>
    <col min="16" max="16" width="21.7109375" customWidth="1"/>
    <col min="17" max="21" width="3.28515625" customWidth="1"/>
    <col min="22" max="22" width="21.7109375" customWidth="1"/>
    <col min="23" max="27" width="3.28515625" customWidth="1"/>
    <col min="28" max="28" width="3.140625" customWidth="1"/>
    <col min="29" max="29" width="21.7109375" customWidth="1"/>
    <col min="30" max="34" width="3.28515625" customWidth="1"/>
    <col min="35" max="35" width="21.7109375" customWidth="1"/>
    <col min="36" max="40" width="3.28515625" customWidth="1"/>
    <col min="41" max="41" width="2.85546875" customWidth="1"/>
    <col min="42" max="42" width="21.7109375" customWidth="1"/>
    <col min="43" max="47" width="3.28515625" customWidth="1"/>
    <col min="48" max="48" width="21.7109375" customWidth="1"/>
    <col min="49" max="53" width="3.28515625" customWidth="1"/>
  </cols>
  <sheetData>
    <row r="1" spans="1:53" ht="15" customHeight="1" x14ac:dyDescent="0.25">
      <c r="A1" s="1503"/>
      <c r="B1" s="1335" t="s">
        <v>952</v>
      </c>
      <c r="C1" s="1336"/>
      <c r="D1" s="1336"/>
      <c r="E1" s="1336"/>
      <c r="F1" s="1336"/>
      <c r="G1" s="1336"/>
      <c r="H1" s="1337"/>
      <c r="I1" s="1314" t="s">
        <v>953</v>
      </c>
      <c r="J1" s="1336"/>
      <c r="K1" s="1336"/>
      <c r="L1" s="1336"/>
      <c r="M1" s="1336"/>
      <c r="N1" s="1336"/>
      <c r="O1" s="1336"/>
      <c r="P1" s="1336"/>
      <c r="Q1" s="1336"/>
      <c r="R1" s="1336"/>
      <c r="S1" s="1336"/>
      <c r="T1" s="1336"/>
      <c r="U1" s="1336"/>
      <c r="V1" s="1336"/>
      <c r="W1" s="1336"/>
      <c r="X1" s="1336"/>
      <c r="Y1" s="1336"/>
      <c r="Z1" s="1336"/>
      <c r="AA1" s="1336"/>
      <c r="AB1" s="1336"/>
      <c r="AC1" s="1336"/>
      <c r="AD1" s="1336"/>
      <c r="AE1" s="1336"/>
      <c r="AF1" s="1336"/>
      <c r="AG1" s="1336"/>
      <c r="AH1" s="1336"/>
      <c r="AI1" s="1336"/>
      <c r="AJ1" s="1336"/>
      <c r="AK1" s="1336"/>
      <c r="AL1" s="1336"/>
      <c r="AM1" s="1336"/>
      <c r="AN1" s="1336"/>
      <c r="AO1" s="1523"/>
      <c r="AP1" s="1326"/>
      <c r="AQ1" s="1327"/>
      <c r="AR1" s="1327"/>
      <c r="AS1" s="1327"/>
      <c r="AT1" s="1327"/>
      <c r="AU1" s="1327"/>
      <c r="AV1" s="1327"/>
      <c r="AW1" s="1327"/>
      <c r="AX1" s="1327"/>
      <c r="AY1" s="1327"/>
      <c r="AZ1" s="1327"/>
      <c r="BA1" s="1328"/>
    </row>
    <row r="2" spans="1:53" ht="15" customHeight="1" x14ac:dyDescent="0.25">
      <c r="A2" s="1504"/>
      <c r="B2" s="1338" t="s">
        <v>954</v>
      </c>
      <c r="C2" s="1339"/>
      <c r="D2" s="1339"/>
      <c r="E2" s="1339"/>
      <c r="F2" s="1339"/>
      <c r="G2" s="1339"/>
      <c r="H2" s="1340"/>
      <c r="I2" s="1321" t="s">
        <v>800</v>
      </c>
      <c r="J2" s="1339"/>
      <c r="K2" s="1339"/>
      <c r="L2" s="1339"/>
      <c r="M2" s="1339"/>
      <c r="N2" s="1339"/>
      <c r="O2" s="1339"/>
      <c r="P2" s="1339"/>
      <c r="Q2" s="1339"/>
      <c r="R2" s="1339"/>
      <c r="S2" s="1339"/>
      <c r="T2" s="1339"/>
      <c r="U2" s="1339"/>
      <c r="V2" s="1339"/>
      <c r="W2" s="1339"/>
      <c r="X2" s="1339"/>
      <c r="Y2" s="1339"/>
      <c r="Z2" s="1339"/>
      <c r="AA2" s="1339"/>
      <c r="AB2" s="1339"/>
      <c r="AC2" s="1339"/>
      <c r="AD2" s="1339"/>
      <c r="AE2" s="1339"/>
      <c r="AF2" s="1339"/>
      <c r="AG2" s="1339"/>
      <c r="AH2" s="1339"/>
      <c r="AI2" s="1339"/>
      <c r="AJ2" s="1339"/>
      <c r="AK2" s="1339"/>
      <c r="AL2" s="1339"/>
      <c r="AM2" s="1339"/>
      <c r="AN2" s="1339"/>
      <c r="AO2" s="1524"/>
      <c r="AP2" s="1329"/>
      <c r="AQ2" s="1330"/>
      <c r="AR2" s="1330"/>
      <c r="AS2" s="1330"/>
      <c r="AT2" s="1330"/>
      <c r="AU2" s="1330"/>
      <c r="AV2" s="1330"/>
      <c r="AW2" s="1330"/>
      <c r="AX2" s="1330"/>
      <c r="AY2" s="1330"/>
      <c r="AZ2" s="1330"/>
      <c r="BA2" s="1331"/>
    </row>
    <row r="3" spans="1:53" ht="15.75" customHeight="1" thickBot="1" x14ac:dyDescent="0.3">
      <c r="A3" s="1505"/>
      <c r="B3" s="1341" t="s">
        <v>852</v>
      </c>
      <c r="C3" s="1342"/>
      <c r="D3" s="1342"/>
      <c r="E3" s="1342"/>
      <c r="F3" s="1342"/>
      <c r="G3" s="1342"/>
      <c r="H3" s="1343"/>
      <c r="I3" s="1344" t="s">
        <v>958</v>
      </c>
      <c r="J3" s="1342"/>
      <c r="K3" s="1342"/>
      <c r="L3" s="1342"/>
      <c r="M3" s="1342"/>
      <c r="N3" s="1343"/>
      <c r="O3" s="1345" t="s">
        <v>823</v>
      </c>
      <c r="P3" s="1346"/>
      <c r="Q3" s="1346"/>
      <c r="R3" s="1346"/>
      <c r="S3" s="1346"/>
      <c r="T3" s="1346"/>
      <c r="U3" s="1346"/>
      <c r="V3" s="1346"/>
      <c r="W3" s="1346"/>
      <c r="X3" s="1346"/>
      <c r="Y3" s="1346"/>
      <c r="Z3" s="1346"/>
      <c r="AA3" s="1346"/>
      <c r="AB3" s="1346"/>
      <c r="AC3" s="1346"/>
      <c r="AD3" s="1346"/>
      <c r="AE3" s="1346"/>
      <c r="AF3" s="1346"/>
      <c r="AG3" s="1346"/>
      <c r="AH3" s="1347"/>
      <c r="AI3" s="423" t="s">
        <v>957</v>
      </c>
      <c r="AJ3" s="1344">
        <v>1</v>
      </c>
      <c r="AK3" s="1342"/>
      <c r="AL3" s="1342"/>
      <c r="AM3" s="1342"/>
      <c r="AN3" s="1342"/>
      <c r="AO3" s="1526"/>
      <c r="AP3" s="1332"/>
      <c r="AQ3" s="1333"/>
      <c r="AR3" s="1333"/>
      <c r="AS3" s="1333"/>
      <c r="AT3" s="1333"/>
      <c r="AU3" s="1333"/>
      <c r="AV3" s="1333"/>
      <c r="AW3" s="1333"/>
      <c r="AX3" s="1333"/>
      <c r="AY3" s="1333"/>
      <c r="AZ3" s="1333"/>
      <c r="BA3" s="1334"/>
    </row>
    <row r="4" spans="1:53" ht="15.75" thickBot="1" x14ac:dyDescent="0.3"/>
    <row r="5" spans="1:53" ht="72.75" customHeight="1" thickBot="1" x14ac:dyDescent="0.3">
      <c r="A5" s="289" t="s">
        <v>832</v>
      </c>
      <c r="B5" s="412"/>
      <c r="C5" s="1315" t="s">
        <v>1098</v>
      </c>
      <c r="D5" s="1501"/>
      <c r="E5" s="1501"/>
      <c r="F5" s="1501"/>
      <c r="G5" s="1501"/>
      <c r="H5" s="1502"/>
      <c r="I5" s="1318" t="s">
        <v>1099</v>
      </c>
      <c r="J5" s="1319"/>
      <c r="K5" s="1319"/>
      <c r="L5" s="1319"/>
      <c r="M5" s="1319"/>
      <c r="N5" s="1319"/>
      <c r="O5" s="177"/>
      <c r="P5" s="1318" t="s">
        <v>1100</v>
      </c>
      <c r="Q5" s="1319"/>
      <c r="R5" s="1319"/>
      <c r="S5" s="1319"/>
      <c r="T5" s="1319"/>
      <c r="U5" s="1525"/>
      <c r="V5" s="1325" t="s">
        <v>1101</v>
      </c>
      <c r="W5" s="1319"/>
      <c r="X5" s="1319"/>
      <c r="Y5" s="1319"/>
      <c r="Z5" s="1319"/>
      <c r="AA5" s="1319"/>
      <c r="AB5" s="515"/>
      <c r="AC5" s="1318" t="s">
        <v>1102</v>
      </c>
      <c r="AD5" s="1319"/>
      <c r="AE5" s="1319"/>
      <c r="AF5" s="1319"/>
      <c r="AG5" s="1319"/>
      <c r="AH5" s="1525"/>
      <c r="AI5" s="1325" t="s">
        <v>1103</v>
      </c>
      <c r="AJ5" s="1319"/>
      <c r="AK5" s="1319"/>
      <c r="AL5" s="1319"/>
      <c r="AM5" s="1319"/>
      <c r="AN5" s="1319"/>
      <c r="AO5" s="515"/>
      <c r="AP5" s="1318" t="s">
        <v>1104</v>
      </c>
      <c r="AQ5" s="1319"/>
      <c r="AR5" s="1319"/>
      <c r="AS5" s="1319"/>
      <c r="AT5" s="1319"/>
      <c r="AU5" s="1525"/>
      <c r="AV5" s="1325" t="s">
        <v>1105</v>
      </c>
      <c r="AW5" s="1319"/>
      <c r="AX5" s="1319"/>
      <c r="AY5" s="1319"/>
      <c r="AZ5" s="1319"/>
      <c r="BA5" s="1319"/>
    </row>
    <row r="6" spans="1:53" ht="18" x14ac:dyDescent="0.25">
      <c r="A6" s="295" t="s">
        <v>3</v>
      </c>
      <c r="B6" s="413"/>
      <c r="C6" s="595" t="e">
        <f>SUM('Cuadro Mando Integral Detallado'!#REF!,'Cuadro Mando Integral Detallado'!I151:I152,'Cuadro Mando Integral Detallado'!I228)/COUNT('Cuadro Mando Integral Detallado'!#REF!,'Cuadro Mando Integral Detallado'!I151:I152,'Cuadro Mando Integral Detallado'!I228)</f>
        <v>#REF!</v>
      </c>
      <c r="D6" s="581" t="e">
        <f t="shared" ref="D6:D14" si="0">+C6</f>
        <v>#REF!</v>
      </c>
      <c r="E6" s="557" t="e">
        <f t="shared" ref="E6:E14" si="1">+C6</f>
        <v>#REF!</v>
      </c>
      <c r="F6" s="557" t="e">
        <f t="shared" ref="F6:F14" si="2">+C6</f>
        <v>#REF!</v>
      </c>
      <c r="G6" s="557" t="e">
        <f t="shared" ref="G6:G14" si="3">+C6</f>
        <v>#REF!</v>
      </c>
      <c r="H6" s="497" t="e">
        <f t="shared" ref="H6:H14" si="4">+C6</f>
        <v>#REF!</v>
      </c>
      <c r="I6" s="585" t="e">
        <f>SUM('Cuadro Mando Integral Detallado'!#REF!,'Cuadro Mando Integral Detallado'!K151:K152,'Cuadro Mando Integral Detallado'!K228)/COUNT('Cuadro Mando Integral Detallado'!#REF!,'Cuadro Mando Integral Detallado'!K151:K152,'Cuadro Mando Integral Detallado'!K228)</f>
        <v>#REF!</v>
      </c>
      <c r="J6" s="569" t="e">
        <f t="shared" ref="J6:J14" si="5">+I6</f>
        <v>#REF!</v>
      </c>
      <c r="K6" s="570" t="e">
        <f t="shared" ref="K6:K14" si="6">+I6</f>
        <v>#REF!</v>
      </c>
      <c r="L6" s="570" t="e">
        <f t="shared" ref="L6:L14" si="7">+I6</f>
        <v>#REF!</v>
      </c>
      <c r="M6" s="570" t="e">
        <f t="shared" ref="M6:M14" si="8">+I6</f>
        <v>#REF!</v>
      </c>
      <c r="N6" s="507" t="e">
        <f t="shared" ref="N6:N14" si="9">+I6</f>
        <v>#REF!</v>
      </c>
      <c r="O6" s="177"/>
      <c r="P6" s="598" t="e">
        <f>SUM('Cuadro Mando Integral Detallado'!P35:P36,'Cuadro Mando Integral Detallado'!#REF!,'Cuadro Mando Integral Detallado'!P151:P152,'Cuadro Mando Integral Detallado'!P156:P157,'Cuadro Mando Integral Detallado'!P228)/COUNT('Cuadro Mando Integral Detallado'!P35:P36,'Cuadro Mando Integral Detallado'!#REF!,'Cuadro Mando Integral Detallado'!P151:P152,'Cuadro Mando Integral Detallado'!P156:P157,'Cuadro Mando Integral Detallado'!P228)</f>
        <v>#REF!</v>
      </c>
      <c r="Q6" s="581" t="e">
        <f t="shared" ref="Q6:Q14" si="10">+P6</f>
        <v>#REF!</v>
      </c>
      <c r="R6" s="557" t="e">
        <f t="shared" ref="R6:R14" si="11">+P6</f>
        <v>#REF!</v>
      </c>
      <c r="S6" s="557" t="e">
        <f t="shared" ref="S6:S14" si="12">+P6</f>
        <v>#REF!</v>
      </c>
      <c r="T6" s="557" t="e">
        <f t="shared" ref="T6:T14" si="13">+P6</f>
        <v>#REF!</v>
      </c>
      <c r="U6" s="497" t="e">
        <f t="shared" ref="U6:U14" si="14">+P6</f>
        <v>#REF!</v>
      </c>
      <c r="V6" s="592" t="e">
        <f>SUM('Cuadro Mando Integral Detallado'!#REF!,'Cuadro Mando Integral Detallado'!R151:R152,'Cuadro Mando Integral Detallado'!R156:R157,'Cuadro Mando Integral Detallado'!R228)/COUNT('Cuadro Mando Integral Detallado'!#REF!,'Cuadro Mando Integral Detallado'!R151:R152,'Cuadro Mando Integral Detallado'!R156:R157,'Cuadro Mando Integral Detallado'!R228)</f>
        <v>#REF!</v>
      </c>
      <c r="W6" s="569" t="e">
        <f t="shared" ref="W6:W14" si="15">+V6</f>
        <v>#REF!</v>
      </c>
      <c r="X6" s="570" t="e">
        <f t="shared" ref="X6:X14" si="16">+V6</f>
        <v>#REF!</v>
      </c>
      <c r="Y6" s="570" t="e">
        <f t="shared" ref="Y6:Y14" si="17">+V6</f>
        <v>#REF!</v>
      </c>
      <c r="Z6" s="570" t="e">
        <f t="shared" ref="Z6:Z14" si="18">+V6</f>
        <v>#REF!</v>
      </c>
      <c r="AA6" s="507" t="e">
        <f t="shared" ref="AA6:AA13" si="19">+V6</f>
        <v>#REF!</v>
      </c>
      <c r="AB6" s="505"/>
      <c r="AC6" s="598" t="e">
        <f>SUM('Cuadro Mando Integral Detallado'!W35:W36,'Cuadro Mando Integral Detallado'!#REF!,'Cuadro Mando Integral Detallado'!W151:W152,'Cuadro Mando Integral Detallado'!W156:W157,'Cuadro Mando Integral Detallado'!W228)/COUNT('Cuadro Mando Integral Detallado'!W35:W36,'Cuadro Mando Integral Detallado'!#REF!,'Cuadro Mando Integral Detallado'!W151:W152,'Cuadro Mando Integral Detallado'!W156:W157,'Cuadro Mando Integral Detallado'!W228)</f>
        <v>#REF!</v>
      </c>
      <c r="AD6" s="581" t="e">
        <f t="shared" ref="AD6:AD14" si="20">+AC6</f>
        <v>#REF!</v>
      </c>
      <c r="AE6" s="557" t="e">
        <f t="shared" ref="AE6:AE14" si="21">+AC6</f>
        <v>#REF!</v>
      </c>
      <c r="AF6" s="557" t="e">
        <f t="shared" ref="AF6:AF14" si="22">+AC6</f>
        <v>#REF!</v>
      </c>
      <c r="AG6" s="557" t="e">
        <f t="shared" ref="AG6:AG14" si="23">+AC6</f>
        <v>#REF!</v>
      </c>
      <c r="AH6" s="497" t="e">
        <f t="shared" ref="AH6:AH14" si="24">+AC6</f>
        <v>#REF!</v>
      </c>
      <c r="AI6" s="594" t="e">
        <f>SUM('Cuadro Mando Integral Detallado'!Y35:Y36,'Cuadro Mando Integral Detallado'!#REF!,'Cuadro Mando Integral Detallado'!Y151:Y152,'Cuadro Mando Integral Detallado'!Y156:Y157,'Cuadro Mando Integral Detallado'!Y228)/COUNT('Cuadro Mando Integral Detallado'!Y35:Y36,'Cuadro Mando Integral Detallado'!#REF!,'Cuadro Mando Integral Detallado'!Y151:Y152,'Cuadro Mando Integral Detallado'!Y156:Y157,'Cuadro Mando Integral Detallado'!Y228)</f>
        <v>#REF!</v>
      </c>
      <c r="AJ6" s="581" t="e">
        <f t="shared" ref="AJ6:AJ13" si="25">+AI6</f>
        <v>#REF!</v>
      </c>
      <c r="AK6" s="570" t="e">
        <f t="shared" ref="AK6:AK14" si="26">+AI6</f>
        <v>#REF!</v>
      </c>
      <c r="AL6" s="570" t="e">
        <f t="shared" ref="AL6:AL14" si="27">+AI6</f>
        <v>#REF!</v>
      </c>
      <c r="AM6" s="570" t="e">
        <f t="shared" ref="AM6:AM14" si="28">+AI6</f>
        <v>#REF!</v>
      </c>
      <c r="AN6" s="507" t="e">
        <f t="shared" ref="AN6:AN14" si="29">+AI6</f>
        <v>#REF!</v>
      </c>
      <c r="AO6" s="505"/>
      <c r="AP6" s="598" t="e">
        <f>SUM('Cuadro Mando Integral Detallado'!AD35:AD36,'Cuadro Mando Integral Detallado'!#REF!,'Cuadro Mando Integral Detallado'!AD151:AD152,'Cuadro Mando Integral Detallado'!AD156:AD157,'Cuadro Mando Integral Detallado'!AD228)/COUNT('Cuadro Mando Integral Detallado'!AD35:AD36,'Cuadro Mando Integral Detallado'!#REF!,'Cuadro Mando Integral Detallado'!AD151:AD152,'Cuadro Mando Integral Detallado'!AD156:AD157,'Cuadro Mando Integral Detallado'!AD228)</f>
        <v>#REF!</v>
      </c>
      <c r="AQ6" s="581" t="e">
        <f t="shared" ref="AQ6:AQ14" si="30">+AP6</f>
        <v>#REF!</v>
      </c>
      <c r="AR6" s="557" t="e">
        <f t="shared" ref="AR6:AR14" si="31">+AP6</f>
        <v>#REF!</v>
      </c>
      <c r="AS6" s="557" t="e">
        <f t="shared" ref="AS6:AS14" si="32">+AP6</f>
        <v>#REF!</v>
      </c>
      <c r="AT6" s="557" t="e">
        <f t="shared" ref="AT6:AT14" si="33">+AP6</f>
        <v>#REF!</v>
      </c>
      <c r="AU6" s="497" t="e">
        <f t="shared" ref="AU6:AU14" si="34">+AP6</f>
        <v>#REF!</v>
      </c>
      <c r="AV6" s="594" t="e">
        <f>SUM('Cuadro Mando Integral Detallado'!AF35:AF36,'Cuadro Mando Integral Detallado'!#REF!,'Cuadro Mando Integral Detallado'!AF151:AF152,'Cuadro Mando Integral Detallado'!AF156:AF157,'Cuadro Mando Integral Detallado'!AF228)/COUNT('Cuadro Mando Integral Detallado'!AF35:AF36,'Cuadro Mando Integral Detallado'!#REF!,'Cuadro Mando Integral Detallado'!AF151:AF152,'Cuadro Mando Integral Detallado'!AF156:AF157,'Cuadro Mando Integral Detallado'!AF228)</f>
        <v>#REF!</v>
      </c>
      <c r="AW6" s="581" t="e">
        <f>+AV6</f>
        <v>#REF!</v>
      </c>
      <c r="AX6" s="570" t="e">
        <f t="shared" ref="AX6:AX14" si="35">+AV6</f>
        <v>#REF!</v>
      </c>
      <c r="AY6" s="570" t="e">
        <f t="shared" ref="AY6:AY14" si="36">+AV6</f>
        <v>#REF!</v>
      </c>
      <c r="AZ6" s="570" t="e">
        <f t="shared" ref="AZ6:AZ14" si="37">+AV6</f>
        <v>#REF!</v>
      </c>
      <c r="BA6" s="507" t="e">
        <f t="shared" ref="BA6:BA14" si="38">+AV6</f>
        <v>#REF!</v>
      </c>
    </row>
    <row r="7" spans="1:53" ht="36" x14ac:dyDescent="0.25">
      <c r="A7" s="292" t="s">
        <v>829</v>
      </c>
      <c r="B7" s="413"/>
      <c r="C7" s="596">
        <f>SUM('Cuadro Mando Integral Detallado'!I44:I69,'Cuadro Mando Integral Detallado'!I207:I214,'Cuadro Mando Integral Detallado'!I229,'Cuadro Mando Integral Detallado'!I239:I240)/COUNT('Cuadro Mando Integral Detallado'!I44:I69,'Cuadro Mando Integral Detallado'!I207:I214,'Cuadro Mando Integral Detallado'!I229,'Cuadro Mando Integral Detallado'!I239:I240)</f>
        <v>1.1532034095453998</v>
      </c>
      <c r="D7" s="582">
        <f t="shared" si="0"/>
        <v>1.1532034095453998</v>
      </c>
      <c r="E7" s="556">
        <f t="shared" si="1"/>
        <v>1.1532034095453998</v>
      </c>
      <c r="F7" s="556">
        <f t="shared" si="2"/>
        <v>1.1532034095453998</v>
      </c>
      <c r="G7" s="556">
        <f t="shared" si="3"/>
        <v>1.1532034095453998</v>
      </c>
      <c r="H7" s="498">
        <f t="shared" si="4"/>
        <v>1.1532034095453998</v>
      </c>
      <c r="I7" s="586">
        <f>SUM('Cuadro Mando Integral Detallado'!K44:K69,'Cuadro Mando Integral Detallado'!K207:K214,'Cuadro Mando Integral Detallado'!K229,'Cuadro Mando Integral Detallado'!K239:K240)/COUNT('Cuadro Mando Integral Detallado'!K44:K69,'Cuadro Mando Integral Detallado'!K207:K214,'Cuadro Mando Integral Detallado'!K229,'Cuadro Mando Integral Detallado'!K239:K240)</f>
        <v>0.20689779176171386</v>
      </c>
      <c r="J7" s="571">
        <f t="shared" si="5"/>
        <v>0.20689779176171386</v>
      </c>
      <c r="K7" s="568">
        <f t="shared" si="6"/>
        <v>0.20689779176171386</v>
      </c>
      <c r="L7" s="568">
        <f t="shared" si="7"/>
        <v>0.20689779176171386</v>
      </c>
      <c r="M7" s="568">
        <f t="shared" si="8"/>
        <v>0.20689779176171386</v>
      </c>
      <c r="N7" s="508">
        <f t="shared" si="9"/>
        <v>0.20689779176171386</v>
      </c>
      <c r="O7" s="163"/>
      <c r="P7" s="513">
        <f>SUM('Cuadro Mando Integral Detallado'!P37,'Cuadro Mando Integral Detallado'!P44:P69,'Cuadro Mando Integral Detallado'!P164,'Cuadro Mando Integral Detallado'!P207:P214,'Cuadro Mando Integral Detallado'!P229,'Cuadro Mando Integral Detallado'!P239:P240)/COUNT('Cuadro Mando Integral Detallado'!P37,'Cuadro Mando Integral Detallado'!P44:P69,'Cuadro Mando Integral Detallado'!P164,'Cuadro Mando Integral Detallado'!P207:P214,'Cuadro Mando Integral Detallado'!P229,'Cuadro Mando Integral Detallado'!P239:P240)</f>
        <v>0.77232823864565092</v>
      </c>
      <c r="Q7" s="582">
        <f t="shared" si="10"/>
        <v>0.77232823864565092</v>
      </c>
      <c r="R7" s="556">
        <f t="shared" si="11"/>
        <v>0.77232823864565092</v>
      </c>
      <c r="S7" s="556">
        <f t="shared" si="12"/>
        <v>0.77232823864565092</v>
      </c>
      <c r="T7" s="556">
        <f t="shared" si="13"/>
        <v>0.77232823864565092</v>
      </c>
      <c r="U7" s="498">
        <f t="shared" si="14"/>
        <v>0.77232823864565092</v>
      </c>
      <c r="V7" s="604">
        <f>SUM('Cuadro Mando Integral Detallado'!R37,'Cuadro Mando Integral Detallado'!R44:R69,'Cuadro Mando Integral Detallado'!R164,'Cuadro Mando Integral Detallado'!R207:R214,'Cuadro Mando Integral Detallado'!R229,'Cuadro Mando Integral Detallado'!R239:R240)/COUNT('Cuadro Mando Integral Detallado'!R37,'Cuadro Mando Integral Detallado'!R44:R69,'Cuadro Mando Integral Detallado'!R164,'Cuadro Mando Integral Detallado'!R207:R214,'Cuadro Mando Integral Detallado'!R229,'Cuadro Mando Integral Detallado'!R239:R240)</f>
        <v>0.38025025445377053</v>
      </c>
      <c r="W7" s="571">
        <f t="shared" si="15"/>
        <v>0.38025025445377053</v>
      </c>
      <c r="X7" s="568">
        <f t="shared" si="16"/>
        <v>0.38025025445377053</v>
      </c>
      <c r="Y7" s="568">
        <f t="shared" si="17"/>
        <v>0.38025025445377053</v>
      </c>
      <c r="Z7" s="568">
        <f t="shared" si="18"/>
        <v>0.38025025445377053</v>
      </c>
      <c r="AA7" s="508">
        <f t="shared" si="19"/>
        <v>0.38025025445377053</v>
      </c>
      <c r="AB7" s="505"/>
      <c r="AC7" s="513">
        <f>SUM('Cuadro Mando Integral Detallado'!W37,'Cuadro Mando Integral Detallado'!W44:W69,'Cuadro Mando Integral Detallado'!W164,'Cuadro Mando Integral Detallado'!W207:W214,'Cuadro Mando Integral Detallado'!W229,'Cuadro Mando Integral Detallado'!W239:W240)/COUNT('Cuadro Mando Integral Detallado'!W37,'Cuadro Mando Integral Detallado'!W44:W69,'Cuadro Mando Integral Detallado'!W164,'Cuadro Mando Integral Detallado'!W207:W214,'Cuadro Mando Integral Detallado'!W229,'Cuadro Mando Integral Detallado'!W239:W240)</f>
        <v>0.80274602226404368</v>
      </c>
      <c r="AD7" s="582">
        <f t="shared" si="20"/>
        <v>0.80274602226404368</v>
      </c>
      <c r="AE7" s="556">
        <f t="shared" si="21"/>
        <v>0.80274602226404368</v>
      </c>
      <c r="AF7" s="556">
        <f t="shared" si="22"/>
        <v>0.80274602226404368</v>
      </c>
      <c r="AG7" s="556">
        <f t="shared" si="23"/>
        <v>0.80274602226404368</v>
      </c>
      <c r="AH7" s="498">
        <f t="shared" si="24"/>
        <v>0.80274602226404368</v>
      </c>
      <c r="AI7" s="586">
        <f>SUM('Cuadro Mando Integral Detallado'!Y37,'Cuadro Mando Integral Detallado'!Y44:Y69,'Cuadro Mando Integral Detallado'!Y164,'Cuadro Mando Integral Detallado'!Y207:Y214,'Cuadro Mando Integral Detallado'!Y229,'Cuadro Mando Integral Detallado'!Y239:Y240)/COUNT('Cuadro Mando Integral Detallado'!Y37,'Cuadro Mando Integral Detallado'!Y44:Y69,'Cuadro Mando Integral Detallado'!Y164,'Cuadro Mando Integral Detallado'!Y207:Y214,'Cuadro Mando Integral Detallado'!Y229,'Cuadro Mando Integral Detallado'!Y239:Y240)</f>
        <v>0.5623951841047502</v>
      </c>
      <c r="AJ7" s="582">
        <f t="shared" si="25"/>
        <v>0.5623951841047502</v>
      </c>
      <c r="AK7" s="568">
        <f t="shared" si="26"/>
        <v>0.5623951841047502</v>
      </c>
      <c r="AL7" s="568">
        <f t="shared" si="27"/>
        <v>0.5623951841047502</v>
      </c>
      <c r="AM7" s="568">
        <f t="shared" si="28"/>
        <v>0.5623951841047502</v>
      </c>
      <c r="AN7" s="508">
        <f t="shared" si="29"/>
        <v>0.5623951841047502</v>
      </c>
      <c r="AO7" s="505"/>
      <c r="AP7" s="513">
        <f>SUM('Cuadro Mando Integral Detallado'!AD37,'Cuadro Mando Integral Detallado'!AD44:AD69,'Cuadro Mando Integral Detallado'!AD164,'Cuadro Mando Integral Detallado'!AD207:AD214,'Cuadro Mando Integral Detallado'!AD229,'Cuadro Mando Integral Detallado'!AD239:AD240)/COUNT('Cuadro Mando Integral Detallado'!AD37,'Cuadro Mando Integral Detallado'!AD44:AD69,'Cuadro Mando Integral Detallado'!AD164,'Cuadro Mando Integral Detallado'!AD207:AD214,'Cuadro Mando Integral Detallado'!AD229,'Cuadro Mando Integral Detallado'!AD239:AD240)</f>
        <v>1.4434843937770856</v>
      </c>
      <c r="AQ7" s="582">
        <f t="shared" si="30"/>
        <v>1.4434843937770856</v>
      </c>
      <c r="AR7" s="556">
        <f t="shared" si="31"/>
        <v>1.4434843937770856</v>
      </c>
      <c r="AS7" s="556">
        <f t="shared" si="32"/>
        <v>1.4434843937770856</v>
      </c>
      <c r="AT7" s="556">
        <f t="shared" si="33"/>
        <v>1.4434843937770856</v>
      </c>
      <c r="AU7" s="498">
        <f t="shared" si="34"/>
        <v>1.4434843937770856</v>
      </c>
      <c r="AV7" s="586">
        <f>SUM('Cuadro Mando Integral Detallado'!AF37,'Cuadro Mando Integral Detallado'!AF44:AF69,'Cuadro Mando Integral Detallado'!AF207:AF214,'Cuadro Mando Integral Detallado'!AF229,'Cuadro Mando Integral Detallado'!AF239:AF240)/COUNT('Cuadro Mando Integral Detallado'!AF37,'Cuadro Mando Integral Detallado'!AF44:AF69,'Cuadro Mando Integral Detallado'!AF207:AF214,'Cuadro Mando Integral Detallado'!AF229,'Cuadro Mando Integral Detallado'!AF239:AF240)</f>
        <v>0.92794019708713826</v>
      </c>
      <c r="AW7" s="582">
        <f t="shared" ref="AW7:AW14" si="39">+AV7</f>
        <v>0.92794019708713826</v>
      </c>
      <c r="AX7" s="568">
        <f t="shared" si="35"/>
        <v>0.92794019708713826</v>
      </c>
      <c r="AY7" s="568">
        <f t="shared" si="36"/>
        <v>0.92794019708713826</v>
      </c>
      <c r="AZ7" s="568">
        <f t="shared" si="37"/>
        <v>0.92794019708713826</v>
      </c>
      <c r="BA7" s="508">
        <f t="shared" si="38"/>
        <v>0.92794019708713826</v>
      </c>
    </row>
    <row r="8" spans="1:53" ht="36" x14ac:dyDescent="0.25">
      <c r="A8" s="292" t="s">
        <v>26</v>
      </c>
      <c r="B8" s="413"/>
      <c r="C8" s="596">
        <f>SUM('Cuadro Mando Integral Detallado'!I110:I114,'Cuadro Mando Integral Detallado'!I184:I198,'Cuadro Mando Integral Detallado'!I230,'Cuadro Mando Integral Detallado'!I243:I244,'Cuadro Mando Integral Detallado'!I304)/COUNT('Cuadro Mando Integral Detallado'!I110:I114,'Cuadro Mando Integral Detallado'!I184:I198,'Cuadro Mando Integral Detallado'!I230,'Cuadro Mando Integral Detallado'!I243:I244,'Cuadro Mando Integral Detallado'!I304)</f>
        <v>0.79702254681910489</v>
      </c>
      <c r="D8" s="582">
        <f>+C8</f>
        <v>0.79702254681910489</v>
      </c>
      <c r="E8" s="556">
        <f t="shared" si="1"/>
        <v>0.79702254681910489</v>
      </c>
      <c r="F8" s="556">
        <f t="shared" si="2"/>
        <v>0.79702254681910489</v>
      </c>
      <c r="G8" s="556">
        <f t="shared" si="3"/>
        <v>0.79702254681910489</v>
      </c>
      <c r="H8" s="498">
        <f t="shared" si="4"/>
        <v>0.79702254681910489</v>
      </c>
      <c r="I8" s="586">
        <f>SUM('Cuadro Mando Integral Detallado'!K110:K114,'Cuadro Mando Integral Detallado'!K184:K198,'Cuadro Mando Integral Detallado'!K230,'Cuadro Mando Integral Detallado'!K243:K244,'Cuadro Mando Integral Detallado'!K304)/COUNT('Cuadro Mando Integral Detallado'!K110:K114,'Cuadro Mando Integral Detallado'!K184:K198,'Cuadro Mando Integral Detallado'!K230,'Cuadro Mando Integral Detallado'!K243:K244,'Cuadro Mando Integral Detallado'!K304)</f>
        <v>0.26509674979793835</v>
      </c>
      <c r="J8" s="571">
        <f t="shared" si="5"/>
        <v>0.26509674979793835</v>
      </c>
      <c r="K8" s="568">
        <f t="shared" si="6"/>
        <v>0.26509674979793835</v>
      </c>
      <c r="L8" s="568">
        <f t="shared" si="7"/>
        <v>0.26509674979793835</v>
      </c>
      <c r="M8" s="568">
        <f t="shared" si="8"/>
        <v>0.26509674979793835</v>
      </c>
      <c r="N8" s="508">
        <f t="shared" si="9"/>
        <v>0.26509674979793835</v>
      </c>
      <c r="O8" s="163"/>
      <c r="P8" s="513">
        <f>SUM('Cuadro Mando Integral Detallado'!P110:P114,'Cuadro Mando Integral Detallado'!P184:P198,'Cuadro Mando Integral Detallado'!P230,'Cuadro Mando Integral Detallado'!P243:P244,'Cuadro Mando Integral Detallado'!P304)/COUNT('Cuadro Mando Integral Detallado'!P110:P114,'Cuadro Mando Integral Detallado'!P184:P198,'Cuadro Mando Integral Detallado'!P230,'Cuadro Mando Integral Detallado'!P243:P244,'Cuadro Mando Integral Detallado'!P304)</f>
        <v>1.1326154565965376</v>
      </c>
      <c r="Q8" s="582">
        <f t="shared" si="10"/>
        <v>1.1326154565965376</v>
      </c>
      <c r="R8" s="556">
        <f t="shared" si="11"/>
        <v>1.1326154565965376</v>
      </c>
      <c r="S8" s="556">
        <f t="shared" si="12"/>
        <v>1.1326154565965376</v>
      </c>
      <c r="T8" s="556">
        <f t="shared" si="13"/>
        <v>1.1326154565965376</v>
      </c>
      <c r="U8" s="498">
        <f t="shared" si="14"/>
        <v>1.1326154565965376</v>
      </c>
      <c r="V8" s="586">
        <f>SUM('Cuadro Mando Integral Detallado'!R110:R114,'Cuadro Mando Integral Detallado'!R184:R198,'Cuadro Mando Integral Detallado'!R230,'Cuadro Mando Integral Detallado'!R243:R244,'Cuadro Mando Integral Detallado'!R304)/COUNT('Cuadro Mando Integral Detallado'!R110:R114,'Cuadro Mando Integral Detallado'!R184:R198,'Cuadro Mando Integral Detallado'!R230,'Cuadro Mando Integral Detallado'!R243:R244,'Cuadro Mando Integral Detallado'!R304)</f>
        <v>0.56651056338555161</v>
      </c>
      <c r="W8" s="571">
        <f t="shared" si="15"/>
        <v>0.56651056338555161</v>
      </c>
      <c r="X8" s="568">
        <f t="shared" si="16"/>
        <v>0.56651056338555161</v>
      </c>
      <c r="Y8" s="568">
        <f t="shared" si="17"/>
        <v>0.56651056338555161</v>
      </c>
      <c r="Z8" s="568">
        <f t="shared" si="18"/>
        <v>0.56651056338555161</v>
      </c>
      <c r="AA8" s="508">
        <f t="shared" si="19"/>
        <v>0.56651056338555161</v>
      </c>
      <c r="AB8" s="605"/>
      <c r="AC8" s="513">
        <f>SUM('Cuadro Mando Integral Detallado'!W110:W113,'Cuadro Mando Integral Detallado'!W184:W198,'Cuadro Mando Integral Detallado'!W230,'Cuadro Mando Integral Detallado'!W243:W244,'Cuadro Mando Integral Detallado'!W304)/COUNT('Cuadro Mando Integral Detallado'!W110:W113,'Cuadro Mando Integral Detallado'!W184:W198,'Cuadro Mando Integral Detallado'!W230,'Cuadro Mando Integral Detallado'!W243:W244,'Cuadro Mando Integral Detallado'!W304)</f>
        <v>1.1112786702603219</v>
      </c>
      <c r="AD8" s="582">
        <f t="shared" si="20"/>
        <v>1.1112786702603219</v>
      </c>
      <c r="AE8" s="556">
        <f t="shared" si="21"/>
        <v>1.1112786702603219</v>
      </c>
      <c r="AF8" s="556">
        <f t="shared" si="22"/>
        <v>1.1112786702603219</v>
      </c>
      <c r="AG8" s="556">
        <f t="shared" si="23"/>
        <v>1.1112786702603219</v>
      </c>
      <c r="AH8" s="498">
        <f t="shared" si="24"/>
        <v>1.1112786702603219</v>
      </c>
      <c r="AI8" s="586">
        <f>SUM('Cuadro Mando Integral Detallado'!Y110:Y113,'Cuadro Mando Integral Detallado'!Y184:Y198,'Cuadro Mando Integral Detallado'!Y230,'Cuadro Mando Integral Detallado'!Y243:Y244,'Cuadro Mando Integral Detallado'!Y304)/COUNT('Cuadro Mando Integral Detallado'!Y110:Y113,'Cuadro Mando Integral Detallado'!Y184:Y198,'Cuadro Mando Integral Detallado'!Y230,'Cuadro Mando Integral Detallado'!Y243:Y244,'Cuadro Mando Integral Detallado'!Y304)</f>
        <v>0.87141598007431975</v>
      </c>
      <c r="AJ8" s="582">
        <f t="shared" si="25"/>
        <v>0.87141598007431975</v>
      </c>
      <c r="AK8" s="568">
        <f t="shared" si="26"/>
        <v>0.87141598007431975</v>
      </c>
      <c r="AL8" s="568">
        <f t="shared" si="27"/>
        <v>0.87141598007431975</v>
      </c>
      <c r="AM8" s="568">
        <f t="shared" si="28"/>
        <v>0.87141598007431975</v>
      </c>
      <c r="AN8" s="508">
        <f t="shared" si="29"/>
        <v>0.87141598007431975</v>
      </c>
      <c r="AO8" s="505"/>
      <c r="AP8" s="513">
        <f>SUM('Cuadro Mando Integral Detallado'!AD110:AD113,'Cuadro Mando Integral Detallado'!AD184:AD198,'Cuadro Mando Integral Detallado'!AD230,'Cuadro Mando Integral Detallado'!AD243:AD244,'Cuadro Mando Integral Detallado'!AD304)/COUNT('Cuadro Mando Integral Detallado'!AD110:AD113,'Cuadro Mando Integral Detallado'!AD184:AD198,'Cuadro Mando Integral Detallado'!AD230,'Cuadro Mando Integral Detallado'!AD243:AD244,'Cuadro Mando Integral Detallado'!AD304)</f>
        <v>0.95257576407178557</v>
      </c>
      <c r="AQ8" s="582">
        <f t="shared" si="30"/>
        <v>0.95257576407178557</v>
      </c>
      <c r="AR8" s="556">
        <f t="shared" si="31"/>
        <v>0.95257576407178557</v>
      </c>
      <c r="AS8" s="556">
        <f t="shared" si="32"/>
        <v>0.95257576407178557</v>
      </c>
      <c r="AT8" s="556">
        <f t="shared" si="33"/>
        <v>0.95257576407178557</v>
      </c>
      <c r="AU8" s="498">
        <f t="shared" si="34"/>
        <v>0.95257576407178557</v>
      </c>
      <c r="AV8" s="586">
        <f>SUM('Cuadro Mando Integral Detallado'!AF110:AF113,'Cuadro Mando Integral Detallado'!AF184:AF198,'Cuadro Mando Integral Detallado'!AF230,'Cuadro Mando Integral Detallado'!AF243:AF244,'Cuadro Mando Integral Detallado'!AF304)/COUNT('Cuadro Mando Integral Detallado'!AF110:AF113,'Cuadro Mando Integral Detallado'!AF184:AF198,'Cuadro Mando Integral Detallado'!AF230,'Cuadro Mando Integral Detallado'!AF243:AF244,'Cuadro Mando Integral Detallado'!AF304)</f>
        <v>1.1447133466360231</v>
      </c>
      <c r="AW8" s="582">
        <f t="shared" si="39"/>
        <v>1.1447133466360231</v>
      </c>
      <c r="AX8" s="568">
        <f t="shared" si="35"/>
        <v>1.1447133466360231</v>
      </c>
      <c r="AY8" s="568">
        <f t="shared" si="36"/>
        <v>1.1447133466360231</v>
      </c>
      <c r="AZ8" s="568">
        <f t="shared" si="37"/>
        <v>1.1447133466360231</v>
      </c>
      <c r="BA8" s="508">
        <f t="shared" si="38"/>
        <v>1.1447133466360231</v>
      </c>
    </row>
    <row r="9" spans="1:53" ht="18" x14ac:dyDescent="0.25">
      <c r="A9" s="292" t="s">
        <v>625</v>
      </c>
      <c r="B9" s="413"/>
      <c r="C9" s="596">
        <f>SUM('Cuadro Mando Integral Detallado'!I108,'Cuadro Mando Integral Detallado'!I116:I117,'Cuadro Mando Integral Detallado'!I199:I205,'Cuadro Mando Integral Detallado'!I231,'Cuadro Mando Integral Detallado'!I247:I248,'Cuadro Mando Integral Detallado'!I306,'Cuadro Mando Integral Detallado'!I323)/COUNT('Cuadro Mando Integral Detallado'!I108,'Cuadro Mando Integral Detallado'!I116:I117,'Cuadro Mando Integral Detallado'!I199:I205,'Cuadro Mando Integral Detallado'!I231,'Cuadro Mando Integral Detallado'!I247:I248,'Cuadro Mando Integral Detallado'!I306,'Cuadro Mando Integral Detallado'!I323)</f>
        <v>1.1481041619901053</v>
      </c>
      <c r="D9" s="582">
        <f t="shared" si="0"/>
        <v>1.1481041619901053</v>
      </c>
      <c r="E9" s="556">
        <f t="shared" si="1"/>
        <v>1.1481041619901053</v>
      </c>
      <c r="F9" s="556">
        <f t="shared" si="2"/>
        <v>1.1481041619901053</v>
      </c>
      <c r="G9" s="556">
        <f t="shared" si="3"/>
        <v>1.1481041619901053</v>
      </c>
      <c r="H9" s="498">
        <f t="shared" si="4"/>
        <v>1.1481041619901053</v>
      </c>
      <c r="I9" s="586">
        <f>SUM('Cuadro Mando Integral Detallado'!K108,'Cuadro Mando Integral Detallado'!K116,'Cuadro Mando Integral Detallado'!K199:K205,'Cuadro Mando Integral Detallado'!K231,'Cuadro Mando Integral Detallado'!K247:K248,'Cuadro Mando Integral Detallado'!K306,'Cuadro Mando Integral Detallado'!K323)/COUNT('Cuadro Mando Integral Detallado'!K108,'Cuadro Mando Integral Detallado'!K116,'Cuadro Mando Integral Detallado'!K199:K205,'Cuadro Mando Integral Detallado'!K231,'Cuadro Mando Integral Detallado'!K247:K248,'Cuadro Mando Integral Detallado'!K306,'Cuadro Mando Integral Detallado'!K323)</f>
        <v>0.24602232042645114</v>
      </c>
      <c r="J9" s="571">
        <f t="shared" si="5"/>
        <v>0.24602232042645114</v>
      </c>
      <c r="K9" s="568">
        <f t="shared" si="6"/>
        <v>0.24602232042645114</v>
      </c>
      <c r="L9" s="568">
        <f t="shared" si="7"/>
        <v>0.24602232042645114</v>
      </c>
      <c r="M9" s="568">
        <f t="shared" si="8"/>
        <v>0.24602232042645114</v>
      </c>
      <c r="N9" s="508">
        <f t="shared" si="9"/>
        <v>0.24602232042645114</v>
      </c>
      <c r="O9" s="163"/>
      <c r="P9" s="513">
        <f>SUM('Cuadro Mando Integral Detallado'!P108,'Cuadro Mando Integral Detallado'!P116:P117,'Cuadro Mando Integral Detallado'!P199:P205,'Cuadro Mando Integral Detallado'!P231,'Cuadro Mando Integral Detallado'!P247:P248,'Cuadro Mando Integral Detallado'!P306,'Cuadro Mando Integral Detallado'!P323)/COUNT('Cuadro Mando Integral Detallado'!P108,'Cuadro Mando Integral Detallado'!P116:P117,'Cuadro Mando Integral Detallado'!P199:P205,'Cuadro Mando Integral Detallado'!P231,'Cuadro Mando Integral Detallado'!P247:P248,'Cuadro Mando Integral Detallado'!P306,'Cuadro Mando Integral Detallado'!P323)</f>
        <v>0.93068924862643865</v>
      </c>
      <c r="Q9" s="582">
        <f t="shared" si="10"/>
        <v>0.93068924862643865</v>
      </c>
      <c r="R9" s="556">
        <f t="shared" si="11"/>
        <v>0.93068924862643865</v>
      </c>
      <c r="S9" s="556">
        <f t="shared" si="12"/>
        <v>0.93068924862643865</v>
      </c>
      <c r="T9" s="556">
        <f t="shared" si="13"/>
        <v>0.93068924862643865</v>
      </c>
      <c r="U9" s="498">
        <f t="shared" si="14"/>
        <v>0.93068924862643865</v>
      </c>
      <c r="V9" s="586">
        <f>SUM('Cuadro Mando Integral Detallado'!R108,'Cuadro Mando Integral Detallado'!R116:R117,'Cuadro Mando Integral Detallado'!R199:R205,'Cuadro Mando Integral Detallado'!R231,'Cuadro Mando Integral Detallado'!R247:R248,'Cuadro Mando Integral Detallado'!R306,'Cuadro Mando Integral Detallado'!R323)/COUNT('Cuadro Mando Integral Detallado'!R108,'Cuadro Mando Integral Detallado'!R116:R117,'Cuadro Mando Integral Detallado'!R199:R205,'Cuadro Mando Integral Detallado'!R231,'Cuadro Mando Integral Detallado'!R247:R248,'Cuadro Mando Integral Detallado'!R306,'Cuadro Mando Integral Detallado'!R323)</f>
        <v>0.41747777505657796</v>
      </c>
      <c r="W9" s="571">
        <f t="shared" si="15"/>
        <v>0.41747777505657796</v>
      </c>
      <c r="X9" s="568">
        <f t="shared" si="16"/>
        <v>0.41747777505657796</v>
      </c>
      <c r="Y9" s="568">
        <f t="shared" si="17"/>
        <v>0.41747777505657796</v>
      </c>
      <c r="Z9" s="568">
        <f t="shared" si="18"/>
        <v>0.41747777505657796</v>
      </c>
      <c r="AA9" s="508">
        <f t="shared" si="19"/>
        <v>0.41747777505657796</v>
      </c>
      <c r="AB9" s="505"/>
      <c r="AC9" s="513">
        <f>SUM('Cuadro Mando Integral Detallado'!W108,'Cuadro Mando Integral Detallado'!W116:W117,'Cuadro Mando Integral Detallado'!W199:W205,'Cuadro Mando Integral Detallado'!W231,'Cuadro Mando Integral Detallado'!W247:W248,'Cuadro Mando Integral Detallado'!W306,'Cuadro Mando Integral Detallado'!W323)/COUNT('Cuadro Mando Integral Detallado'!W108,'Cuadro Mando Integral Detallado'!W116:W117,'Cuadro Mando Integral Detallado'!W199:W205,'Cuadro Mando Integral Detallado'!W231,'Cuadro Mando Integral Detallado'!W247:W248,'Cuadro Mando Integral Detallado'!W306,'Cuadro Mando Integral Detallado'!W323)</f>
        <v>0.89807892872983086</v>
      </c>
      <c r="AD9" s="582">
        <f t="shared" si="20"/>
        <v>0.89807892872983086</v>
      </c>
      <c r="AE9" s="556">
        <f t="shared" si="21"/>
        <v>0.89807892872983086</v>
      </c>
      <c r="AF9" s="556">
        <f t="shared" si="22"/>
        <v>0.89807892872983086</v>
      </c>
      <c r="AG9" s="556">
        <f t="shared" si="23"/>
        <v>0.89807892872983086</v>
      </c>
      <c r="AH9" s="498">
        <f t="shared" si="24"/>
        <v>0.89807892872983086</v>
      </c>
      <c r="AI9" s="586">
        <f>SUM('Cuadro Mando Integral Detallado'!Y108,'Cuadro Mando Integral Detallado'!Y116:Y117,'Cuadro Mando Integral Detallado'!Y199:Y205,'Cuadro Mando Integral Detallado'!Y231,'Cuadro Mando Integral Detallado'!Y247:Y248,'Cuadro Mando Integral Detallado'!Y306,'Cuadro Mando Integral Detallado'!Y323)/COUNT('Cuadro Mando Integral Detallado'!Y108,'Cuadro Mando Integral Detallado'!Y116:Y117,'Cuadro Mando Integral Detallado'!Y199:Y205,'Cuadro Mando Integral Detallado'!Y231,'Cuadro Mando Integral Detallado'!Y247:Y248,'Cuadro Mando Integral Detallado'!Y306,'Cuadro Mando Integral Detallado'!Y323)</f>
        <v>0.59601917317210251</v>
      </c>
      <c r="AJ9" s="582">
        <f t="shared" si="25"/>
        <v>0.59601917317210251</v>
      </c>
      <c r="AK9" s="568">
        <f t="shared" si="26"/>
        <v>0.59601917317210251</v>
      </c>
      <c r="AL9" s="568">
        <f t="shared" si="27"/>
        <v>0.59601917317210251</v>
      </c>
      <c r="AM9" s="568">
        <f t="shared" si="28"/>
        <v>0.59601917317210251</v>
      </c>
      <c r="AN9" s="508">
        <f t="shared" si="29"/>
        <v>0.59601917317210251</v>
      </c>
      <c r="AO9" s="505"/>
      <c r="AP9" s="513">
        <f>SUM('Cuadro Mando Integral Detallado'!AD108,'Cuadro Mando Integral Detallado'!AD116:AD117,'Cuadro Mando Integral Detallado'!AD199:AD205,'Cuadro Mando Integral Detallado'!AD231,'Cuadro Mando Integral Detallado'!AD247:AD248,'Cuadro Mando Integral Detallado'!AD306,'Cuadro Mando Integral Detallado'!AD323)/COUNT('Cuadro Mando Integral Detallado'!AD108,'Cuadro Mando Integral Detallado'!AD116:AD117,'Cuadro Mando Integral Detallado'!AD199:AD205,'Cuadro Mando Integral Detallado'!AD231,'Cuadro Mando Integral Detallado'!AD247:AD248,'Cuadro Mando Integral Detallado'!AD306,'Cuadro Mando Integral Detallado'!AD323)</f>
        <v>0.70949299980799718</v>
      </c>
      <c r="AQ9" s="582">
        <f t="shared" si="30"/>
        <v>0.70949299980799718</v>
      </c>
      <c r="AR9" s="556">
        <f t="shared" si="31"/>
        <v>0.70949299980799718</v>
      </c>
      <c r="AS9" s="556">
        <f t="shared" si="32"/>
        <v>0.70949299980799718</v>
      </c>
      <c r="AT9" s="556">
        <f t="shared" si="33"/>
        <v>0.70949299980799718</v>
      </c>
      <c r="AU9" s="498">
        <f t="shared" si="34"/>
        <v>0.70949299980799718</v>
      </c>
      <c r="AV9" s="586">
        <f>SUM('Cuadro Mando Integral Detallado'!AF108,'Cuadro Mando Integral Detallado'!AF116:AF117,'Cuadro Mando Integral Detallado'!AF199:AF205,'Cuadro Mando Integral Detallado'!AF231,'Cuadro Mando Integral Detallado'!AF247:AF248,'Cuadro Mando Integral Detallado'!AF306,'Cuadro Mando Integral Detallado'!AF323)/COUNT('Cuadro Mando Integral Detallado'!AF108,'Cuadro Mando Integral Detallado'!AF116:AF117,'Cuadro Mando Integral Detallado'!AF199:AF205,'Cuadro Mando Integral Detallado'!AF231,'Cuadro Mando Integral Detallado'!AF247:AF248,'Cuadro Mando Integral Detallado'!AF306,'Cuadro Mando Integral Detallado'!AF323)</f>
        <v>0.82320329009341286</v>
      </c>
      <c r="AW9" s="582">
        <f t="shared" si="39"/>
        <v>0.82320329009341286</v>
      </c>
      <c r="AX9" s="568">
        <f t="shared" si="35"/>
        <v>0.82320329009341286</v>
      </c>
      <c r="AY9" s="568">
        <f t="shared" si="36"/>
        <v>0.82320329009341286</v>
      </c>
      <c r="AZ9" s="568">
        <f t="shared" si="37"/>
        <v>0.82320329009341286</v>
      </c>
      <c r="BA9" s="508">
        <f t="shared" si="38"/>
        <v>0.82320329009341286</v>
      </c>
    </row>
    <row r="10" spans="1:53" ht="54" x14ac:dyDescent="0.25">
      <c r="A10" s="292" t="s">
        <v>830</v>
      </c>
      <c r="B10" s="413"/>
      <c r="C10" s="596">
        <f>SUM('Cuadro Mando Integral Detallado'!I71:I84,'Cuadro Mando Integral Detallado'!I232,'Cuadro Mando Integral Detallado'!I251:I252,'Cuadro Mando Integral Detallado'!I308:I321)/COUNT('Cuadro Mando Integral Detallado'!I71:I84,'Cuadro Mando Integral Detallado'!I232,'Cuadro Mando Integral Detallado'!I251:I252,'Cuadro Mando Integral Detallado'!I308:I321)</f>
        <v>1.0495936317095598</v>
      </c>
      <c r="D10" s="582">
        <f t="shared" si="0"/>
        <v>1.0495936317095598</v>
      </c>
      <c r="E10" s="556">
        <f t="shared" si="1"/>
        <v>1.0495936317095598</v>
      </c>
      <c r="F10" s="556">
        <f t="shared" si="2"/>
        <v>1.0495936317095598</v>
      </c>
      <c r="G10" s="556">
        <f t="shared" si="3"/>
        <v>1.0495936317095598</v>
      </c>
      <c r="H10" s="498">
        <f t="shared" si="4"/>
        <v>1.0495936317095598</v>
      </c>
      <c r="I10" s="586">
        <f>SUM('Cuadro Mando Integral Detallado'!K71:K84,'Cuadro Mando Integral Detallado'!K232,'Cuadro Mando Integral Detallado'!K251:K252,'Cuadro Mando Integral Detallado'!K308:K321)/COUNT('Cuadro Mando Integral Detallado'!K71:K84,'Cuadro Mando Integral Detallado'!K232,'Cuadro Mando Integral Detallado'!K251:K252,'Cuadro Mando Integral Detallado'!K308:K321)</f>
        <v>6.4261716837713395E-2</v>
      </c>
      <c r="J10" s="571">
        <f t="shared" si="5"/>
        <v>6.4261716837713395E-2</v>
      </c>
      <c r="K10" s="568">
        <f t="shared" si="6"/>
        <v>6.4261716837713395E-2</v>
      </c>
      <c r="L10" s="568">
        <f t="shared" si="7"/>
        <v>6.4261716837713395E-2</v>
      </c>
      <c r="M10" s="568">
        <f t="shared" si="8"/>
        <v>6.4261716837713395E-2</v>
      </c>
      <c r="N10" s="508">
        <f t="shared" si="9"/>
        <v>6.4261716837713395E-2</v>
      </c>
      <c r="O10" s="163"/>
      <c r="P10" s="513">
        <f>SUM('Cuadro Mando Integral Detallado'!P71:P84,'Cuadro Mando Integral Detallado'!P232,'Cuadro Mando Integral Detallado'!P251:P252,'Cuadro Mando Integral Detallado'!P308:P321)/COUNT('Cuadro Mando Integral Detallado'!P71:P84,'Cuadro Mando Integral Detallado'!P232,'Cuadro Mando Integral Detallado'!P251:P252,'Cuadro Mando Integral Detallado'!P308:P321)</f>
        <v>0.7206567859895856</v>
      </c>
      <c r="Q10" s="582">
        <f t="shared" si="10"/>
        <v>0.7206567859895856</v>
      </c>
      <c r="R10" s="556">
        <f t="shared" si="11"/>
        <v>0.7206567859895856</v>
      </c>
      <c r="S10" s="556">
        <f t="shared" si="12"/>
        <v>0.7206567859895856</v>
      </c>
      <c r="T10" s="556">
        <f t="shared" si="13"/>
        <v>0.7206567859895856</v>
      </c>
      <c r="U10" s="498">
        <f t="shared" si="14"/>
        <v>0.7206567859895856</v>
      </c>
      <c r="V10" s="586">
        <f>SUM('Cuadro Mando Integral Detallado'!R71:R84,'Cuadro Mando Integral Detallado'!R232,'Cuadro Mando Integral Detallado'!R251:R252,'Cuadro Mando Integral Detallado'!R308:R321)/COUNT('Cuadro Mando Integral Detallado'!R71:R84,'Cuadro Mando Integral Detallado'!R232,'Cuadro Mando Integral Detallado'!R251:R252,'Cuadro Mando Integral Detallado'!R308:R321)</f>
        <v>0.15282223431151751</v>
      </c>
      <c r="W10" s="571">
        <f t="shared" si="15"/>
        <v>0.15282223431151751</v>
      </c>
      <c r="X10" s="568">
        <f t="shared" si="16"/>
        <v>0.15282223431151751</v>
      </c>
      <c r="Y10" s="568">
        <f t="shared" si="17"/>
        <v>0.15282223431151751</v>
      </c>
      <c r="Z10" s="568">
        <f t="shared" si="18"/>
        <v>0.15282223431151751</v>
      </c>
      <c r="AA10" s="508">
        <f t="shared" si="19"/>
        <v>0.15282223431151751</v>
      </c>
      <c r="AB10" s="505"/>
      <c r="AC10" s="513">
        <f>SUM('Cuadro Mando Integral Detallado'!W71:W84,'Cuadro Mando Integral Detallado'!W232,'Cuadro Mando Integral Detallado'!W251:W252,'Cuadro Mando Integral Detallado'!W308:W321)/COUNT('Cuadro Mando Integral Detallado'!W71:W84,'Cuadro Mando Integral Detallado'!W232,'Cuadro Mando Integral Detallado'!W251:W252,'Cuadro Mando Integral Detallado'!W308:W321)</f>
        <v>0.72518984289761057</v>
      </c>
      <c r="AD10" s="582">
        <f t="shared" si="20"/>
        <v>0.72518984289761057</v>
      </c>
      <c r="AE10" s="556">
        <f t="shared" si="21"/>
        <v>0.72518984289761057</v>
      </c>
      <c r="AF10" s="556">
        <f t="shared" si="22"/>
        <v>0.72518984289761057</v>
      </c>
      <c r="AG10" s="556">
        <f t="shared" si="23"/>
        <v>0.72518984289761057</v>
      </c>
      <c r="AH10" s="498">
        <f t="shared" si="24"/>
        <v>0.72518984289761057</v>
      </c>
      <c r="AI10" s="586">
        <f>SUM('Cuadro Mando Integral Detallado'!Y71:Y84,'Cuadro Mando Integral Detallado'!Y232,'Cuadro Mando Integral Detallado'!Y251:Y252,'Cuadro Mando Integral Detallado'!Y308:Y321)/COUNT('Cuadro Mando Integral Detallado'!Y71:Y84,'Cuadro Mando Integral Detallado'!Y232,'Cuadro Mando Integral Detallado'!Y251:Y252,'Cuadro Mando Integral Detallado'!Y308:Y321)</f>
        <v>0.28441271577187693</v>
      </c>
      <c r="AJ10" s="582">
        <f t="shared" si="25"/>
        <v>0.28441271577187693</v>
      </c>
      <c r="AK10" s="568">
        <f t="shared" si="26"/>
        <v>0.28441271577187693</v>
      </c>
      <c r="AL10" s="568">
        <f t="shared" si="27"/>
        <v>0.28441271577187693</v>
      </c>
      <c r="AM10" s="568">
        <f t="shared" si="28"/>
        <v>0.28441271577187693</v>
      </c>
      <c r="AN10" s="508">
        <f t="shared" si="29"/>
        <v>0.28441271577187693</v>
      </c>
      <c r="AO10" s="505"/>
      <c r="AP10" s="513">
        <f>SUM('Cuadro Mando Integral Detallado'!AD71:AD84,'Cuadro Mando Integral Detallado'!AD232,'Cuadro Mando Integral Detallado'!AD251:AD252,'Cuadro Mando Integral Detallado'!AD308:AD321)/COUNT('Cuadro Mando Integral Detallado'!AD71:AD84,'Cuadro Mando Integral Detallado'!AD232,'Cuadro Mando Integral Detallado'!AD251:AD252,'Cuadro Mando Integral Detallado'!AD308:AD321)</f>
        <v>0.85487681738020649</v>
      </c>
      <c r="AQ10" s="582">
        <f t="shared" si="30"/>
        <v>0.85487681738020649</v>
      </c>
      <c r="AR10" s="556">
        <f t="shared" si="31"/>
        <v>0.85487681738020649</v>
      </c>
      <c r="AS10" s="556">
        <f t="shared" si="32"/>
        <v>0.85487681738020649</v>
      </c>
      <c r="AT10" s="556">
        <f t="shared" si="33"/>
        <v>0.85487681738020649</v>
      </c>
      <c r="AU10" s="498">
        <f t="shared" si="34"/>
        <v>0.85487681738020649</v>
      </c>
      <c r="AV10" s="586">
        <f>SUM('Cuadro Mando Integral Detallado'!AF71:AF84,'Cuadro Mando Integral Detallado'!AF232,'Cuadro Mando Integral Detallado'!AF251:AF252,'Cuadro Mando Integral Detallado'!AF308:AF321)/COUNT('Cuadro Mando Integral Detallado'!AF71:AF84,'Cuadro Mando Integral Detallado'!AF232,'Cuadro Mando Integral Detallado'!AF251:AF252,'Cuadro Mando Integral Detallado'!AF308:AF321)</f>
        <v>0.61502502119553359</v>
      </c>
      <c r="AW10" s="582">
        <f t="shared" si="39"/>
        <v>0.61502502119553359</v>
      </c>
      <c r="AX10" s="568">
        <f t="shared" si="35"/>
        <v>0.61502502119553359</v>
      </c>
      <c r="AY10" s="568">
        <f t="shared" si="36"/>
        <v>0.61502502119553359</v>
      </c>
      <c r="AZ10" s="568">
        <f t="shared" si="37"/>
        <v>0.61502502119553359</v>
      </c>
      <c r="BA10" s="508">
        <f t="shared" si="38"/>
        <v>0.61502502119553359</v>
      </c>
    </row>
    <row r="11" spans="1:53" ht="36" x14ac:dyDescent="0.25">
      <c r="A11" s="296" t="s">
        <v>29</v>
      </c>
      <c r="B11" s="413"/>
      <c r="C11" s="596">
        <f>SUM('Cuadro Mando Integral Detallado'!I15,'Cuadro Mando Integral Detallado'!I18:I34,'Cuadro Mando Integral Detallado'!I120:I144,'Cuadro Mando Integral Detallado'!I257:I277,'Cuadro Mando Integral Detallado'!I334:I363)/COUNT('Cuadro Mando Integral Detallado'!I15,'Cuadro Mando Integral Detallado'!I18:I34,'Cuadro Mando Integral Detallado'!I120:I144,'Cuadro Mando Integral Detallado'!I257:I277,'Cuadro Mando Integral Detallado'!I334:I363)</f>
        <v>0.86671630975762526</v>
      </c>
      <c r="D11" s="582">
        <f t="shared" si="0"/>
        <v>0.86671630975762526</v>
      </c>
      <c r="E11" s="556">
        <f t="shared" si="1"/>
        <v>0.86671630975762526</v>
      </c>
      <c r="F11" s="556">
        <f t="shared" si="2"/>
        <v>0.86671630975762526</v>
      </c>
      <c r="G11" s="556">
        <f t="shared" si="3"/>
        <v>0.86671630975762526</v>
      </c>
      <c r="H11" s="498">
        <f t="shared" si="4"/>
        <v>0.86671630975762526</v>
      </c>
      <c r="I11" s="586">
        <f>SUM('Cuadro Mando Integral Detallado'!K18:K34,'Cuadro Mando Integral Detallado'!K15:K17,'Cuadro Mando Integral Detallado'!K120:K144,'Cuadro Mando Integral Detallado'!K257:K277,'Cuadro Mando Integral Detallado'!K334:K363)/COUNT('Cuadro Mando Integral Detallado'!K18:K34,'Cuadro Mando Integral Detallado'!K15:K17,'Cuadro Mando Integral Detallado'!K120:K144,'Cuadro Mando Integral Detallado'!K257:K277,'Cuadro Mando Integral Detallado'!K334:K363)</f>
        <v>0.2000039103561814</v>
      </c>
      <c r="J11" s="571">
        <f>+I11</f>
        <v>0.2000039103561814</v>
      </c>
      <c r="K11" s="568">
        <f t="shared" si="6"/>
        <v>0.2000039103561814</v>
      </c>
      <c r="L11" s="568">
        <f t="shared" si="7"/>
        <v>0.2000039103561814</v>
      </c>
      <c r="M11" s="568">
        <f t="shared" si="8"/>
        <v>0.2000039103561814</v>
      </c>
      <c r="N11" s="508">
        <f t="shared" si="9"/>
        <v>0.2000039103561814</v>
      </c>
      <c r="O11" s="163"/>
      <c r="P11" s="513">
        <f>SUM('Cuadro Mando Integral Detallado'!P15, 'Cuadro Mando Integral Detallado'!P18:P34,'Cuadro Mando Integral Detallado'!P120:P123,'Cuadro Mando Integral Detallado'!P125:P144,'Cuadro Mando Integral Detallado'!P257:P277,'Cuadro Mando Integral Detallado'!P334:P363)/COUNT('Cuadro Mando Integral Detallado'!P15, 'Cuadro Mando Integral Detallado'!P18:P34,'Cuadro Mando Integral Detallado'!P120:P123,'Cuadro Mando Integral Detallado'!P125:P144,'Cuadro Mando Integral Detallado'!P257:P277,'Cuadro Mando Integral Detallado'!P334:P363)</f>
        <v>0.80508891457290355</v>
      </c>
      <c r="Q11" s="582">
        <f t="shared" si="10"/>
        <v>0.80508891457290355</v>
      </c>
      <c r="R11" s="556">
        <f t="shared" si="11"/>
        <v>0.80508891457290355</v>
      </c>
      <c r="S11" s="556">
        <f t="shared" si="12"/>
        <v>0.80508891457290355</v>
      </c>
      <c r="T11" s="556">
        <f t="shared" si="13"/>
        <v>0.80508891457290355</v>
      </c>
      <c r="U11" s="498">
        <f t="shared" si="14"/>
        <v>0.80508891457290355</v>
      </c>
      <c r="V11" s="586">
        <f>SUM('Cuadro Mando Integral Detallado'!R15,'Cuadro Mando Integral Detallado'!R18:R34,'Cuadro Mando Integral Detallado'!R120:R123,'Cuadro Mando Integral Detallado'!R125:R144,'Cuadro Mando Integral Detallado'!R257:R277,'Cuadro Mando Integral Detallado'!R334:R363)/COUNT('Cuadro Mando Integral Detallado'!R15, 'Cuadro Mando Integral Detallado'!R18:R34,'Cuadro Mando Integral Detallado'!R120:R123,'Cuadro Mando Integral Detallado'!R125:R144,'Cuadro Mando Integral Detallado'!R257:R277,'Cuadro Mando Integral Detallado'!R334:R363)</f>
        <v>0.41836317739456041</v>
      </c>
      <c r="W11" s="571">
        <f t="shared" si="15"/>
        <v>0.41836317739456041</v>
      </c>
      <c r="X11" s="568">
        <f t="shared" si="16"/>
        <v>0.41836317739456041</v>
      </c>
      <c r="Y11" s="568">
        <f t="shared" si="17"/>
        <v>0.41836317739456041</v>
      </c>
      <c r="Z11" s="568">
        <f t="shared" si="18"/>
        <v>0.41836317739456041</v>
      </c>
      <c r="AA11" s="508">
        <f t="shared" si="19"/>
        <v>0.41836317739456041</v>
      </c>
      <c r="AB11" s="505"/>
      <c r="AC11" s="513">
        <f>SUM('Cuadro Mando Integral Detallado'!W15,'Cuadro Mando Integral Detallado'!W18:W34,'Cuadro Mando Integral Detallado'!W120:W123,'Cuadro Mando Integral Detallado'!W125:W144,'Cuadro Mando Integral Detallado'!W257:W277,'Cuadro Mando Integral Detallado'!W334:W363)/COUNT('Cuadro Mando Integral Detallado'!W15,'Cuadro Mando Integral Detallado'!W18:W34,'Cuadro Mando Integral Detallado'!W120:W123,'Cuadro Mando Integral Detallado'!W125:W144,'Cuadro Mando Integral Detallado'!W257:W277,'Cuadro Mando Integral Detallado'!W334:W363)</f>
        <v>0.78823695673290439</v>
      </c>
      <c r="AD11" s="582">
        <f t="shared" si="20"/>
        <v>0.78823695673290439</v>
      </c>
      <c r="AE11" s="556">
        <f t="shared" si="21"/>
        <v>0.78823695673290439</v>
      </c>
      <c r="AF11" s="556">
        <f t="shared" si="22"/>
        <v>0.78823695673290439</v>
      </c>
      <c r="AG11" s="556">
        <f t="shared" si="23"/>
        <v>0.78823695673290439</v>
      </c>
      <c r="AH11" s="498">
        <f t="shared" si="24"/>
        <v>0.78823695673290439</v>
      </c>
      <c r="AI11" s="586">
        <f>SUM('Cuadro Mando Integral Detallado'!Y15,'Cuadro Mando Integral Detallado'!Y18:Y34,'Cuadro Mando Integral Detallado'!Y120:Y123,'Cuadro Mando Integral Detallado'!Y125:Y144,'Cuadro Mando Integral Detallado'!Y257:Y277,'Cuadro Mando Integral Detallado'!Y334:Y363)/COUNT('Cuadro Mando Integral Detallado'!Y15,'Cuadro Mando Integral Detallado'!Y18:Y34,'Cuadro Mando Integral Detallado'!Y120:Y123,'Cuadro Mando Integral Detallado'!Y125:Y144,'Cuadro Mando Integral Detallado'!Y257:Y277,'Cuadro Mando Integral Detallado'!Y334:Y363)</f>
        <v>0.62863792838823351</v>
      </c>
      <c r="AJ11" s="582">
        <f t="shared" si="25"/>
        <v>0.62863792838823351</v>
      </c>
      <c r="AK11" s="568">
        <f t="shared" si="26"/>
        <v>0.62863792838823351</v>
      </c>
      <c r="AL11" s="568">
        <f t="shared" si="27"/>
        <v>0.62863792838823351</v>
      </c>
      <c r="AM11" s="568">
        <f t="shared" si="28"/>
        <v>0.62863792838823351</v>
      </c>
      <c r="AN11" s="508">
        <f t="shared" si="29"/>
        <v>0.62863792838823351</v>
      </c>
      <c r="AO11" s="505"/>
      <c r="AP11" s="513">
        <f>SUM('Cuadro Mando Integral Detallado'!AD15,'Cuadro Mando Integral Detallado'!AD18:AD34,'Cuadro Mando Integral Detallado'!AD120:AD123,'Cuadro Mando Integral Detallado'!AD125:AD144,'Cuadro Mando Integral Detallado'!AD257:AD277,'Cuadro Mando Integral Detallado'!AD334:AD363)/COUNT('Cuadro Mando Integral Detallado'!AD15,'Cuadro Mando Integral Detallado'!AD18:AD34,'Cuadro Mando Integral Detallado'!AD120:AD123,'Cuadro Mando Integral Detallado'!AD125:AD144,'Cuadro Mando Integral Detallado'!AD257:AD277,'Cuadro Mando Integral Detallado'!AD334:AD363)</f>
        <v>0.853376809608414</v>
      </c>
      <c r="AQ11" s="582">
        <f t="shared" si="30"/>
        <v>0.853376809608414</v>
      </c>
      <c r="AR11" s="556">
        <f t="shared" si="31"/>
        <v>0.853376809608414</v>
      </c>
      <c r="AS11" s="556">
        <f t="shared" si="32"/>
        <v>0.853376809608414</v>
      </c>
      <c r="AT11" s="556">
        <f t="shared" si="33"/>
        <v>0.853376809608414</v>
      </c>
      <c r="AU11" s="498">
        <f t="shared" si="34"/>
        <v>0.853376809608414</v>
      </c>
      <c r="AV11" s="586">
        <f>SUM('Cuadro Mando Integral Detallado'!AF15,'Cuadro Mando Integral Detallado'!AF18:AF34,'Cuadro Mando Integral Detallado'!AF120:AF123,'Cuadro Mando Integral Detallado'!AF125:AF144,'Cuadro Mando Integral Detallado'!AF257:AF277,'Cuadro Mando Integral Detallado'!AF334:AF363)/COUNT('Cuadro Mando Integral Detallado'!AF15,'Cuadro Mando Integral Detallado'!AF18:AF34,'Cuadro Mando Integral Detallado'!AF120:AF123,'Cuadro Mando Integral Detallado'!AF125:AF144,'Cuadro Mando Integral Detallado'!AF257:AF277,'Cuadro Mando Integral Detallado'!AF334:AF363)</f>
        <v>0.99972509741319526</v>
      </c>
      <c r="AW11" s="582">
        <f t="shared" si="39"/>
        <v>0.99972509741319526</v>
      </c>
      <c r="AX11" s="568">
        <f t="shared" si="35"/>
        <v>0.99972509741319526</v>
      </c>
      <c r="AY11" s="568">
        <f t="shared" si="36"/>
        <v>0.99972509741319526</v>
      </c>
      <c r="AZ11" s="568">
        <f t="shared" si="37"/>
        <v>0.99972509741319526</v>
      </c>
      <c r="BA11" s="508">
        <f t="shared" si="38"/>
        <v>0.99972509741319526</v>
      </c>
    </row>
    <row r="12" spans="1:53" ht="36" x14ac:dyDescent="0.25">
      <c r="A12" s="296" t="s">
        <v>831</v>
      </c>
      <c r="B12" s="413"/>
      <c r="C12" s="596">
        <f>SUM('Cuadro Mando Integral Detallado'!I42,'Cuadro Mando Integral Detallado'!I166:I177,'Cuadro Mando Integral Detallado'!I236)/COUNT('Cuadro Mando Integral Detallado'!I42,'Cuadro Mando Integral Detallado'!I166:I177,'Cuadro Mando Integral Detallado'!I236)</f>
        <v>0.84814814021705642</v>
      </c>
      <c r="D12" s="582">
        <f t="shared" si="0"/>
        <v>0.84814814021705642</v>
      </c>
      <c r="E12" s="556">
        <f t="shared" si="1"/>
        <v>0.84814814021705642</v>
      </c>
      <c r="F12" s="556">
        <f t="shared" si="2"/>
        <v>0.84814814021705642</v>
      </c>
      <c r="G12" s="556">
        <f t="shared" si="3"/>
        <v>0.84814814021705642</v>
      </c>
      <c r="H12" s="498">
        <f t="shared" si="4"/>
        <v>0.84814814021705642</v>
      </c>
      <c r="I12" s="586">
        <f>SUM('Cuadro Mando Integral Detallado'!K42,'Cuadro Mando Integral Detallado'!K166:K177,'Cuadro Mando Integral Detallado'!K236)/COUNT('Cuadro Mando Integral Detallado'!K42,'Cuadro Mando Integral Detallado'!K166:K177,'Cuadro Mando Integral Detallado'!K236)</f>
        <v>4.5436507511628026E-2</v>
      </c>
      <c r="J12" s="571">
        <f t="shared" si="5"/>
        <v>4.5436507511628026E-2</v>
      </c>
      <c r="K12" s="568">
        <f t="shared" si="6"/>
        <v>4.5436507511628026E-2</v>
      </c>
      <c r="L12" s="568">
        <f t="shared" si="7"/>
        <v>4.5436507511628026E-2</v>
      </c>
      <c r="M12" s="568">
        <f t="shared" si="8"/>
        <v>4.5436507511628026E-2</v>
      </c>
      <c r="N12" s="508">
        <f t="shared" si="9"/>
        <v>4.5436507511628026E-2</v>
      </c>
      <c r="O12" s="163"/>
      <c r="P12" s="513">
        <f>SUM('Cuadro Mando Integral Detallado'!P42,'Cuadro Mando Integral Detallado'!P166:P177,'Cuadro Mando Integral Detallado'!P236)/COUNT('Cuadro Mando Integral Detallado'!P42,'Cuadro Mando Integral Detallado'!P166:P177,'Cuadro Mando Integral Detallado'!P236)</f>
        <v>1</v>
      </c>
      <c r="Q12" s="582">
        <f t="shared" si="10"/>
        <v>1</v>
      </c>
      <c r="R12" s="556">
        <f t="shared" si="11"/>
        <v>1</v>
      </c>
      <c r="S12" s="556">
        <f t="shared" si="12"/>
        <v>1</v>
      </c>
      <c r="T12" s="556">
        <f t="shared" si="13"/>
        <v>1</v>
      </c>
      <c r="U12" s="498">
        <f t="shared" si="14"/>
        <v>1</v>
      </c>
      <c r="V12" s="586">
        <f>SUM('Cuadro Mando Integral Detallado'!R42,'Cuadro Mando Integral Detallado'!R166:R177,'Cuadro Mando Integral Detallado'!R236)/COUNT('Cuadro Mando Integral Detallado'!R42,'Cuadro Mando Integral Detallado'!R166:R177,'Cuadro Mando Integral Detallado'!R236)</f>
        <v>0.38472222179734228</v>
      </c>
      <c r="W12" s="571">
        <f t="shared" si="15"/>
        <v>0.38472222179734228</v>
      </c>
      <c r="X12" s="568">
        <f t="shared" si="16"/>
        <v>0.38472222179734228</v>
      </c>
      <c r="Y12" s="568">
        <f t="shared" si="17"/>
        <v>0.38472222179734228</v>
      </c>
      <c r="Z12" s="568">
        <f t="shared" si="18"/>
        <v>0.38472222179734228</v>
      </c>
      <c r="AA12" s="508">
        <f t="shared" si="19"/>
        <v>0.38472222179734228</v>
      </c>
      <c r="AB12" s="505"/>
      <c r="AC12" s="513">
        <f>SUM('Cuadro Mando Integral Detallado'!W42,'Cuadro Mando Integral Detallado'!W166:W177,'Cuadro Mando Integral Detallado'!W236)/COUNT('Cuadro Mando Integral Detallado'!W42,'Cuadro Mando Integral Detallado'!W166:W177,'Cuadro Mando Integral Detallado'!W236)</f>
        <v>1</v>
      </c>
      <c r="AD12" s="582">
        <f t="shared" si="20"/>
        <v>1</v>
      </c>
      <c r="AE12" s="556">
        <f t="shared" si="21"/>
        <v>1</v>
      </c>
      <c r="AF12" s="556">
        <f t="shared" si="22"/>
        <v>1</v>
      </c>
      <c r="AG12" s="556">
        <f t="shared" si="23"/>
        <v>1</v>
      </c>
      <c r="AH12" s="498">
        <f t="shared" si="24"/>
        <v>1</v>
      </c>
      <c r="AI12" s="586">
        <f>SUM('Cuadro Mando Integral Detallado'!Y42,'Cuadro Mando Integral Detallado'!Y166:Y177,'Cuadro Mando Integral Detallado'!Y236)/COUNT('Cuadro Mando Integral Detallado'!Y42,'Cuadro Mando Integral Detallado'!Y166:Y177,'Cuadro Mando Integral Detallado'!Y236)</f>
        <v>0.50972222179734228</v>
      </c>
      <c r="AJ12" s="582">
        <f>+AI12</f>
        <v>0.50972222179734228</v>
      </c>
      <c r="AK12" s="568">
        <f t="shared" si="26"/>
        <v>0.50972222179734228</v>
      </c>
      <c r="AL12" s="568">
        <f t="shared" si="27"/>
        <v>0.50972222179734228</v>
      </c>
      <c r="AM12" s="568">
        <f t="shared" si="28"/>
        <v>0.50972222179734228</v>
      </c>
      <c r="AN12" s="508">
        <f t="shared" si="29"/>
        <v>0.50972222179734228</v>
      </c>
      <c r="AO12" s="505"/>
      <c r="AP12" s="513">
        <f>SUM('Cuadro Mando Integral Detallado'!AD42,'Cuadro Mando Integral Detallado'!AD166:AD177,'Cuadro Mando Integral Detallado'!AD236)/COUNT('Cuadro Mando Integral Detallado'!AD42,'Cuadro Mando Integral Detallado'!AD166:AD177,'Cuadro Mando Integral Detallado'!AD236)</f>
        <v>0.90864197194393648</v>
      </c>
      <c r="AQ12" s="582">
        <f t="shared" si="30"/>
        <v>0.90864197194393648</v>
      </c>
      <c r="AR12" s="556">
        <f t="shared" si="31"/>
        <v>0.90864197194393648</v>
      </c>
      <c r="AS12" s="556">
        <f t="shared" si="32"/>
        <v>0.90864197194393648</v>
      </c>
      <c r="AT12" s="556">
        <f t="shared" si="33"/>
        <v>0.90864197194393648</v>
      </c>
      <c r="AU12" s="498">
        <f t="shared" si="34"/>
        <v>0.90864197194393648</v>
      </c>
      <c r="AV12" s="586">
        <f>SUM('Cuadro Mando Integral Detallado'!AF42,'Cuadro Mando Integral Detallado'!AF166:AF177,'Cuadro Mando Integral Detallado'!AF236)/COUNT('Cuadro Mando Integral Detallado'!AF42,'Cuadro Mando Integral Detallado'!AF166:AF177,'Cuadro Mando Integral Detallado'!AF236)</f>
        <v>0.97718253871690364</v>
      </c>
      <c r="AW12" s="582">
        <f>+AV12</f>
        <v>0.97718253871690364</v>
      </c>
      <c r="AX12" s="568">
        <f t="shared" si="35"/>
        <v>0.97718253871690364</v>
      </c>
      <c r="AY12" s="568">
        <f t="shared" si="36"/>
        <v>0.97718253871690364</v>
      </c>
      <c r="AZ12" s="568">
        <f t="shared" si="37"/>
        <v>0.97718253871690364</v>
      </c>
      <c r="BA12" s="508">
        <f t="shared" si="38"/>
        <v>0.97718253871690364</v>
      </c>
    </row>
    <row r="13" spans="1:53" ht="18" x14ac:dyDescent="0.25">
      <c r="A13" s="296" t="s">
        <v>349</v>
      </c>
      <c r="B13" s="413"/>
      <c r="C13" s="596">
        <f>SUM('Cuadro Mando Integral Detallado'!I86:I107,'Cuadro Mando Integral Detallado'!I216:I226,'Cuadro Mando Integral Detallado'!I235,'Cuadro Mando Integral Detallado'!I286:I287,'Cuadro Mando Integral Detallado'!I324:I331)/COUNT('Cuadro Mando Integral Detallado'!I86:I107,'Cuadro Mando Integral Detallado'!I216:I226,'Cuadro Mando Integral Detallado'!I235,'Cuadro Mando Integral Detallado'!I286:I287,'Cuadro Mando Integral Detallado'!I324:I331)</f>
        <v>0.59042726615354113</v>
      </c>
      <c r="D13" s="582">
        <f t="shared" si="0"/>
        <v>0.59042726615354113</v>
      </c>
      <c r="E13" s="556">
        <f t="shared" si="1"/>
        <v>0.59042726615354113</v>
      </c>
      <c r="F13" s="556">
        <f t="shared" si="2"/>
        <v>0.59042726615354113</v>
      </c>
      <c r="G13" s="556">
        <f t="shared" si="3"/>
        <v>0.59042726615354113</v>
      </c>
      <c r="H13" s="498">
        <f t="shared" si="4"/>
        <v>0.59042726615354113</v>
      </c>
      <c r="I13" s="586">
        <f>SUM('Cuadro Mando Integral Detallado'!K86:K107,'Cuadro Mando Integral Detallado'!K216:K226,'Cuadro Mando Integral Detallado'!K235,'Cuadro Mando Integral Detallado'!K286:K287,'Cuadro Mando Integral Detallado'!K324:K331)/COUNT('Cuadro Mando Integral Detallado'!K86:K107,'Cuadro Mando Integral Detallado'!K216:K226,'Cuadro Mando Integral Detallado'!K235,'Cuadro Mando Integral Detallado'!K286:K287,'Cuadro Mando Integral Detallado'!K324:K331)</f>
        <v>0.12139540766687137</v>
      </c>
      <c r="J13" s="571">
        <f t="shared" si="5"/>
        <v>0.12139540766687137</v>
      </c>
      <c r="K13" s="568">
        <f t="shared" si="6"/>
        <v>0.12139540766687137</v>
      </c>
      <c r="L13" s="568">
        <f t="shared" si="7"/>
        <v>0.12139540766687137</v>
      </c>
      <c r="M13" s="568">
        <f t="shared" si="8"/>
        <v>0.12139540766687137</v>
      </c>
      <c r="N13" s="508">
        <f t="shared" si="9"/>
        <v>0.12139540766687137</v>
      </c>
      <c r="O13" s="163"/>
      <c r="P13" s="513">
        <f>SUM('Cuadro Mando Integral Detallado'!P86:P107,'Cuadro Mando Integral Detallado'!P216:P226,'Cuadro Mando Integral Detallado'!P235,'Cuadro Mando Integral Detallado'!P286:P287,'Cuadro Mando Integral Detallado'!P324:P331)/COUNT('Cuadro Mando Integral Detallado'!P86:P107,'Cuadro Mando Integral Detallado'!P216:P226,'Cuadro Mando Integral Detallado'!P235,'Cuadro Mando Integral Detallado'!P286:P287,'Cuadro Mando Integral Detallado'!P324:P331)</f>
        <v>0.70739902559113255</v>
      </c>
      <c r="Q13" s="582">
        <f t="shared" si="10"/>
        <v>0.70739902559113255</v>
      </c>
      <c r="R13" s="556">
        <f t="shared" si="11"/>
        <v>0.70739902559113255</v>
      </c>
      <c r="S13" s="556">
        <f t="shared" si="12"/>
        <v>0.70739902559113255</v>
      </c>
      <c r="T13" s="556">
        <f t="shared" si="13"/>
        <v>0.70739902559113255</v>
      </c>
      <c r="U13" s="498">
        <f t="shared" si="14"/>
        <v>0.70739902559113255</v>
      </c>
      <c r="V13" s="586">
        <f>SUM('Cuadro Mando Integral Detallado'!R86:R107,'Cuadro Mando Integral Detallado'!R216:R226,'Cuadro Mando Integral Detallado'!R235,'Cuadro Mando Integral Detallado'!R286:R287,'Cuadro Mando Integral Detallado'!R324:R331)/COUNT('Cuadro Mando Integral Detallado'!R86:R107,'Cuadro Mando Integral Detallado'!R216:R226,'Cuadro Mando Integral Detallado'!R235,'Cuadro Mando Integral Detallado'!R286:R287,'Cuadro Mando Integral Detallado'!R324:R331)</f>
        <v>0.26426916794276312</v>
      </c>
      <c r="W13" s="571">
        <f t="shared" si="15"/>
        <v>0.26426916794276312</v>
      </c>
      <c r="X13" s="568">
        <f t="shared" si="16"/>
        <v>0.26426916794276312</v>
      </c>
      <c r="Y13" s="568">
        <f t="shared" si="17"/>
        <v>0.26426916794276312</v>
      </c>
      <c r="Z13" s="568">
        <f t="shared" si="18"/>
        <v>0.26426916794276312</v>
      </c>
      <c r="AA13" s="508">
        <f t="shared" si="19"/>
        <v>0.26426916794276312</v>
      </c>
      <c r="AB13" s="505"/>
      <c r="AC13" s="513">
        <f>SUM('Cuadro Mando Integral Detallado'!W86:W108,'Cuadro Mando Integral Detallado'!W216:W226,'Cuadro Mando Integral Detallado'!W235,'Cuadro Mando Integral Detallado'!W286:W287,'Cuadro Mando Integral Detallado'!W324:W331)/COUNT('Cuadro Mando Integral Detallado'!W86:W108,'Cuadro Mando Integral Detallado'!W216:W226,'Cuadro Mando Integral Detallado'!W235,'Cuadro Mando Integral Detallado'!W286:W287,'Cuadro Mando Integral Detallado'!W324:W331)</f>
        <v>0.74233350124981989</v>
      </c>
      <c r="AD13" s="582">
        <f t="shared" si="20"/>
        <v>0.74233350124981989</v>
      </c>
      <c r="AE13" s="556">
        <f t="shared" si="21"/>
        <v>0.74233350124981989</v>
      </c>
      <c r="AF13" s="556">
        <f t="shared" si="22"/>
        <v>0.74233350124981989</v>
      </c>
      <c r="AG13" s="556">
        <f t="shared" si="23"/>
        <v>0.74233350124981989</v>
      </c>
      <c r="AH13" s="498">
        <f t="shared" si="24"/>
        <v>0.74233350124981989</v>
      </c>
      <c r="AI13" s="586">
        <f>SUM('Cuadro Mando Integral Detallado'!Y86:Y108,'Cuadro Mando Integral Detallado'!Y216:Y226,'Cuadro Mando Integral Detallado'!Y235,'Cuadro Mando Integral Detallado'!Y286:Y287,'Cuadro Mando Integral Detallado'!Y324:Y331)/COUNT('Cuadro Mando Integral Detallado'!Y86:Y108,'Cuadro Mando Integral Detallado'!Y216:Y226,'Cuadro Mando Integral Detallado'!Y235,'Cuadro Mando Integral Detallado'!Y286:Y287,'Cuadro Mando Integral Detallado'!Y324:Y331)</f>
        <v>0.39598439977723809</v>
      </c>
      <c r="AJ13" s="582">
        <f t="shared" si="25"/>
        <v>0.39598439977723809</v>
      </c>
      <c r="AK13" s="568">
        <f t="shared" si="26"/>
        <v>0.39598439977723809</v>
      </c>
      <c r="AL13" s="568">
        <f t="shared" si="27"/>
        <v>0.39598439977723809</v>
      </c>
      <c r="AM13" s="568">
        <f t="shared" si="28"/>
        <v>0.39598439977723809</v>
      </c>
      <c r="AN13" s="508">
        <f t="shared" si="29"/>
        <v>0.39598439977723809</v>
      </c>
      <c r="AO13" s="505"/>
      <c r="AP13" s="513">
        <f>SUM('Cuadro Mando Integral Detallado'!AD86:AD108,'Cuadro Mando Integral Detallado'!AD216:AD226,'Cuadro Mando Integral Detallado'!AD235,'Cuadro Mando Integral Detallado'!AD286:AD287,'Cuadro Mando Integral Detallado'!AD324:AD331)/COUNT('Cuadro Mando Integral Detallado'!AD86:AD108,'Cuadro Mando Integral Detallado'!AD216:AD226,'Cuadro Mando Integral Detallado'!AD235,'Cuadro Mando Integral Detallado'!AD286:AD287,'Cuadro Mando Integral Detallado'!AD324:AD331)</f>
        <v>0.93938280145256992</v>
      </c>
      <c r="AQ13" s="582">
        <f t="shared" si="30"/>
        <v>0.93938280145256992</v>
      </c>
      <c r="AR13" s="556">
        <f t="shared" si="31"/>
        <v>0.93938280145256992</v>
      </c>
      <c r="AS13" s="556">
        <f t="shared" si="32"/>
        <v>0.93938280145256992</v>
      </c>
      <c r="AT13" s="556">
        <f t="shared" si="33"/>
        <v>0.93938280145256992</v>
      </c>
      <c r="AU13" s="498">
        <f t="shared" si="34"/>
        <v>0.93938280145256992</v>
      </c>
      <c r="AV13" s="586">
        <f>SUM('Cuadro Mando Integral Detallado'!AF86:AF108,'Cuadro Mando Integral Detallado'!AF216:AF226,'Cuadro Mando Integral Detallado'!AF235,'Cuadro Mando Integral Detallado'!AF286:AF287,'Cuadro Mando Integral Detallado'!AF324:AF331)/COUNT('Cuadro Mando Integral Detallado'!AF86:AF108,'Cuadro Mando Integral Detallado'!AF216:AF226,'Cuadro Mando Integral Detallado'!AF235,'Cuadro Mando Integral Detallado'!AF286:AF287,'Cuadro Mando Integral Detallado'!AF324:AF331)</f>
        <v>3.2227646408898227</v>
      </c>
      <c r="AW13" s="582">
        <f t="shared" si="39"/>
        <v>3.2227646408898227</v>
      </c>
      <c r="AX13" s="568">
        <f t="shared" si="35"/>
        <v>3.2227646408898227</v>
      </c>
      <c r="AY13" s="568">
        <f t="shared" si="36"/>
        <v>3.2227646408898227</v>
      </c>
      <c r="AZ13" s="568">
        <f t="shared" si="37"/>
        <v>3.2227646408898227</v>
      </c>
      <c r="BA13" s="508">
        <f t="shared" si="38"/>
        <v>3.2227646408898227</v>
      </c>
    </row>
    <row r="14" spans="1:53" ht="18.75" thickBot="1" x14ac:dyDescent="0.3">
      <c r="A14" s="293" t="s">
        <v>5</v>
      </c>
      <c r="B14" s="414"/>
      <c r="C14" s="597">
        <f>SUM('Cuadro Mando Integral Detallado'!I155,'Cuadro Mando Integral Detallado'!I234,'Cuadro Mando Integral Detallado'!I278:I282,'Cuadro Mando Integral Detallado'!I376)/COUNT('Cuadro Mando Integral Detallado'!I155,'Cuadro Mando Integral Detallado'!I234,'Cuadro Mando Integral Detallado'!I278:I282,'Cuadro Mando Integral Detallado'!I376)</f>
        <v>0.97735849056603785</v>
      </c>
      <c r="D14" s="583">
        <f t="shared" si="0"/>
        <v>0.97735849056603785</v>
      </c>
      <c r="E14" s="558">
        <f t="shared" si="1"/>
        <v>0.97735849056603785</v>
      </c>
      <c r="F14" s="558">
        <f t="shared" si="2"/>
        <v>0.97735849056603785</v>
      </c>
      <c r="G14" s="558">
        <f t="shared" si="3"/>
        <v>0.97735849056603785</v>
      </c>
      <c r="H14" s="499">
        <f t="shared" si="4"/>
        <v>0.97735849056603785</v>
      </c>
      <c r="I14" s="587">
        <f>SUM('Cuadro Mando Integral Detallado'!K155,'Cuadro Mando Integral Detallado'!K234,'Cuadro Mando Integral Detallado'!K278:K282,'Cuadro Mando Integral Detallado'!K376)/COUNT('Cuadro Mando Integral Detallado'!K155,'Cuadro Mando Integral Detallado'!K234,'Cuadro Mando Integral Detallado'!K278:K282,'Cuadro Mando Integral Detallado'!K376)</f>
        <v>0.21875</v>
      </c>
      <c r="J14" s="572">
        <f t="shared" si="5"/>
        <v>0.21875</v>
      </c>
      <c r="K14" s="573">
        <f t="shared" si="6"/>
        <v>0.21875</v>
      </c>
      <c r="L14" s="573">
        <f t="shared" si="7"/>
        <v>0.21875</v>
      </c>
      <c r="M14" s="573">
        <f t="shared" si="8"/>
        <v>0.21875</v>
      </c>
      <c r="N14" s="509">
        <f t="shared" si="9"/>
        <v>0.21875</v>
      </c>
      <c r="O14" s="163"/>
      <c r="P14" s="514">
        <f>SUM('Cuadro Mando Integral Detallado'!P155,'Cuadro Mando Integral Detallado'!P234,'Cuadro Mando Integral Detallado'!P278:P282,'Cuadro Mando Integral Detallado'!P376)/COUNT('Cuadro Mando Integral Detallado'!P155,'Cuadro Mando Integral Detallado'!P234,'Cuadro Mando Integral Detallado'!P278:P282,'Cuadro Mando Integral Detallado'!P376)</f>
        <v>1.0771086212262684</v>
      </c>
      <c r="Q14" s="583">
        <f t="shared" si="10"/>
        <v>1.0771086212262684</v>
      </c>
      <c r="R14" s="558">
        <f t="shared" si="11"/>
        <v>1.0771086212262684</v>
      </c>
      <c r="S14" s="558">
        <f t="shared" si="12"/>
        <v>1.0771086212262684</v>
      </c>
      <c r="T14" s="558">
        <f t="shared" si="13"/>
        <v>1.0771086212262684</v>
      </c>
      <c r="U14" s="499">
        <f t="shared" si="14"/>
        <v>1.0771086212262684</v>
      </c>
      <c r="V14" s="587">
        <f>SUM('Cuadro Mando Integral Detallado'!R155,'Cuadro Mando Integral Detallado'!R234,'Cuadro Mando Integral Detallado'!R278:R282,'Cuadro Mando Integral Detallado'!R376)/COUNT('Cuadro Mando Integral Detallado'!R155,'Cuadro Mando Integral Detallado'!R234,'Cuadro Mando Integral Detallado'!R278:R282,'Cuadro Mando Integral Detallado'!R376)</f>
        <v>0.49428104575163401</v>
      </c>
      <c r="W14" s="572">
        <f t="shared" si="15"/>
        <v>0.49428104575163401</v>
      </c>
      <c r="X14" s="573">
        <f t="shared" si="16"/>
        <v>0.49428104575163401</v>
      </c>
      <c r="Y14" s="573">
        <f t="shared" si="17"/>
        <v>0.49428104575163401</v>
      </c>
      <c r="Z14" s="573">
        <f t="shared" si="18"/>
        <v>0.49428104575163401</v>
      </c>
      <c r="AA14" s="509">
        <f>+W14</f>
        <v>0.49428104575163401</v>
      </c>
      <c r="AB14" s="505"/>
      <c r="AC14" s="514">
        <f>SUM('Cuadro Mando Integral Detallado'!W155,'Cuadro Mando Integral Detallado'!W234,'Cuadro Mando Integral Detallado'!W278:W282,'Cuadro Mando Integral Detallado'!W376)/COUNT('Cuadro Mando Integral Detallado'!W155,'Cuadro Mando Integral Detallado'!W234,'Cuadro Mando Integral Detallado'!W278:W282,'Cuadro Mando Integral Detallado'!W376)</f>
        <v>0.99439775910364148</v>
      </c>
      <c r="AD14" s="583">
        <f t="shared" si="20"/>
        <v>0.99439775910364148</v>
      </c>
      <c r="AE14" s="558">
        <f t="shared" si="21"/>
        <v>0.99439775910364148</v>
      </c>
      <c r="AF14" s="558">
        <f t="shared" si="22"/>
        <v>0.99439775910364148</v>
      </c>
      <c r="AG14" s="558">
        <f t="shared" si="23"/>
        <v>0.99439775910364148</v>
      </c>
      <c r="AH14" s="499">
        <f t="shared" si="24"/>
        <v>0.99439775910364148</v>
      </c>
      <c r="AI14" s="587">
        <f>SUM('Cuadro Mando Integral Detallado'!Y155,'Cuadro Mando Integral Detallado'!Y234,'Cuadro Mando Integral Detallado'!Y278:Y282,'Cuadro Mando Integral Detallado'!Y376)/COUNT('Cuadro Mando Integral Detallado'!Y155,'Cuadro Mando Integral Detallado'!Y234,'Cuadro Mando Integral Detallado'!Y278:Y282,'Cuadro Mando Integral Detallado'!Y376)</f>
        <v>0.76327614379084974</v>
      </c>
      <c r="AJ14" s="583">
        <f>+AI14</f>
        <v>0.76327614379084974</v>
      </c>
      <c r="AK14" s="573">
        <f t="shared" si="26"/>
        <v>0.76327614379084974</v>
      </c>
      <c r="AL14" s="573">
        <f t="shared" si="27"/>
        <v>0.76327614379084974</v>
      </c>
      <c r="AM14" s="573">
        <f t="shared" si="28"/>
        <v>0.76327614379084974</v>
      </c>
      <c r="AN14" s="509">
        <f t="shared" si="29"/>
        <v>0.76327614379084974</v>
      </c>
      <c r="AO14" s="505"/>
      <c r="AP14" s="514">
        <f>SUM('Cuadro Mando Integral Detallado'!AD155,'Cuadro Mando Integral Detallado'!AD234,'Cuadro Mando Integral Detallado'!AD278:AD282,'Cuadro Mando Integral Detallado'!AD376)/COUNT('Cuadro Mando Integral Detallado'!AD155,'Cuadro Mando Integral Detallado'!AD234,'Cuadro Mando Integral Detallado'!AD278:AD282,'Cuadro Mando Integral Detallado'!AD376)</f>
        <v>1</v>
      </c>
      <c r="AQ14" s="583">
        <f t="shared" si="30"/>
        <v>1</v>
      </c>
      <c r="AR14" s="558">
        <f t="shared" si="31"/>
        <v>1</v>
      </c>
      <c r="AS14" s="558">
        <f t="shared" si="32"/>
        <v>1</v>
      </c>
      <c r="AT14" s="558">
        <f t="shared" si="33"/>
        <v>1</v>
      </c>
      <c r="AU14" s="499">
        <f t="shared" si="34"/>
        <v>1</v>
      </c>
      <c r="AV14" s="587">
        <f>SUM('Cuadro Mando Integral Detallado'!AF155,'Cuadro Mando Integral Detallado'!AF234,'Cuadro Mando Integral Detallado'!AF278:AF282,'Cuadro Mando Integral Detallado'!AF376)/COUNT('Cuadro Mando Integral Detallado'!AF155,'Cuadro Mando Integral Detallado'!AF234,'Cuadro Mando Integral Detallado'!AF278:AF282,'Cuadro Mando Integral Detallado'!AF376)</f>
        <v>1.0007761437908496</v>
      </c>
      <c r="AW14" s="583">
        <f t="shared" si="39"/>
        <v>1.0007761437908496</v>
      </c>
      <c r="AX14" s="573">
        <f t="shared" si="35"/>
        <v>1.0007761437908496</v>
      </c>
      <c r="AY14" s="573">
        <f t="shared" si="36"/>
        <v>1.0007761437908496</v>
      </c>
      <c r="AZ14" s="573">
        <f t="shared" si="37"/>
        <v>1.0007761437908496</v>
      </c>
      <c r="BA14" s="509">
        <f t="shared" si="38"/>
        <v>1.0007761437908496</v>
      </c>
    </row>
    <row r="15" spans="1:53" x14ac:dyDescent="0.25">
      <c r="A15" s="173"/>
    </row>
  </sheetData>
  <mergeCells count="18">
    <mergeCell ref="AP5:AU5"/>
    <mergeCell ref="AV5:BA5"/>
    <mergeCell ref="AP1:BA3"/>
    <mergeCell ref="B1:H1"/>
    <mergeCell ref="B2:H2"/>
    <mergeCell ref="B3:H3"/>
    <mergeCell ref="AJ3:AO3"/>
    <mergeCell ref="C5:H5"/>
    <mergeCell ref="I5:N5"/>
    <mergeCell ref="P5:U5"/>
    <mergeCell ref="V5:AA5"/>
    <mergeCell ref="AC5:AH5"/>
    <mergeCell ref="AI5:AN5"/>
    <mergeCell ref="A1:A3"/>
    <mergeCell ref="I1:AO1"/>
    <mergeCell ref="I2:AO2"/>
    <mergeCell ref="I3:N3"/>
    <mergeCell ref="O3:AH3"/>
  </mergeCells>
  <conditionalFormatting sqref="D6">
    <cfRule type="cellIs" dxfId="727" priority="375" stopIfTrue="1" operator="between">
      <formula>0</formula>
      <formula>0.5</formula>
    </cfRule>
  </conditionalFormatting>
  <conditionalFormatting sqref="E6">
    <cfRule type="cellIs" dxfId="726" priority="374" operator="between">
      <formula>0.51</formula>
      <formula>0.75</formula>
    </cfRule>
  </conditionalFormatting>
  <conditionalFormatting sqref="F6">
    <cfRule type="cellIs" dxfId="725" priority="373" operator="between">
      <formula>0.76</formula>
      <formula>0.95</formula>
    </cfRule>
  </conditionalFormatting>
  <conditionalFormatting sqref="G6">
    <cfRule type="cellIs" dxfId="724" priority="372" operator="between">
      <formula>0.95</formula>
      <formula>1</formula>
    </cfRule>
  </conditionalFormatting>
  <conditionalFormatting sqref="H6">
    <cfRule type="cellIs" dxfId="723" priority="371" operator="greaterThan">
      <formula>1</formula>
    </cfRule>
  </conditionalFormatting>
  <conditionalFormatting sqref="D7">
    <cfRule type="cellIs" dxfId="722" priority="370" stopIfTrue="1" operator="between">
      <formula>0</formula>
      <formula>0.5</formula>
    </cfRule>
  </conditionalFormatting>
  <conditionalFormatting sqref="E7">
    <cfRule type="cellIs" dxfId="721" priority="369" operator="between">
      <formula>0.51</formula>
      <formula>0.75</formula>
    </cfRule>
  </conditionalFormatting>
  <conditionalFormatting sqref="F7">
    <cfRule type="cellIs" dxfId="720" priority="368" operator="between">
      <formula>0.76</formula>
      <formula>0.95</formula>
    </cfRule>
  </conditionalFormatting>
  <conditionalFormatting sqref="G7">
    <cfRule type="cellIs" dxfId="719" priority="367" operator="between">
      <formula>0.95</formula>
      <formula>1</formula>
    </cfRule>
  </conditionalFormatting>
  <conditionalFormatting sqref="H7">
    <cfRule type="cellIs" dxfId="718" priority="366" operator="greaterThan">
      <formula>1</formula>
    </cfRule>
  </conditionalFormatting>
  <conditionalFormatting sqref="D8">
    <cfRule type="cellIs" dxfId="717" priority="365" stopIfTrue="1" operator="between">
      <formula>0</formula>
      <formula>0.5</formula>
    </cfRule>
  </conditionalFormatting>
  <conditionalFormatting sqref="E8">
    <cfRule type="cellIs" dxfId="716" priority="364" operator="between">
      <formula>0.51</formula>
      <formula>0.75</formula>
    </cfRule>
  </conditionalFormatting>
  <conditionalFormatting sqref="F8">
    <cfRule type="cellIs" dxfId="715" priority="363" operator="between">
      <formula>0.76</formula>
      <formula>0.95</formula>
    </cfRule>
  </conditionalFormatting>
  <conditionalFormatting sqref="G8">
    <cfRule type="cellIs" dxfId="714" priority="362" operator="between">
      <formula>0.95</formula>
      <formula>1</formula>
    </cfRule>
  </conditionalFormatting>
  <conditionalFormatting sqref="H8">
    <cfRule type="cellIs" dxfId="713" priority="361" operator="greaterThan">
      <formula>1</formula>
    </cfRule>
  </conditionalFormatting>
  <conditionalFormatting sqref="D9">
    <cfRule type="cellIs" dxfId="712" priority="360" stopIfTrue="1" operator="between">
      <formula>0</formula>
      <formula>0.5</formula>
    </cfRule>
  </conditionalFormatting>
  <conditionalFormatting sqref="E9">
    <cfRule type="cellIs" dxfId="711" priority="359" operator="between">
      <formula>0.51</formula>
      <formula>0.75</formula>
    </cfRule>
  </conditionalFormatting>
  <conditionalFormatting sqref="F9">
    <cfRule type="cellIs" dxfId="710" priority="358" operator="between">
      <formula>0.76</formula>
      <formula>0.95</formula>
    </cfRule>
  </conditionalFormatting>
  <conditionalFormatting sqref="G9">
    <cfRule type="cellIs" dxfId="709" priority="357" operator="between">
      <formula>0.95</formula>
      <formula>1</formula>
    </cfRule>
  </conditionalFormatting>
  <conditionalFormatting sqref="H9">
    <cfRule type="cellIs" dxfId="708" priority="356" operator="greaterThan">
      <formula>1</formula>
    </cfRule>
  </conditionalFormatting>
  <conditionalFormatting sqref="D10">
    <cfRule type="cellIs" dxfId="707" priority="355" stopIfTrue="1" operator="between">
      <formula>0</formula>
      <formula>0.5</formula>
    </cfRule>
  </conditionalFormatting>
  <conditionalFormatting sqref="E10">
    <cfRule type="cellIs" dxfId="706" priority="354" operator="between">
      <formula>0.51</formula>
      <formula>0.75</formula>
    </cfRule>
  </conditionalFormatting>
  <conditionalFormatting sqref="F10">
    <cfRule type="cellIs" dxfId="705" priority="353" operator="between">
      <formula>0.76</formula>
      <formula>0.95</formula>
    </cfRule>
  </conditionalFormatting>
  <conditionalFormatting sqref="G10">
    <cfRule type="cellIs" dxfId="704" priority="352" operator="between">
      <formula>0.95</formula>
      <formula>1</formula>
    </cfRule>
  </conditionalFormatting>
  <conditionalFormatting sqref="H10">
    <cfRule type="cellIs" dxfId="703" priority="351" operator="greaterThan">
      <formula>1</formula>
    </cfRule>
  </conditionalFormatting>
  <conditionalFormatting sqref="D11">
    <cfRule type="cellIs" dxfId="702" priority="350" stopIfTrue="1" operator="between">
      <formula>0</formula>
      <formula>0.5</formula>
    </cfRule>
  </conditionalFormatting>
  <conditionalFormatting sqref="E11">
    <cfRule type="cellIs" dxfId="701" priority="349" operator="between">
      <formula>0.51</formula>
      <formula>0.75</formula>
    </cfRule>
  </conditionalFormatting>
  <conditionalFormatting sqref="F11">
    <cfRule type="cellIs" dxfId="700" priority="348" operator="between">
      <formula>0.76</formula>
      <formula>0.95</formula>
    </cfRule>
  </conditionalFormatting>
  <conditionalFormatting sqref="G11">
    <cfRule type="cellIs" dxfId="699" priority="347" operator="between">
      <formula>0.95</formula>
      <formula>1</formula>
    </cfRule>
  </conditionalFormatting>
  <conditionalFormatting sqref="H11">
    <cfRule type="cellIs" dxfId="698" priority="346" operator="greaterThan">
      <formula>1</formula>
    </cfRule>
  </conditionalFormatting>
  <conditionalFormatting sqref="D12">
    <cfRule type="cellIs" dxfId="697" priority="345" stopIfTrue="1" operator="between">
      <formula>0</formula>
      <formula>0.5</formula>
    </cfRule>
  </conditionalFormatting>
  <conditionalFormatting sqref="E12">
    <cfRule type="cellIs" dxfId="696" priority="344" operator="between">
      <formula>0.51</formula>
      <formula>0.75</formula>
    </cfRule>
  </conditionalFormatting>
  <conditionalFormatting sqref="F12">
    <cfRule type="cellIs" dxfId="695" priority="343" operator="between">
      <formula>0.76</formula>
      <formula>0.95</formula>
    </cfRule>
  </conditionalFormatting>
  <conditionalFormatting sqref="G12">
    <cfRule type="cellIs" dxfId="694" priority="342" operator="between">
      <formula>0.95</formula>
      <formula>1</formula>
    </cfRule>
  </conditionalFormatting>
  <conditionalFormatting sqref="H12">
    <cfRule type="cellIs" dxfId="693" priority="341" operator="greaterThan">
      <formula>1</formula>
    </cfRule>
  </conditionalFormatting>
  <conditionalFormatting sqref="D13">
    <cfRule type="cellIs" dxfId="692" priority="340" stopIfTrue="1" operator="between">
      <formula>0</formula>
      <formula>0.5</formula>
    </cfRule>
  </conditionalFormatting>
  <conditionalFormatting sqref="E13">
    <cfRule type="cellIs" dxfId="691" priority="339" operator="between">
      <formula>0.51</formula>
      <formula>0.75</formula>
    </cfRule>
  </conditionalFormatting>
  <conditionalFormatting sqref="F13">
    <cfRule type="cellIs" dxfId="690" priority="338" operator="between">
      <formula>0.76</formula>
      <formula>0.95</formula>
    </cfRule>
  </conditionalFormatting>
  <conditionalFormatting sqref="G13">
    <cfRule type="cellIs" dxfId="689" priority="337" operator="between">
      <formula>0.95</formula>
      <formula>1</formula>
    </cfRule>
  </conditionalFormatting>
  <conditionalFormatting sqref="H13">
    <cfRule type="cellIs" dxfId="688" priority="336" operator="greaterThan">
      <formula>1</formula>
    </cfRule>
  </conditionalFormatting>
  <conditionalFormatting sqref="D14">
    <cfRule type="cellIs" dxfId="687" priority="335" stopIfTrue="1" operator="between">
      <formula>0</formula>
      <formula>0.5</formula>
    </cfRule>
  </conditionalFormatting>
  <conditionalFormatting sqref="E14">
    <cfRule type="cellIs" dxfId="686" priority="334" operator="between">
      <formula>0.51</formula>
      <formula>0.75</formula>
    </cfRule>
  </conditionalFormatting>
  <conditionalFormatting sqref="F14">
    <cfRule type="cellIs" dxfId="685" priority="333" operator="between">
      <formula>0.76</formula>
      <formula>0.95</formula>
    </cfRule>
  </conditionalFormatting>
  <conditionalFormatting sqref="G14">
    <cfRule type="cellIs" dxfId="684" priority="332" operator="between">
      <formula>0.95</formula>
      <formula>1</formula>
    </cfRule>
  </conditionalFormatting>
  <conditionalFormatting sqref="H14">
    <cfRule type="cellIs" dxfId="683" priority="331" operator="greaterThan">
      <formula>1</formula>
    </cfRule>
  </conditionalFormatting>
  <conditionalFormatting sqref="J6">
    <cfRule type="cellIs" dxfId="682" priority="330" stopIfTrue="1" operator="between">
      <formula>0</formula>
      <formula>0.125</formula>
    </cfRule>
  </conditionalFormatting>
  <conditionalFormatting sqref="K6">
    <cfRule type="cellIs" dxfId="681" priority="329" operator="between">
      <formula>0.1251</formula>
      <formula>0.19</formula>
    </cfRule>
  </conditionalFormatting>
  <conditionalFormatting sqref="L6">
    <cfRule type="cellIs" dxfId="680" priority="328" operator="between">
      <formula>0.191</formula>
      <formula>0.24</formula>
    </cfRule>
  </conditionalFormatting>
  <conditionalFormatting sqref="M6">
    <cfRule type="cellIs" dxfId="679" priority="327" operator="between">
      <formula>0.2401</formula>
      <formula>0.26</formula>
    </cfRule>
  </conditionalFormatting>
  <conditionalFormatting sqref="N6">
    <cfRule type="cellIs" dxfId="678" priority="326" operator="greaterThan">
      <formula>0.2601</formula>
    </cfRule>
  </conditionalFormatting>
  <conditionalFormatting sqref="J7">
    <cfRule type="cellIs" dxfId="677" priority="325" stopIfTrue="1" operator="between">
      <formula>0</formula>
      <formula>0.125</formula>
    </cfRule>
  </conditionalFormatting>
  <conditionalFormatting sqref="K7">
    <cfRule type="cellIs" dxfId="676" priority="324" operator="between">
      <formula>0.1251</formula>
      <formula>0.19</formula>
    </cfRule>
  </conditionalFormatting>
  <conditionalFormatting sqref="L7">
    <cfRule type="cellIs" dxfId="675" priority="323" operator="between">
      <formula>0.191</formula>
      <formula>0.24</formula>
    </cfRule>
  </conditionalFormatting>
  <conditionalFormatting sqref="M7">
    <cfRule type="cellIs" dxfId="674" priority="322" operator="between">
      <formula>0.2401</formula>
      <formula>0.26</formula>
    </cfRule>
  </conditionalFormatting>
  <conditionalFormatting sqref="N7">
    <cfRule type="cellIs" dxfId="673" priority="321" operator="greaterThan">
      <formula>0.2601</formula>
    </cfRule>
  </conditionalFormatting>
  <conditionalFormatting sqref="J8">
    <cfRule type="cellIs" dxfId="672" priority="320" stopIfTrue="1" operator="between">
      <formula>0</formula>
      <formula>0.125</formula>
    </cfRule>
  </conditionalFormatting>
  <conditionalFormatting sqref="K8">
    <cfRule type="cellIs" dxfId="671" priority="319" operator="between">
      <formula>0.1251</formula>
      <formula>0.19</formula>
    </cfRule>
  </conditionalFormatting>
  <conditionalFormatting sqref="L8">
    <cfRule type="cellIs" dxfId="670" priority="318" operator="between">
      <formula>0.191</formula>
      <formula>0.24</formula>
    </cfRule>
  </conditionalFormatting>
  <conditionalFormatting sqref="M8">
    <cfRule type="cellIs" dxfId="669" priority="317" operator="between">
      <formula>0.2401</formula>
      <formula>0.26</formula>
    </cfRule>
  </conditionalFormatting>
  <conditionalFormatting sqref="N8">
    <cfRule type="cellIs" dxfId="668" priority="316" operator="greaterThan">
      <formula>0.2601</formula>
    </cfRule>
  </conditionalFormatting>
  <conditionalFormatting sqref="J9">
    <cfRule type="cellIs" dxfId="667" priority="315" stopIfTrue="1" operator="between">
      <formula>0</formula>
      <formula>0.125</formula>
    </cfRule>
  </conditionalFormatting>
  <conditionalFormatting sqref="K9">
    <cfRule type="cellIs" dxfId="666" priority="314" operator="between">
      <formula>0.1251</formula>
      <formula>0.19</formula>
    </cfRule>
  </conditionalFormatting>
  <conditionalFormatting sqref="L9">
    <cfRule type="cellIs" dxfId="665" priority="313" operator="between">
      <formula>0.191</formula>
      <formula>0.24</formula>
    </cfRule>
  </conditionalFormatting>
  <conditionalFormatting sqref="M9">
    <cfRule type="cellIs" dxfId="664" priority="312" operator="between">
      <formula>0.2401</formula>
      <formula>0.26</formula>
    </cfRule>
  </conditionalFormatting>
  <conditionalFormatting sqref="N9">
    <cfRule type="cellIs" dxfId="663" priority="311" operator="greaterThan">
      <formula>0.2601</formula>
    </cfRule>
  </conditionalFormatting>
  <conditionalFormatting sqref="J10">
    <cfRule type="cellIs" dxfId="662" priority="310" stopIfTrue="1" operator="between">
      <formula>0</formula>
      <formula>0.125</formula>
    </cfRule>
  </conditionalFormatting>
  <conditionalFormatting sqref="K10">
    <cfRule type="cellIs" dxfId="661" priority="309" operator="between">
      <formula>0.1251</formula>
      <formula>0.19</formula>
    </cfRule>
  </conditionalFormatting>
  <conditionalFormatting sqref="L10">
    <cfRule type="cellIs" dxfId="660" priority="308" operator="between">
      <formula>0.191</formula>
      <formula>0.24</formula>
    </cfRule>
  </conditionalFormatting>
  <conditionalFormatting sqref="M10">
    <cfRule type="cellIs" dxfId="659" priority="307" operator="between">
      <formula>0.2401</formula>
      <formula>0.26</formula>
    </cfRule>
  </conditionalFormatting>
  <conditionalFormatting sqref="N10">
    <cfRule type="cellIs" dxfId="658" priority="306" operator="greaterThan">
      <formula>0.2601</formula>
    </cfRule>
  </conditionalFormatting>
  <conditionalFormatting sqref="J11">
    <cfRule type="cellIs" dxfId="657" priority="305" stopIfTrue="1" operator="between">
      <formula>0</formula>
      <formula>0.125</formula>
    </cfRule>
  </conditionalFormatting>
  <conditionalFormatting sqref="K11">
    <cfRule type="cellIs" dxfId="656" priority="304" operator="between">
      <formula>0.1251</formula>
      <formula>0.19</formula>
    </cfRule>
  </conditionalFormatting>
  <conditionalFormatting sqref="L11">
    <cfRule type="cellIs" dxfId="655" priority="303" operator="between">
      <formula>0.191</formula>
      <formula>0.24</formula>
    </cfRule>
  </conditionalFormatting>
  <conditionalFormatting sqref="M11">
    <cfRule type="cellIs" dxfId="654" priority="302" operator="between">
      <formula>0.2401</formula>
      <formula>0.26</formula>
    </cfRule>
  </conditionalFormatting>
  <conditionalFormatting sqref="N11">
    <cfRule type="cellIs" dxfId="653" priority="301" operator="greaterThan">
      <formula>0.2601</formula>
    </cfRule>
  </conditionalFormatting>
  <conditionalFormatting sqref="J12">
    <cfRule type="cellIs" dxfId="652" priority="300" stopIfTrue="1" operator="between">
      <formula>0</formula>
      <formula>0.125</formula>
    </cfRule>
  </conditionalFormatting>
  <conditionalFormatting sqref="K12">
    <cfRule type="cellIs" dxfId="651" priority="299" operator="between">
      <formula>0.1251</formula>
      <formula>0.19</formula>
    </cfRule>
  </conditionalFormatting>
  <conditionalFormatting sqref="L12">
    <cfRule type="cellIs" dxfId="650" priority="298" operator="between">
      <formula>0.191</formula>
      <formula>0.24</formula>
    </cfRule>
  </conditionalFormatting>
  <conditionalFormatting sqref="M12">
    <cfRule type="cellIs" dxfId="649" priority="297" operator="between">
      <formula>0.2401</formula>
      <formula>0.26</formula>
    </cfRule>
  </conditionalFormatting>
  <conditionalFormatting sqref="N12">
    <cfRule type="cellIs" dxfId="648" priority="296" operator="greaterThan">
      <formula>0.2601</formula>
    </cfRule>
  </conditionalFormatting>
  <conditionalFormatting sqref="J13">
    <cfRule type="cellIs" dxfId="647" priority="295" stopIfTrue="1" operator="between">
      <formula>0</formula>
      <formula>0.125</formula>
    </cfRule>
  </conditionalFormatting>
  <conditionalFormatting sqref="K13">
    <cfRule type="cellIs" dxfId="646" priority="294" operator="between">
      <formula>0.1251</formula>
      <formula>0.19</formula>
    </cfRule>
  </conditionalFormatting>
  <conditionalFormatting sqref="L13">
    <cfRule type="cellIs" dxfId="645" priority="293" operator="between">
      <formula>0.191</formula>
      <formula>0.24</formula>
    </cfRule>
  </conditionalFormatting>
  <conditionalFormatting sqref="M13">
    <cfRule type="cellIs" dxfId="644" priority="292" operator="between">
      <formula>0.2401</formula>
      <formula>0.26</formula>
    </cfRule>
  </conditionalFormatting>
  <conditionalFormatting sqref="N13">
    <cfRule type="cellIs" dxfId="643" priority="291" operator="greaterThan">
      <formula>0.2601</formula>
    </cfRule>
  </conditionalFormatting>
  <conditionalFormatting sqref="J14">
    <cfRule type="cellIs" dxfId="642" priority="290" stopIfTrue="1" operator="between">
      <formula>0</formula>
      <formula>0.125</formula>
    </cfRule>
  </conditionalFormatting>
  <conditionalFormatting sqref="K14">
    <cfRule type="cellIs" dxfId="641" priority="289" operator="between">
      <formula>0.1251</formula>
      <formula>0.19</formula>
    </cfRule>
  </conditionalFormatting>
  <conditionalFormatting sqref="L14">
    <cfRule type="cellIs" dxfId="640" priority="288" operator="between">
      <formula>0.191</formula>
      <formula>0.24</formula>
    </cfRule>
  </conditionalFormatting>
  <conditionalFormatting sqref="M14">
    <cfRule type="cellIs" dxfId="639" priority="287" operator="between">
      <formula>0.2401</formula>
      <formula>0.26</formula>
    </cfRule>
  </conditionalFormatting>
  <conditionalFormatting sqref="N14">
    <cfRule type="cellIs" dxfId="638" priority="286" operator="greaterThan">
      <formula>0.2601</formula>
    </cfRule>
  </conditionalFormatting>
  <conditionalFormatting sqref="Q6">
    <cfRule type="cellIs" dxfId="637" priority="285" stopIfTrue="1" operator="between">
      <formula>0</formula>
      <formula>0.5</formula>
    </cfRule>
  </conditionalFormatting>
  <conditionalFormatting sqref="R6">
    <cfRule type="cellIs" dxfId="636" priority="284" operator="between">
      <formula>0.51</formula>
      <formula>0.75</formula>
    </cfRule>
  </conditionalFormatting>
  <conditionalFormatting sqref="S6">
    <cfRule type="cellIs" dxfId="635" priority="283" operator="between">
      <formula>0.76</formula>
      <formula>0.95</formula>
    </cfRule>
  </conditionalFormatting>
  <conditionalFormatting sqref="T6">
    <cfRule type="cellIs" dxfId="634" priority="282" operator="between">
      <formula>0.95</formula>
      <formula>1</formula>
    </cfRule>
  </conditionalFormatting>
  <conditionalFormatting sqref="U6">
    <cfRule type="cellIs" dxfId="633" priority="281" operator="greaterThan">
      <formula>1</formula>
    </cfRule>
  </conditionalFormatting>
  <conditionalFormatting sqref="Q7">
    <cfRule type="cellIs" dxfId="632" priority="280" stopIfTrue="1" operator="between">
      <formula>0</formula>
      <formula>0.5</formula>
    </cfRule>
  </conditionalFormatting>
  <conditionalFormatting sqref="R7">
    <cfRule type="cellIs" dxfId="631" priority="279" operator="between">
      <formula>0.51</formula>
      <formula>0.75</formula>
    </cfRule>
  </conditionalFormatting>
  <conditionalFormatting sqref="S7">
    <cfRule type="cellIs" dxfId="630" priority="278" operator="between">
      <formula>0.76</formula>
      <formula>0.95</formula>
    </cfRule>
  </conditionalFormatting>
  <conditionalFormatting sqref="T7">
    <cfRule type="cellIs" dxfId="629" priority="277" operator="between">
      <formula>0.95</formula>
      <formula>1</formula>
    </cfRule>
  </conditionalFormatting>
  <conditionalFormatting sqref="U7">
    <cfRule type="cellIs" dxfId="628" priority="276" operator="greaterThan">
      <formula>1</formula>
    </cfRule>
  </conditionalFormatting>
  <conditionalFormatting sqref="Q8">
    <cfRule type="cellIs" dxfId="627" priority="275" stopIfTrue="1" operator="between">
      <formula>0</formula>
      <formula>0.5</formula>
    </cfRule>
  </conditionalFormatting>
  <conditionalFormatting sqref="R8">
    <cfRule type="cellIs" dxfId="626" priority="274" operator="between">
      <formula>0.51</formula>
      <formula>0.75</formula>
    </cfRule>
  </conditionalFormatting>
  <conditionalFormatting sqref="S8">
    <cfRule type="cellIs" dxfId="625" priority="273" operator="between">
      <formula>0.76</formula>
      <formula>0.95</formula>
    </cfRule>
  </conditionalFormatting>
  <conditionalFormatting sqref="T8">
    <cfRule type="cellIs" dxfId="624" priority="272" operator="between">
      <formula>0.95</formula>
      <formula>1</formula>
    </cfRule>
  </conditionalFormatting>
  <conditionalFormatting sqref="U8">
    <cfRule type="cellIs" dxfId="623" priority="271" operator="greaterThan">
      <formula>1</formula>
    </cfRule>
  </conditionalFormatting>
  <conditionalFormatting sqref="Q9">
    <cfRule type="cellIs" dxfId="622" priority="270" stopIfTrue="1" operator="between">
      <formula>0</formula>
      <formula>0.5</formula>
    </cfRule>
  </conditionalFormatting>
  <conditionalFormatting sqref="R9">
    <cfRule type="cellIs" dxfId="621" priority="269" operator="between">
      <formula>0.51</formula>
      <formula>0.75</formula>
    </cfRule>
  </conditionalFormatting>
  <conditionalFormatting sqref="S9">
    <cfRule type="cellIs" dxfId="620" priority="268" operator="between">
      <formula>0.76</formula>
      <formula>0.95</formula>
    </cfRule>
  </conditionalFormatting>
  <conditionalFormatting sqref="T9">
    <cfRule type="cellIs" dxfId="619" priority="267" operator="between">
      <formula>0.95</formula>
      <formula>1</formula>
    </cfRule>
  </conditionalFormatting>
  <conditionalFormatting sqref="U9">
    <cfRule type="cellIs" dxfId="618" priority="266" operator="greaterThan">
      <formula>1</formula>
    </cfRule>
  </conditionalFormatting>
  <conditionalFormatting sqref="Q10">
    <cfRule type="cellIs" dxfId="617" priority="265" stopIfTrue="1" operator="between">
      <formula>0</formula>
      <formula>0.5</formula>
    </cfRule>
  </conditionalFormatting>
  <conditionalFormatting sqref="R10">
    <cfRule type="cellIs" dxfId="616" priority="264" operator="between">
      <formula>0.51</formula>
      <formula>0.75</formula>
    </cfRule>
  </conditionalFormatting>
  <conditionalFormatting sqref="S10">
    <cfRule type="cellIs" dxfId="615" priority="263" operator="between">
      <formula>0.76</formula>
      <formula>0.95</formula>
    </cfRule>
  </conditionalFormatting>
  <conditionalFormatting sqref="T10">
    <cfRule type="cellIs" dxfId="614" priority="262" operator="between">
      <formula>0.95</formula>
      <formula>1</formula>
    </cfRule>
  </conditionalFormatting>
  <conditionalFormatting sqref="U10">
    <cfRule type="cellIs" dxfId="613" priority="261" operator="greaterThan">
      <formula>1</formula>
    </cfRule>
  </conditionalFormatting>
  <conditionalFormatting sqref="Q11">
    <cfRule type="cellIs" dxfId="612" priority="260" stopIfTrue="1" operator="between">
      <formula>0</formula>
      <formula>0.5</formula>
    </cfRule>
  </conditionalFormatting>
  <conditionalFormatting sqref="R11">
    <cfRule type="cellIs" dxfId="611" priority="259" operator="between">
      <formula>0.51</formula>
      <formula>0.75</formula>
    </cfRule>
  </conditionalFormatting>
  <conditionalFormatting sqref="S11">
    <cfRule type="cellIs" dxfId="610" priority="258" operator="between">
      <formula>0.76</formula>
      <formula>0.95</formula>
    </cfRule>
  </conditionalFormatting>
  <conditionalFormatting sqref="T11">
    <cfRule type="cellIs" dxfId="609" priority="257" operator="between">
      <formula>0.95</formula>
      <formula>1</formula>
    </cfRule>
  </conditionalFormatting>
  <conditionalFormatting sqref="U11">
    <cfRule type="cellIs" dxfId="608" priority="256" operator="greaterThan">
      <formula>1</formula>
    </cfRule>
  </conditionalFormatting>
  <conditionalFormatting sqref="Q12">
    <cfRule type="cellIs" dxfId="607" priority="255" stopIfTrue="1" operator="between">
      <formula>0</formula>
      <formula>0.5</formula>
    </cfRule>
  </conditionalFormatting>
  <conditionalFormatting sqref="R12">
    <cfRule type="cellIs" dxfId="606" priority="254" operator="between">
      <formula>0.51</formula>
      <formula>0.75</formula>
    </cfRule>
  </conditionalFormatting>
  <conditionalFormatting sqref="S12">
    <cfRule type="cellIs" dxfId="605" priority="253" operator="between">
      <formula>0.76</formula>
      <formula>0.95</formula>
    </cfRule>
  </conditionalFormatting>
  <conditionalFormatting sqref="T12">
    <cfRule type="cellIs" dxfId="604" priority="252" operator="between">
      <formula>0.95</formula>
      <formula>1</formula>
    </cfRule>
  </conditionalFormatting>
  <conditionalFormatting sqref="U12">
    <cfRule type="cellIs" dxfId="603" priority="251" operator="greaterThan">
      <formula>1</formula>
    </cfRule>
  </conditionalFormatting>
  <conditionalFormatting sqref="Q13">
    <cfRule type="cellIs" dxfId="602" priority="250" stopIfTrue="1" operator="between">
      <formula>0</formula>
      <formula>0.5</formula>
    </cfRule>
  </conditionalFormatting>
  <conditionalFormatting sqref="R13">
    <cfRule type="cellIs" dxfId="601" priority="249" operator="between">
      <formula>0.51</formula>
      <formula>0.75</formula>
    </cfRule>
  </conditionalFormatting>
  <conditionalFormatting sqref="S13">
    <cfRule type="cellIs" dxfId="600" priority="248" operator="between">
      <formula>0.76</formula>
      <formula>0.95</formula>
    </cfRule>
  </conditionalFormatting>
  <conditionalFormatting sqref="T13">
    <cfRule type="cellIs" dxfId="599" priority="247" operator="between">
      <formula>0.95</formula>
      <formula>1</formula>
    </cfRule>
  </conditionalFormatting>
  <conditionalFormatting sqref="U13">
    <cfRule type="cellIs" dxfId="598" priority="246" operator="greaterThan">
      <formula>1</formula>
    </cfRule>
  </conditionalFormatting>
  <conditionalFormatting sqref="Q14">
    <cfRule type="cellIs" dxfId="597" priority="245" stopIfTrue="1" operator="between">
      <formula>0</formula>
      <formula>0.5</formula>
    </cfRule>
  </conditionalFormatting>
  <conditionalFormatting sqref="R14">
    <cfRule type="cellIs" dxfId="596" priority="244" operator="between">
      <formula>0.51</formula>
      <formula>0.75</formula>
    </cfRule>
  </conditionalFormatting>
  <conditionalFormatting sqref="S14">
    <cfRule type="cellIs" dxfId="595" priority="243" operator="between">
      <formula>0.76</formula>
      <formula>0.95</formula>
    </cfRule>
  </conditionalFormatting>
  <conditionalFormatting sqref="T14">
    <cfRule type="cellIs" dxfId="594" priority="242" operator="between">
      <formula>0.95</formula>
      <formula>1</formula>
    </cfRule>
  </conditionalFormatting>
  <conditionalFormatting sqref="U14">
    <cfRule type="cellIs" dxfId="593" priority="241" operator="greaterThan">
      <formula>1</formula>
    </cfRule>
  </conditionalFormatting>
  <conditionalFormatting sqref="W7">
    <cfRule type="cellIs" dxfId="592" priority="235" stopIfTrue="1" operator="between">
      <formula>0</formula>
      <formula>0.255</formula>
    </cfRule>
  </conditionalFormatting>
  <conditionalFormatting sqref="X7">
    <cfRule type="cellIs" dxfId="591" priority="234" operator="between">
      <formula>0.2551</formula>
      <formula>0.375</formula>
    </cfRule>
  </conditionalFormatting>
  <conditionalFormatting sqref="Y7">
    <cfRule type="cellIs" dxfId="590" priority="233" operator="between">
      <formula>0.3751</formula>
      <formula>0.475</formula>
    </cfRule>
  </conditionalFormatting>
  <conditionalFormatting sqref="Z7">
    <cfRule type="cellIs" dxfId="589" priority="232" operator="between">
      <formula>0.48</formula>
      <formula>0.51</formula>
    </cfRule>
  </conditionalFormatting>
  <conditionalFormatting sqref="AA7">
    <cfRule type="cellIs" dxfId="588" priority="231" operator="greaterThan">
      <formula>0.505</formula>
    </cfRule>
  </conditionalFormatting>
  <conditionalFormatting sqref="W9">
    <cfRule type="cellIs" dxfId="587" priority="225" stopIfTrue="1" operator="between">
      <formula>0</formula>
      <formula>0.255</formula>
    </cfRule>
  </conditionalFormatting>
  <conditionalFormatting sqref="X9">
    <cfRule type="cellIs" dxfId="586" priority="224" operator="between">
      <formula>0.2551</formula>
      <formula>0.375</formula>
    </cfRule>
  </conditionalFormatting>
  <conditionalFormatting sqref="Y9">
    <cfRule type="cellIs" dxfId="585" priority="223" operator="between">
      <formula>0.38</formula>
      <formula>0.475</formula>
    </cfRule>
  </conditionalFormatting>
  <conditionalFormatting sqref="Z9">
    <cfRule type="cellIs" dxfId="584" priority="222" operator="between">
      <formula>0.48</formula>
      <formula>0.51</formula>
    </cfRule>
  </conditionalFormatting>
  <conditionalFormatting sqref="AA9">
    <cfRule type="cellIs" dxfId="583" priority="221" operator="greaterThan">
      <formula>0.505</formula>
    </cfRule>
  </conditionalFormatting>
  <conditionalFormatting sqref="W10">
    <cfRule type="cellIs" dxfId="582" priority="220" stopIfTrue="1" operator="between">
      <formula>0</formula>
      <formula>0.255</formula>
    </cfRule>
  </conditionalFormatting>
  <conditionalFormatting sqref="X10">
    <cfRule type="cellIs" dxfId="581" priority="219" operator="between">
      <formula>0.2551</formula>
      <formula>0.375</formula>
    </cfRule>
  </conditionalFormatting>
  <conditionalFormatting sqref="Y10">
    <cfRule type="cellIs" dxfId="580" priority="218" operator="between">
      <formula>0.38</formula>
      <formula>0.475</formula>
    </cfRule>
  </conditionalFormatting>
  <conditionalFormatting sqref="Z10">
    <cfRule type="cellIs" dxfId="579" priority="217" operator="between">
      <formula>0.48</formula>
      <formula>0.51</formula>
    </cfRule>
  </conditionalFormatting>
  <conditionalFormatting sqref="AA10">
    <cfRule type="cellIs" dxfId="578" priority="216" operator="greaterThan">
      <formula>0.505</formula>
    </cfRule>
  </conditionalFormatting>
  <conditionalFormatting sqref="W11">
    <cfRule type="cellIs" dxfId="577" priority="215" stopIfTrue="1" operator="between">
      <formula>0</formula>
      <formula>0.255</formula>
    </cfRule>
  </conditionalFormatting>
  <conditionalFormatting sqref="X11">
    <cfRule type="cellIs" dxfId="576" priority="214" operator="between">
      <formula>0.2551</formula>
      <formula>0.375</formula>
    </cfRule>
  </conditionalFormatting>
  <conditionalFormatting sqref="Y11">
    <cfRule type="cellIs" dxfId="575" priority="213" operator="between">
      <formula>0.38</formula>
      <formula>0.475</formula>
    </cfRule>
  </conditionalFormatting>
  <conditionalFormatting sqref="Z11">
    <cfRule type="cellIs" dxfId="574" priority="212" operator="between">
      <formula>0.48</formula>
      <formula>0.51</formula>
    </cfRule>
  </conditionalFormatting>
  <conditionalFormatting sqref="AA11">
    <cfRule type="cellIs" dxfId="573" priority="211" operator="greaterThan">
      <formula>0.505</formula>
    </cfRule>
  </conditionalFormatting>
  <conditionalFormatting sqref="W12">
    <cfRule type="cellIs" dxfId="572" priority="210" stopIfTrue="1" operator="between">
      <formula>0</formula>
      <formula>0.255</formula>
    </cfRule>
  </conditionalFormatting>
  <conditionalFormatting sqref="X12">
    <cfRule type="cellIs" dxfId="571" priority="209" operator="between">
      <formula>0.2551</formula>
      <formula>0.375</formula>
    </cfRule>
  </conditionalFormatting>
  <conditionalFormatting sqref="Y12">
    <cfRule type="cellIs" dxfId="570" priority="208" operator="between">
      <formula>0.38</formula>
      <formula>0.475</formula>
    </cfRule>
  </conditionalFormatting>
  <conditionalFormatting sqref="Z12">
    <cfRule type="cellIs" dxfId="569" priority="207" operator="between">
      <formula>0.48</formula>
      <formula>0.51</formula>
    </cfRule>
  </conditionalFormatting>
  <conditionalFormatting sqref="AA12">
    <cfRule type="cellIs" dxfId="568" priority="206" operator="greaterThan">
      <formula>0.505</formula>
    </cfRule>
  </conditionalFormatting>
  <conditionalFormatting sqref="W13">
    <cfRule type="cellIs" dxfId="567" priority="205" stopIfTrue="1" operator="between">
      <formula>0</formula>
      <formula>0.255</formula>
    </cfRule>
  </conditionalFormatting>
  <conditionalFormatting sqref="X13">
    <cfRule type="cellIs" dxfId="566" priority="204" operator="between">
      <formula>0.2551</formula>
      <formula>0.375</formula>
    </cfRule>
  </conditionalFormatting>
  <conditionalFormatting sqref="Y13">
    <cfRule type="cellIs" dxfId="565" priority="203" operator="between">
      <formula>0.38</formula>
      <formula>0.475</formula>
    </cfRule>
  </conditionalFormatting>
  <conditionalFormatting sqref="Z13">
    <cfRule type="cellIs" dxfId="564" priority="202" operator="between">
      <formula>0.48</formula>
      <formula>0.51</formula>
    </cfRule>
  </conditionalFormatting>
  <conditionalFormatting sqref="AA13">
    <cfRule type="cellIs" dxfId="563" priority="201" operator="greaterThan">
      <formula>0.505</formula>
    </cfRule>
  </conditionalFormatting>
  <conditionalFormatting sqref="W14">
    <cfRule type="cellIs" dxfId="562" priority="200" stopIfTrue="1" operator="between">
      <formula>0</formula>
      <formula>0.255</formula>
    </cfRule>
  </conditionalFormatting>
  <conditionalFormatting sqref="X14">
    <cfRule type="cellIs" dxfId="561" priority="199" operator="between">
      <formula>0.2551</formula>
      <formula>0.375</formula>
    </cfRule>
  </conditionalFormatting>
  <conditionalFormatting sqref="Y14">
    <cfRule type="cellIs" dxfId="560" priority="198" operator="between">
      <formula>0.38</formula>
      <formula>0.475</formula>
    </cfRule>
  </conditionalFormatting>
  <conditionalFormatting sqref="Z14">
    <cfRule type="cellIs" dxfId="559" priority="197" operator="between">
      <formula>0.48</formula>
      <formula>0.51</formula>
    </cfRule>
  </conditionalFormatting>
  <conditionalFormatting sqref="AA14">
    <cfRule type="cellIs" dxfId="558" priority="196" operator="greaterThan">
      <formula>0.505</formula>
    </cfRule>
  </conditionalFormatting>
  <conditionalFormatting sqref="AD6">
    <cfRule type="cellIs" dxfId="557" priority="195" stopIfTrue="1" operator="between">
      <formula>0</formula>
      <formula>0.5</formula>
    </cfRule>
  </conditionalFormatting>
  <conditionalFormatting sqref="AE6">
    <cfRule type="cellIs" dxfId="556" priority="194" operator="between">
      <formula>0.51</formula>
      <formula>0.75</formula>
    </cfRule>
  </conditionalFormatting>
  <conditionalFormatting sqref="AF6">
    <cfRule type="cellIs" dxfId="555" priority="193" operator="between">
      <formula>0.76</formula>
      <formula>0.95</formula>
    </cfRule>
  </conditionalFormatting>
  <conditionalFormatting sqref="AG6">
    <cfRule type="cellIs" dxfId="554" priority="192" operator="between">
      <formula>0.95</formula>
      <formula>1</formula>
    </cfRule>
  </conditionalFormatting>
  <conditionalFormatting sqref="AH6">
    <cfRule type="cellIs" dxfId="553" priority="191" operator="greaterThan">
      <formula>1</formula>
    </cfRule>
  </conditionalFormatting>
  <conditionalFormatting sqref="AD7">
    <cfRule type="cellIs" dxfId="552" priority="190" stopIfTrue="1" operator="between">
      <formula>0</formula>
      <formula>0.5</formula>
    </cfRule>
  </conditionalFormatting>
  <conditionalFormatting sqref="AE7">
    <cfRule type="cellIs" dxfId="551" priority="189" operator="between">
      <formula>0.51</formula>
      <formula>0.75</formula>
    </cfRule>
  </conditionalFormatting>
  <conditionalFormatting sqref="AF7">
    <cfRule type="cellIs" dxfId="550" priority="188" operator="between">
      <formula>0.76</formula>
      <formula>0.95</formula>
    </cfRule>
  </conditionalFormatting>
  <conditionalFormatting sqref="AG7">
    <cfRule type="cellIs" dxfId="549" priority="187" operator="between">
      <formula>0.95</formula>
      <formula>1</formula>
    </cfRule>
  </conditionalFormatting>
  <conditionalFormatting sqref="AH7">
    <cfRule type="cellIs" dxfId="548" priority="186" operator="greaterThan">
      <formula>1</formula>
    </cfRule>
  </conditionalFormatting>
  <conditionalFormatting sqref="AD8">
    <cfRule type="cellIs" dxfId="547" priority="185" stopIfTrue="1" operator="between">
      <formula>0</formula>
      <formula>0.5</formula>
    </cfRule>
  </conditionalFormatting>
  <conditionalFormatting sqref="AE8">
    <cfRule type="cellIs" dxfId="546" priority="184" operator="between">
      <formula>0.51</formula>
      <formula>0.75</formula>
    </cfRule>
  </conditionalFormatting>
  <conditionalFormatting sqref="AF8">
    <cfRule type="cellIs" dxfId="545" priority="183" operator="between">
      <formula>0.76</formula>
      <formula>0.95</formula>
    </cfRule>
  </conditionalFormatting>
  <conditionalFormatting sqref="AG8">
    <cfRule type="cellIs" dxfId="544" priority="182" operator="between">
      <formula>0.95</formula>
      <formula>1</formula>
    </cfRule>
  </conditionalFormatting>
  <conditionalFormatting sqref="AH8">
    <cfRule type="cellIs" dxfId="543" priority="181" operator="greaterThan">
      <formula>1</formula>
    </cfRule>
  </conditionalFormatting>
  <conditionalFormatting sqref="AD9">
    <cfRule type="cellIs" dxfId="542" priority="180" stopIfTrue="1" operator="between">
      <formula>0</formula>
      <formula>0.5</formula>
    </cfRule>
  </conditionalFormatting>
  <conditionalFormatting sqref="AE9">
    <cfRule type="cellIs" dxfId="541" priority="179" operator="between">
      <formula>0.51</formula>
      <formula>0.75</formula>
    </cfRule>
  </conditionalFormatting>
  <conditionalFormatting sqref="AF9">
    <cfRule type="cellIs" dxfId="540" priority="178" operator="between">
      <formula>0.76</formula>
      <formula>0.95</formula>
    </cfRule>
  </conditionalFormatting>
  <conditionalFormatting sqref="AG9">
    <cfRule type="cellIs" dxfId="539" priority="177" operator="between">
      <formula>0.95</formula>
      <formula>1</formula>
    </cfRule>
  </conditionalFormatting>
  <conditionalFormatting sqref="AH9">
    <cfRule type="cellIs" dxfId="538" priority="176" operator="greaterThan">
      <formula>1</formula>
    </cfRule>
  </conditionalFormatting>
  <conditionalFormatting sqref="AD10">
    <cfRule type="cellIs" dxfId="537" priority="175" stopIfTrue="1" operator="between">
      <formula>0</formula>
      <formula>0.5</formula>
    </cfRule>
  </conditionalFormatting>
  <conditionalFormatting sqref="AE10">
    <cfRule type="cellIs" dxfId="536" priority="174" operator="between">
      <formula>0.51</formula>
      <formula>0.75</formula>
    </cfRule>
  </conditionalFormatting>
  <conditionalFormatting sqref="AF10">
    <cfRule type="cellIs" dxfId="535" priority="173" operator="between">
      <formula>0.76</formula>
      <formula>0.95</formula>
    </cfRule>
  </conditionalFormatting>
  <conditionalFormatting sqref="AG10">
    <cfRule type="cellIs" dxfId="534" priority="172" operator="between">
      <formula>0.95</formula>
      <formula>1</formula>
    </cfRule>
  </conditionalFormatting>
  <conditionalFormatting sqref="AH10">
    <cfRule type="cellIs" dxfId="533" priority="171" operator="greaterThan">
      <formula>1</formula>
    </cfRule>
  </conditionalFormatting>
  <conditionalFormatting sqref="AD11">
    <cfRule type="cellIs" dxfId="532" priority="170" stopIfTrue="1" operator="between">
      <formula>0</formula>
      <formula>0.5</formula>
    </cfRule>
  </conditionalFormatting>
  <conditionalFormatting sqref="AE11">
    <cfRule type="cellIs" dxfId="531" priority="169" operator="between">
      <formula>0.51</formula>
      <formula>0.75</formula>
    </cfRule>
  </conditionalFormatting>
  <conditionalFormatting sqref="AF11">
    <cfRule type="cellIs" dxfId="530" priority="168" operator="between">
      <formula>0.76</formula>
      <formula>0.95</formula>
    </cfRule>
  </conditionalFormatting>
  <conditionalFormatting sqref="AG11">
    <cfRule type="cellIs" dxfId="529" priority="167" operator="between">
      <formula>0.95</formula>
      <formula>1</formula>
    </cfRule>
  </conditionalFormatting>
  <conditionalFormatting sqref="AH11">
    <cfRule type="cellIs" dxfId="528" priority="166" operator="greaterThan">
      <formula>1</formula>
    </cfRule>
  </conditionalFormatting>
  <conditionalFormatting sqref="AD12">
    <cfRule type="cellIs" dxfId="527" priority="165" stopIfTrue="1" operator="between">
      <formula>0</formula>
      <formula>0.5</formula>
    </cfRule>
  </conditionalFormatting>
  <conditionalFormatting sqref="AE12">
    <cfRule type="cellIs" dxfId="526" priority="164" operator="between">
      <formula>0.51</formula>
      <formula>0.75</formula>
    </cfRule>
  </conditionalFormatting>
  <conditionalFormatting sqref="AF12">
    <cfRule type="cellIs" dxfId="525" priority="163" operator="between">
      <formula>0.76</formula>
      <formula>0.95</formula>
    </cfRule>
  </conditionalFormatting>
  <conditionalFormatting sqref="AG12">
    <cfRule type="cellIs" dxfId="524" priority="162" operator="between">
      <formula>0.95</formula>
      <formula>1</formula>
    </cfRule>
  </conditionalFormatting>
  <conditionalFormatting sqref="AH12">
    <cfRule type="cellIs" dxfId="523" priority="161" operator="greaterThan">
      <formula>1</formula>
    </cfRule>
  </conditionalFormatting>
  <conditionalFormatting sqref="AD13">
    <cfRule type="cellIs" dxfId="522" priority="160" stopIfTrue="1" operator="between">
      <formula>0</formula>
      <formula>0.5</formula>
    </cfRule>
  </conditionalFormatting>
  <conditionalFormatting sqref="AE13">
    <cfRule type="cellIs" dxfId="521" priority="159" operator="between">
      <formula>0.51</formula>
      <formula>0.75</formula>
    </cfRule>
  </conditionalFormatting>
  <conditionalFormatting sqref="AF13">
    <cfRule type="cellIs" dxfId="520" priority="158" operator="between">
      <formula>0.76</formula>
      <formula>0.95</formula>
    </cfRule>
  </conditionalFormatting>
  <conditionalFormatting sqref="AG13">
    <cfRule type="cellIs" dxfId="519" priority="157" operator="between">
      <formula>0.95</formula>
      <formula>1</formula>
    </cfRule>
  </conditionalFormatting>
  <conditionalFormatting sqref="AH13">
    <cfRule type="cellIs" dxfId="518" priority="156" operator="greaterThan">
      <formula>1</formula>
    </cfRule>
  </conditionalFormatting>
  <conditionalFormatting sqref="AD14">
    <cfRule type="cellIs" dxfId="517" priority="155" stopIfTrue="1" operator="between">
      <formula>0</formula>
      <formula>0.5</formula>
    </cfRule>
  </conditionalFormatting>
  <conditionalFormatting sqref="AE14">
    <cfRule type="cellIs" dxfId="516" priority="154" operator="between">
      <formula>0.51</formula>
      <formula>0.75</formula>
    </cfRule>
  </conditionalFormatting>
  <conditionalFormatting sqref="AF14">
    <cfRule type="cellIs" dxfId="515" priority="153" operator="between">
      <formula>0.76</formula>
      <formula>0.95</formula>
    </cfRule>
  </conditionalFormatting>
  <conditionalFormatting sqref="AG14">
    <cfRule type="cellIs" dxfId="514" priority="152" operator="between">
      <formula>0.95</formula>
      <formula>1</formula>
    </cfRule>
  </conditionalFormatting>
  <conditionalFormatting sqref="AH14">
    <cfRule type="cellIs" dxfId="513" priority="151" operator="greaterThan">
      <formula>1</formula>
    </cfRule>
  </conditionalFormatting>
  <conditionalFormatting sqref="AJ6">
    <cfRule type="cellIs" dxfId="512" priority="150" stopIfTrue="1" operator="between">
      <formula>0</formula>
      <formula>0.375</formula>
    </cfRule>
  </conditionalFormatting>
  <conditionalFormatting sqref="AK6">
    <cfRule type="cellIs" dxfId="511" priority="149" operator="between">
      <formula>0.3751</formula>
      <formula>0.5625</formula>
    </cfRule>
  </conditionalFormatting>
  <conditionalFormatting sqref="AL6">
    <cfRule type="cellIs" dxfId="510" priority="148" operator="between">
      <formula>0.563</formula>
      <formula>0.7125</formula>
    </cfRule>
  </conditionalFormatting>
  <conditionalFormatting sqref="AM6">
    <cfRule type="cellIs" dxfId="509" priority="147" operator="between">
      <formula>0.713</formula>
      <formula>0.75</formula>
    </cfRule>
  </conditionalFormatting>
  <conditionalFormatting sqref="AN6">
    <cfRule type="cellIs" dxfId="508" priority="146" operator="greaterThan">
      <formula>0.755</formula>
    </cfRule>
  </conditionalFormatting>
  <conditionalFormatting sqref="AJ7">
    <cfRule type="cellIs" dxfId="507" priority="145" stopIfTrue="1" operator="between">
      <formula>0</formula>
      <formula>0.375</formula>
    </cfRule>
  </conditionalFormatting>
  <conditionalFormatting sqref="AK7">
    <cfRule type="cellIs" dxfId="506" priority="144" operator="between">
      <formula>0.3751</formula>
      <formula>0.5625</formula>
    </cfRule>
  </conditionalFormatting>
  <conditionalFormatting sqref="AL7">
    <cfRule type="cellIs" dxfId="505" priority="143" operator="between">
      <formula>0.563</formula>
      <formula>0.7125</formula>
    </cfRule>
  </conditionalFormatting>
  <conditionalFormatting sqref="AM7">
    <cfRule type="cellIs" dxfId="504" priority="142" operator="between">
      <formula>0.713</formula>
      <formula>0.75</formula>
    </cfRule>
  </conditionalFormatting>
  <conditionalFormatting sqref="AN7">
    <cfRule type="cellIs" dxfId="503" priority="141" operator="greaterThan">
      <formula>0.755</formula>
    </cfRule>
  </conditionalFormatting>
  <conditionalFormatting sqref="AJ8">
    <cfRule type="cellIs" dxfId="502" priority="140" stopIfTrue="1" operator="between">
      <formula>0</formula>
      <formula>0.375</formula>
    </cfRule>
  </conditionalFormatting>
  <conditionalFormatting sqref="AK8">
    <cfRule type="cellIs" dxfId="501" priority="139" operator="between">
      <formula>0.3751</formula>
      <formula>0.5625</formula>
    </cfRule>
  </conditionalFormatting>
  <conditionalFormatting sqref="AL8">
    <cfRule type="cellIs" dxfId="500" priority="138" operator="between">
      <formula>0.563</formula>
      <formula>0.7125</formula>
    </cfRule>
  </conditionalFormatting>
  <conditionalFormatting sqref="AM8">
    <cfRule type="cellIs" dxfId="499" priority="137" operator="between">
      <formula>0.713</formula>
      <formula>0.75</formula>
    </cfRule>
  </conditionalFormatting>
  <conditionalFormatting sqref="AN8">
    <cfRule type="cellIs" dxfId="498" priority="136" operator="greaterThan">
      <formula>0.755</formula>
    </cfRule>
  </conditionalFormatting>
  <conditionalFormatting sqref="AJ9">
    <cfRule type="cellIs" dxfId="497" priority="135" stopIfTrue="1" operator="between">
      <formula>0</formula>
      <formula>0.375</formula>
    </cfRule>
  </conditionalFormatting>
  <conditionalFormatting sqref="AK9">
    <cfRule type="cellIs" dxfId="496" priority="134" operator="between">
      <formula>0.3751</formula>
      <formula>0.5625</formula>
    </cfRule>
  </conditionalFormatting>
  <conditionalFormatting sqref="AL9">
    <cfRule type="cellIs" dxfId="495" priority="133" operator="between">
      <formula>0.563</formula>
      <formula>0.7125</formula>
    </cfRule>
  </conditionalFormatting>
  <conditionalFormatting sqref="AM9">
    <cfRule type="cellIs" dxfId="494" priority="132" operator="between">
      <formula>0.713</formula>
      <formula>0.75</formula>
    </cfRule>
  </conditionalFormatting>
  <conditionalFormatting sqref="AN9">
    <cfRule type="cellIs" dxfId="493" priority="131" operator="greaterThan">
      <formula>0.755</formula>
    </cfRule>
  </conditionalFormatting>
  <conditionalFormatting sqref="AJ10">
    <cfRule type="cellIs" dxfId="492" priority="130" stopIfTrue="1" operator="between">
      <formula>0</formula>
      <formula>0.375</formula>
    </cfRule>
  </conditionalFormatting>
  <conditionalFormatting sqref="AK10">
    <cfRule type="cellIs" dxfId="491" priority="129" operator="between">
      <formula>0.3751</formula>
      <formula>0.5625</formula>
    </cfRule>
  </conditionalFormatting>
  <conditionalFormatting sqref="AL10">
    <cfRule type="cellIs" dxfId="490" priority="128" operator="between">
      <formula>0.563</formula>
      <formula>0.7125</formula>
    </cfRule>
  </conditionalFormatting>
  <conditionalFormatting sqref="AM10">
    <cfRule type="cellIs" dxfId="489" priority="127" operator="between">
      <formula>0.713</formula>
      <formula>0.75</formula>
    </cfRule>
  </conditionalFormatting>
  <conditionalFormatting sqref="AN10">
    <cfRule type="cellIs" dxfId="488" priority="126" operator="greaterThan">
      <formula>0.755</formula>
    </cfRule>
  </conditionalFormatting>
  <conditionalFormatting sqref="AJ11">
    <cfRule type="cellIs" dxfId="487" priority="125" stopIfTrue="1" operator="between">
      <formula>0</formula>
      <formula>0.375</formula>
    </cfRule>
  </conditionalFormatting>
  <conditionalFormatting sqref="AK11">
    <cfRule type="cellIs" dxfId="486" priority="124" operator="between">
      <formula>0.3751</formula>
      <formula>0.5625</formula>
    </cfRule>
  </conditionalFormatting>
  <conditionalFormatting sqref="AL11">
    <cfRule type="cellIs" dxfId="485" priority="123" operator="between">
      <formula>0.563</formula>
      <formula>0.7125</formula>
    </cfRule>
  </conditionalFormatting>
  <conditionalFormatting sqref="AM11">
    <cfRule type="cellIs" dxfId="484" priority="122" operator="between">
      <formula>0.713</formula>
      <formula>0.75</formula>
    </cfRule>
  </conditionalFormatting>
  <conditionalFormatting sqref="AN11">
    <cfRule type="cellIs" dxfId="483" priority="121" operator="greaterThan">
      <formula>0.755</formula>
    </cfRule>
  </conditionalFormatting>
  <conditionalFormatting sqref="AJ12">
    <cfRule type="cellIs" dxfId="482" priority="120" stopIfTrue="1" operator="between">
      <formula>0</formula>
      <formula>0.375</formula>
    </cfRule>
  </conditionalFormatting>
  <conditionalFormatting sqref="AK12">
    <cfRule type="cellIs" dxfId="481" priority="119" operator="between">
      <formula>0.3751</formula>
      <formula>0.5625</formula>
    </cfRule>
  </conditionalFormatting>
  <conditionalFormatting sqref="AL12">
    <cfRule type="cellIs" dxfId="480" priority="118" operator="between">
      <formula>0.563</formula>
      <formula>0.7125</formula>
    </cfRule>
  </conditionalFormatting>
  <conditionalFormatting sqref="AM12">
    <cfRule type="cellIs" dxfId="479" priority="117" operator="between">
      <formula>0.713</formula>
      <formula>0.75</formula>
    </cfRule>
  </conditionalFormatting>
  <conditionalFormatting sqref="AN12">
    <cfRule type="cellIs" dxfId="478" priority="116" operator="greaterThan">
      <formula>0.755</formula>
    </cfRule>
  </conditionalFormatting>
  <conditionalFormatting sqref="AJ13">
    <cfRule type="cellIs" dxfId="477" priority="115" stopIfTrue="1" operator="between">
      <formula>0</formula>
      <formula>0.375</formula>
    </cfRule>
  </conditionalFormatting>
  <conditionalFormatting sqref="AK13">
    <cfRule type="cellIs" dxfId="476" priority="114" operator="between">
      <formula>0.3751</formula>
      <formula>0.5625</formula>
    </cfRule>
  </conditionalFormatting>
  <conditionalFormatting sqref="AL13">
    <cfRule type="cellIs" dxfId="475" priority="113" operator="between">
      <formula>0.563</formula>
      <formula>0.7125</formula>
    </cfRule>
  </conditionalFormatting>
  <conditionalFormatting sqref="AM13">
    <cfRule type="cellIs" dxfId="474" priority="112" operator="between">
      <formula>0.713</formula>
      <formula>0.75</formula>
    </cfRule>
  </conditionalFormatting>
  <conditionalFormatting sqref="AN13">
    <cfRule type="cellIs" dxfId="473" priority="111" operator="greaterThan">
      <formula>0.755</formula>
    </cfRule>
  </conditionalFormatting>
  <conditionalFormatting sqref="AJ14">
    <cfRule type="cellIs" dxfId="472" priority="110" stopIfTrue="1" operator="between">
      <formula>0</formula>
      <formula>0.375</formula>
    </cfRule>
  </conditionalFormatting>
  <conditionalFormatting sqref="AK14">
    <cfRule type="cellIs" dxfId="471" priority="109" operator="between">
      <formula>0.3751</formula>
      <formula>0.5625</formula>
    </cfRule>
  </conditionalFormatting>
  <conditionalFormatting sqref="AL14">
    <cfRule type="cellIs" dxfId="470" priority="108" operator="between">
      <formula>0.563</formula>
      <formula>0.7125</formula>
    </cfRule>
  </conditionalFormatting>
  <conditionalFormatting sqref="AM14">
    <cfRule type="cellIs" dxfId="469" priority="107" operator="between">
      <formula>0.713</formula>
      <formula>0.75</formula>
    </cfRule>
  </conditionalFormatting>
  <conditionalFormatting sqref="AN14">
    <cfRule type="cellIs" dxfId="468" priority="106" operator="greaterThan">
      <formula>0.755</formula>
    </cfRule>
  </conditionalFormatting>
  <conditionalFormatting sqref="AQ6">
    <cfRule type="cellIs" dxfId="467" priority="105" stopIfTrue="1" operator="between">
      <formula>0</formula>
      <formula>0.5</formula>
    </cfRule>
  </conditionalFormatting>
  <conditionalFormatting sqref="AR6">
    <cfRule type="cellIs" dxfId="466" priority="104" operator="between">
      <formula>0.51</formula>
      <formula>0.75</formula>
    </cfRule>
  </conditionalFormatting>
  <conditionalFormatting sqref="AS6">
    <cfRule type="cellIs" dxfId="465" priority="103" operator="between">
      <formula>0.76</formula>
      <formula>0.95</formula>
    </cfRule>
  </conditionalFormatting>
  <conditionalFormatting sqref="AT6">
    <cfRule type="cellIs" dxfId="464" priority="102" operator="between">
      <formula>0.95</formula>
      <formula>1</formula>
    </cfRule>
  </conditionalFormatting>
  <conditionalFormatting sqref="AU6">
    <cfRule type="cellIs" dxfId="463" priority="101" operator="greaterThan">
      <formula>1</formula>
    </cfRule>
  </conditionalFormatting>
  <conditionalFormatting sqref="AQ7">
    <cfRule type="cellIs" dxfId="462" priority="100" stopIfTrue="1" operator="between">
      <formula>0</formula>
      <formula>0.5</formula>
    </cfRule>
  </conditionalFormatting>
  <conditionalFormatting sqref="AR7">
    <cfRule type="cellIs" dxfId="461" priority="99" operator="between">
      <formula>0.51</formula>
      <formula>0.75</formula>
    </cfRule>
  </conditionalFormatting>
  <conditionalFormatting sqref="AS7">
    <cfRule type="cellIs" dxfId="460" priority="98" operator="between">
      <formula>0.76</formula>
      <formula>0.95</formula>
    </cfRule>
  </conditionalFormatting>
  <conditionalFormatting sqref="AT7">
    <cfRule type="cellIs" dxfId="459" priority="97" operator="between">
      <formula>0.95</formula>
      <formula>1</formula>
    </cfRule>
  </conditionalFormatting>
  <conditionalFormatting sqref="AU7">
    <cfRule type="cellIs" dxfId="458" priority="96" operator="greaterThan">
      <formula>1</formula>
    </cfRule>
  </conditionalFormatting>
  <conditionalFormatting sqref="AQ8">
    <cfRule type="cellIs" dxfId="457" priority="95" stopIfTrue="1" operator="between">
      <formula>0</formula>
      <formula>0.5</formula>
    </cfRule>
  </conditionalFormatting>
  <conditionalFormatting sqref="AR8">
    <cfRule type="cellIs" dxfId="456" priority="94" operator="between">
      <formula>0.51</formula>
      <formula>0.75</formula>
    </cfRule>
  </conditionalFormatting>
  <conditionalFormatting sqref="AS8">
    <cfRule type="cellIs" dxfId="455" priority="93" operator="between">
      <formula>0.76</formula>
      <formula>0.95</formula>
    </cfRule>
  </conditionalFormatting>
  <conditionalFormatting sqref="AT8">
    <cfRule type="cellIs" dxfId="454" priority="92" operator="between">
      <formula>0.95</formula>
      <formula>1</formula>
    </cfRule>
  </conditionalFormatting>
  <conditionalFormatting sqref="AU8">
    <cfRule type="cellIs" dxfId="453" priority="91" operator="greaterThan">
      <formula>1</formula>
    </cfRule>
  </conditionalFormatting>
  <conditionalFormatting sqref="AQ9">
    <cfRule type="cellIs" dxfId="452" priority="90" stopIfTrue="1" operator="between">
      <formula>0</formula>
      <formula>0.5</formula>
    </cfRule>
  </conditionalFormatting>
  <conditionalFormatting sqref="AR9">
    <cfRule type="cellIs" dxfId="451" priority="89" operator="between">
      <formula>0.51</formula>
      <formula>0.75</formula>
    </cfRule>
  </conditionalFormatting>
  <conditionalFormatting sqref="AS9">
    <cfRule type="cellIs" dxfId="450" priority="88" operator="between">
      <formula>0.76</formula>
      <formula>0.95</formula>
    </cfRule>
  </conditionalFormatting>
  <conditionalFormatting sqref="AT9">
    <cfRule type="cellIs" dxfId="449" priority="87" operator="between">
      <formula>0.95</formula>
      <formula>1</formula>
    </cfRule>
  </conditionalFormatting>
  <conditionalFormatting sqref="AU9">
    <cfRule type="cellIs" dxfId="448" priority="86" operator="greaterThan">
      <formula>1</formula>
    </cfRule>
  </conditionalFormatting>
  <conditionalFormatting sqref="AQ10">
    <cfRule type="cellIs" dxfId="447" priority="85" stopIfTrue="1" operator="between">
      <formula>0</formula>
      <formula>0.5</formula>
    </cfRule>
  </conditionalFormatting>
  <conditionalFormatting sqref="AR10">
    <cfRule type="cellIs" dxfId="446" priority="84" operator="between">
      <formula>0.51</formula>
      <formula>0.75</formula>
    </cfRule>
  </conditionalFormatting>
  <conditionalFormatting sqref="AS10">
    <cfRule type="cellIs" dxfId="445" priority="83" operator="between">
      <formula>0.76</formula>
      <formula>0.95</formula>
    </cfRule>
  </conditionalFormatting>
  <conditionalFormatting sqref="AT10">
    <cfRule type="cellIs" dxfId="444" priority="82" operator="between">
      <formula>0.95</formula>
      <formula>1</formula>
    </cfRule>
  </conditionalFormatting>
  <conditionalFormatting sqref="AU10">
    <cfRule type="cellIs" dxfId="443" priority="81" operator="greaterThan">
      <formula>1</formula>
    </cfRule>
  </conditionalFormatting>
  <conditionalFormatting sqref="AQ11">
    <cfRule type="cellIs" dxfId="442" priority="80" stopIfTrue="1" operator="between">
      <formula>0</formula>
      <formula>0.5</formula>
    </cfRule>
  </conditionalFormatting>
  <conditionalFormatting sqref="AR11">
    <cfRule type="cellIs" dxfId="441" priority="79" operator="between">
      <formula>0.51</formula>
      <formula>0.75</formula>
    </cfRule>
  </conditionalFormatting>
  <conditionalFormatting sqref="AS11">
    <cfRule type="cellIs" dxfId="440" priority="78" operator="between">
      <formula>0.76</formula>
      <formula>0.95</formula>
    </cfRule>
  </conditionalFormatting>
  <conditionalFormatting sqref="AT11">
    <cfRule type="cellIs" dxfId="439" priority="77" operator="between">
      <formula>0.95</formula>
      <formula>1</formula>
    </cfRule>
  </conditionalFormatting>
  <conditionalFormatting sqref="AU11">
    <cfRule type="cellIs" dxfId="438" priority="76" operator="greaterThan">
      <formula>1</formula>
    </cfRule>
  </conditionalFormatting>
  <conditionalFormatting sqref="AQ12">
    <cfRule type="cellIs" dxfId="437" priority="75" stopIfTrue="1" operator="between">
      <formula>0</formula>
      <formula>0.5</formula>
    </cfRule>
  </conditionalFormatting>
  <conditionalFormatting sqref="AR12">
    <cfRule type="cellIs" dxfId="436" priority="74" operator="between">
      <formula>0.51</formula>
      <formula>0.75</formula>
    </cfRule>
  </conditionalFormatting>
  <conditionalFormatting sqref="AS12">
    <cfRule type="cellIs" dxfId="435" priority="73" operator="between">
      <formula>0.76</formula>
      <formula>0.95</formula>
    </cfRule>
  </conditionalFormatting>
  <conditionalFormatting sqref="AT12">
    <cfRule type="cellIs" dxfId="434" priority="72" operator="between">
      <formula>0.95</formula>
      <formula>1</formula>
    </cfRule>
  </conditionalFormatting>
  <conditionalFormatting sqref="AU12">
    <cfRule type="cellIs" dxfId="433" priority="71" operator="greaterThan">
      <formula>1</formula>
    </cfRule>
  </conditionalFormatting>
  <conditionalFormatting sqref="AQ13">
    <cfRule type="cellIs" dxfId="432" priority="70" stopIfTrue="1" operator="between">
      <formula>0</formula>
      <formula>0.5</formula>
    </cfRule>
  </conditionalFormatting>
  <conditionalFormatting sqref="AR13">
    <cfRule type="cellIs" dxfId="431" priority="69" operator="between">
      <formula>0.51</formula>
      <formula>0.75</formula>
    </cfRule>
  </conditionalFormatting>
  <conditionalFormatting sqref="AS13">
    <cfRule type="cellIs" dxfId="430" priority="68" operator="between">
      <formula>0.76</formula>
      <formula>0.95</formula>
    </cfRule>
  </conditionalFormatting>
  <conditionalFormatting sqref="AT13">
    <cfRule type="cellIs" dxfId="429" priority="67" operator="between">
      <formula>0.95</formula>
      <formula>1</formula>
    </cfRule>
  </conditionalFormatting>
  <conditionalFormatting sqref="AU13">
    <cfRule type="cellIs" dxfId="428" priority="66" operator="greaterThan">
      <formula>1</formula>
    </cfRule>
  </conditionalFormatting>
  <conditionalFormatting sqref="AQ14">
    <cfRule type="cellIs" dxfId="427" priority="65" stopIfTrue="1" operator="between">
      <formula>0</formula>
      <formula>0.5</formula>
    </cfRule>
  </conditionalFormatting>
  <conditionalFormatting sqref="AR14">
    <cfRule type="cellIs" dxfId="426" priority="64" operator="between">
      <formula>0.51</formula>
      <formula>0.75</formula>
    </cfRule>
  </conditionalFormatting>
  <conditionalFormatting sqref="AS14">
    <cfRule type="cellIs" dxfId="425" priority="63" operator="between">
      <formula>0.76</formula>
      <formula>0.95</formula>
    </cfRule>
  </conditionalFormatting>
  <conditionalFormatting sqref="AT14">
    <cfRule type="cellIs" dxfId="424" priority="62" operator="between">
      <formula>0.95</formula>
      <formula>1</formula>
    </cfRule>
  </conditionalFormatting>
  <conditionalFormatting sqref="AU14">
    <cfRule type="cellIs" dxfId="423" priority="61" operator="greaterThan">
      <formula>1</formula>
    </cfRule>
  </conditionalFormatting>
  <conditionalFormatting sqref="AX6">
    <cfRule type="cellIs" dxfId="422" priority="60" operator="between">
      <formula>0.501</formula>
      <formula>0.75</formula>
    </cfRule>
  </conditionalFormatting>
  <conditionalFormatting sqref="AY6">
    <cfRule type="cellIs" dxfId="421" priority="59" operator="between">
      <formula>0.76</formula>
      <formula>0.95</formula>
    </cfRule>
  </conditionalFormatting>
  <conditionalFormatting sqref="AZ6">
    <cfRule type="cellIs" dxfId="420" priority="58" operator="between">
      <formula>0.95</formula>
      <formula>1</formula>
    </cfRule>
  </conditionalFormatting>
  <conditionalFormatting sqref="BA6">
    <cfRule type="cellIs" dxfId="419" priority="57" operator="greaterThan">
      <formula>1</formula>
    </cfRule>
  </conditionalFormatting>
  <conditionalFormatting sqref="AW6">
    <cfRule type="cellIs" dxfId="418" priority="56" stopIfTrue="1" operator="between">
      <formula>0</formula>
      <formula>0.5</formula>
    </cfRule>
  </conditionalFormatting>
  <conditionalFormatting sqref="AX7">
    <cfRule type="cellIs" dxfId="417" priority="55" operator="between">
      <formula>0.501</formula>
      <formula>0.75</formula>
    </cfRule>
  </conditionalFormatting>
  <conditionalFormatting sqref="AY7">
    <cfRule type="cellIs" dxfId="416" priority="54" operator="between">
      <formula>0.76</formula>
      <formula>0.95</formula>
    </cfRule>
  </conditionalFormatting>
  <conditionalFormatting sqref="AZ7">
    <cfRule type="cellIs" dxfId="415" priority="53" operator="between">
      <formula>0.95</formula>
      <formula>1</formula>
    </cfRule>
  </conditionalFormatting>
  <conditionalFormatting sqref="BA7">
    <cfRule type="cellIs" dxfId="414" priority="52" operator="greaterThan">
      <formula>1</formula>
    </cfRule>
  </conditionalFormatting>
  <conditionalFormatting sqref="AW7">
    <cfRule type="cellIs" dxfId="413" priority="51" stopIfTrue="1" operator="between">
      <formula>0</formula>
      <formula>0.5</formula>
    </cfRule>
  </conditionalFormatting>
  <conditionalFormatting sqref="AX8">
    <cfRule type="cellIs" dxfId="412" priority="50" operator="between">
      <formula>0.501</formula>
      <formula>0.75</formula>
    </cfRule>
  </conditionalFormatting>
  <conditionalFormatting sqref="AY8">
    <cfRule type="cellIs" dxfId="411" priority="49" operator="between">
      <formula>0.76</formula>
      <formula>0.95</formula>
    </cfRule>
  </conditionalFormatting>
  <conditionalFormatting sqref="AZ8">
    <cfRule type="cellIs" dxfId="410" priority="48" operator="between">
      <formula>0.95</formula>
      <formula>1</formula>
    </cfRule>
  </conditionalFormatting>
  <conditionalFormatting sqref="BA8">
    <cfRule type="cellIs" dxfId="409" priority="47" operator="greaterThan">
      <formula>1</formula>
    </cfRule>
  </conditionalFormatting>
  <conditionalFormatting sqref="AW8">
    <cfRule type="cellIs" dxfId="408" priority="46" stopIfTrue="1" operator="between">
      <formula>0</formula>
      <formula>0.5</formula>
    </cfRule>
  </conditionalFormatting>
  <conditionalFormatting sqref="AX9">
    <cfRule type="cellIs" dxfId="407" priority="45" operator="between">
      <formula>0.501</formula>
      <formula>0.75</formula>
    </cfRule>
  </conditionalFormatting>
  <conditionalFormatting sqref="AY9">
    <cfRule type="cellIs" dxfId="406" priority="44" operator="between">
      <formula>0.76</formula>
      <formula>0.95</formula>
    </cfRule>
  </conditionalFormatting>
  <conditionalFormatting sqref="AZ9">
    <cfRule type="cellIs" dxfId="405" priority="43" operator="between">
      <formula>0.95</formula>
      <formula>1</formula>
    </cfRule>
  </conditionalFormatting>
  <conditionalFormatting sqref="BA9">
    <cfRule type="cellIs" dxfId="404" priority="42" operator="greaterThan">
      <formula>1</formula>
    </cfRule>
  </conditionalFormatting>
  <conditionalFormatting sqref="AW9">
    <cfRule type="cellIs" dxfId="403" priority="41" stopIfTrue="1" operator="between">
      <formula>0</formula>
      <formula>0.5</formula>
    </cfRule>
  </conditionalFormatting>
  <conditionalFormatting sqref="AX10">
    <cfRule type="cellIs" dxfId="402" priority="40" operator="between">
      <formula>0.501</formula>
      <formula>0.75</formula>
    </cfRule>
  </conditionalFormatting>
  <conditionalFormatting sqref="AY10">
    <cfRule type="cellIs" dxfId="401" priority="39" operator="between">
      <formula>0.76</formula>
      <formula>0.95</formula>
    </cfRule>
  </conditionalFormatting>
  <conditionalFormatting sqref="AZ10">
    <cfRule type="cellIs" dxfId="400" priority="38" operator="between">
      <formula>0.95</formula>
      <formula>1</formula>
    </cfRule>
  </conditionalFormatting>
  <conditionalFormatting sqref="BA10">
    <cfRule type="cellIs" dxfId="399" priority="37" operator="greaterThan">
      <formula>1</formula>
    </cfRule>
  </conditionalFormatting>
  <conditionalFormatting sqref="AW10">
    <cfRule type="cellIs" dxfId="398" priority="36" stopIfTrue="1" operator="between">
      <formula>0</formula>
      <formula>0.5</formula>
    </cfRule>
  </conditionalFormatting>
  <conditionalFormatting sqref="AX11">
    <cfRule type="cellIs" dxfId="397" priority="35" operator="between">
      <formula>0.501</formula>
      <formula>0.75</formula>
    </cfRule>
  </conditionalFormatting>
  <conditionalFormatting sqref="AY11">
    <cfRule type="cellIs" dxfId="396" priority="34" operator="between">
      <formula>0.76</formula>
      <formula>0.95</formula>
    </cfRule>
  </conditionalFormatting>
  <conditionalFormatting sqref="AZ11">
    <cfRule type="cellIs" dxfId="395" priority="33" operator="between">
      <formula>0.95</formula>
      <formula>1</formula>
    </cfRule>
  </conditionalFormatting>
  <conditionalFormatting sqref="BA11">
    <cfRule type="cellIs" dxfId="394" priority="32" operator="greaterThan">
      <formula>1</formula>
    </cfRule>
  </conditionalFormatting>
  <conditionalFormatting sqref="AW11">
    <cfRule type="cellIs" dxfId="393" priority="31" stopIfTrue="1" operator="between">
      <formula>0</formula>
      <formula>0.5</formula>
    </cfRule>
  </conditionalFormatting>
  <conditionalFormatting sqref="AX12">
    <cfRule type="cellIs" dxfId="392" priority="30" operator="between">
      <formula>0.501</formula>
      <formula>0.75</formula>
    </cfRule>
  </conditionalFormatting>
  <conditionalFormatting sqref="AY12">
    <cfRule type="cellIs" dxfId="391" priority="29" operator="between">
      <formula>0.76</formula>
      <formula>0.95</formula>
    </cfRule>
  </conditionalFormatting>
  <conditionalFormatting sqref="AZ12">
    <cfRule type="cellIs" dxfId="390" priority="28" operator="between">
      <formula>0.95</formula>
      <formula>1</formula>
    </cfRule>
  </conditionalFormatting>
  <conditionalFormatting sqref="BA12">
    <cfRule type="cellIs" dxfId="389" priority="27" operator="greaterThan">
      <formula>1</formula>
    </cfRule>
  </conditionalFormatting>
  <conditionalFormatting sqref="AW12">
    <cfRule type="cellIs" dxfId="388" priority="26" stopIfTrue="1" operator="between">
      <formula>0</formula>
      <formula>0.5</formula>
    </cfRule>
  </conditionalFormatting>
  <conditionalFormatting sqref="AX13">
    <cfRule type="cellIs" dxfId="387" priority="25" operator="between">
      <formula>0.501</formula>
      <formula>0.75</formula>
    </cfRule>
  </conditionalFormatting>
  <conditionalFormatting sqref="AY13">
    <cfRule type="cellIs" dxfId="386" priority="24" operator="between">
      <formula>0.76</formula>
      <formula>0.95</formula>
    </cfRule>
  </conditionalFormatting>
  <conditionalFormatting sqref="AZ13">
    <cfRule type="cellIs" dxfId="385" priority="23" operator="between">
      <formula>0.95</formula>
      <formula>1</formula>
    </cfRule>
  </conditionalFormatting>
  <conditionalFormatting sqref="BA13">
    <cfRule type="cellIs" dxfId="384" priority="22" operator="greaterThan">
      <formula>1</formula>
    </cfRule>
  </conditionalFormatting>
  <conditionalFormatting sqref="AW13">
    <cfRule type="cellIs" dxfId="383" priority="21" stopIfTrue="1" operator="between">
      <formula>0</formula>
      <formula>0.5</formula>
    </cfRule>
  </conditionalFormatting>
  <conditionalFormatting sqref="AX14">
    <cfRule type="cellIs" dxfId="382" priority="20" operator="between">
      <formula>0.501</formula>
      <formula>0.75</formula>
    </cfRule>
  </conditionalFormatting>
  <conditionalFormatting sqref="AY14">
    <cfRule type="cellIs" dxfId="381" priority="19" operator="between">
      <formula>0.76</formula>
      <formula>0.95</formula>
    </cfRule>
  </conditionalFormatting>
  <conditionalFormatting sqref="AZ14">
    <cfRule type="cellIs" dxfId="380" priority="18" operator="between">
      <formula>0.95</formula>
      <formula>1</formula>
    </cfRule>
  </conditionalFormatting>
  <conditionalFormatting sqref="BA14">
    <cfRule type="cellIs" dxfId="379" priority="17" operator="greaterThan">
      <formula>1</formula>
    </cfRule>
  </conditionalFormatting>
  <conditionalFormatting sqref="AW14">
    <cfRule type="cellIs" dxfId="378" priority="16" stopIfTrue="1" operator="between">
      <formula>0</formula>
      <formula>0.5</formula>
    </cfRule>
  </conditionalFormatting>
  <conditionalFormatting sqref="W6">
    <cfRule type="cellIs" dxfId="377" priority="15" stopIfTrue="1" operator="between">
      <formula>0</formula>
      <formula>0.255</formula>
    </cfRule>
  </conditionalFormatting>
  <conditionalFormatting sqref="X6">
    <cfRule type="cellIs" dxfId="376" priority="14" operator="between">
      <formula>0.2551</formula>
      <formula>0.375</formula>
    </cfRule>
  </conditionalFormatting>
  <conditionalFormatting sqref="Y6">
    <cfRule type="cellIs" dxfId="375" priority="13" operator="between">
      <formula>0.3751</formula>
      <formula>0.475</formula>
    </cfRule>
  </conditionalFormatting>
  <conditionalFormatting sqref="Z6">
    <cfRule type="cellIs" dxfId="374" priority="12" operator="between">
      <formula>0.4751</formula>
      <formula>0.51</formula>
    </cfRule>
  </conditionalFormatting>
  <conditionalFormatting sqref="AA6">
    <cfRule type="cellIs" dxfId="373" priority="11" operator="greaterThan">
      <formula>0.505</formula>
    </cfRule>
  </conditionalFormatting>
  <conditionalFormatting sqref="AB8">
    <cfRule type="cellIs" dxfId="372" priority="6" operator="greaterThan">
      <formula>0.505</formula>
    </cfRule>
  </conditionalFormatting>
  <conditionalFormatting sqref="W8">
    <cfRule type="cellIs" dxfId="371" priority="5" stopIfTrue="1" operator="between">
      <formula>0</formula>
      <formula>0.255</formula>
    </cfRule>
  </conditionalFormatting>
  <conditionalFormatting sqref="X8">
    <cfRule type="cellIs" dxfId="370" priority="4" operator="between">
      <formula>0.2551</formula>
      <formula>0.375</formula>
    </cfRule>
  </conditionalFormatting>
  <conditionalFormatting sqref="Y8">
    <cfRule type="cellIs" dxfId="369" priority="3" operator="between">
      <formula>0.3751</formula>
      <formula>0.475</formula>
    </cfRule>
  </conditionalFormatting>
  <conditionalFormatting sqref="Z8">
    <cfRule type="cellIs" dxfId="368" priority="2" operator="between">
      <formula>0.48</formula>
      <formula>0.51</formula>
    </cfRule>
  </conditionalFormatting>
  <conditionalFormatting sqref="AA8">
    <cfRule type="cellIs" dxfId="367" priority="1" operator="greaterThan">
      <formula>0.505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A8A38-82BF-44D8-9BEB-60032C32E535}">
  <dimension ref="A1:BD15"/>
  <sheetViews>
    <sheetView showGridLines="0" topLeftCell="AJ1" zoomScale="80" zoomScaleNormal="80" workbookViewId="0">
      <selection activeCell="BG12" sqref="BG12"/>
    </sheetView>
  </sheetViews>
  <sheetFormatPr baseColWidth="10" defaultRowHeight="15" x14ac:dyDescent="0.25"/>
  <cols>
    <col min="1" max="1" width="49" customWidth="1"/>
    <col min="2" max="2" width="2.28515625" customWidth="1"/>
    <col min="3" max="3" width="21.7109375" customWidth="1"/>
    <col min="4" max="8" width="3.28515625" customWidth="1"/>
    <col min="9" max="10" width="11.7109375" customWidth="1"/>
    <col min="11" max="15" width="3.28515625" customWidth="1"/>
    <col min="16" max="16" width="2.7109375" customWidth="1"/>
    <col min="17" max="17" width="11.7109375" customWidth="1"/>
    <col min="18" max="22" width="3.28515625" customWidth="1"/>
    <col min="23" max="24" width="11.7109375" customWidth="1"/>
    <col min="25" max="29" width="3.28515625" customWidth="1"/>
    <col min="30" max="30" width="3.140625" customWidth="1"/>
    <col min="31" max="31" width="17.28515625" customWidth="1"/>
    <col min="32" max="36" width="3.28515625" customWidth="1"/>
    <col min="37" max="37" width="12.85546875" customWidth="1"/>
    <col min="38" max="38" width="11.7109375" customWidth="1"/>
    <col min="39" max="43" width="3.28515625" customWidth="1"/>
    <col min="44" max="44" width="2.85546875" customWidth="1"/>
    <col min="45" max="45" width="11.7109375" customWidth="1"/>
    <col min="46" max="50" width="3.28515625" customWidth="1"/>
    <col min="51" max="51" width="14.42578125" customWidth="1"/>
    <col min="52" max="56" width="3.28515625" customWidth="1"/>
  </cols>
  <sheetData>
    <row r="1" spans="1:56" ht="15" customHeight="1" x14ac:dyDescent="0.25">
      <c r="A1" s="1503"/>
      <c r="B1" s="1335" t="s">
        <v>952</v>
      </c>
      <c r="C1" s="1336"/>
      <c r="D1" s="1336"/>
      <c r="E1" s="1336"/>
      <c r="F1" s="1336"/>
      <c r="G1" s="1336"/>
      <c r="H1" s="1337"/>
      <c r="I1" s="1314" t="s">
        <v>953</v>
      </c>
      <c r="J1" s="1336"/>
      <c r="K1" s="1336"/>
      <c r="L1" s="1336"/>
      <c r="M1" s="1336"/>
      <c r="N1" s="1336"/>
      <c r="O1" s="1336"/>
      <c r="P1" s="1336"/>
      <c r="Q1" s="1336"/>
      <c r="R1" s="1336"/>
      <c r="S1" s="1336"/>
      <c r="T1" s="1336"/>
      <c r="U1" s="1336"/>
      <c r="V1" s="1336"/>
      <c r="W1" s="1336"/>
      <c r="X1" s="1336"/>
      <c r="Y1" s="1336"/>
      <c r="Z1" s="1336"/>
      <c r="AA1" s="1336"/>
      <c r="AB1" s="1336"/>
      <c r="AC1" s="1336"/>
      <c r="AD1" s="1336"/>
      <c r="AE1" s="1336"/>
      <c r="AF1" s="1336"/>
      <c r="AG1" s="1336"/>
      <c r="AH1" s="1336"/>
      <c r="AI1" s="1336"/>
      <c r="AJ1" s="1336"/>
      <c r="AK1" s="1336"/>
      <c r="AL1" s="1336"/>
      <c r="AM1" s="1336"/>
      <c r="AN1" s="1336"/>
      <c r="AO1" s="1336"/>
      <c r="AP1" s="1336"/>
      <c r="AQ1" s="1336"/>
      <c r="AR1" s="1523"/>
      <c r="AS1" s="1326"/>
      <c r="AT1" s="1327"/>
      <c r="AU1" s="1327"/>
      <c r="AV1" s="1327"/>
      <c r="AW1" s="1327"/>
      <c r="AX1" s="1327"/>
      <c r="AY1" s="1327"/>
      <c r="AZ1" s="1327"/>
      <c r="BA1" s="1327"/>
      <c r="BB1" s="1327"/>
      <c r="BC1" s="1327"/>
      <c r="BD1" s="1328"/>
    </row>
    <row r="2" spans="1:56" ht="15" customHeight="1" x14ac:dyDescent="0.25">
      <c r="A2" s="1504"/>
      <c r="B2" s="1338" t="s">
        <v>954</v>
      </c>
      <c r="C2" s="1339"/>
      <c r="D2" s="1339"/>
      <c r="E2" s="1339"/>
      <c r="F2" s="1339"/>
      <c r="G2" s="1339"/>
      <c r="H2" s="1340"/>
      <c r="I2" s="1321" t="s">
        <v>800</v>
      </c>
      <c r="J2" s="1339"/>
      <c r="K2" s="1339"/>
      <c r="L2" s="1339"/>
      <c r="M2" s="1339"/>
      <c r="N2" s="1339"/>
      <c r="O2" s="1339"/>
      <c r="P2" s="1339"/>
      <c r="Q2" s="1339"/>
      <c r="R2" s="1339"/>
      <c r="S2" s="1339"/>
      <c r="T2" s="1339"/>
      <c r="U2" s="1339"/>
      <c r="V2" s="1339"/>
      <c r="W2" s="1339"/>
      <c r="X2" s="1339"/>
      <c r="Y2" s="1339"/>
      <c r="Z2" s="1339"/>
      <c r="AA2" s="1339"/>
      <c r="AB2" s="1339"/>
      <c r="AC2" s="1339"/>
      <c r="AD2" s="1339"/>
      <c r="AE2" s="1339"/>
      <c r="AF2" s="1339"/>
      <c r="AG2" s="1339"/>
      <c r="AH2" s="1339"/>
      <c r="AI2" s="1339"/>
      <c r="AJ2" s="1339"/>
      <c r="AK2" s="1339"/>
      <c r="AL2" s="1339"/>
      <c r="AM2" s="1339"/>
      <c r="AN2" s="1339"/>
      <c r="AO2" s="1339"/>
      <c r="AP2" s="1339"/>
      <c r="AQ2" s="1339"/>
      <c r="AR2" s="1524"/>
      <c r="AS2" s="1329"/>
      <c r="AT2" s="1330"/>
      <c r="AU2" s="1330"/>
      <c r="AV2" s="1330"/>
      <c r="AW2" s="1330"/>
      <c r="AX2" s="1330"/>
      <c r="AY2" s="1330"/>
      <c r="AZ2" s="1330"/>
      <c r="BA2" s="1330"/>
      <c r="BB2" s="1330"/>
      <c r="BC2" s="1330"/>
      <c r="BD2" s="1331"/>
    </row>
    <row r="3" spans="1:56" ht="15.75" customHeight="1" thickBot="1" x14ac:dyDescent="0.3">
      <c r="A3" s="1505"/>
      <c r="B3" s="1341" t="s">
        <v>852</v>
      </c>
      <c r="C3" s="1342"/>
      <c r="D3" s="1342"/>
      <c r="E3" s="1342"/>
      <c r="F3" s="1342"/>
      <c r="G3" s="1342"/>
      <c r="H3" s="1343"/>
      <c r="I3" s="1344" t="s">
        <v>958</v>
      </c>
      <c r="J3" s="1342"/>
      <c r="K3" s="1342"/>
      <c r="L3" s="1342"/>
      <c r="M3" s="1342"/>
      <c r="N3" s="1342"/>
      <c r="O3" s="1343"/>
      <c r="P3" s="1345" t="s">
        <v>823</v>
      </c>
      <c r="Q3" s="1346"/>
      <c r="R3" s="1346"/>
      <c r="S3" s="1346"/>
      <c r="T3" s="1346"/>
      <c r="U3" s="1346"/>
      <c r="V3" s="1346"/>
      <c r="W3" s="1346"/>
      <c r="X3" s="1346"/>
      <c r="Y3" s="1346"/>
      <c r="Z3" s="1346"/>
      <c r="AA3" s="1346"/>
      <c r="AB3" s="1346"/>
      <c r="AC3" s="1346"/>
      <c r="AD3" s="1346"/>
      <c r="AE3" s="1346"/>
      <c r="AF3" s="1346"/>
      <c r="AG3" s="1346"/>
      <c r="AH3" s="1346"/>
      <c r="AI3" s="1346"/>
      <c r="AJ3" s="1347"/>
      <c r="AK3" s="626" t="s">
        <v>957</v>
      </c>
      <c r="AL3" s="628"/>
      <c r="AM3" s="1344">
        <v>1</v>
      </c>
      <c r="AN3" s="1342"/>
      <c r="AO3" s="1342"/>
      <c r="AP3" s="1342"/>
      <c r="AQ3" s="1342"/>
      <c r="AR3" s="1526"/>
      <c r="AS3" s="1332"/>
      <c r="AT3" s="1333"/>
      <c r="AU3" s="1333"/>
      <c r="AV3" s="1333"/>
      <c r="AW3" s="1333"/>
      <c r="AX3" s="1333"/>
      <c r="AY3" s="1333"/>
      <c r="AZ3" s="1333"/>
      <c r="BA3" s="1333"/>
      <c r="BB3" s="1333"/>
      <c r="BC3" s="1333"/>
      <c r="BD3" s="1334"/>
    </row>
    <row r="4" spans="1:56" ht="15.75" thickBot="1" x14ac:dyDescent="0.3"/>
    <row r="5" spans="1:56" ht="72.75" customHeight="1" thickBot="1" x14ac:dyDescent="0.3">
      <c r="A5" s="289" t="s">
        <v>832</v>
      </c>
      <c r="B5" s="412"/>
      <c r="C5" s="1315" t="s">
        <v>1098</v>
      </c>
      <c r="D5" s="1501"/>
      <c r="E5" s="1501"/>
      <c r="F5" s="1501"/>
      <c r="G5" s="1501"/>
      <c r="H5" s="1502"/>
      <c r="I5" s="1318" t="s">
        <v>1099</v>
      </c>
      <c r="J5" s="1319"/>
      <c r="K5" s="1319"/>
      <c r="L5" s="1319"/>
      <c r="M5" s="1319"/>
      <c r="N5" s="1319"/>
      <c r="O5" s="1319"/>
      <c r="P5" s="177"/>
      <c r="Q5" s="1318" t="s">
        <v>1100</v>
      </c>
      <c r="R5" s="1319"/>
      <c r="S5" s="1319"/>
      <c r="T5" s="1319"/>
      <c r="U5" s="1319"/>
      <c r="V5" s="1525"/>
      <c r="W5" s="1325" t="s">
        <v>1101</v>
      </c>
      <c r="X5" s="1319"/>
      <c r="Y5" s="1319"/>
      <c r="Z5" s="1319"/>
      <c r="AA5" s="1319"/>
      <c r="AB5" s="1319"/>
      <c r="AC5" s="1319"/>
      <c r="AD5" s="515"/>
      <c r="AE5" s="1318" t="s">
        <v>1102</v>
      </c>
      <c r="AF5" s="1319"/>
      <c r="AG5" s="1319"/>
      <c r="AH5" s="1319"/>
      <c r="AI5" s="1319"/>
      <c r="AJ5" s="1525"/>
      <c r="AK5" s="1325" t="s">
        <v>1103</v>
      </c>
      <c r="AL5" s="1319"/>
      <c r="AM5" s="1319"/>
      <c r="AN5" s="1319"/>
      <c r="AO5" s="1319"/>
      <c r="AP5" s="1319"/>
      <c r="AQ5" s="1319"/>
      <c r="AR5" s="515"/>
      <c r="AS5" s="1318" t="s">
        <v>1104</v>
      </c>
      <c r="AT5" s="1319"/>
      <c r="AU5" s="1319"/>
      <c r="AV5" s="1319"/>
      <c r="AW5" s="1319"/>
      <c r="AX5" s="1525"/>
      <c r="AY5" s="1325" t="s">
        <v>1105</v>
      </c>
      <c r="AZ5" s="1319"/>
      <c r="BA5" s="1319"/>
      <c r="BB5" s="1319"/>
      <c r="BC5" s="1319"/>
      <c r="BD5" s="1319"/>
    </row>
    <row r="6" spans="1:56" ht="18" x14ac:dyDescent="0.25">
      <c r="A6" s="295" t="s">
        <v>3</v>
      </c>
      <c r="B6" s="413"/>
      <c r="C6" s="598">
        <f>SUM('Cuadro Mando Integral Detallado'!J35:J36,'Cuadro Mando Integral Detallado'!J40:J41,'Cuadro Mando Integral Detallado'!J151:J154,'Cuadro Mando Integral Detallado'!J156:J163,'Cuadro Mando Integral Detallado'!J178,'Cuadro Mando Integral Detallado'!J180,'Cuadro Mando Integral Detallado'!J228,'Cuadro Mando Integral Detallado'!J381)/COUNT('Cuadro Mando Integral Detallado'!J35:J36,'Cuadro Mando Integral Detallado'!J40:J41,'Cuadro Mando Integral Detallado'!J151:J154,'Cuadro Mando Integral Detallado'!J156:J163,'Cuadro Mando Integral Detallado'!J178,'Cuadro Mando Integral Detallado'!J180,'Cuadro Mando Integral Detallado'!J228,'Cuadro Mando Integral Detallado'!J381)</f>
        <v>1</v>
      </c>
      <c r="D6" s="581">
        <f t="shared" ref="D6:D14" si="0">+C6</f>
        <v>1</v>
      </c>
      <c r="E6" s="557">
        <f t="shared" ref="E6:E14" si="1">+C6</f>
        <v>1</v>
      </c>
      <c r="F6" s="557">
        <f t="shared" ref="F6:F14" si="2">+C6</f>
        <v>1</v>
      </c>
      <c r="G6" s="557">
        <f t="shared" ref="G6:G14" si="3">+C6</f>
        <v>1</v>
      </c>
      <c r="H6" s="497">
        <f t="shared" ref="H6:H14" si="4">+C6</f>
        <v>1</v>
      </c>
      <c r="I6" s="598">
        <f>SUM('Cuadro Mando Integral Detallado'!L35:L36,'Cuadro Mando Integral Detallado'!L40:L41,'Cuadro Mando Integral Detallado'!L151:L154,'Cuadro Mando Integral Detallado'!L156:L163,'Cuadro Mando Integral Detallado'!L178,'Cuadro Mando Integral Detallado'!L180,'Cuadro Mando Integral Detallado'!L228,'Cuadro Mando Integral Detallado'!L381)/COUNT('Cuadro Mando Integral Detallado'!L35:L36,'Cuadro Mando Integral Detallado'!L40:L41,'Cuadro Mando Integral Detallado'!L151:L154,'Cuadro Mando Integral Detallado'!L156:L163,'Cuadro Mando Integral Detallado'!L178,'Cuadro Mando Integral Detallado'!L180,'Cuadro Mando Integral Detallado'!L228,'Cuadro Mando Integral Detallado'!L381)</f>
        <v>6.7638691322901845E-2</v>
      </c>
      <c r="J6" s="598">
        <f>SUM('Cuadro Mando Integral Detallado'!M35:M36,'Cuadro Mando Integral Detallado'!M40:M41,'Cuadro Mando Integral Detallado'!M151:M154,'Cuadro Mando Integral Detallado'!M156:M163,'Cuadro Mando Integral Detallado'!M178,'Cuadro Mando Integral Detallado'!M180,'Cuadro Mando Integral Detallado'!M228,'Cuadro Mando Integral Detallado'!M381)/COUNT('Cuadro Mando Integral Detallado'!M35:M36,'Cuadro Mando Integral Detallado'!M40:M41,'Cuadro Mando Integral Detallado'!M151:M154,'Cuadro Mando Integral Detallado'!M156:M163,'Cuadro Mando Integral Detallado'!M178,'Cuadro Mando Integral Detallado'!M180,'Cuadro Mando Integral Detallado'!M228,'Cuadro Mando Integral Detallado'!M381)</f>
        <v>0.42837837837837833</v>
      </c>
      <c r="K6" s="569">
        <f t="shared" ref="K6:K14" si="5">+I6</f>
        <v>6.7638691322901845E-2</v>
      </c>
      <c r="L6" s="570">
        <f t="shared" ref="L6:L14" si="6">+I6</f>
        <v>6.7638691322901845E-2</v>
      </c>
      <c r="M6" s="570">
        <f t="shared" ref="M6:M14" si="7">+I6</f>
        <v>6.7638691322901845E-2</v>
      </c>
      <c r="N6" s="570">
        <f t="shared" ref="N6:N14" si="8">+I6</f>
        <v>6.7638691322901845E-2</v>
      </c>
      <c r="O6" s="507">
        <f t="shared" ref="O6:O14" si="9">+I6</f>
        <v>6.7638691322901845E-2</v>
      </c>
      <c r="P6" s="177"/>
      <c r="Q6" s="598">
        <f>SUM('Cuadro Mando Integral Detallado'!Q35:Q36,'Cuadro Mando Integral Detallado'!Q40:Q41,'Cuadro Mando Integral Detallado'!Q151:Q154,'Cuadro Mando Integral Detallado'!Q156:Q163,'Cuadro Mando Integral Detallado'!Q178,'Cuadro Mando Integral Detallado'!Q180,'Cuadro Mando Integral Detallado'!Q228,'Cuadro Mando Integral Detallado'!Q381)/COUNT('Cuadro Mando Integral Detallado'!Q35:Q36,'Cuadro Mando Integral Detallado'!Q40:Q41,'Cuadro Mando Integral Detallado'!Q151:Q154,'Cuadro Mando Integral Detallado'!Q156:Q163,'Cuadro Mando Integral Detallado'!Q178,'Cuadro Mando Integral Detallado'!Q180,'Cuadro Mando Integral Detallado'!Q228,'Cuadro Mando Integral Detallado'!Q381)</f>
        <v>0.92246868512696856</v>
      </c>
      <c r="R6" s="581">
        <f t="shared" ref="R6:R14" si="10">+Q6</f>
        <v>0.92246868512696856</v>
      </c>
      <c r="S6" s="557">
        <f t="shared" ref="S6:S14" si="11">+Q6</f>
        <v>0.92246868512696856</v>
      </c>
      <c r="T6" s="557">
        <f t="shared" ref="T6:T14" si="12">+Q6</f>
        <v>0.92246868512696856</v>
      </c>
      <c r="U6" s="557">
        <f t="shared" ref="U6:U14" si="13">+Q6</f>
        <v>0.92246868512696856</v>
      </c>
      <c r="V6" s="497">
        <f t="shared" ref="V6:V14" si="14">+Q6</f>
        <v>0.92246868512696856</v>
      </c>
      <c r="W6" s="598">
        <f>SUM('Cuadro Mando Integral Detallado'!S35:S36,'Cuadro Mando Integral Detallado'!S40:S41,'Cuadro Mando Integral Detallado'!S151:S154,'Cuadro Mando Integral Detallado'!S156:S163,'Cuadro Mando Integral Detallado'!S178,'Cuadro Mando Integral Detallado'!S180,'Cuadro Mando Integral Detallado'!S228,'Cuadro Mando Integral Detallado'!S381)/COUNT('Cuadro Mando Integral Detallado'!S35:S36,'Cuadro Mando Integral Detallado'!S40:S41,'Cuadro Mando Integral Detallado'!S151:S154,'Cuadro Mando Integral Detallado'!S156:S163,'Cuadro Mando Integral Detallado'!S178,'Cuadro Mando Integral Detallado'!S180,'Cuadro Mando Integral Detallado'!S228,'Cuadro Mando Integral Detallado'!S381)</f>
        <v>0.1869051691099419</v>
      </c>
      <c r="X6" s="598">
        <f>SUM('Cuadro Mando Integral Detallado'!T35:T36,'Cuadro Mando Integral Detallado'!T40:T41,'Cuadro Mando Integral Detallado'!T151:T154,'Cuadro Mando Integral Detallado'!T156:T163,'Cuadro Mando Integral Detallado'!T178,'Cuadro Mando Integral Detallado'!T180,'Cuadro Mando Integral Detallado'!T228,'Cuadro Mando Integral Detallado'!T381)/COUNT('Cuadro Mando Integral Detallado'!T35:T36,'Cuadro Mando Integral Detallado'!T40:T41,'Cuadro Mando Integral Detallado'!T151:T154,'Cuadro Mando Integral Detallado'!T156:T163,'Cuadro Mando Integral Detallado'!T178,'Cuadro Mando Integral Detallado'!T180,'Cuadro Mando Integral Detallado'!T228,'Cuadro Mando Integral Detallado'!T381)</f>
        <v>0.7476206764397676</v>
      </c>
      <c r="Y6" s="569">
        <f t="shared" ref="Y6:Y14" si="15">+W6</f>
        <v>0.1869051691099419</v>
      </c>
      <c r="Z6" s="570">
        <f t="shared" ref="Z6:Z14" si="16">+W6</f>
        <v>0.1869051691099419</v>
      </c>
      <c r="AA6" s="570">
        <f t="shared" ref="AA6:AA14" si="17">+W6</f>
        <v>0.1869051691099419</v>
      </c>
      <c r="AB6" s="570">
        <f t="shared" ref="AB6:AB14" si="18">+W6</f>
        <v>0.1869051691099419</v>
      </c>
      <c r="AC6" s="507">
        <f t="shared" ref="AC6:AC13" si="19">+W6</f>
        <v>0.1869051691099419</v>
      </c>
      <c r="AD6" s="505"/>
      <c r="AE6" s="598">
        <f>SUM('Cuadro Mando Integral Detallado'!X35:X36,'Cuadro Mando Integral Detallado'!X40:X41,'Cuadro Mando Integral Detallado'!X151:X154,'Cuadro Mando Integral Detallado'!X156:X163,'Cuadro Mando Integral Detallado'!X178,'Cuadro Mando Integral Detallado'!X180,'Cuadro Mando Integral Detallado'!X228,'Cuadro Mando Integral Detallado'!X381)/COUNT('Cuadro Mando Integral Detallado'!X35:X36,'Cuadro Mando Integral Detallado'!X40:X41,'Cuadro Mando Integral Detallado'!X151:X154,'Cuadro Mando Integral Detallado'!X156:X163,'Cuadro Mando Integral Detallado'!X178,'Cuadro Mando Integral Detallado'!X180,'Cuadro Mando Integral Detallado'!X228,'Cuadro Mando Integral Detallado'!X381)</f>
        <v>0.77641313317456984</v>
      </c>
      <c r="AF6" s="581">
        <f t="shared" ref="AF6:AF14" si="20">+AE6</f>
        <v>0.77641313317456984</v>
      </c>
      <c r="AG6" s="557">
        <f t="shared" ref="AG6:AG14" si="21">+AE6</f>
        <v>0.77641313317456984</v>
      </c>
      <c r="AH6" s="557">
        <f t="shared" ref="AH6:AH14" si="22">+AE6</f>
        <v>0.77641313317456984</v>
      </c>
      <c r="AI6" s="557">
        <f t="shared" ref="AI6:AI14" si="23">+AE6</f>
        <v>0.77641313317456984</v>
      </c>
      <c r="AJ6" s="497">
        <f t="shared" ref="AJ6:AJ14" si="24">+AE6</f>
        <v>0.77641313317456984</v>
      </c>
      <c r="AK6" s="598">
        <f>SUM('Cuadro Mando Integral Detallado'!Z35:Z36,'Cuadro Mando Integral Detallado'!Z40:Z41,'Cuadro Mando Integral Detallado'!Z151:Z154,'Cuadro Mando Integral Detallado'!Z156:Z163,'Cuadro Mando Integral Detallado'!Z178,'Cuadro Mando Integral Detallado'!Z180,'Cuadro Mando Integral Detallado'!Z228,'Cuadro Mando Integral Detallado'!Z381)/COUNT('Cuadro Mando Integral Detallado'!Z35:Z36,'Cuadro Mando Integral Detallado'!Z40:Z41,'Cuadro Mando Integral Detallado'!Z151:Z154,'Cuadro Mando Integral Detallado'!Z156:Z163,'Cuadro Mando Integral Detallado'!Z178,'Cuadro Mando Integral Detallado'!Z180,'Cuadro Mando Integral Detallado'!Z228,'Cuadro Mando Integral Detallado'!Z381)</f>
        <v>0.48045444514800728</v>
      </c>
      <c r="AL6" s="598">
        <f>SUM('Cuadro Mando Integral Detallado'!AA35:AA36,'Cuadro Mando Integral Detallado'!AA40:AA41,'Cuadro Mando Integral Detallado'!AA151:AA154,'Cuadro Mando Integral Detallado'!AA156:AA163,'Cuadro Mando Integral Detallado'!AA178,'Cuadro Mando Integral Detallado'!AA180,'Cuadro Mando Integral Detallado'!AA228,'Cuadro Mando Integral Detallado'!AA381)/COUNT('Cuadro Mando Integral Detallado'!AA35:AA36,'Cuadro Mando Integral Detallado'!AA40:AA41,'Cuadro Mando Integral Detallado'!AA151:AA154,'Cuadro Mando Integral Detallado'!AA156:AA163,'Cuadro Mando Integral Detallado'!AA178,'Cuadro Mando Integral Detallado'!AA180,'Cuadro Mando Integral Detallado'!AA228,'Cuadro Mando Integral Detallado'!AA381)</f>
        <v>0.73916068484308817</v>
      </c>
      <c r="AM6" s="581">
        <f t="shared" ref="AM6:AM13" si="25">+AK6</f>
        <v>0.48045444514800728</v>
      </c>
      <c r="AN6" s="570">
        <f t="shared" ref="AN6:AN14" si="26">+AK6</f>
        <v>0.48045444514800728</v>
      </c>
      <c r="AO6" s="570">
        <f t="shared" ref="AO6:AO14" si="27">+AK6</f>
        <v>0.48045444514800728</v>
      </c>
      <c r="AP6" s="570">
        <f t="shared" ref="AP6:AP14" si="28">+AK6</f>
        <v>0.48045444514800728</v>
      </c>
      <c r="AQ6" s="507">
        <f t="shared" ref="AQ6:AQ14" si="29">+AK6</f>
        <v>0.48045444514800728</v>
      </c>
      <c r="AR6" s="505"/>
      <c r="AS6" s="598">
        <f>SUM('Cuadro Mando Integral Detallado'!AE35:AE36,'Cuadro Mando Integral Detallado'!AE40:AE41,'Cuadro Mando Integral Detallado'!AE151:AE154,'Cuadro Mando Integral Detallado'!AE156:AE163,'Cuadro Mando Integral Detallado'!AE178,'Cuadro Mando Integral Detallado'!AE180,'Cuadro Mando Integral Detallado'!AE228,'Cuadro Mando Integral Detallado'!AE381)/COUNT('Cuadro Mando Integral Detallado'!AE35:AE36,'Cuadro Mando Integral Detallado'!AE40:AE41,'Cuadro Mando Integral Detallado'!AE151:AE154,'Cuadro Mando Integral Detallado'!AE156:AE163,'Cuadro Mando Integral Detallado'!AE178,'Cuadro Mando Integral Detallado'!AE180,'Cuadro Mando Integral Detallado'!AE228,'Cuadro Mando Integral Detallado'!AE381)</f>
        <v>0.91118831628385766</v>
      </c>
      <c r="AT6" s="581">
        <f t="shared" ref="AT6:AT14" si="30">+AS6</f>
        <v>0.91118831628385766</v>
      </c>
      <c r="AU6" s="557">
        <f t="shared" ref="AU6:AU14" si="31">+AS6</f>
        <v>0.91118831628385766</v>
      </c>
      <c r="AV6" s="557">
        <f t="shared" ref="AV6:AV14" si="32">+AS6</f>
        <v>0.91118831628385766</v>
      </c>
      <c r="AW6" s="557">
        <f t="shared" ref="AW6:AW14" si="33">+AS6</f>
        <v>0.91118831628385766</v>
      </c>
      <c r="AX6" s="497">
        <f t="shared" ref="AX6:AX14" si="34">+AS6</f>
        <v>0.91118831628385766</v>
      </c>
      <c r="AY6" s="598">
        <f>SUM('Cuadro Mando Integral Detallado'!AG35:AG36,'Cuadro Mando Integral Detallado'!AG40:AG41,'Cuadro Mando Integral Detallado'!AG151:AG154,'Cuadro Mando Integral Detallado'!AG156:AG163,'Cuadro Mando Integral Detallado'!AG178,'Cuadro Mando Integral Detallado'!AG180,'Cuadro Mando Integral Detallado'!AG228,'Cuadro Mando Integral Detallado'!AG381)/COUNT('Cuadro Mando Integral Detallado'!AG35:AG36,'Cuadro Mando Integral Detallado'!AG40:AG41,'Cuadro Mando Integral Detallado'!AG151:AG154,'Cuadro Mando Integral Detallado'!AG156:AG163,'Cuadro Mando Integral Detallado'!AG178,'Cuadro Mando Integral Detallado'!AG180,'Cuadro Mando Integral Detallado'!AG228,'Cuadro Mando Integral Detallado'!AG381)</f>
        <v>0.9872221526828785</v>
      </c>
      <c r="AZ6" s="581">
        <f>+AY6</f>
        <v>0.9872221526828785</v>
      </c>
      <c r="BA6" s="570">
        <f t="shared" ref="BA6:BA13" si="35">+AY6</f>
        <v>0.9872221526828785</v>
      </c>
      <c r="BB6" s="570">
        <f t="shared" ref="BB6:BB14" si="36">+AY6</f>
        <v>0.9872221526828785</v>
      </c>
      <c r="BC6" s="570">
        <f t="shared" ref="BC6:BC14" si="37">+AY6</f>
        <v>0.9872221526828785</v>
      </c>
      <c r="BD6" s="507">
        <f t="shared" ref="BD6:BD14" si="38">+AY6</f>
        <v>0.9872221526828785</v>
      </c>
    </row>
    <row r="7" spans="1:56" ht="36" x14ac:dyDescent="0.25">
      <c r="A7" s="292" t="s">
        <v>829</v>
      </c>
      <c r="B7" s="413"/>
      <c r="C7" s="513">
        <f>SUM('Cuadro Mando Integral Detallado'!J37,'Cuadro Mando Integral Detallado'!J39,'Cuadro Mando Integral Detallado'!J44:J69,'Cuadro Mando Integral Detallado'!J164:J165,'Cuadro Mando Integral Detallado'!J207:J214,'Cuadro Mando Integral Detallado'!J229,'Cuadro Mando Integral Detallado'!J239:J242)/COUNT('Cuadro Mando Integral Detallado'!J37,'Cuadro Mando Integral Detallado'!J44:J69,'Cuadro Mando Integral Detallado'!J164:J165,'Cuadro Mando Integral Detallado'!J207:J214,'Cuadro Mando Integral Detallado'!J229,'Cuadro Mando Integral Detallado'!J239:J242)</f>
        <v>0.76215814602581244</v>
      </c>
      <c r="D7" s="582">
        <f t="shared" si="0"/>
        <v>0.76215814602581244</v>
      </c>
      <c r="E7" s="556">
        <f t="shared" si="1"/>
        <v>0.76215814602581244</v>
      </c>
      <c r="F7" s="556">
        <f t="shared" si="2"/>
        <v>0.76215814602581244</v>
      </c>
      <c r="G7" s="556">
        <f t="shared" si="3"/>
        <v>0.76215814602581244</v>
      </c>
      <c r="H7" s="498">
        <f t="shared" si="4"/>
        <v>0.76215814602581244</v>
      </c>
      <c r="I7" s="662">
        <f>SUM('Cuadro Mando Integral Detallado'!L37, 'Cuadro Mando Integral Detallado'!L39,'Cuadro Mando Integral Detallado'!L44:L63,'Cuadro Mando Integral Detallado'!L65:L69,'Cuadro Mando Integral Detallado'!L164:L165,'Cuadro Mando Integral Detallado'!L207:L214,'Cuadro Mando Integral Detallado'!L229,'Cuadro Mando Integral Detallado'!L239:L242)/COUNT('Cuadro Mando Integral Detallado'!L37,'Cuadro Mando Integral Detallado'!L44:L63,'Cuadro Mando Integral Detallado'!L65:L69,'Cuadro Mando Integral Detallado'!L164:L165,'Cuadro Mando Integral Detallado'!L207:L214,'Cuadro Mando Integral Detallado'!L229,'Cuadro Mando Integral Detallado'!L239:L242)</f>
        <v>0.18620801258554248</v>
      </c>
      <c r="J7" s="662">
        <f>SUM('Cuadro Mando Integral Detallado'!M37,'Cuadro Mando Integral Detallado'!M39,'Cuadro Mando Integral Detallado'!M44:M63,'Cuadro Mando Integral Detallado'!M65:M69,'Cuadro Mando Integral Detallado'!M164:M165,'Cuadro Mando Integral Detallado'!M207:M214,'Cuadro Mando Integral Detallado'!M229,'Cuadro Mando Integral Detallado'!M239:M242)/COUNT('Cuadro Mando Integral Detallado'!M37,'Cuadro Mando Integral Detallado'!M44:M63,'Cuadro Mando Integral Detallado'!M65:M69,'Cuadro Mando Integral Detallado'!M164:M165,'Cuadro Mando Integral Detallado'!M207:M214,'Cuadro Mando Integral Detallado'!M229,'Cuadro Mando Integral Detallado'!M239:M242)</f>
        <v>0.21906825010063821</v>
      </c>
      <c r="K7" s="571">
        <f t="shared" si="5"/>
        <v>0.18620801258554248</v>
      </c>
      <c r="L7" s="568">
        <f t="shared" si="6"/>
        <v>0.18620801258554248</v>
      </c>
      <c r="M7" s="568">
        <f t="shared" si="7"/>
        <v>0.18620801258554248</v>
      </c>
      <c r="N7" s="568">
        <f t="shared" si="8"/>
        <v>0.18620801258554248</v>
      </c>
      <c r="O7" s="508">
        <f t="shared" si="9"/>
        <v>0.18620801258554248</v>
      </c>
      <c r="P7" s="163"/>
      <c r="Q7" s="513">
        <f>SUM('Cuadro Mando Integral Detallado'!Q37,'Cuadro Mando Integral Detallado'!Q39,'Cuadro Mando Integral Detallado'!Q44:Q69,'Cuadro Mando Integral Detallado'!Q164:Q165,'Cuadro Mando Integral Detallado'!Q207:Q214,'Cuadro Mando Integral Detallado'!Q229,'Cuadro Mando Integral Detallado'!Q239:Q242)/COUNT('Cuadro Mando Integral Detallado'!Q37,'Cuadro Mando Integral Detallado'!Q44:Q69,'Cuadro Mando Integral Detallado'!Q164:Q165,'Cuadro Mando Integral Detallado'!Q207:Q214,'Cuadro Mando Integral Detallado'!Q229,'Cuadro Mando Integral Detallado'!Q239:Q242)</f>
        <v>0.74050931768511064</v>
      </c>
      <c r="R7" s="582">
        <f t="shared" si="10"/>
        <v>0.74050931768511064</v>
      </c>
      <c r="S7" s="556">
        <f t="shared" si="11"/>
        <v>0.74050931768511064</v>
      </c>
      <c r="T7" s="556">
        <f t="shared" si="12"/>
        <v>0.74050931768511064</v>
      </c>
      <c r="U7" s="556">
        <f t="shared" si="13"/>
        <v>0.74050931768511064</v>
      </c>
      <c r="V7" s="498">
        <f t="shared" si="14"/>
        <v>0.74050931768511064</v>
      </c>
      <c r="W7" s="662">
        <f>SUM('Cuadro Mando Integral Detallado'!S37,'Cuadro Mando Integral Detallado'!S39,'Cuadro Mando Integral Detallado'!S44:S63,'Cuadro Mando Integral Detallado'!S65:S69,'Cuadro Mando Integral Detallado'!S164:S165,'Cuadro Mando Integral Detallado'!S207:S214,'Cuadro Mando Integral Detallado'!S229,'Cuadro Mando Integral Detallado'!S239:S242)/COUNT('Cuadro Mando Integral Detallado'!S37,'Cuadro Mando Integral Detallado'!S44:S63,'Cuadro Mando Integral Detallado'!S65:S69,'Cuadro Mando Integral Detallado'!S164:S165,'Cuadro Mando Integral Detallado'!S207:S214,'Cuadro Mando Integral Detallado'!S229,'Cuadro Mando Integral Detallado'!S239:S242)</f>
        <v>0.36123774173108203</v>
      </c>
      <c r="X7" s="662">
        <f>SUM('Cuadro Mando Integral Detallado'!T37,'Cuadro Mando Integral Detallado'!T39,'Cuadro Mando Integral Detallado'!T44:T63,'Cuadro Mando Integral Detallado'!T65:T69,'Cuadro Mando Integral Detallado'!T164:T165,'Cuadro Mando Integral Detallado'!T207:T214,'Cuadro Mando Integral Detallado'!T229,'Cuadro Mando Integral Detallado'!T239:T242)/COUNT('Cuadro Mando Integral Detallado'!T37,'Cuadro Mando Integral Detallado'!T44:T63,'Cuadro Mando Integral Detallado'!T65:T69,'Cuadro Mando Integral Detallado'!T164:T165,'Cuadro Mando Integral Detallado'!T207:T214,'Cuadro Mando Integral Detallado'!T229,'Cuadro Mando Integral Detallado'!T239:T242)</f>
        <v>0.42498557850715529</v>
      </c>
      <c r="Y7" s="571">
        <f t="shared" si="15"/>
        <v>0.36123774173108203</v>
      </c>
      <c r="Z7" s="568">
        <f t="shared" si="16"/>
        <v>0.36123774173108203</v>
      </c>
      <c r="AA7" s="568">
        <f t="shared" si="17"/>
        <v>0.36123774173108203</v>
      </c>
      <c r="AB7" s="568">
        <f t="shared" si="18"/>
        <v>0.36123774173108203</v>
      </c>
      <c r="AC7" s="508">
        <f t="shared" si="19"/>
        <v>0.36123774173108203</v>
      </c>
      <c r="AD7" s="505"/>
      <c r="AE7" s="513">
        <f>SUM('Cuadro Mando Integral Detallado'!X37,'Cuadro Mando Integral Detallado'!X39,'Cuadro Mando Integral Detallado'!X44:X69,'Cuadro Mando Integral Detallado'!X164:X165,'Cuadro Mando Integral Detallado'!X207:X214,'Cuadro Mando Integral Detallado'!X229,'Cuadro Mando Integral Detallado'!X239:X242)/COUNT('Cuadro Mando Integral Detallado'!X37,'Cuadro Mando Integral Detallado'!X44:X69,'Cuadro Mando Integral Detallado'!X164:X165,'Cuadro Mando Integral Detallado'!X207:X214,'Cuadro Mando Integral Detallado'!X229,'Cuadro Mando Integral Detallado'!X239:X242)</f>
        <v>0.77567950901950877</v>
      </c>
      <c r="AF7" s="582">
        <f t="shared" si="20"/>
        <v>0.77567950901950877</v>
      </c>
      <c r="AG7" s="556">
        <f t="shared" si="21"/>
        <v>0.77567950901950877</v>
      </c>
      <c r="AH7" s="556">
        <f t="shared" si="22"/>
        <v>0.77567950901950877</v>
      </c>
      <c r="AI7" s="556">
        <f t="shared" si="23"/>
        <v>0.77567950901950877</v>
      </c>
      <c r="AJ7" s="498">
        <f t="shared" si="24"/>
        <v>0.77567950901950877</v>
      </c>
      <c r="AK7" s="662">
        <f>SUM('Cuadro Mando Integral Detallado'!Z37,'Cuadro Mando Integral Detallado'!Z39,'Cuadro Mando Integral Detallado'!Z44:Z63,'Cuadro Mando Integral Detallado'!Z65:Z69,'Cuadro Mando Integral Detallado'!Z164:Z165,'Cuadro Mando Integral Detallado'!Z207:Z214,'Cuadro Mando Integral Detallado'!Z229,'Cuadro Mando Integral Detallado'!Z239:Z242)/COUNT('Cuadro Mando Integral Detallado'!Z37,'Cuadro Mando Integral Detallado'!Z44:Z63,'Cuadro Mando Integral Detallado'!Z65:Z69,'Cuadro Mando Integral Detallado'!Z164:Z165,'Cuadro Mando Integral Detallado'!Z207:Z214,'Cuadro Mando Integral Detallado'!Z229,'Cuadro Mando Integral Detallado'!Z239:Z242)</f>
        <v>0.57177542489951272</v>
      </c>
      <c r="AL7" s="662">
        <f>SUM('Cuadro Mando Integral Detallado'!AA37,'Cuadro Mando Integral Detallado'!AA39,'Cuadro Mando Integral Detallado'!AA44:AA63,'Cuadro Mando Integral Detallado'!AA65:AA69,'Cuadro Mando Integral Detallado'!AA164:AA165,'Cuadro Mando Integral Detallado'!AA207:AA214,'Cuadro Mando Integral Detallado'!AA229,'Cuadro Mando Integral Detallado'!AA239:AA242)/COUNT('Cuadro Mando Integral Detallado'!AA37,'Cuadro Mando Integral Detallado'!AA44:AA63,'Cuadro Mando Integral Detallado'!AA65:AA69,'Cuadro Mando Integral Detallado'!AA164:AA165,'Cuadro Mando Integral Detallado'!AA207:AA214,'Cuadro Mando Integral Detallado'!AA229,'Cuadro Mando Integral Detallado'!AA239:AA242)</f>
        <v>0.63530602766612521</v>
      </c>
      <c r="AM7" s="582">
        <f t="shared" si="25"/>
        <v>0.57177542489951272</v>
      </c>
      <c r="AN7" s="568">
        <f t="shared" si="26"/>
        <v>0.57177542489951272</v>
      </c>
      <c r="AO7" s="568">
        <f t="shared" si="27"/>
        <v>0.57177542489951272</v>
      </c>
      <c r="AP7" s="568">
        <f t="shared" si="28"/>
        <v>0.57177542489951272</v>
      </c>
      <c r="AQ7" s="508">
        <f t="shared" si="29"/>
        <v>0.57177542489951272</v>
      </c>
      <c r="AR7" s="505"/>
      <c r="AS7" s="1020">
        <f>SUM('Cuadro Mando Integral Detallado'!AE37,'Cuadro Mando Integral Detallado'!AE39,'Cuadro Mando Integral Detallado'!AE44:AE69,'Cuadro Mando Integral Detallado'!AE164:AE165,'Cuadro Mando Integral Detallado'!AE207:AE214,'Cuadro Mando Integral Detallado'!AE229,'Cuadro Mando Integral Detallado'!AE239:AE242)/COUNT('Cuadro Mando Integral Detallado'!AE37,'Cuadro Mando Integral Detallado'!AE44:AE69,'Cuadro Mando Integral Detallado'!AE164:AE165,'Cuadro Mando Integral Detallado'!AE207:AE214,'Cuadro Mando Integral Detallado'!AE229,'Cuadro Mando Integral Detallado'!AE239:AE242)</f>
        <v>0.85800759393199333</v>
      </c>
      <c r="AT7" s="582">
        <f t="shared" si="30"/>
        <v>0.85800759393199333</v>
      </c>
      <c r="AU7" s="556">
        <f t="shared" si="31"/>
        <v>0.85800759393199333</v>
      </c>
      <c r="AV7" s="556">
        <f t="shared" si="32"/>
        <v>0.85800759393199333</v>
      </c>
      <c r="AW7" s="556">
        <f t="shared" si="33"/>
        <v>0.85800759393199333</v>
      </c>
      <c r="AX7" s="498">
        <f t="shared" si="34"/>
        <v>0.85800759393199333</v>
      </c>
      <c r="AY7" s="604">
        <f>SUM('Cuadro Mando Integral Detallado'!AG37,'Cuadro Mando Integral Detallado'!AG39,'Cuadro Mando Integral Detallado'!AG44:AG63,'Cuadro Mando Integral Detallado'!AG65:AG69,'Cuadro Mando Integral Detallado'!AG164:AG165,'Cuadro Mando Integral Detallado'!AG207:AG214,'Cuadro Mando Integral Detallado'!AG229,'Cuadro Mando Integral Detallado'!AG239:AG242)/COUNT('Cuadro Mando Integral Detallado'!AG37,'Cuadro Mando Integral Detallado'!AG44:AG63,'Cuadro Mando Integral Detallado'!AG65:AG69,'Cuadro Mando Integral Detallado'!AG164:AG165,'Cuadro Mando Integral Detallado'!AG207:AG214,'Cuadro Mando Integral Detallado'!AG229,'Cuadro Mando Integral Detallado'!AG239:AG242)</f>
        <v>0.9388275313094796</v>
      </c>
      <c r="AZ7" s="582">
        <f t="shared" ref="AZ7:AZ14" si="39">+AY7</f>
        <v>0.9388275313094796</v>
      </c>
      <c r="BA7" s="568">
        <f t="shared" si="35"/>
        <v>0.9388275313094796</v>
      </c>
      <c r="BB7" s="568">
        <f t="shared" si="36"/>
        <v>0.9388275313094796</v>
      </c>
      <c r="BC7" s="568">
        <f t="shared" si="37"/>
        <v>0.9388275313094796</v>
      </c>
      <c r="BD7" s="508">
        <f t="shared" si="38"/>
        <v>0.9388275313094796</v>
      </c>
    </row>
    <row r="8" spans="1:56" ht="36" x14ac:dyDescent="0.25">
      <c r="A8" s="292" t="s">
        <v>26</v>
      </c>
      <c r="B8" s="413"/>
      <c r="C8" s="513">
        <f>SUM('Cuadro Mando Integral Detallado'!J110:J114,'Cuadro Mando Integral Detallado'!J181,'Cuadro Mando Integral Detallado'!J184:J198,'Cuadro Mando Integral Detallado'!J230,'Cuadro Mando Integral Detallado'!J243:J246,'Cuadro Mando Integral Detallado'!J304)/COUNT('Cuadro Mando Integral Detallado'!J110:J114,'Cuadro Mando Integral Detallado'!J181,'Cuadro Mando Integral Detallado'!J184:J198,'Cuadro Mando Integral Detallado'!J230,'Cuadro Mando Integral Detallado'!J243:J246,'Cuadro Mando Integral Detallado'!J304)</f>
        <v>0.79702254681910489</v>
      </c>
      <c r="D8" s="582">
        <f>+C8</f>
        <v>0.79702254681910489</v>
      </c>
      <c r="E8" s="556">
        <f t="shared" si="1"/>
        <v>0.79702254681910489</v>
      </c>
      <c r="F8" s="556">
        <f t="shared" si="2"/>
        <v>0.79702254681910489</v>
      </c>
      <c r="G8" s="556">
        <f t="shared" si="3"/>
        <v>0.79702254681910489</v>
      </c>
      <c r="H8" s="498">
        <f t="shared" si="4"/>
        <v>0.79702254681910489</v>
      </c>
      <c r="I8" s="589">
        <f>SUM('Cuadro Mando Integral Detallado'!L110:L114,'Cuadro Mando Integral Detallado'!L181,'Cuadro Mando Integral Detallado'!L184:L198,'Cuadro Mando Integral Detallado'!L230,'Cuadro Mando Integral Detallado'!L243:L246,'Cuadro Mando Integral Detallado'!L304)/COUNT('Cuadro Mando Integral Detallado'!L110:L114,'Cuadro Mando Integral Detallado'!L181,'Cuadro Mando Integral Detallado'!L184:L198,'Cuadro Mando Integral Detallado'!L230,'Cuadro Mando Integral Detallado'!L243:L246,'Cuadro Mando Integral Detallado'!L304)</f>
        <v>0.23450866328279163</v>
      </c>
      <c r="J8" s="589">
        <f>SUM('Cuadro Mando Integral Detallado'!M110:M114,'Cuadro Mando Integral Detallado'!M181,'Cuadro Mando Integral Detallado'!M184:M198,'Cuadro Mando Integral Detallado'!M230,'Cuadro Mando Integral Detallado'!M243:M246,'Cuadro Mando Integral Detallado'!M304)/COUNT('Cuadro Mando Integral Detallado'!M110:M114,'Cuadro Mando Integral Detallado'!J181,'Cuadro Mando Integral Detallado'!M184:M198,'Cuadro Mando Integral Detallado'!M230,'Cuadro Mando Integral Detallado'!M243:M246,'Cuadro Mando Integral Detallado'!M304)</f>
        <v>0.27714660206148101</v>
      </c>
      <c r="K8" s="571">
        <f t="shared" si="5"/>
        <v>0.23450866328279163</v>
      </c>
      <c r="L8" s="568">
        <f t="shared" si="6"/>
        <v>0.23450866328279163</v>
      </c>
      <c r="M8" s="568">
        <f t="shared" si="7"/>
        <v>0.23450866328279163</v>
      </c>
      <c r="N8" s="568">
        <f t="shared" si="8"/>
        <v>0.23450866328279163</v>
      </c>
      <c r="O8" s="508">
        <f t="shared" si="9"/>
        <v>0.23450866328279163</v>
      </c>
      <c r="P8" s="163"/>
      <c r="Q8" s="513">
        <f>SUM('Cuadro Mando Integral Detallado'!Q110:Q114,'Cuadro Mando Integral Detallado'!Q181,'Cuadro Mando Integral Detallado'!Q184:Q198,'Cuadro Mando Integral Detallado'!Q230,'Cuadro Mando Integral Detallado'!Q243:Q246,'Cuadro Mando Integral Detallado'!Q304)/COUNT('Cuadro Mando Integral Detallado'!Q110:Q114,'Cuadro Mando Integral Detallado'!Q181,'Cuadro Mando Integral Detallado'!Q184:Q198,'Cuadro Mando Integral Detallado'!Q230,'Cuadro Mando Integral Detallado'!Q243:Q244,'Cuadro Mando Integral Detallado'!Q304)</f>
        <v>0.86985077405685529</v>
      </c>
      <c r="R8" s="582">
        <f t="shared" si="10"/>
        <v>0.86985077405685529</v>
      </c>
      <c r="S8" s="556">
        <f t="shared" si="11"/>
        <v>0.86985077405685529</v>
      </c>
      <c r="T8" s="556">
        <f t="shared" si="12"/>
        <v>0.86985077405685529</v>
      </c>
      <c r="U8" s="556">
        <f t="shared" si="13"/>
        <v>0.86985077405685529</v>
      </c>
      <c r="V8" s="498">
        <f t="shared" si="14"/>
        <v>0.86985077405685529</v>
      </c>
      <c r="W8" s="589">
        <f>SUM('Cuadro Mando Integral Detallado'!S110:S114,'Cuadro Mando Integral Detallado'!S181,'Cuadro Mando Integral Detallado'!S184:S198,'Cuadro Mando Integral Detallado'!S230,'Cuadro Mando Integral Detallado'!S243:S246,'Cuadro Mando Integral Detallado'!S304)/COUNT('Cuadro Mando Integral Detallado'!S110:S114,'Cuadro Mando Integral Detallado'!S181,'Cuadro Mando Integral Detallado'!S184:S198,'Cuadro Mando Integral Detallado'!S230,'Cuadro Mando Integral Detallado'!S243:S246,'Cuadro Mando Integral Detallado'!S304)</f>
        <v>0.40485691363094173</v>
      </c>
      <c r="X8" s="589">
        <f>SUM('Cuadro Mando Integral Detallado'!T110:T114,'Cuadro Mando Integral Detallado'!T181,'Cuadro Mando Integral Detallado'!T184:T198,'Cuadro Mando Integral Detallado'!T230,'Cuadro Mando Integral Detallado'!T243:T246,'Cuadro Mando Integral Detallado'!T304)/COUNT('Cuadro Mando Integral Detallado'!T110:T114,'Cuadro Mando Integral Detallado'!T181,'Cuadro Mando Integral Detallado'!T184:T198,'Cuadro Mando Integral Detallado'!T230,'Cuadro Mando Integral Detallado'!T243:T246,'Cuadro Mando Integral Detallado'!T304)</f>
        <v>0.47846726156384017</v>
      </c>
      <c r="Y8" s="571">
        <f t="shared" si="15"/>
        <v>0.40485691363094173</v>
      </c>
      <c r="Z8" s="568">
        <f t="shared" si="16"/>
        <v>0.40485691363094173</v>
      </c>
      <c r="AA8" s="568">
        <f t="shared" si="17"/>
        <v>0.40485691363094173</v>
      </c>
      <c r="AB8" s="568">
        <f t="shared" si="18"/>
        <v>0.40485691363094173</v>
      </c>
      <c r="AC8" s="508">
        <f t="shared" si="19"/>
        <v>0.40485691363094173</v>
      </c>
      <c r="AD8" s="605"/>
      <c r="AE8" s="513">
        <f>SUM('Cuadro Mando Integral Detallado'!X110:X114,'Cuadro Mando Integral Detallado'!X181,'Cuadro Mando Integral Detallado'!X184:X198,'Cuadro Mando Integral Detallado'!X230,'Cuadro Mando Integral Detallado'!X243:X246,'Cuadro Mando Integral Detallado'!X304)/COUNT('Cuadro Mando Integral Detallado'!X110:X114,'Cuadro Mando Integral Detallado'!X181,'Cuadro Mando Integral Detallado'!X184:X198,'Cuadro Mando Integral Detallado'!X230,'Cuadro Mando Integral Detallado'!X243:X246,'Cuadro Mando Integral Detallado'!X304)</f>
        <v>0.83275049269308676</v>
      </c>
      <c r="AF8" s="582">
        <f t="shared" si="20"/>
        <v>0.83275049269308676</v>
      </c>
      <c r="AG8" s="556">
        <f t="shared" si="21"/>
        <v>0.83275049269308676</v>
      </c>
      <c r="AH8" s="556">
        <f t="shared" si="22"/>
        <v>0.83275049269308676</v>
      </c>
      <c r="AI8" s="556">
        <f t="shared" si="23"/>
        <v>0.83275049269308676</v>
      </c>
      <c r="AJ8" s="498">
        <f t="shared" si="24"/>
        <v>0.83275049269308676</v>
      </c>
      <c r="AK8" s="589">
        <f>SUM('Cuadro Mando Integral Detallado'!Z110:Z114,'Cuadro Mando Integral Detallado'!Z181,'Cuadro Mando Integral Detallado'!Z184:Z198,'Cuadro Mando Integral Detallado'!Z230,'Cuadro Mando Integral Detallado'!Z243:Z246,'Cuadro Mando Integral Detallado'!Z304)/COUNT('Cuadro Mando Integral Detallado'!Z110:Z114,'Cuadro Mando Integral Detallado'!Z181,'Cuadro Mando Integral Detallado'!Z184:Z198,'Cuadro Mando Integral Detallado'!Z230,'Cuadro Mando Integral Detallado'!Z243:Z246,'Cuadro Mando Integral Detallado'!Z304)</f>
        <v>0.62183416762199351</v>
      </c>
      <c r="AL8" s="589">
        <f>SUM('Cuadro Mando Integral Detallado'!AA110:AA114,'Cuadro Mando Integral Detallado'!AA181,'Cuadro Mando Integral Detallado'!AA184:AA198,'Cuadro Mando Integral Detallado'!AA230,'Cuadro Mando Integral Detallado'!AA243:AA246,'Cuadro Mando Integral Detallado'!AA304)/COUNT('Cuadro Mando Integral Detallado'!AA110:AA114,'Cuadro Mando Integral Detallado'!AA181,'Cuadro Mando Integral Detallado'!AA184:AA198,'Cuadro Mando Integral Detallado'!AA230,'Cuadro Mando Integral Detallado'!AA243:AA246,'Cuadro Mando Integral Detallado'!AA304)</f>
        <v>0.70294297209442735</v>
      </c>
      <c r="AM8" s="582">
        <f t="shared" si="25"/>
        <v>0.62183416762199351</v>
      </c>
      <c r="AN8" s="568">
        <f t="shared" si="26"/>
        <v>0.62183416762199351</v>
      </c>
      <c r="AO8" s="568">
        <f t="shared" si="27"/>
        <v>0.62183416762199351</v>
      </c>
      <c r="AP8" s="568">
        <f t="shared" si="28"/>
        <v>0.62183416762199351</v>
      </c>
      <c r="AQ8" s="508">
        <f t="shared" si="29"/>
        <v>0.62183416762199351</v>
      </c>
      <c r="AR8" s="505"/>
      <c r="AS8" s="513">
        <f>SUM('Cuadro Mando Integral Detallado'!AE110:AE114,'Cuadro Mando Integral Detallado'!AE181,'Cuadro Mando Integral Detallado'!AE184:AE198,'Cuadro Mando Integral Detallado'!AE230,'Cuadro Mando Integral Detallado'!AE243:AE246,'Cuadro Mando Integral Detallado'!AE304)/COUNT('Cuadro Mando Integral Detallado'!AE110:AE114,'Cuadro Mando Integral Detallado'!AE181,'Cuadro Mando Integral Detallado'!AE184:AE198,'Cuadro Mando Integral Detallado'!AE230,'Cuadro Mando Integral Detallado'!AE243:AE246,'Cuadro Mando Integral Detallado'!AE304)</f>
        <v>0.90771705348664966</v>
      </c>
      <c r="AT8" s="582">
        <f t="shared" si="30"/>
        <v>0.90771705348664966</v>
      </c>
      <c r="AU8" s="556">
        <f t="shared" si="31"/>
        <v>0.90771705348664966</v>
      </c>
      <c r="AV8" s="556">
        <f t="shared" si="32"/>
        <v>0.90771705348664966</v>
      </c>
      <c r="AW8" s="556">
        <f t="shared" si="33"/>
        <v>0.90771705348664966</v>
      </c>
      <c r="AX8" s="498">
        <f t="shared" si="34"/>
        <v>0.90771705348664966</v>
      </c>
      <c r="AY8" s="586">
        <f>SUM('Cuadro Mando Integral Detallado'!AG110:AG114,'Cuadro Mando Integral Detallado'!AG181,'Cuadro Mando Integral Detallado'!AG184:AG198,'Cuadro Mando Integral Detallado'!AG230,'Cuadro Mando Integral Detallado'!AG243:AG246,'Cuadro Mando Integral Detallado'!AG304)/COUNT('Cuadro Mando Integral Detallado'!AG110:AG114,'Cuadro Mando Integral Detallado'!AG181,'Cuadro Mando Integral Detallado'!AG184:AG198,'Cuadro Mando Integral Detallado'!AG230,'Cuadro Mando Integral Detallado'!AG243:AG246,'Cuadro Mando Integral Detallado'!AG304)</f>
        <v>0.89846653555148326</v>
      </c>
      <c r="AZ8" s="582">
        <f t="shared" si="39"/>
        <v>0.89846653555148326</v>
      </c>
      <c r="BA8" s="568">
        <f t="shared" si="35"/>
        <v>0.89846653555148326</v>
      </c>
      <c r="BB8" s="568">
        <f t="shared" si="36"/>
        <v>0.89846653555148326</v>
      </c>
      <c r="BC8" s="568">
        <f t="shared" si="37"/>
        <v>0.89846653555148326</v>
      </c>
      <c r="BD8" s="508">
        <f t="shared" si="38"/>
        <v>0.89846653555148326</v>
      </c>
    </row>
    <row r="9" spans="1:56" ht="18" x14ac:dyDescent="0.25">
      <c r="A9" s="292" t="s">
        <v>625</v>
      </c>
      <c r="B9" s="413"/>
      <c r="C9" s="513">
        <f>SUM('Cuadro Mando Integral Detallado'!J108,'Cuadro Mando Integral Detallado'!J115:J117,'Cuadro Mando Integral Detallado'!J182,'Cuadro Mando Integral Detallado'!J199:J205,'Cuadro Mando Integral Detallado'!J231,'Cuadro Mando Integral Detallado'!J247:J250,'Cuadro Mando Integral Detallado'!J305:J306,'Cuadro Mando Integral Detallado'!J323)/COUNT('Cuadro Mando Integral Detallado'!J108,'Cuadro Mando Integral Detallado'!J115:J117,'Cuadro Mando Integral Detallado'!J182,'Cuadro Mando Integral Detallado'!J199:J205,'Cuadro Mando Integral Detallado'!J231,'Cuadro Mando Integral Detallado'!J247:J250,'Cuadro Mando Integral Detallado'!J305:J306,'Cuadro Mando Integral Detallado'!J323)</f>
        <v>0.87851851851851848</v>
      </c>
      <c r="D9" s="582">
        <f t="shared" si="0"/>
        <v>0.87851851851851848</v>
      </c>
      <c r="E9" s="556">
        <f t="shared" si="1"/>
        <v>0.87851851851851848</v>
      </c>
      <c r="F9" s="556">
        <f t="shared" si="2"/>
        <v>0.87851851851851848</v>
      </c>
      <c r="G9" s="556">
        <f t="shared" si="3"/>
        <v>0.87851851851851848</v>
      </c>
      <c r="H9" s="498">
        <f t="shared" si="4"/>
        <v>0.87851851851851848</v>
      </c>
      <c r="I9" s="589">
        <f>SUM('Cuadro Mando Integral Detallado'!L108,'Cuadro Mando Integral Detallado'!L115:L117,'Cuadro Mando Integral Detallado'!L182,'Cuadro Mando Integral Detallado'!L199:L205,'Cuadro Mando Integral Detallado'!L231,'Cuadro Mando Integral Detallado'!L247:L250,'Cuadro Mando Integral Detallado'!L305:L306,'Cuadro Mando Integral Detallado'!L323)/COUNT('Cuadro Mando Integral Detallado'!L108,'Cuadro Mando Integral Detallado'!L115:L117,'Cuadro Mando Integral Detallado'!L182,'Cuadro Mando Integral Detallado'!L199:L205,'Cuadro Mando Integral Detallado'!L231,'Cuadro Mando Integral Detallado'!L247:L250,'Cuadro Mando Integral Detallado'!L305:L306,'Cuadro Mando Integral Detallado'!L323)</f>
        <v>0.17221562429851581</v>
      </c>
      <c r="J9" s="589">
        <f>SUM('Cuadro Mando Integral Detallado'!M108,'Cuadro Mando Integral Detallado'!M115:M117,'Cuadro Mando Integral Detallado'!M182,'Cuadro Mando Integral Detallado'!M199:M205,'Cuadro Mando Integral Detallado'!M231,'Cuadro Mando Integral Detallado'!M247:M250,'Cuadro Mando Integral Detallado'!M305:M306,'Cuadro Mando Integral Detallado'!M323)/COUNT('Cuadro Mando Integral Detallado'!M108,'Cuadro Mando Integral Detallado'!M117:M1165,'Cuadro Mando Integral Detallado'!M182,'Cuadro Mando Integral Detallado'!M199:M205,'Cuadro Mando Integral Detallado'!M231,'Cuadro Mando Integral Detallado'!M247:M250,'Cuadro Mando Integral Detallado'!M305:M306,'Cuadro Mando Integral Detallado'!M323)</f>
        <v>2.7335813380716795E-2</v>
      </c>
      <c r="K9" s="571">
        <f t="shared" si="5"/>
        <v>0.17221562429851581</v>
      </c>
      <c r="L9" s="568">
        <f t="shared" si="6"/>
        <v>0.17221562429851581</v>
      </c>
      <c r="M9" s="568">
        <f t="shared" si="7"/>
        <v>0.17221562429851581</v>
      </c>
      <c r="N9" s="568">
        <f t="shared" si="8"/>
        <v>0.17221562429851581</v>
      </c>
      <c r="O9" s="508">
        <f t="shared" si="9"/>
        <v>0.17221562429851581</v>
      </c>
      <c r="P9" s="163"/>
      <c r="Q9" s="513">
        <f>SUM('Cuadro Mando Integral Detallado'!Q108,'Cuadro Mando Integral Detallado'!Q115:Q117,'Cuadro Mando Integral Detallado'!Q199:Q205,'Cuadro Mando Integral Detallado'!Q182,'Cuadro Mando Integral Detallado'!Q231,'Cuadro Mando Integral Detallado'!Q247:Q250,'Cuadro Mando Integral Detallado'!Q305:Q306,'Cuadro Mando Integral Detallado'!Q323)/COUNT('Cuadro Mando Integral Detallado'!Q108,'Cuadro Mando Integral Detallado'!Q115:Q117,'Cuadro Mando Integral Detallado'!Q182,'Cuadro Mando Integral Detallado'!Q199:Q205,'Cuadro Mando Integral Detallado'!Q231,'Cuadro Mando Integral Detallado'!Q247:Q250,'Cuadro Mando Integral Detallado'!Q305:Q306,'Cuadro Mando Integral Detallado'!Q323)</f>
        <v>0.8666666666666667</v>
      </c>
      <c r="R9" s="582">
        <f t="shared" si="10"/>
        <v>0.8666666666666667</v>
      </c>
      <c r="S9" s="556">
        <f t="shared" si="11"/>
        <v>0.8666666666666667</v>
      </c>
      <c r="T9" s="556">
        <f t="shared" si="12"/>
        <v>0.8666666666666667</v>
      </c>
      <c r="U9" s="556">
        <f t="shared" si="13"/>
        <v>0.8666666666666667</v>
      </c>
      <c r="V9" s="498">
        <f t="shared" si="14"/>
        <v>0.8666666666666667</v>
      </c>
      <c r="W9" s="589">
        <f>SUM('Cuadro Mando Integral Detallado'!S108,'Cuadro Mando Integral Detallado'!S115:S117,'Cuadro Mando Integral Detallado'!S182,'Cuadro Mando Integral Detallado'!S199:S205,'Cuadro Mando Integral Detallado'!S231,'Cuadro Mando Integral Detallado'!S247:S250,'Cuadro Mando Integral Detallado'!S305:S306,'Cuadro Mando Integral Detallado'!S323)/COUNT('Cuadro Mando Integral Detallado'!S108,'Cuadro Mando Integral Detallado'!S115:S117,'Cuadro Mando Integral Detallado'!S182,'Cuadro Mando Integral Detallado'!S199:S205,'Cuadro Mando Integral Detallado'!S231,'Cuadro Mando Integral Detallado'!S247:S250,'Cuadro Mando Integral Detallado'!S305:S306,'Cuadro Mando Integral Detallado'!S323)</f>
        <v>0.31310833129243348</v>
      </c>
      <c r="X9" s="589">
        <f>SUM('Cuadro Mando Integral Detallado'!T108,'Cuadro Mando Integral Detallado'!T115:T117,'Cuadro Mando Integral Detallado'!T182,'Cuadro Mando Integral Detallado'!T199:T205,'Cuadro Mando Integral Detallado'!T231,'Cuadro Mando Integral Detallado'!T247:T250,'Cuadro Mando Integral Detallado'!T306,'Cuadro Mando Integral Detallado'!T323)/COUNT('Cuadro Mando Integral Detallado'!T108,'Cuadro Mando Integral Detallado'!T115:T117,'Cuadro Mando Integral Detallado'!T182,'Cuadro Mando Integral Detallado'!T199:T205,'Cuadro Mando Integral Detallado'!T231,'Cuadro Mando Integral Detallado'!T247:T250,'Cuadro Mando Integral Detallado'!T305:T306,'Cuadro Mando Integral Detallado'!T323)</f>
        <v>0.52184721882072249</v>
      </c>
      <c r="Y9" s="571">
        <f t="shared" si="15"/>
        <v>0.31310833129243348</v>
      </c>
      <c r="Z9" s="568">
        <f t="shared" si="16"/>
        <v>0.31310833129243348</v>
      </c>
      <c r="AA9" s="568">
        <f t="shared" si="17"/>
        <v>0.31310833129243348</v>
      </c>
      <c r="AB9" s="568">
        <f t="shared" si="18"/>
        <v>0.31310833129243348</v>
      </c>
      <c r="AC9" s="508">
        <f t="shared" si="19"/>
        <v>0.31310833129243348</v>
      </c>
      <c r="AD9" s="505"/>
      <c r="AE9" s="513">
        <f>SUM('Cuadro Mando Integral Detallado'!X108,'Cuadro Mando Integral Detallado'!X115:X117,'Cuadro Mando Integral Detallado'!X182,'Cuadro Mando Integral Detallado'!X199:X205,'Cuadro Mando Integral Detallado'!X231,'Cuadro Mando Integral Detallado'!X247:X250,'Cuadro Mando Integral Detallado'!X305:X306,'Cuadro Mando Integral Detallado'!X323)/COUNT('Cuadro Mando Integral Detallado'!X108,'Cuadro Mando Integral Detallado'!X115:X117,'Cuadro Mando Integral Detallado'!X182,'Cuadro Mando Integral Detallado'!X199:X205,'Cuadro Mando Integral Detallado'!X231,'Cuadro Mando Integral Detallado'!X247:X250,'Cuadro Mando Integral Detallado'!X305:X306,'Cuadro Mando Integral Detallado'!X323)</f>
        <v>0.87692307692307692</v>
      </c>
      <c r="AF9" s="582">
        <f t="shared" si="20"/>
        <v>0.87692307692307692</v>
      </c>
      <c r="AG9" s="556">
        <f t="shared" si="21"/>
        <v>0.87692307692307692</v>
      </c>
      <c r="AH9" s="556">
        <f t="shared" si="22"/>
        <v>0.87692307692307692</v>
      </c>
      <c r="AI9" s="556">
        <f t="shared" si="23"/>
        <v>0.87692307692307692</v>
      </c>
      <c r="AJ9" s="498">
        <f t="shared" si="24"/>
        <v>0.87692307692307692</v>
      </c>
      <c r="AK9" s="589">
        <f>SUM('Cuadro Mando Integral Detallado'!Z108,'Cuadro Mando Integral Detallado'!Z115:Z117,'Cuadro Mando Integral Detallado'!Z182,'Cuadro Mando Integral Detallado'!Z199:Z205,'Cuadro Mando Integral Detallado'!Z231,'Cuadro Mando Integral Detallado'!Z247:Z250,'Cuadro Mando Integral Detallado'!Z305:Z306,'Cuadro Mando Integral Detallado'!Z323)/COUNT('Cuadro Mando Integral Detallado'!Z108,'Cuadro Mando Integral Detallado'!Z115:Z117,'Cuadro Mando Integral Detallado'!Z182,'Cuadro Mando Integral Detallado'!Z199:Z205,'Cuadro Mando Integral Detallado'!Z231,'Cuadro Mando Integral Detallado'!Z247:Z250,'Cuadro Mando Integral Detallado'!Z305:Z306,'Cuadro Mando Integral Detallado'!Z323)</f>
        <v>0.47201437987907691</v>
      </c>
      <c r="AL9" s="589">
        <f>SUM('Cuadro Mando Integral Detallado'!AA108,'Cuadro Mando Integral Detallado'!AA115:AA117,'Cuadro Mando Integral Detallado'!AA182,'Cuadro Mando Integral Detallado'!AA199:AA205,'Cuadro Mando Integral Detallado'!AA231,'Cuadro Mando Integral Detallado'!AA247:AA250,'Cuadro Mando Integral Detallado'!AA305:AA306,'Cuadro Mando Integral Detallado'!AA323)/COUNT('Cuadro Mando Integral Detallado'!AA108,'Cuadro Mando Integral Detallado'!AA115:AA117,'Cuadro Mando Integral Detallado'!AA182,'Cuadro Mando Integral Detallado'!AA199:AA205,'Cuadro Mando Integral Detallado'!AA231,'Cuadro Mando Integral Detallado'!AA247:AA250,'Cuadro Mando Integral Detallado'!AA305:AA306,'Cuadro Mando Integral Detallado'!AA323)</f>
        <v>0.72617596904473369</v>
      </c>
      <c r="AM9" s="582">
        <f t="shared" si="25"/>
        <v>0.47201437987907691</v>
      </c>
      <c r="AN9" s="568">
        <f t="shared" si="26"/>
        <v>0.47201437987907691</v>
      </c>
      <c r="AO9" s="568">
        <f t="shared" si="27"/>
        <v>0.47201437987907691</v>
      </c>
      <c r="AP9" s="568">
        <f t="shared" si="28"/>
        <v>0.47201437987907691</v>
      </c>
      <c r="AQ9" s="508">
        <f t="shared" si="29"/>
        <v>0.47201437987907691</v>
      </c>
      <c r="AR9" s="505"/>
      <c r="AS9" s="513">
        <f>SUM('Cuadro Mando Integral Detallado'!AE108,'Cuadro Mando Integral Detallado'!AE115:AE117,'Cuadro Mando Integral Detallado'!AE182,'Cuadro Mando Integral Detallado'!AE199:AE205,'Cuadro Mando Integral Detallado'!AE231,'Cuadro Mando Integral Detallado'!AE247:AE250,'Cuadro Mando Integral Detallado'!AE305:AE306,'Cuadro Mando Integral Detallado'!AE323)/COUNT('Cuadro Mando Integral Detallado'!AE108,'Cuadro Mando Integral Detallado'!AE115:AE117,'Cuadro Mando Integral Detallado'!AE182,'Cuadro Mando Integral Detallado'!AE199:AE205,'Cuadro Mando Integral Detallado'!AE231,'Cuadro Mando Integral Detallado'!AE247:AE250,'Cuadro Mando Integral Detallado'!AE305:AE306,'Cuadro Mando Integral Detallado'!AE323)</f>
        <v>0.73556464897122587</v>
      </c>
      <c r="AT9" s="582">
        <f t="shared" si="30"/>
        <v>0.73556464897122587</v>
      </c>
      <c r="AU9" s="556">
        <f t="shared" si="31"/>
        <v>0.73556464897122587</v>
      </c>
      <c r="AV9" s="556">
        <f t="shared" si="32"/>
        <v>0.73556464897122587</v>
      </c>
      <c r="AW9" s="556">
        <f t="shared" si="33"/>
        <v>0.73556464897122587</v>
      </c>
      <c r="AX9" s="498">
        <f t="shared" si="34"/>
        <v>0.73556464897122587</v>
      </c>
      <c r="AY9" s="586">
        <f>SUM('Cuadro Mando Integral Detallado'!AG108,'Cuadro Mando Integral Detallado'!AG115:AG117,'Cuadro Mando Integral Detallado'!AG182,'Cuadro Mando Integral Detallado'!AG199:AG205,'Cuadro Mando Integral Detallado'!AG231,'Cuadro Mando Integral Detallado'!AG247:AG250,'Cuadro Mando Integral Detallado'!AG305:AG306,'Cuadro Mando Integral Detallado'!AG323)/COUNT('Cuadro Mando Integral Detallado'!AG108,'Cuadro Mando Integral Detallado'!AG115:AG117,'Cuadro Mando Integral Detallado'!AG182,'Cuadro Mando Integral Detallado'!AG199:AG205,'Cuadro Mando Integral Detallado'!AG231,'Cuadro Mando Integral Detallado'!AG247:AG250,'Cuadro Mando Integral Detallado'!AG305:AG306,'Cuadro Mando Integral Detallado'!AG323)</f>
        <v>0.79406951245861657</v>
      </c>
      <c r="AZ9" s="582">
        <f t="shared" si="39"/>
        <v>0.79406951245861657</v>
      </c>
      <c r="BA9" s="568">
        <f t="shared" si="35"/>
        <v>0.79406951245861657</v>
      </c>
      <c r="BB9" s="568">
        <f t="shared" si="36"/>
        <v>0.79406951245861657</v>
      </c>
      <c r="BC9" s="568">
        <f t="shared" si="37"/>
        <v>0.79406951245861657</v>
      </c>
      <c r="BD9" s="508">
        <f t="shared" si="38"/>
        <v>0.79406951245861657</v>
      </c>
    </row>
    <row r="10" spans="1:56" ht="54" x14ac:dyDescent="0.25">
      <c r="A10" s="292" t="s">
        <v>830</v>
      </c>
      <c r="B10" s="413"/>
      <c r="C10" s="513">
        <f>SUM('Cuadro Mando Integral Detallado'!J71:J84,'Cuadro Mando Integral Detallado'!J146:J150,'Cuadro Mando Integral Detallado'!J232,'Cuadro Mando Integral Detallado'!J251:J256,'Cuadro Mando Integral Detallado'!J308:J321)/COUNT('Cuadro Mando Integral Detallado'!J71:J84,'Cuadro Mando Integral Detallado'!J146:J150,'Cuadro Mando Integral Detallado'!J232,'Cuadro Mando Integral Detallado'!J251:J256,'Cuadro Mando Integral Detallado'!J308:J321)</f>
        <v>0.69769375814294965</v>
      </c>
      <c r="D10" s="582">
        <f t="shared" si="0"/>
        <v>0.69769375814294965</v>
      </c>
      <c r="E10" s="556">
        <f t="shared" si="1"/>
        <v>0.69769375814294965</v>
      </c>
      <c r="F10" s="556">
        <f t="shared" si="2"/>
        <v>0.69769375814294965</v>
      </c>
      <c r="G10" s="556">
        <f t="shared" si="3"/>
        <v>0.69769375814294965</v>
      </c>
      <c r="H10" s="498">
        <f t="shared" si="4"/>
        <v>0.69769375814294965</v>
      </c>
      <c r="I10" s="589">
        <f>SUM('Cuadro Mando Integral Detallado'!L71:L83,'Cuadro Mando Integral Detallado'!L146:L150,'Cuadro Mando Integral Detallado'!L232,'Cuadro Mando Integral Detallado'!L251:L256,'Cuadro Mando Integral Detallado'!L308:L321)/COUNT('Cuadro Mando Integral Detallado'!L71:L83,'Cuadro Mando Integral Detallado'!L146:L150,'Cuadro Mando Integral Detallado'!L232,'Cuadro Mando Integral Detallado'!L251:L256,'Cuadro Mando Integral Detallado'!L308:L321)</f>
        <v>4.9432089875164155E-2</v>
      </c>
      <c r="J10" s="589">
        <f>SUM('Cuadro Mando Integral Detallado'!M71:M84,'Cuadro Mando Integral Detallado'!M146:M150,'Cuadro Mando Integral Detallado'!M232,'Cuadro Mando Integral Detallado'!M251:M256,'Cuadro Mando Integral Detallado'!M308:M321)/COUNT('Cuadro Mando Integral Detallado'!M71:M84,'Cuadro Mando Integral Detallado'!M146:M150,'Cuadro Mando Integral Detallado'!M232,'Cuadro Mando Integral Detallado'!M251:M256,'Cuadro Mando Integral Detallado'!M308:M321)</f>
        <v>0.19278515051314021</v>
      </c>
      <c r="K10" s="571">
        <f t="shared" si="5"/>
        <v>4.9432089875164155E-2</v>
      </c>
      <c r="L10" s="568">
        <f t="shared" si="6"/>
        <v>4.9432089875164155E-2</v>
      </c>
      <c r="M10" s="568">
        <f t="shared" si="7"/>
        <v>4.9432089875164155E-2</v>
      </c>
      <c r="N10" s="568">
        <f t="shared" si="8"/>
        <v>4.9432089875164155E-2</v>
      </c>
      <c r="O10" s="508">
        <f t="shared" si="9"/>
        <v>4.9432089875164155E-2</v>
      </c>
      <c r="P10" s="163"/>
      <c r="Q10" s="513">
        <f>SUM('Cuadro Mando Integral Detallado'!Q71:Q84,'Cuadro Mando Integral Detallado'!Q146:Q150,'Cuadro Mando Integral Detallado'!Q232,'Cuadro Mando Integral Detallado'!Q251:Q256,'Cuadro Mando Integral Detallado'!Q308:Q321)/COUNT('Cuadro Mando Integral Detallado'!Q71:Q84,'Cuadro Mando Integral Detallado'!Q146:Q150,'Cuadro Mando Integral Detallado'!Q232,'Cuadro Mando Integral Detallado'!Q251:Q256,'Cuadro Mando Integral Detallado'!Q308:Q321)</f>
        <v>0.63012426951034395</v>
      </c>
      <c r="R10" s="582">
        <f t="shared" si="10"/>
        <v>0.63012426951034395</v>
      </c>
      <c r="S10" s="556">
        <f t="shared" si="11"/>
        <v>0.63012426951034395</v>
      </c>
      <c r="T10" s="556">
        <f t="shared" si="12"/>
        <v>0.63012426951034395</v>
      </c>
      <c r="U10" s="556">
        <f t="shared" si="13"/>
        <v>0.63012426951034395</v>
      </c>
      <c r="V10" s="498">
        <f t="shared" si="14"/>
        <v>0.63012426951034395</v>
      </c>
      <c r="W10" s="589">
        <f>SUM('Cuadro Mando Integral Detallado'!S71:S84,'Cuadro Mando Integral Detallado'!S146:S150,'Cuadro Mando Integral Detallado'!S232,'Cuadro Mando Integral Detallado'!S251:S256,'Cuadro Mando Integral Detallado'!S308:S321)/COUNT('Cuadro Mando Integral Detallado'!S71:S84,'Cuadro Mando Integral Detallado'!S146:S150,'Cuadro Mando Integral Detallado'!S232,'Cuadro Mando Integral Detallado'!S251:S256,'Cuadro Mando Integral Detallado'!S308:S321)</f>
        <v>0.1434372315914261</v>
      </c>
      <c r="X10" s="589">
        <f>SUM('Cuadro Mando Integral Detallado'!T71:T84,'Cuadro Mando Integral Detallado'!T146:T150,'Cuadro Mando Integral Detallado'!T232,'Cuadro Mando Integral Detallado'!T251:T256,'Cuadro Mando Integral Detallado'!T308:T321)/COUNT('Cuadro Mando Integral Detallado'!T71:T84,'Cuadro Mando Integral Detallado'!T146:T150,'Cuadro Mando Integral Detallado'!T232,'Cuadro Mando Integral Detallado'!T251:T256,'Cuadro Mando Integral Detallado'!T308:T321)</f>
        <v>0.31874940353650244</v>
      </c>
      <c r="Y10" s="571">
        <f t="shared" si="15"/>
        <v>0.1434372315914261</v>
      </c>
      <c r="Z10" s="568">
        <f t="shared" si="16"/>
        <v>0.1434372315914261</v>
      </c>
      <c r="AA10" s="568">
        <f t="shared" si="17"/>
        <v>0.1434372315914261</v>
      </c>
      <c r="AB10" s="568">
        <f t="shared" si="18"/>
        <v>0.1434372315914261</v>
      </c>
      <c r="AC10" s="508">
        <f t="shared" si="19"/>
        <v>0.1434372315914261</v>
      </c>
      <c r="AD10" s="505"/>
      <c r="AE10" s="513">
        <f>SUM('Cuadro Mando Integral Detallado'!X71:X84,'Cuadro Mando Integral Detallado'!X146:X150,'Cuadro Mando Integral Detallado'!X232,'Cuadro Mando Integral Detallado'!X251:X256,'Cuadro Mando Integral Detallado'!X308:X321)/COUNT('Cuadro Mando Integral Detallado'!X71:X84,'Cuadro Mando Integral Detallado'!X146:X150,'Cuadro Mando Integral Detallado'!X232,'Cuadro Mando Integral Detallado'!X251:X256,'Cuadro Mando Integral Detallado'!X308:X321)</f>
        <v>0.45435369180357682</v>
      </c>
      <c r="AF10" s="582">
        <f t="shared" si="20"/>
        <v>0.45435369180357682</v>
      </c>
      <c r="AG10" s="556">
        <f t="shared" si="21"/>
        <v>0.45435369180357682</v>
      </c>
      <c r="AH10" s="556">
        <f t="shared" si="22"/>
        <v>0.45435369180357682</v>
      </c>
      <c r="AI10" s="556">
        <f t="shared" si="23"/>
        <v>0.45435369180357682</v>
      </c>
      <c r="AJ10" s="498">
        <f t="shared" si="24"/>
        <v>0.45435369180357682</v>
      </c>
      <c r="AK10" s="662">
        <f>SUM('Cuadro Mando Integral Detallado'!Z71:Z83,'Cuadro Mando Integral Detallado'!Z146:Z150,'Cuadro Mando Integral Detallado'!Z232,'Cuadro Mando Integral Detallado'!Z251:Z256,'Cuadro Mando Integral Detallado'!Z308:Z321)/COUNT('Cuadro Mando Integral Detallado'!Z71:Z83,'Cuadro Mando Integral Detallado'!Z146:Z150,'Cuadro Mando Integral Detallado'!Z232,'Cuadro Mando Integral Detallado'!Y251:Z256,'Cuadro Mando Integral Detallado'!Z308:Z321)</f>
        <v>0.23405292162569574</v>
      </c>
      <c r="AL10" s="589">
        <f>SUM('Cuadro Mando Integral Detallado'!AA71:AA84,'Cuadro Mando Integral Detallado'!AA146:AA150,'Cuadro Mando Integral Detallado'!AA232,'Cuadro Mando Integral Detallado'!AA251:AA256,'Cuadro Mando Integral Detallado'!AA308:AA321)/COUNT('Cuadro Mando Integral Detallado'!AA71:AA83,'Cuadro Mando Integral Detallado'!AA146:AA150,'Cuadro Mando Integral Detallado'!AA232,'Cuadro Mando Integral Detallado'!Z251:AA256,'Cuadro Mando Integral Detallado'!AA308:AA321)</f>
        <v>0.33975424106955832</v>
      </c>
      <c r="AM10" s="582">
        <f t="shared" si="25"/>
        <v>0.23405292162569574</v>
      </c>
      <c r="AN10" s="568">
        <f t="shared" si="26"/>
        <v>0.23405292162569574</v>
      </c>
      <c r="AO10" s="568">
        <f t="shared" si="27"/>
        <v>0.23405292162569574</v>
      </c>
      <c r="AP10" s="568">
        <f t="shared" si="28"/>
        <v>0.23405292162569574</v>
      </c>
      <c r="AQ10" s="508">
        <f t="shared" si="29"/>
        <v>0.23405292162569574</v>
      </c>
      <c r="AR10" s="505"/>
      <c r="AS10" s="513">
        <f>SUM('Cuadro Mando Integral Detallado'!AE71:AE84,'Cuadro Mando Integral Detallado'!AE146:AE150,'Cuadro Mando Integral Detallado'!AE232,'Cuadro Mando Integral Detallado'!AE251:AE256,'Cuadro Mando Integral Detallado'!AE308:AE321)/COUNT('Cuadro Mando Integral Detallado'!AE71:AE84,'Cuadro Mando Integral Detallado'!AE146:AE150,'Cuadro Mando Integral Detallado'!AE232,'Cuadro Mando Integral Detallado'!AE251:AE256,'Cuadro Mando Integral Detallado'!AE308:AE321)</f>
        <v>0.59445042976096296</v>
      </c>
      <c r="AT10" s="582">
        <f t="shared" si="30"/>
        <v>0.59445042976096296</v>
      </c>
      <c r="AU10" s="556">
        <f t="shared" si="31"/>
        <v>0.59445042976096296</v>
      </c>
      <c r="AV10" s="556">
        <f t="shared" si="32"/>
        <v>0.59445042976096296</v>
      </c>
      <c r="AW10" s="556">
        <f t="shared" si="33"/>
        <v>0.59445042976096296</v>
      </c>
      <c r="AX10" s="498">
        <f t="shared" si="34"/>
        <v>0.59445042976096296</v>
      </c>
      <c r="AY10" s="586">
        <f>SUM('Cuadro Mando Integral Detallado'!AG71:AG84,'Cuadro Mando Integral Detallado'!AG146:AG150,'Cuadro Mando Integral Detallado'!AG232,'Cuadro Mando Integral Detallado'!AF251:AG256,'Cuadro Mando Integral Detallado'!AG308:AG321)/COUNT('Cuadro Mando Integral Detallado'!AG71:AG83,'Cuadro Mando Integral Detallado'!AG146:AG150,'Cuadro Mando Integral Detallado'!AG232,'Cuadro Mando Integral Detallado'!AG251:AG256,'Cuadro Mando Integral Detallado'!AG308:AG321)</f>
        <v>0.75304343778594762</v>
      </c>
      <c r="AZ10" s="582">
        <f t="shared" si="39"/>
        <v>0.75304343778594762</v>
      </c>
      <c r="BA10" s="568">
        <f t="shared" si="35"/>
        <v>0.75304343778594762</v>
      </c>
      <c r="BB10" s="568">
        <f t="shared" si="36"/>
        <v>0.75304343778594762</v>
      </c>
      <c r="BC10" s="568">
        <f t="shared" si="37"/>
        <v>0.75304343778594762</v>
      </c>
      <c r="BD10" s="508">
        <f t="shared" si="38"/>
        <v>0.75304343778594762</v>
      </c>
    </row>
    <row r="11" spans="1:56" ht="36" x14ac:dyDescent="0.25">
      <c r="A11" s="296" t="s">
        <v>29</v>
      </c>
      <c r="B11" s="413"/>
      <c r="C11" s="513">
        <f>SUM('Cuadro Mando Integral Detallado'!J15:J34,'Cuadro Mando Integral Detallado'!J37:J38,'Cuadro Mando Integral Detallado'!J120:J145,'Cuadro Mando Integral Detallado'!J164,'Cuadro Mando Integral Detallado'!J178:J179,'Cuadro Mando Integral Detallado'!J233,'Cuadro Mando Integral Detallado'!J257:J277,'Cuadro Mando Integral Detallado'!J334:J375)/COUNT('Cuadro Mando Integral Detallado'!J15:J34,'Cuadro Mando Integral Detallado'!J37,'Cuadro Mando Integral Detallado'!J120:J145,'Cuadro Mando Integral Detallado'!J164,'Cuadro Mando Integral Detallado'!J178:J179,'Cuadro Mando Integral Detallado'!J233,'Cuadro Mando Integral Detallado'!J257:J277,'Cuadro Mando Integral Detallado'!J334:J375)</f>
        <v>0.80639869560571453</v>
      </c>
      <c r="D11" s="582">
        <f t="shared" si="0"/>
        <v>0.80639869560571453</v>
      </c>
      <c r="E11" s="556">
        <f t="shared" si="1"/>
        <v>0.80639869560571453</v>
      </c>
      <c r="F11" s="556">
        <f t="shared" si="2"/>
        <v>0.80639869560571453</v>
      </c>
      <c r="G11" s="556">
        <f t="shared" si="3"/>
        <v>0.80639869560571453</v>
      </c>
      <c r="H11" s="498">
        <f t="shared" si="4"/>
        <v>0.80639869560571453</v>
      </c>
      <c r="I11" s="513">
        <f>SUM('Cuadro Mando Integral Detallado'!L15:L34,'Cuadro Mando Integral Detallado'!L37:L38,'Cuadro Mando Integral Detallado'!L120:L145,'Cuadro Mando Integral Detallado'!L164,'Cuadro Mando Integral Detallado'!L178:L179,'Cuadro Mando Integral Detallado'!L233,'Cuadro Mando Integral Detallado'!L257:L277,'Cuadro Mando Integral Detallado'!L334:L375)/COUNT('Cuadro Mando Integral Detallado'!L15:L34,'Cuadro Mando Integral Detallado'!L37,'Cuadro Mando Integral Detallado'!L120:L145,'Cuadro Mando Integral Detallado'!L164,'Cuadro Mando Integral Detallado'!L178:L179,'Cuadro Mando Integral Detallado'!L233,'Cuadro Mando Integral Detallado'!L257:L277,'Cuadro Mando Integral Detallado'!L334:L375)</f>
        <v>0.14279606903716099</v>
      </c>
      <c r="J11" s="513">
        <f>SUM('Cuadro Mando Integral Detallado'!M15:M34,'Cuadro Mando Integral Detallado'!M37:M38,'Cuadro Mando Integral Detallado'!M120:M145,'Cuadro Mando Integral Detallado'!M164,'Cuadro Mando Integral Detallado'!M178:M179,'Cuadro Mando Integral Detallado'!M233,'Cuadro Mando Integral Detallado'!M257:M277,'Cuadro Mando Integral Detallado'!M334:M375)/COUNT('Cuadro Mando Integral Detallado'!M15:M34,'Cuadro Mando Integral Detallado'!M37,'Cuadro Mando Integral Detallado'!M120:M145,'Cuadro Mando Integral Detallado'!M164,'Cuadro Mando Integral Detallado'!M178:M179,'Cuadro Mando Integral Detallado'!M233,'Cuadro Mando Integral Detallado'!M257:M277,'Cuadro Mando Integral Detallado'!M334:M375)</f>
        <v>0.36953246816963975</v>
      </c>
      <c r="K11" s="571">
        <f>+I11</f>
        <v>0.14279606903716099</v>
      </c>
      <c r="L11" s="568">
        <f t="shared" si="6"/>
        <v>0.14279606903716099</v>
      </c>
      <c r="M11" s="568">
        <f t="shared" si="7"/>
        <v>0.14279606903716099</v>
      </c>
      <c r="N11" s="568">
        <f t="shared" si="8"/>
        <v>0.14279606903716099</v>
      </c>
      <c r="O11" s="508">
        <f t="shared" si="9"/>
        <v>0.14279606903716099</v>
      </c>
      <c r="P11" s="163"/>
      <c r="Q11" s="513">
        <f>SUM('Cuadro Mando Integral Detallado'!Q15:Q34,'Cuadro Mando Integral Detallado'!Q37:Q38,'Cuadro Mando Integral Detallado'!Q120:Q145,'Cuadro Mando Integral Detallado'!Q164,'Cuadro Mando Integral Detallado'!Q178:Q179,'Cuadro Mando Integral Detallado'!Q233,'Cuadro Mando Integral Detallado'!Q257:Q277,'Cuadro Mando Integral Detallado'!Q334:Q375)/COUNT('Cuadro Mando Integral Detallado'!Q15:Q34,'Cuadro Mando Integral Detallado'!Q37,'Cuadro Mando Integral Detallado'!Q120:Q145,'Cuadro Mando Integral Detallado'!Q164,'Cuadro Mando Integral Detallado'!Q178:Q179,'Cuadro Mando Integral Detallado'!Q233,'Cuadro Mando Integral Detallado'!Q257:Q277,'Cuadro Mando Integral Detallado'!Q334:Q375)</f>
        <v>0.69748946664121869</v>
      </c>
      <c r="R11" s="582">
        <f t="shared" si="10"/>
        <v>0.69748946664121869</v>
      </c>
      <c r="S11" s="556">
        <f t="shared" si="11"/>
        <v>0.69748946664121869</v>
      </c>
      <c r="T11" s="556">
        <f t="shared" si="12"/>
        <v>0.69748946664121869</v>
      </c>
      <c r="U11" s="556">
        <f t="shared" si="13"/>
        <v>0.69748946664121869</v>
      </c>
      <c r="V11" s="498">
        <f t="shared" si="14"/>
        <v>0.69748946664121869</v>
      </c>
      <c r="W11" s="513">
        <f>SUM('Cuadro Mando Integral Detallado'!S15:S34,'Cuadro Mando Integral Detallado'!S37:S38,'Cuadro Mando Integral Detallado'!S120:S145,'Cuadro Mando Integral Detallado'!S164,'Cuadro Mando Integral Detallado'!S178:S179,'Cuadro Mando Integral Detallado'!S233,'Cuadro Mando Integral Detallado'!S257:S277,'Cuadro Mando Integral Detallado'!S334:S375)/COUNT('Cuadro Mando Integral Detallado'!S15:S34,'Cuadro Mando Integral Detallado'!S37,'Cuadro Mando Integral Detallado'!S120:S145,'Cuadro Mando Integral Detallado'!S164,'Cuadro Mando Integral Detallado'!S178:S179,'Cuadro Mando Integral Detallado'!S233,'Cuadro Mando Integral Detallado'!S257:S277,'Cuadro Mando Integral Detallado'!S334:S375)</f>
        <v>0.25966407495765376</v>
      </c>
      <c r="X11" s="513">
        <f>SUM('Cuadro Mando Integral Detallado'!T15:T34,'Cuadro Mando Integral Detallado'!T37:T38,'Cuadro Mando Integral Detallado'!T120:T145,'Cuadro Mando Integral Detallado'!T164,'Cuadro Mando Integral Detallado'!T178:T179,'Cuadro Mando Integral Detallado'!T233,'Cuadro Mando Integral Detallado'!T257:T277,'Cuadro Mando Integral Detallado'!T334:T375)/COUNT('Cuadro Mando Integral Detallado'!T15:T34,'Cuadro Mando Integral Detallado'!T37,'Cuadro Mando Integral Detallado'!T120:T145,'Cuadro Mando Integral Detallado'!T164,'Cuadro Mando Integral Detallado'!T178:T179,'Cuadro Mando Integral Detallado'!T233,'Cuadro Mando Integral Detallado'!T257:T277,'Cuadro Mando Integral Detallado'!T334:T375)</f>
        <v>0.53375393185739939</v>
      </c>
      <c r="Y11" s="571">
        <f t="shared" si="15"/>
        <v>0.25966407495765376</v>
      </c>
      <c r="Z11" s="568">
        <f t="shared" si="16"/>
        <v>0.25966407495765376</v>
      </c>
      <c r="AA11" s="568">
        <f t="shared" si="17"/>
        <v>0.25966407495765376</v>
      </c>
      <c r="AB11" s="568">
        <f t="shared" si="18"/>
        <v>0.25966407495765376</v>
      </c>
      <c r="AC11" s="508">
        <f t="shared" si="19"/>
        <v>0.25966407495765376</v>
      </c>
      <c r="AD11" s="505"/>
      <c r="AE11" s="513">
        <f>SUM('Cuadro Mando Integral Detallado'!X15:X34,'Cuadro Mando Integral Detallado'!X37:X38,'Cuadro Mando Integral Detallado'!X120:X145,'Cuadro Mando Integral Detallado'!X164,'Cuadro Mando Integral Detallado'!X178:X179,'Cuadro Mando Integral Detallado'!X233,'Cuadro Mando Integral Detallado'!X257:X277,'Cuadro Mando Integral Detallado'!X334:X375)/COUNT('Cuadro Mando Integral Detallado'!X15:X34,'Cuadro Mando Integral Detallado'!X37,'Cuadro Mando Integral Detallado'!X120:X145,'Cuadro Mando Integral Detallado'!X164,'Cuadro Mando Integral Detallado'!X178:X179,'Cuadro Mando Integral Detallado'!X233,'Cuadro Mando Integral Detallado'!X257:X277,'Cuadro Mando Integral Detallado'!X334:X375)</f>
        <v>0.76036924288607988</v>
      </c>
      <c r="AF11" s="582">
        <f t="shared" si="20"/>
        <v>0.76036924288607988</v>
      </c>
      <c r="AG11" s="556">
        <f t="shared" si="21"/>
        <v>0.76036924288607988</v>
      </c>
      <c r="AH11" s="556">
        <f t="shared" si="22"/>
        <v>0.76036924288607988</v>
      </c>
      <c r="AI11" s="556">
        <f t="shared" si="23"/>
        <v>0.76036924288607988</v>
      </c>
      <c r="AJ11" s="498">
        <f t="shared" si="24"/>
        <v>0.76036924288607988</v>
      </c>
      <c r="AK11" s="513">
        <f>SUM('Cuadro Mando Integral Detallado'!Z15:Z34,'Cuadro Mando Integral Detallado'!Z37:Z38,'Cuadro Mando Integral Detallado'!Z120:Z145,'Cuadro Mando Integral Detallado'!Z164,'Cuadro Mando Integral Detallado'!Z178:Z179,'Cuadro Mando Integral Detallado'!Z233,'Cuadro Mando Integral Detallado'!Z257:Z277,'Cuadro Mando Integral Detallado'!Z334:Z375)/COUNT('Cuadro Mando Integral Detallado'!Z15:Z34,'Cuadro Mando Integral Detallado'!Z37,'Cuadro Mando Integral Detallado'!Z120:Z145,'Cuadro Mando Integral Detallado'!Z164,'Cuadro Mando Integral Detallado'!Z178:Z179,'Cuadro Mando Integral Detallado'!Z233,'Cuadro Mando Integral Detallado'!Z257:Z277,'Cuadro Mando Integral Detallado'!Z334:Z375)</f>
        <v>0.46097099060150931</v>
      </c>
      <c r="AL11" s="513">
        <f>SUM('Cuadro Mando Integral Detallado'!AA15:AA34,'Cuadro Mando Integral Detallado'!AA37:AA38,'Cuadro Mando Integral Detallado'!AA120:AA145,'Cuadro Mando Integral Detallado'!AA164,'Cuadro Mando Integral Detallado'!AA178:AA179,'Cuadro Mando Integral Detallado'!AA233,'Cuadro Mando Integral Detallado'!AA257:AA277,'Cuadro Mando Integral Detallado'!AA334:AA375)/COUNT('Cuadro Mando Integral Detallado'!AA15:AA34,'Cuadro Mando Integral Detallado'!AA37,'Cuadro Mando Integral Detallado'!AA120:AA145,'Cuadro Mando Integral Detallado'!AA164,'Cuadro Mando Integral Detallado'!AA178:AA179,'Cuadro Mando Integral Detallado'!AA233,'Cuadro Mando Integral Detallado'!AA257:AA277,'Cuadro Mando Integral Detallado'!AA334:AA375)</f>
        <v>0.68359101386619625</v>
      </c>
      <c r="AM11" s="582">
        <f t="shared" si="25"/>
        <v>0.46097099060150931</v>
      </c>
      <c r="AN11" s="568">
        <f t="shared" si="26"/>
        <v>0.46097099060150931</v>
      </c>
      <c r="AO11" s="568">
        <f t="shared" si="27"/>
        <v>0.46097099060150931</v>
      </c>
      <c r="AP11" s="568">
        <f t="shared" si="28"/>
        <v>0.46097099060150931</v>
      </c>
      <c r="AQ11" s="508">
        <f t="shared" si="29"/>
        <v>0.46097099060150931</v>
      </c>
      <c r="AR11" s="505"/>
      <c r="AS11" s="513">
        <f>SUM('Cuadro Mando Integral Detallado'!AE15:AE34,'Cuadro Mando Integral Detallado'!AE37:AE38,'Cuadro Mando Integral Detallado'!AE120:AE145,'Cuadro Mando Integral Detallado'!AE164,'Cuadro Mando Integral Detallado'!AE178:AE179,'Cuadro Mando Integral Detallado'!AE233,'Cuadro Mando Integral Detallado'!AE257:AE277,'Cuadro Mando Integral Detallado'!AE334:AE375)/COUNT('Cuadro Mando Integral Detallado'!AE15:AE34,'Cuadro Mando Integral Detallado'!AE37,'Cuadro Mando Integral Detallado'!AE120:AE145,'Cuadro Mando Integral Detallado'!AE164,'Cuadro Mando Integral Detallado'!AE178:AE179,'Cuadro Mando Integral Detallado'!AE233,'Cuadro Mando Integral Detallado'!AE257:AE277,'Cuadro Mando Integral Detallado'!AE334:AE375)</f>
        <v>0.74913726081002152</v>
      </c>
      <c r="AT11" s="582">
        <f t="shared" si="30"/>
        <v>0.74913726081002152</v>
      </c>
      <c r="AU11" s="556">
        <f t="shared" si="31"/>
        <v>0.74913726081002152</v>
      </c>
      <c r="AV11" s="556">
        <f t="shared" si="32"/>
        <v>0.74913726081002152</v>
      </c>
      <c r="AW11" s="556">
        <f t="shared" si="33"/>
        <v>0.74913726081002152</v>
      </c>
      <c r="AX11" s="498">
        <f t="shared" si="34"/>
        <v>0.74913726081002152</v>
      </c>
      <c r="AY11" s="513">
        <f>SUM('Cuadro Mando Integral Detallado'!AG15:AG34,'Cuadro Mando Integral Detallado'!AG37:AG38,'Cuadro Mando Integral Detallado'!AG120:AG145,'Cuadro Mando Integral Detallado'!AG164,'Cuadro Mando Integral Detallado'!AG178:AG179,'Cuadro Mando Integral Detallado'!AG233,'Cuadro Mando Integral Detallado'!AG257:AG277,'Cuadro Mando Integral Detallado'!AG334:AG375)/COUNT('Cuadro Mando Integral Detallado'!AG15:AG34,'Cuadro Mando Integral Detallado'!AG37,'Cuadro Mando Integral Detallado'!AG120:AG145,'Cuadro Mando Integral Detallado'!AG164,'Cuadro Mando Integral Detallado'!AG178:AG179,'Cuadro Mando Integral Detallado'!AG233,'Cuadro Mando Integral Detallado'!AG257:AG277,'Cuadro Mando Integral Detallado'!AG334:AG375)</f>
        <v>0.85225400484234537</v>
      </c>
      <c r="AZ11" s="582">
        <f t="shared" si="39"/>
        <v>0.85225400484234537</v>
      </c>
      <c r="BA11" s="568">
        <f t="shared" si="35"/>
        <v>0.85225400484234537</v>
      </c>
      <c r="BB11" s="568">
        <f t="shared" si="36"/>
        <v>0.85225400484234537</v>
      </c>
      <c r="BC11" s="568">
        <f t="shared" si="37"/>
        <v>0.85225400484234537</v>
      </c>
      <c r="BD11" s="508">
        <f t="shared" si="38"/>
        <v>0.85225400484234537</v>
      </c>
    </row>
    <row r="12" spans="1:56" ht="36" x14ac:dyDescent="0.25">
      <c r="A12" s="296" t="s">
        <v>831</v>
      </c>
      <c r="B12" s="413"/>
      <c r="C12" s="513">
        <f>SUM('Cuadro Mando Integral Detallado'!J42,'Cuadro Mando Integral Detallado'!J166:J178,'Cuadro Mando Integral Detallado'!J180,'Cuadro Mando Integral Detallado'!J236,'Cuadro Mando Integral Detallado'!J291:J302,'Cuadro Mando Integral Detallado'!J377:J380)/COUNT('Cuadro Mando Integral Detallado'!J42,'Cuadro Mando Integral Detallado'!J166:J178,'Cuadro Mando Integral Detallado'!J180,'Cuadro Mando Integral Detallado'!J236,'Cuadro Mando Integral Detallado'!J291:J302,'Cuadro Mando Integral Detallado'!J377:J380)</f>
        <v>0.88611110516279235</v>
      </c>
      <c r="D12" s="582">
        <f t="shared" si="0"/>
        <v>0.88611110516279235</v>
      </c>
      <c r="E12" s="556">
        <f t="shared" si="1"/>
        <v>0.88611110516279235</v>
      </c>
      <c r="F12" s="556">
        <f t="shared" si="2"/>
        <v>0.88611110516279235</v>
      </c>
      <c r="G12" s="556">
        <f t="shared" si="3"/>
        <v>0.88611110516279235</v>
      </c>
      <c r="H12" s="498">
        <f t="shared" si="4"/>
        <v>0.88611110516279235</v>
      </c>
      <c r="I12" s="513">
        <f>SUM('Cuadro Mando Integral Detallado'!L42,'Cuadro Mando Integral Detallado'!L166:L178,'Cuadro Mando Integral Detallado'!L180,'Cuadro Mando Integral Detallado'!L236,'Cuadro Mando Integral Detallado'!L291:L302,'Cuadro Mando Integral Detallado'!L377:L380)/COUNT('Cuadro Mando Integral Detallado'!L42,'Cuadro Mando Integral Detallado'!L166:L178,'Cuadro Mando Integral Detallado'!L180,'Cuadro Mando Integral Detallado'!L236,'Cuadro Mando Integral Detallado'!L291:L302,'Cuadro Mando Integral Detallado'!L377:L380)</f>
        <v>5.1128472036337261E-2</v>
      </c>
      <c r="J12" s="513">
        <f>SUM('Cuadro Mando Integral Detallado'!M42,'Cuadro Mando Integral Detallado'!M166:M178,'Cuadro Mando Integral Detallado'!M180,'Cuadro Mando Integral Detallado'!M236,'Cuadro Mando Integral Detallado'!M291:M302,'Cuadro Mando Integral Detallado'!M377:M380)/COUNT('Cuadro Mando Integral Detallado'!M42,'Cuadro Mando Integral Detallado'!M166:M178,'Cuadro Mando Integral Detallado'!M180,'Cuadro Mando Integral Detallado'!M236,'Cuadro Mando Integral Detallado'!M291:M302,'Cuadro Mando Integral Detallado'!M377:M380)</f>
        <v>0.40902777629069809</v>
      </c>
      <c r="K12" s="571">
        <f t="shared" si="5"/>
        <v>5.1128472036337261E-2</v>
      </c>
      <c r="L12" s="568">
        <f t="shared" si="6"/>
        <v>5.1128472036337261E-2</v>
      </c>
      <c r="M12" s="568">
        <f t="shared" si="7"/>
        <v>5.1128472036337261E-2</v>
      </c>
      <c r="N12" s="568">
        <f t="shared" si="8"/>
        <v>5.1128472036337261E-2</v>
      </c>
      <c r="O12" s="508">
        <f t="shared" si="9"/>
        <v>5.1128472036337261E-2</v>
      </c>
      <c r="P12" s="163"/>
      <c r="Q12" s="513">
        <f>SUM('Cuadro Mando Integral Detallado'!Q42,'Cuadro Mando Integral Detallado'!Q166:Q178,'Cuadro Mando Integral Detallado'!Q180,'Cuadro Mando Integral Detallado'!Q236,'Cuadro Mando Integral Detallado'!Q291:Q302,'Cuadro Mando Integral Detallado'!Q377:Q380)/COUNT('Cuadro Mando Integral Detallado'!Q42,'Cuadro Mando Integral Detallado'!Q166:Q178,'Cuadro Mando Integral Detallado'!Q180,'Cuadro Mando Integral Detallado'!Q236,'Cuadro Mando Integral Detallado'!Q291:Q302,'Cuadro Mando Integral Detallado'!Q377:Q380)</f>
        <v>0.88235294117647056</v>
      </c>
      <c r="R12" s="582">
        <f t="shared" si="10"/>
        <v>0.88235294117647056</v>
      </c>
      <c r="S12" s="556">
        <f t="shared" si="11"/>
        <v>0.88235294117647056</v>
      </c>
      <c r="T12" s="556">
        <f t="shared" si="12"/>
        <v>0.88235294117647056</v>
      </c>
      <c r="U12" s="556">
        <f t="shared" si="13"/>
        <v>0.88235294117647056</v>
      </c>
      <c r="V12" s="498">
        <f t="shared" si="14"/>
        <v>0.88235294117647056</v>
      </c>
      <c r="W12" s="513">
        <f>SUM('Cuadro Mando Integral Detallado'!S42,'Cuadro Mando Integral Detallado'!S166:S178,'Cuadro Mando Integral Detallado'!S180,'Cuadro Mando Integral Detallado'!S236,'Cuadro Mando Integral Detallado'!S291:S302,'Cuadro Mando Integral Detallado'!S377:S380)/COUNT('Cuadro Mando Integral Detallado'!S42,'Cuadro Mando Integral Detallado'!S166:S178,'Cuadro Mando Integral Detallado'!S180,'Cuadro Mando Integral Detallado'!S236,'Cuadro Mando Integral Detallado'!S291:S302,'Cuadro Mando Integral Detallado'!S377:S380)</f>
        <v>0.44956597203633725</v>
      </c>
      <c r="X12" s="513">
        <f>SUM('Cuadro Mando Integral Detallado'!T42,'Cuadro Mando Integral Detallado'!T166:T178,'Cuadro Mando Integral Detallado'!T180,'Cuadro Mando Integral Detallado'!T236,'Cuadro Mando Integral Detallado'!T291:T302,'Cuadro Mando Integral Detallado'!T377:T380)/COUNT('Cuadro Mando Integral Detallado'!T42,'Cuadro Mando Integral Detallado'!T166:T178,'Cuadro Mando Integral Detallado'!T180,'Cuadro Mando Integral Detallado'!T236,'Cuadro Mando Integral Detallado'!T291:T302,'Cuadro Mando Integral Detallado'!T377:T380)</f>
        <v>0.78741830030369364</v>
      </c>
      <c r="Y12" s="571">
        <f t="shared" si="15"/>
        <v>0.44956597203633725</v>
      </c>
      <c r="Z12" s="568">
        <f t="shared" si="16"/>
        <v>0.44956597203633725</v>
      </c>
      <c r="AA12" s="568">
        <f t="shared" si="17"/>
        <v>0.44956597203633725</v>
      </c>
      <c r="AB12" s="568">
        <f t="shared" si="18"/>
        <v>0.44956597203633725</v>
      </c>
      <c r="AC12" s="508">
        <f t="shared" si="19"/>
        <v>0.44956597203633725</v>
      </c>
      <c r="AD12" s="505"/>
      <c r="AE12" s="513">
        <f>SUM('Cuadro Mando Integral Detallado'!X42,'Cuadro Mando Integral Detallado'!X166:X178,'Cuadro Mando Integral Detallado'!X180,'Cuadro Mando Integral Detallado'!X236,'Cuadro Mando Integral Detallado'!X291:X302,'Cuadro Mando Integral Detallado'!X377:X380)/COUNT('Cuadro Mando Integral Detallado'!X42,'Cuadro Mando Integral Detallado'!X166:X178,'Cuadro Mando Integral Detallado'!X180,'Cuadro Mando Integral Detallado'!X236,'Cuadro Mando Integral Detallado'!X291:X302,'Cuadro Mando Integral Detallado'!X377:X380)</f>
        <v>0.9</v>
      </c>
      <c r="AF12" s="582">
        <f t="shared" si="20"/>
        <v>0.9</v>
      </c>
      <c r="AG12" s="556">
        <f t="shared" si="21"/>
        <v>0.9</v>
      </c>
      <c r="AH12" s="556">
        <f t="shared" si="22"/>
        <v>0.9</v>
      </c>
      <c r="AI12" s="556">
        <f t="shared" si="23"/>
        <v>0.9</v>
      </c>
      <c r="AJ12" s="498">
        <f t="shared" si="24"/>
        <v>0.9</v>
      </c>
      <c r="AK12" s="513">
        <f>SUM('Cuadro Mando Integral Detallado'!Z42,'Cuadro Mando Integral Detallado'!Z166:Z178,'Cuadro Mando Integral Detallado'!Z180,'Cuadro Mando Integral Detallado'!Z236,'Cuadro Mando Integral Detallado'!Z291:Z302,'Cuadro Mando Integral Detallado'!Z377:Z380)/COUNT('Cuadro Mando Integral Detallado'!Z42,'Cuadro Mando Integral Detallado'!Z166:Z178,'Cuadro Mando Integral Detallado'!Z180,'Cuadro Mando Integral Detallado'!Z236,'Cuadro Mando Integral Detallado'!Z291:Z302,'Cuadro Mando Integral Detallado'!Z377:Z380)</f>
        <v>0.62612847203633715</v>
      </c>
      <c r="AL12" s="513">
        <f>SUM('Cuadro Mando Integral Detallado'!AA42,'Cuadro Mando Integral Detallado'!AA166:AA178,'Cuadro Mando Integral Detallado'!AA180,'Cuadro Mando Integral Detallado'!AA236,'Cuadro Mando Integral Detallado'!AA291:AA302,'Cuadro Mando Integral Detallado'!AA377:AA380)/COUNT('Cuadro Mando Integral Detallado'!AA42,'Cuadro Mando Integral Detallado'!AA166:AA178,'Cuadro Mando Integral Detallado'!AA180,'Cuadro Mando Integral Detallado'!AA236,'Cuadro Mando Integral Detallado'!AA291:AA302,'Cuadro Mando Integral Detallado'!AA377:AA380)</f>
        <v>0.91073232296194495</v>
      </c>
      <c r="AM12" s="582">
        <f>+AK12</f>
        <v>0.62612847203633715</v>
      </c>
      <c r="AN12" s="568">
        <f t="shared" si="26"/>
        <v>0.62612847203633715</v>
      </c>
      <c r="AO12" s="568">
        <f t="shared" si="27"/>
        <v>0.62612847203633715</v>
      </c>
      <c r="AP12" s="568">
        <f t="shared" si="28"/>
        <v>0.62612847203633715</v>
      </c>
      <c r="AQ12" s="508">
        <f t="shared" si="29"/>
        <v>0.62612847203633715</v>
      </c>
      <c r="AR12" s="505"/>
      <c r="AS12" s="513">
        <f>SUM('Cuadro Mando Integral Detallado'!AE42,'Cuadro Mando Integral Detallado'!AE166:AE178,'Cuadro Mando Integral Detallado'!AE180,'Cuadro Mando Integral Detallado'!AE236,'Cuadro Mando Integral Detallado'!AE291:AE302,'Cuadro Mando Integral Detallado'!AE377:AE380)/COUNT('Cuadro Mando Integral Detallado'!AE42,'Cuadro Mando Integral Detallado'!AE166:AE178,'Cuadro Mando Integral Detallado'!AE180,'Cuadro Mando Integral Detallado'!AE236,'Cuadro Mando Integral Detallado'!AE291:AE302,'Cuadro Mando Integral Detallado'!AE377:AE380)</f>
        <v>0.94126983910681628</v>
      </c>
      <c r="AT12" s="582">
        <f t="shared" si="30"/>
        <v>0.94126983910681628</v>
      </c>
      <c r="AU12" s="556">
        <f t="shared" si="31"/>
        <v>0.94126983910681628</v>
      </c>
      <c r="AV12" s="556">
        <f t="shared" si="32"/>
        <v>0.94126983910681628</v>
      </c>
      <c r="AW12" s="556">
        <f t="shared" si="33"/>
        <v>0.94126983910681628</v>
      </c>
      <c r="AX12" s="498">
        <f t="shared" si="34"/>
        <v>0.94126983910681628</v>
      </c>
      <c r="AY12" s="513">
        <f>SUM('Cuadro Mando Integral Detallado'!AG42,'Cuadro Mando Integral Detallado'!AG166:AG178,'Cuadro Mando Integral Detallado'!AG180,'Cuadro Mando Integral Detallado'!AG236,'Cuadro Mando Integral Detallado'!AG291:AG302,'Cuadro Mando Integral Detallado'!AG377:AG380)/COUNT('Cuadro Mando Integral Detallado'!AG42,'Cuadro Mando Integral Detallado'!AG166:AG178,'Cuadro Mando Integral Detallado'!AG180,'Cuadro Mando Integral Detallado'!AG236,'Cuadro Mando Integral Detallado'!AG291:AG302,'Cuadro Mando Integral Detallado'!AG377:AG380)</f>
        <v>0.97356630780763387</v>
      </c>
      <c r="AZ12" s="582">
        <f>+AY12</f>
        <v>0.97356630780763387</v>
      </c>
      <c r="BA12" s="568">
        <f t="shared" si="35"/>
        <v>0.97356630780763387</v>
      </c>
      <c r="BB12" s="568">
        <f t="shared" si="36"/>
        <v>0.97356630780763387</v>
      </c>
      <c r="BC12" s="568">
        <f t="shared" si="37"/>
        <v>0.97356630780763387</v>
      </c>
      <c r="BD12" s="508">
        <f t="shared" si="38"/>
        <v>0.97356630780763387</v>
      </c>
    </row>
    <row r="13" spans="1:56" ht="18" x14ac:dyDescent="0.25">
      <c r="A13" s="296" t="s">
        <v>349</v>
      </c>
      <c r="B13" s="413"/>
      <c r="C13" s="513">
        <f>SUM('Cuadro Mando Integral Detallado'!J86:J107,'Cuadro Mando Integral Detallado'!J179,'Cuadro Mando Integral Detallado'!J216:J226,'Cuadro Mando Integral Detallado'!J235,'Cuadro Mando Integral Detallado'!J286:J290,'Cuadro Mando Integral Detallado'!D324:J331)/COUNT('Cuadro Mando Integral Detallado'!J86:J107,'Cuadro Mando Integral Detallado'!J179,'Cuadro Mando Integral Detallado'!J216:J226,'Cuadro Mando Integral Detallado'!J235,'Cuadro Mando Integral Detallado'!J286:J290,'Cuadro Mando Integral Detallado'!J324:J331)</f>
        <v>0.69786438084096636</v>
      </c>
      <c r="D13" s="582">
        <f t="shared" si="0"/>
        <v>0.69786438084096636</v>
      </c>
      <c r="E13" s="556">
        <f t="shared" si="1"/>
        <v>0.69786438084096636</v>
      </c>
      <c r="F13" s="556">
        <f t="shared" si="2"/>
        <v>0.69786438084096636</v>
      </c>
      <c r="G13" s="556">
        <f t="shared" si="3"/>
        <v>0.69786438084096636</v>
      </c>
      <c r="H13" s="498">
        <f t="shared" si="4"/>
        <v>0.69786438084096636</v>
      </c>
      <c r="I13" s="513">
        <f>SUM('Cuadro Mando Integral Detallado'!L86:L107,'Cuadro Mando Integral Detallado'!L179,'Cuadro Mando Integral Detallado'!L216:L226,'Cuadro Mando Integral Detallado'!L235,'Cuadro Mando Integral Detallado'!L286:L290,'Cuadro Mando Integral Detallado'!L324:L331)/COUNT('Cuadro Mando Integral Detallado'!L86:L107,'Cuadro Mando Integral Detallado'!L179,'Cuadro Mando Integral Detallado'!L216:L226,'Cuadro Mando Integral Detallado'!L235,'Cuadro Mando Integral Detallado'!L286:L290,'Cuadro Mando Integral Detallado'!L324:L331)</f>
        <v>0.10983394027002648</v>
      </c>
      <c r="J13" s="513">
        <f>SUM('Cuadro Mando Integral Detallado'!M86:M107,'Cuadro Mando Integral Detallado'!M179,'Cuadro Mando Integral Detallado'!M216:M226,'Cuadro Mando Integral Detallado'!M235,'Cuadro Mando Integral Detallado'!M286:M290,'Cuadro Mando Integral Detallado'!M324:M331)/COUNT('Cuadro Mando Integral Detallado'!M86:M107,'Cuadro Mando Integral Detallado'!M179,'Cuadro Mando Integral Detallado'!M216:M226,'Cuadro Mando Integral Detallado'!M235,'Cuadro Mando Integral Detallado'!M286:M290,'Cuadro Mando Integral Detallado'!M324:M331)</f>
        <v>0.13180072832403178</v>
      </c>
      <c r="K13" s="571">
        <f t="shared" si="5"/>
        <v>0.10983394027002648</v>
      </c>
      <c r="L13" s="568">
        <f t="shared" si="6"/>
        <v>0.10983394027002648</v>
      </c>
      <c r="M13" s="568">
        <f t="shared" si="7"/>
        <v>0.10983394027002648</v>
      </c>
      <c r="N13" s="568">
        <f t="shared" si="8"/>
        <v>0.10983394027002648</v>
      </c>
      <c r="O13" s="508">
        <f t="shared" si="9"/>
        <v>0.10983394027002648</v>
      </c>
      <c r="P13" s="163"/>
      <c r="Q13" s="513">
        <f>SUM('Cuadro Mando Integral Detallado'!Q86:Q107,'Cuadro Mando Integral Detallado'!Q179,'Cuadro Mando Integral Detallado'!Q216:Q226,'Cuadro Mando Integral Detallado'!Q235,'Cuadro Mando Integral Detallado'!Q286:Q290,'Cuadro Mando Integral Detallado'!Q324:Q331)/COUNT('Cuadro Mando Integral Detallado'!Q86:Q107,'Cuadro Mando Integral Detallado'!Q179,'Cuadro Mando Integral Detallado'!Q216:Q226,'Cuadro Mando Integral Detallado'!Q235,'Cuadro Mando Integral Detallado'!Q286:Q290,'Cuadro Mando Integral Detallado'!Q324:Q331)</f>
        <v>0.66975882705972101</v>
      </c>
      <c r="R13" s="582">
        <f t="shared" si="10"/>
        <v>0.66975882705972101</v>
      </c>
      <c r="S13" s="556">
        <f t="shared" si="11"/>
        <v>0.66975882705972101</v>
      </c>
      <c r="T13" s="556">
        <f t="shared" si="12"/>
        <v>0.66975882705972101</v>
      </c>
      <c r="U13" s="556">
        <f t="shared" si="13"/>
        <v>0.66975882705972101</v>
      </c>
      <c r="V13" s="498">
        <f t="shared" si="14"/>
        <v>0.66975882705972101</v>
      </c>
      <c r="W13" s="513">
        <f>SUM('Cuadro Mando Integral Detallado'!S86:S107,'Cuadro Mando Integral Detallado'!S179,'Cuadro Mando Integral Detallado'!S216:S226,'Cuadro Mando Integral Detallado'!S235,'Cuadro Mando Integral Detallado'!S286:S290,'Cuadro Mando Integral Detallado'!S324:S331)/COUNT('Cuadro Mando Integral Detallado'!S86:S107,'Cuadro Mando Integral Detallado'!S179,'Cuadro Mando Integral Detallado'!S216:S226,'Cuadro Mando Integral Detallado'!S235,'Cuadro Mando Integral Detallado'!S286:S290,'Cuadro Mando Integral Detallado'!S324:S331)</f>
        <v>0.23910067575773805</v>
      </c>
      <c r="X13" s="513">
        <f>SUM('Cuadro Mando Integral Detallado'!T86:T107,'Cuadro Mando Integral Detallado'!T179,'Cuadro Mando Integral Detallado'!T216:T226,'Cuadro Mando Integral Detallado'!T235,'Cuadro Mando Integral Detallado'!T286:T290,'Cuadro Mando Integral Detallado'!T324:T331)/COUNT('Cuadro Mando Integral Detallado'!T86:T107,'Cuadro Mando Integral Detallado'!T179,'Cuadro Mando Integral Detallado'!T216:T226,'Cuadro Mando Integral Detallado'!T235,'Cuadro Mando Integral Detallado'!T286:T290,'Cuadro Mando Integral Detallado'!T324:T331)</f>
        <v>0.32394285102661285</v>
      </c>
      <c r="Y13" s="571">
        <f t="shared" si="15"/>
        <v>0.23910067575773805</v>
      </c>
      <c r="Z13" s="568">
        <f t="shared" si="16"/>
        <v>0.23910067575773805</v>
      </c>
      <c r="AA13" s="568">
        <f t="shared" si="17"/>
        <v>0.23910067575773805</v>
      </c>
      <c r="AB13" s="568">
        <f t="shared" si="18"/>
        <v>0.23910067575773805</v>
      </c>
      <c r="AC13" s="508">
        <f t="shared" si="19"/>
        <v>0.23910067575773805</v>
      </c>
      <c r="AD13" s="505"/>
      <c r="AE13" s="513">
        <f>SUM('Cuadro Mando Integral Detallado'!X86:X107,'Cuadro Mando Integral Detallado'!X179,'Cuadro Mando Integral Detallado'!X216:X226,'Cuadro Mando Integral Detallado'!X235,'Cuadro Mando Integral Detallado'!X286:X290,'Cuadro Mando Integral Detallado'!X324:X331)/COUNT('Cuadro Mando Integral Detallado'!X86:X107,'Cuadro Mando Integral Detallado'!X179,'Cuadro Mando Integral Detallado'!X216:X226,'Cuadro Mando Integral Detallado'!X235,'Cuadro Mando Integral Detallado'!X286:X290,'Cuadro Mando Integral Detallado'!X324:X331)</f>
        <v>0.62481508606977754</v>
      </c>
      <c r="AF13" s="582">
        <f t="shared" si="20"/>
        <v>0.62481508606977754</v>
      </c>
      <c r="AG13" s="556">
        <f t="shared" si="21"/>
        <v>0.62481508606977754</v>
      </c>
      <c r="AH13" s="556">
        <f t="shared" si="22"/>
        <v>0.62481508606977754</v>
      </c>
      <c r="AI13" s="556">
        <f t="shared" si="23"/>
        <v>0.62481508606977754</v>
      </c>
      <c r="AJ13" s="498">
        <f t="shared" si="24"/>
        <v>0.62481508606977754</v>
      </c>
      <c r="AK13" s="513">
        <f>SUM('Cuadro Mando Integral Detallado'!Z86:Z107,'Cuadro Mando Integral Detallado'!Z179,'Cuadro Mando Integral Detallado'!Z216:Z226,'Cuadro Mando Integral Detallado'!Z235,'Cuadro Mando Integral Detallado'!Z286:Z290,'Cuadro Mando Integral Detallado'!Z324:Z331)/COUNT('Cuadro Mando Integral Detallado'!Z86:Z107,'Cuadro Mando Integral Detallado'!Z179,'Cuadro Mando Integral Detallado'!Z216:Z226,'Cuadro Mando Integral Detallado'!Z235,'Cuadro Mando Integral Detallado'!Z286:Z290,'Cuadro Mando Integral Detallado'!Z324:Z331)</f>
        <v>0.40931355640690625</v>
      </c>
      <c r="AL13" s="513">
        <f>SUM('Cuadro Mando Integral Detallado'!AA86:AA107,'Cuadro Mando Integral Detallado'!AA179,'Cuadro Mando Integral Detallado'!AA216:AA226,'Cuadro Mando Integral Detallado'!AA235,'Cuadro Mando Integral Detallado'!AA286:AA290,'Cuadro Mando Integral Detallado'!AA324:AA331)/COUNT('Cuadro Mando Integral Detallado'!AA86:AA107,'Cuadro Mando Integral Detallado'!AA179,'Cuadro Mando Integral Detallado'!AA216:AA226,'Cuadro Mando Integral Detallado'!AA235,'Cuadro Mando Integral Detallado'!AA286:AA290,'Cuadro Mando Integral Detallado'!AA324:AA331)</f>
        <v>0.47621086379676653</v>
      </c>
      <c r="AM13" s="582">
        <f t="shared" si="25"/>
        <v>0.40931355640690625</v>
      </c>
      <c r="AN13" s="568">
        <f t="shared" si="26"/>
        <v>0.40931355640690625</v>
      </c>
      <c r="AO13" s="568">
        <f t="shared" si="27"/>
        <v>0.40931355640690625</v>
      </c>
      <c r="AP13" s="568">
        <f t="shared" si="28"/>
        <v>0.40931355640690625</v>
      </c>
      <c r="AQ13" s="508">
        <f t="shared" si="29"/>
        <v>0.40931355640690625</v>
      </c>
      <c r="AR13" s="505"/>
      <c r="AS13" s="513">
        <f>SUM('Cuadro Mando Integral Detallado'!AE86:AE107,'Cuadro Mando Integral Detallado'!AE179,'Cuadro Mando Integral Detallado'!AE216:AE226,'Cuadro Mando Integral Detallado'!AE235,'Cuadro Mando Integral Detallado'!AE286:AE290,'Cuadro Mando Integral Detallado'!AE324:AE331)/COUNT('Cuadro Mando Integral Detallado'!AE86:AE107,'Cuadro Mando Integral Detallado'!AE179,'Cuadro Mando Integral Detallado'!AE216:AE226,'Cuadro Mando Integral Detallado'!AE235,'Cuadro Mando Integral Detallado'!AE286:AE290,'Cuadro Mando Integral Detallado'!AE324:AE331)</f>
        <v>0.72335751199473008</v>
      </c>
      <c r="AT13" s="582">
        <f t="shared" si="30"/>
        <v>0.72335751199473008</v>
      </c>
      <c r="AU13" s="556">
        <f t="shared" si="31"/>
        <v>0.72335751199473008</v>
      </c>
      <c r="AV13" s="556">
        <f t="shared" si="32"/>
        <v>0.72335751199473008</v>
      </c>
      <c r="AW13" s="556">
        <f t="shared" si="33"/>
        <v>0.72335751199473008</v>
      </c>
      <c r="AX13" s="498">
        <f t="shared" si="34"/>
        <v>0.72335751199473008</v>
      </c>
      <c r="AY13" s="513">
        <f>SUM('Cuadro Mando Integral Detallado'!AG86:AG107,'Cuadro Mando Integral Detallado'!AG179,'Cuadro Mando Integral Detallado'!AG216:AG226,'Cuadro Mando Integral Detallado'!AG235,'Cuadro Mando Integral Detallado'!AG286:AG290,'Cuadro Mando Integral Detallado'!AG324:AG331)/COUNT('Cuadro Mando Integral Detallado'!AG86:AG107,'Cuadro Mando Integral Detallado'!AG179,'Cuadro Mando Integral Detallado'!AG216:AG226,'Cuadro Mando Integral Detallado'!AG235,'Cuadro Mando Integral Detallado'!AG286:AG290,'Cuadro Mando Integral Detallado'!AG324:AG331)</f>
        <v>0.69354854265329746</v>
      </c>
      <c r="AZ13" s="582">
        <f t="shared" si="39"/>
        <v>0.69354854265329746</v>
      </c>
      <c r="BA13" s="568">
        <f t="shared" si="35"/>
        <v>0.69354854265329746</v>
      </c>
      <c r="BB13" s="568">
        <f t="shared" si="36"/>
        <v>0.69354854265329746</v>
      </c>
      <c r="BC13" s="568">
        <f t="shared" si="37"/>
        <v>0.69354854265329746</v>
      </c>
      <c r="BD13" s="508">
        <f t="shared" si="38"/>
        <v>0.69354854265329746</v>
      </c>
    </row>
    <row r="14" spans="1:56" ht="18.75" thickBot="1" x14ac:dyDescent="0.3">
      <c r="A14" s="293" t="s">
        <v>5</v>
      </c>
      <c r="B14" s="414"/>
      <c r="C14" s="514">
        <f>SUM('Cuadro Mando Integral Detallado'!J155,'Cuadro Mando Integral Detallado'!J234,'Cuadro Mando Integral Detallado'!J278:J285,'Cuadro Mando Integral Detallado'!J376)/COUNT('Cuadro Mando Integral Detallado'!J155,'Cuadro Mando Integral Detallado'!J234,'Cuadro Mando Integral Detallado'!J278:J285,'Cuadro Mando Integral Detallado'!J376)</f>
        <v>0.97735849056603785</v>
      </c>
      <c r="D14" s="583">
        <f t="shared" si="0"/>
        <v>0.97735849056603785</v>
      </c>
      <c r="E14" s="558">
        <f t="shared" si="1"/>
        <v>0.97735849056603785</v>
      </c>
      <c r="F14" s="558">
        <f t="shared" si="2"/>
        <v>0.97735849056603785</v>
      </c>
      <c r="G14" s="558">
        <f t="shared" si="3"/>
        <v>0.97735849056603785</v>
      </c>
      <c r="H14" s="499">
        <f t="shared" si="4"/>
        <v>0.97735849056603785</v>
      </c>
      <c r="I14" s="591">
        <f>SUM('Cuadro Mando Integral Detallado'!L155,'Cuadro Mando Integral Detallado'!L234,'Cuadro Mando Integral Detallado'!L278:L285,'Cuadro Mando Integral Detallado'!L376)/COUNT('Cuadro Mando Integral Detallado'!L155,'Cuadro Mando Integral Detallado'!L234,'Cuadro Mando Integral Detallado'!L278:L285,'Cuadro Mando Integral Detallado'!L376)</f>
        <v>0.15909090909090909</v>
      </c>
      <c r="J14" s="591">
        <f>SUM('Cuadro Mando Integral Detallado'!M155,'Cuadro Mando Integral Detallado'!M234,'Cuadro Mando Integral Detallado'!M278:M285,'Cuadro Mando Integral Detallado'!M376)/COUNT('Cuadro Mando Integral Detallado'!M155,'Cuadro Mando Integral Detallado'!M234,'Cuadro Mando Integral Detallado'!M278:M285,'Cuadro Mando Integral Detallado'!M376)</f>
        <v>0.35</v>
      </c>
      <c r="K14" s="572">
        <f t="shared" si="5"/>
        <v>0.15909090909090909</v>
      </c>
      <c r="L14" s="573">
        <f t="shared" si="6"/>
        <v>0.15909090909090909</v>
      </c>
      <c r="M14" s="573">
        <f t="shared" si="7"/>
        <v>0.15909090909090909</v>
      </c>
      <c r="N14" s="573">
        <f t="shared" si="8"/>
        <v>0.15909090909090909</v>
      </c>
      <c r="O14" s="509">
        <f t="shared" si="9"/>
        <v>0.15909090909090909</v>
      </c>
      <c r="P14" s="163"/>
      <c r="Q14" s="514">
        <f>SUM('Cuadro Mando Integral Detallado'!Q155,'Cuadro Mando Integral Detallado'!Q234,'Cuadro Mando Integral Detallado'!Q278:Q285,'Cuadro Mando Integral Detallado'!Q376)/COUNT('Cuadro Mando Integral Detallado'!Q155,'Cuadro Mando Integral Detallado'!Q234,'Cuadro Mando Integral Detallado'!Q278:Q285,'Cuadro Mando Integral Detallado'!Q376)</f>
        <v>0.99886621315192747</v>
      </c>
      <c r="R14" s="583">
        <f t="shared" si="10"/>
        <v>0.99886621315192747</v>
      </c>
      <c r="S14" s="558">
        <f t="shared" si="11"/>
        <v>0.99886621315192747</v>
      </c>
      <c r="T14" s="558">
        <f t="shared" si="12"/>
        <v>0.99886621315192747</v>
      </c>
      <c r="U14" s="558">
        <f t="shared" si="13"/>
        <v>0.99886621315192747</v>
      </c>
      <c r="V14" s="499">
        <f t="shared" si="14"/>
        <v>0.99886621315192747</v>
      </c>
      <c r="W14" s="591">
        <f>SUM('Cuadro Mando Integral Detallado'!S155,'Cuadro Mando Integral Detallado'!S234,'Cuadro Mando Integral Detallado'!S278:S285,'Cuadro Mando Integral Detallado'!S376)/COUNT('Cuadro Mando Integral Detallado'!S155,'Cuadro Mando Integral Detallado'!S234,'Cuadro Mando Integral Detallado'!S278:S285,'Cuadro Mando Integral Detallado'!S376)</f>
        <v>0.40493166963755201</v>
      </c>
      <c r="X14" s="591">
        <f>SUM('Cuadro Mando Integral Detallado'!T155,'Cuadro Mando Integral Detallado'!T234,'Cuadro Mando Integral Detallado'!T278:T285,'Cuadro Mando Integral Detallado'!T376)/COUNT('Cuadro Mando Integral Detallado'!T155,'Cuadro Mando Integral Detallado'!T234,'Cuadro Mando Integral Detallado'!T278:T285,'Cuadro Mando Integral Detallado'!T376)</f>
        <v>0.55678104575163401</v>
      </c>
      <c r="Y14" s="572">
        <f t="shared" si="15"/>
        <v>0.40493166963755201</v>
      </c>
      <c r="Z14" s="573">
        <f t="shared" si="16"/>
        <v>0.40493166963755201</v>
      </c>
      <c r="AA14" s="573">
        <f t="shared" si="17"/>
        <v>0.40493166963755201</v>
      </c>
      <c r="AB14" s="573">
        <f t="shared" si="18"/>
        <v>0.40493166963755201</v>
      </c>
      <c r="AC14" s="509">
        <f>+Y14</f>
        <v>0.40493166963755201</v>
      </c>
      <c r="AD14" s="505"/>
      <c r="AE14" s="854">
        <f>SUM('Cuadro Mando Integral Detallado'!X155,'Cuadro Mando Integral Detallado'!X234,'Cuadro Mando Integral Detallado'!X278:X285,'Cuadro Mando Integral Detallado'!X376)/COUNT('Cuadro Mando Integral Detallado'!X155,'Cuadro Mando Integral Detallado'!X234,'Cuadro Mando Integral Detallado'!X278:X285,'Cuadro Mando Integral Detallado'!X376)</f>
        <v>0.99607843137254903</v>
      </c>
      <c r="AF14" s="583">
        <f t="shared" si="20"/>
        <v>0.99607843137254903</v>
      </c>
      <c r="AG14" s="558">
        <f t="shared" si="21"/>
        <v>0.99607843137254903</v>
      </c>
      <c r="AH14" s="558">
        <f t="shared" si="22"/>
        <v>0.99607843137254903</v>
      </c>
      <c r="AI14" s="558">
        <f t="shared" si="23"/>
        <v>0.99607843137254903</v>
      </c>
      <c r="AJ14" s="499">
        <f t="shared" si="24"/>
        <v>0.99607843137254903</v>
      </c>
      <c r="AK14" s="591">
        <f>SUM('Cuadro Mando Integral Detallado'!Z155,'Cuadro Mando Integral Detallado'!Z234,'Cuadro Mando Integral Detallado'!Z278:Z285,'Cuadro Mando Integral Detallado'!Z376)/COUNT('Cuadro Mando Integral Detallado'!Z155,'Cuadro Mando Integral Detallado'!Z234,'Cuadro Mando Integral Detallado'!Z278:Z285,'Cuadro Mando Integral Detallado'!Z376)</f>
        <v>0.73692810457516345</v>
      </c>
      <c r="AL14" s="591">
        <f>SUM('Cuadro Mando Integral Detallado'!AA155,'Cuadro Mando Integral Detallado'!AA234,'Cuadro Mando Integral Detallado'!AA278:AA285,'Cuadro Mando Integral Detallado'!AA376)/COUNT('Cuadro Mando Integral Detallado'!AA155,'Cuadro Mando Integral Detallado'!AA234,'Cuadro Mando Integral Detallado'!AA278:AA285,'Cuadro Mando Integral Detallado'!AA376)</f>
        <v>0.73692810457516345</v>
      </c>
      <c r="AM14" s="583">
        <f>+AK14</f>
        <v>0.73692810457516345</v>
      </c>
      <c r="AN14" s="573">
        <f t="shared" si="26"/>
        <v>0.73692810457516345</v>
      </c>
      <c r="AO14" s="573">
        <f t="shared" si="27"/>
        <v>0.73692810457516345</v>
      </c>
      <c r="AP14" s="573">
        <f t="shared" si="28"/>
        <v>0.73692810457516345</v>
      </c>
      <c r="AQ14" s="509">
        <f t="shared" si="29"/>
        <v>0.73692810457516345</v>
      </c>
      <c r="AR14" s="505"/>
      <c r="AS14" s="514">
        <f>SUM('Cuadro Mando Integral Detallado'!AE155,'Cuadro Mando Integral Detallado'!AE234,'Cuadro Mando Integral Detallado'!AE278:AE282,'Cuadro Mando Integral Detallado'!AE376)/COUNT('Cuadro Mando Integral Detallado'!AE155,'Cuadro Mando Integral Detallado'!AE234,'Cuadro Mando Integral Detallado'!AE278:AE282,'Cuadro Mando Integral Detallado'!AE376)</f>
        <v>1</v>
      </c>
      <c r="AT14" s="583">
        <f t="shared" si="30"/>
        <v>1</v>
      </c>
      <c r="AU14" s="558">
        <f t="shared" si="31"/>
        <v>1</v>
      </c>
      <c r="AV14" s="558">
        <f t="shared" si="32"/>
        <v>1</v>
      </c>
      <c r="AW14" s="558">
        <f t="shared" si="33"/>
        <v>1</v>
      </c>
      <c r="AX14" s="499">
        <f t="shared" si="34"/>
        <v>1</v>
      </c>
      <c r="AY14" s="587">
        <f>SUM('Cuadro Mando Integral Detallado'!AG155,'Cuadro Mando Integral Detallado'!AG234,'Cuadro Mando Integral Detallado'!AG278:AG282,'Cuadro Mando Integral Detallado'!AG376)/COUNT('Cuadro Mando Integral Detallado'!AG155,'Cuadro Mando Integral Detallado'!AG234,'Cuadro Mando Integral Detallado'!AG278:AG282,'Cuadro Mando Integral Detallado'!AG376)</f>
        <v>1</v>
      </c>
      <c r="AZ14" s="583">
        <f t="shared" si="39"/>
        <v>1</v>
      </c>
      <c r="BA14" s="573">
        <f>+AY14</f>
        <v>1</v>
      </c>
      <c r="BB14" s="573">
        <f t="shared" si="36"/>
        <v>1</v>
      </c>
      <c r="BC14" s="573">
        <f t="shared" si="37"/>
        <v>1</v>
      </c>
      <c r="BD14" s="509">
        <f t="shared" si="38"/>
        <v>1</v>
      </c>
    </row>
    <row r="15" spans="1:56" x14ac:dyDescent="0.25">
      <c r="A15" s="173"/>
    </row>
  </sheetData>
  <mergeCells count="18">
    <mergeCell ref="A1:A3"/>
    <mergeCell ref="B1:H1"/>
    <mergeCell ref="I1:AR1"/>
    <mergeCell ref="AS1:BD3"/>
    <mergeCell ref="B2:H2"/>
    <mergeCell ref="I2:AR2"/>
    <mergeCell ref="B3:H3"/>
    <mergeCell ref="I3:O3"/>
    <mergeCell ref="P3:AJ3"/>
    <mergeCell ref="AM3:AR3"/>
    <mergeCell ref="AS5:AX5"/>
    <mergeCell ref="AY5:BD5"/>
    <mergeCell ref="C5:H5"/>
    <mergeCell ref="I5:O5"/>
    <mergeCell ref="Q5:V5"/>
    <mergeCell ref="W5:AC5"/>
    <mergeCell ref="AE5:AJ5"/>
    <mergeCell ref="AK5:AQ5"/>
  </mergeCells>
  <conditionalFormatting sqref="D6">
    <cfRule type="cellIs" dxfId="366" priority="361" stopIfTrue="1" operator="between">
      <formula>0</formula>
      <formula>0.5</formula>
    </cfRule>
  </conditionalFormatting>
  <conditionalFormatting sqref="E6">
    <cfRule type="cellIs" dxfId="365" priority="360" operator="between">
      <formula>0.51</formula>
      <formula>0.75</formula>
    </cfRule>
  </conditionalFormatting>
  <conditionalFormatting sqref="F6">
    <cfRule type="cellIs" dxfId="364" priority="359" operator="between">
      <formula>0.76</formula>
      <formula>0.95</formula>
    </cfRule>
  </conditionalFormatting>
  <conditionalFormatting sqref="G6">
    <cfRule type="cellIs" dxfId="363" priority="358" operator="between">
      <formula>0.95</formula>
      <formula>1</formula>
    </cfRule>
  </conditionalFormatting>
  <conditionalFormatting sqref="H6">
    <cfRule type="cellIs" dxfId="362" priority="357" operator="greaterThan">
      <formula>1</formula>
    </cfRule>
  </conditionalFormatting>
  <conditionalFormatting sqref="D7">
    <cfRule type="cellIs" dxfId="361" priority="356" stopIfTrue="1" operator="between">
      <formula>0</formula>
      <formula>0.5</formula>
    </cfRule>
  </conditionalFormatting>
  <conditionalFormatting sqref="E7">
    <cfRule type="cellIs" dxfId="360" priority="355" operator="between">
      <formula>0.51</formula>
      <formula>0.75</formula>
    </cfRule>
  </conditionalFormatting>
  <conditionalFormatting sqref="F7">
    <cfRule type="cellIs" dxfId="359" priority="354" operator="between">
      <formula>0.76</formula>
      <formula>0.95</formula>
    </cfRule>
  </conditionalFormatting>
  <conditionalFormatting sqref="G7">
    <cfRule type="cellIs" dxfId="358" priority="353" operator="between">
      <formula>0.95</formula>
      <formula>1</formula>
    </cfRule>
  </conditionalFormatting>
  <conditionalFormatting sqref="H7">
    <cfRule type="cellIs" dxfId="357" priority="352" operator="greaterThan">
      <formula>1</formula>
    </cfRule>
  </conditionalFormatting>
  <conditionalFormatting sqref="D8">
    <cfRule type="cellIs" dxfId="356" priority="351" stopIfTrue="1" operator="between">
      <formula>0</formula>
      <formula>0.5</formula>
    </cfRule>
  </conditionalFormatting>
  <conditionalFormatting sqref="E8">
    <cfRule type="cellIs" dxfId="355" priority="350" operator="between">
      <formula>0.51</formula>
      <formula>0.75</formula>
    </cfRule>
  </conditionalFormatting>
  <conditionalFormatting sqref="F8">
    <cfRule type="cellIs" dxfId="354" priority="349" operator="between">
      <formula>0.76</formula>
      <formula>0.95</formula>
    </cfRule>
  </conditionalFormatting>
  <conditionalFormatting sqref="G8">
    <cfRule type="cellIs" dxfId="353" priority="348" operator="between">
      <formula>0.95</formula>
      <formula>1</formula>
    </cfRule>
  </conditionalFormatting>
  <conditionalFormatting sqref="H8">
    <cfRule type="cellIs" dxfId="352" priority="347" operator="greaterThan">
      <formula>1</formula>
    </cfRule>
  </conditionalFormatting>
  <conditionalFormatting sqref="D9">
    <cfRule type="cellIs" dxfId="351" priority="346" stopIfTrue="1" operator="between">
      <formula>0</formula>
      <formula>0.5</formula>
    </cfRule>
  </conditionalFormatting>
  <conditionalFormatting sqref="E9">
    <cfRule type="cellIs" dxfId="350" priority="345" operator="between">
      <formula>0.51</formula>
      <formula>0.75</formula>
    </cfRule>
  </conditionalFormatting>
  <conditionalFormatting sqref="F9">
    <cfRule type="cellIs" dxfId="349" priority="344" operator="between">
      <formula>0.76</formula>
      <formula>0.95</formula>
    </cfRule>
  </conditionalFormatting>
  <conditionalFormatting sqref="G9">
    <cfRule type="cellIs" dxfId="348" priority="343" operator="between">
      <formula>0.95</formula>
      <formula>1</formula>
    </cfRule>
  </conditionalFormatting>
  <conditionalFormatting sqref="H9">
    <cfRule type="cellIs" dxfId="347" priority="342" operator="greaterThan">
      <formula>1</formula>
    </cfRule>
  </conditionalFormatting>
  <conditionalFormatting sqref="D10">
    <cfRule type="cellIs" dxfId="346" priority="341" stopIfTrue="1" operator="between">
      <formula>0</formula>
      <formula>0.5</formula>
    </cfRule>
  </conditionalFormatting>
  <conditionalFormatting sqref="E10">
    <cfRule type="cellIs" dxfId="345" priority="340" operator="between">
      <formula>0.51</formula>
      <formula>0.75</formula>
    </cfRule>
  </conditionalFormatting>
  <conditionalFormatting sqref="F10">
    <cfRule type="cellIs" dxfId="344" priority="339" operator="between">
      <formula>0.76</formula>
      <formula>0.95</formula>
    </cfRule>
  </conditionalFormatting>
  <conditionalFormatting sqref="G10">
    <cfRule type="cellIs" dxfId="343" priority="338" operator="between">
      <formula>0.95</formula>
      <formula>1</formula>
    </cfRule>
  </conditionalFormatting>
  <conditionalFormatting sqref="H10">
    <cfRule type="cellIs" dxfId="342" priority="337" operator="greaterThan">
      <formula>1</formula>
    </cfRule>
  </conditionalFormatting>
  <conditionalFormatting sqref="D11">
    <cfRule type="cellIs" dxfId="341" priority="336" stopIfTrue="1" operator="between">
      <formula>0</formula>
      <formula>0.5</formula>
    </cfRule>
  </conditionalFormatting>
  <conditionalFormatting sqref="E11">
    <cfRule type="cellIs" dxfId="340" priority="335" operator="between">
      <formula>0.51</formula>
      <formula>0.75</formula>
    </cfRule>
  </conditionalFormatting>
  <conditionalFormatting sqref="F11">
    <cfRule type="cellIs" dxfId="339" priority="334" operator="between">
      <formula>0.76</formula>
      <formula>0.95</formula>
    </cfRule>
  </conditionalFormatting>
  <conditionalFormatting sqref="G11">
    <cfRule type="cellIs" dxfId="338" priority="333" operator="between">
      <formula>0.95</formula>
      <formula>1</formula>
    </cfRule>
  </conditionalFormatting>
  <conditionalFormatting sqref="H11">
    <cfRule type="cellIs" dxfId="337" priority="332" operator="greaterThan">
      <formula>1</formula>
    </cfRule>
  </conditionalFormatting>
  <conditionalFormatting sqref="D12">
    <cfRule type="cellIs" dxfId="336" priority="331" stopIfTrue="1" operator="between">
      <formula>0</formula>
      <formula>0.5</formula>
    </cfRule>
  </conditionalFormatting>
  <conditionalFormatting sqref="E12">
    <cfRule type="cellIs" dxfId="335" priority="330" operator="between">
      <formula>0.51</formula>
      <formula>0.75</formula>
    </cfRule>
  </conditionalFormatting>
  <conditionalFormatting sqref="F12">
    <cfRule type="cellIs" dxfId="334" priority="329" operator="between">
      <formula>0.76</formula>
      <formula>0.95</formula>
    </cfRule>
  </conditionalFormatting>
  <conditionalFormatting sqref="G12">
    <cfRule type="cellIs" dxfId="333" priority="328" operator="between">
      <formula>0.95</formula>
      <formula>1</formula>
    </cfRule>
  </conditionalFormatting>
  <conditionalFormatting sqref="H12">
    <cfRule type="cellIs" dxfId="332" priority="327" operator="greaterThan">
      <formula>1</formula>
    </cfRule>
  </conditionalFormatting>
  <conditionalFormatting sqref="D13">
    <cfRule type="cellIs" dxfId="331" priority="326" stopIfTrue="1" operator="between">
      <formula>0</formula>
      <formula>0.5</formula>
    </cfRule>
  </conditionalFormatting>
  <conditionalFormatting sqref="E13">
    <cfRule type="cellIs" dxfId="330" priority="325" operator="between">
      <formula>0.51</formula>
      <formula>0.75</formula>
    </cfRule>
  </conditionalFormatting>
  <conditionalFormatting sqref="F13">
    <cfRule type="cellIs" dxfId="329" priority="324" operator="between">
      <formula>0.76</formula>
      <formula>0.95</formula>
    </cfRule>
  </conditionalFormatting>
  <conditionalFormatting sqref="G13">
    <cfRule type="cellIs" dxfId="328" priority="323" operator="between">
      <formula>0.95</formula>
      <formula>1</formula>
    </cfRule>
  </conditionalFormatting>
  <conditionalFormatting sqref="H13">
    <cfRule type="cellIs" dxfId="327" priority="322" operator="greaterThan">
      <formula>1</formula>
    </cfRule>
  </conditionalFormatting>
  <conditionalFormatting sqref="D14">
    <cfRule type="cellIs" dxfId="326" priority="321" stopIfTrue="1" operator="between">
      <formula>0</formula>
      <formula>0.5</formula>
    </cfRule>
  </conditionalFormatting>
  <conditionalFormatting sqref="E14">
    <cfRule type="cellIs" dxfId="325" priority="320" operator="between">
      <formula>0.51</formula>
      <formula>0.75</formula>
    </cfRule>
  </conditionalFormatting>
  <conditionalFormatting sqref="F14">
    <cfRule type="cellIs" dxfId="324" priority="319" operator="between">
      <formula>0.76</formula>
      <formula>0.95</formula>
    </cfRule>
  </conditionalFormatting>
  <conditionalFormatting sqref="G14">
    <cfRule type="cellIs" dxfId="323" priority="318" operator="between">
      <formula>0.95</formula>
      <formula>1</formula>
    </cfRule>
  </conditionalFormatting>
  <conditionalFormatting sqref="H14">
    <cfRule type="cellIs" dxfId="322" priority="317" operator="greaterThan">
      <formula>1</formula>
    </cfRule>
  </conditionalFormatting>
  <conditionalFormatting sqref="K6">
    <cfRule type="cellIs" dxfId="321" priority="316" stopIfTrue="1" operator="between">
      <formula>0</formula>
      <formula>0.125</formula>
    </cfRule>
  </conditionalFormatting>
  <conditionalFormatting sqref="L6">
    <cfRule type="cellIs" dxfId="320" priority="315" operator="between">
      <formula>0.1251</formula>
      <formula>0.19</formula>
    </cfRule>
  </conditionalFormatting>
  <conditionalFormatting sqref="M6">
    <cfRule type="cellIs" dxfId="319" priority="314" operator="between">
      <formula>0.191</formula>
      <formula>0.24</formula>
    </cfRule>
  </conditionalFormatting>
  <conditionalFormatting sqref="N6">
    <cfRule type="cellIs" dxfId="318" priority="313" operator="between">
      <formula>0.2401</formula>
      <formula>0.26</formula>
    </cfRule>
  </conditionalFormatting>
  <conditionalFormatting sqref="O6">
    <cfRule type="cellIs" dxfId="317" priority="312" operator="greaterThan">
      <formula>0.2601</formula>
    </cfRule>
  </conditionalFormatting>
  <conditionalFormatting sqref="K7">
    <cfRule type="cellIs" dxfId="316" priority="311" stopIfTrue="1" operator="between">
      <formula>0</formula>
      <formula>0.125</formula>
    </cfRule>
  </conditionalFormatting>
  <conditionalFormatting sqref="L7">
    <cfRule type="cellIs" dxfId="315" priority="310" operator="between">
      <formula>0.1251</formula>
      <formula>0.19</formula>
    </cfRule>
  </conditionalFormatting>
  <conditionalFormatting sqref="M7">
    <cfRule type="cellIs" dxfId="314" priority="309" operator="between">
      <formula>0.191</formula>
      <formula>0.24</formula>
    </cfRule>
  </conditionalFormatting>
  <conditionalFormatting sqref="N7">
    <cfRule type="cellIs" dxfId="313" priority="308" operator="between">
      <formula>0.2401</formula>
      <formula>0.26</formula>
    </cfRule>
  </conditionalFormatting>
  <conditionalFormatting sqref="O7">
    <cfRule type="cellIs" dxfId="312" priority="307" operator="greaterThan">
      <formula>0.2601</formula>
    </cfRule>
  </conditionalFormatting>
  <conditionalFormatting sqref="K8">
    <cfRule type="cellIs" dxfId="311" priority="306" stopIfTrue="1" operator="between">
      <formula>0</formula>
      <formula>0.125</formula>
    </cfRule>
  </conditionalFormatting>
  <conditionalFormatting sqref="L8">
    <cfRule type="cellIs" dxfId="310" priority="305" operator="between">
      <formula>0.1251</formula>
      <formula>0.19</formula>
    </cfRule>
  </conditionalFormatting>
  <conditionalFormatting sqref="M8">
    <cfRule type="cellIs" dxfId="309" priority="304" operator="between">
      <formula>0.191</formula>
      <formula>0.24</formula>
    </cfRule>
  </conditionalFormatting>
  <conditionalFormatting sqref="N8">
    <cfRule type="cellIs" dxfId="308" priority="303" operator="between">
      <formula>0.2401</formula>
      <formula>0.26</formula>
    </cfRule>
  </conditionalFormatting>
  <conditionalFormatting sqref="O8">
    <cfRule type="cellIs" dxfId="307" priority="302" operator="greaterThan">
      <formula>0.2601</formula>
    </cfRule>
  </conditionalFormatting>
  <conditionalFormatting sqref="K9">
    <cfRule type="cellIs" dxfId="306" priority="301" stopIfTrue="1" operator="between">
      <formula>0</formula>
      <formula>0.125</formula>
    </cfRule>
  </conditionalFormatting>
  <conditionalFormatting sqref="L9">
    <cfRule type="cellIs" dxfId="305" priority="300" operator="between">
      <formula>0.1251</formula>
      <formula>0.19</formula>
    </cfRule>
  </conditionalFormatting>
  <conditionalFormatting sqref="M9">
    <cfRule type="cellIs" dxfId="304" priority="299" operator="between">
      <formula>0.191</formula>
      <formula>0.24</formula>
    </cfRule>
  </conditionalFormatting>
  <conditionalFormatting sqref="N9">
    <cfRule type="cellIs" dxfId="303" priority="298" operator="between">
      <formula>0.2401</formula>
      <formula>0.26</formula>
    </cfRule>
  </conditionalFormatting>
  <conditionalFormatting sqref="O9">
    <cfRule type="cellIs" dxfId="302" priority="297" operator="greaterThan">
      <formula>0.2601</formula>
    </cfRule>
  </conditionalFormatting>
  <conditionalFormatting sqref="K10">
    <cfRule type="cellIs" dxfId="301" priority="296" stopIfTrue="1" operator="between">
      <formula>0</formula>
      <formula>0.125</formula>
    </cfRule>
  </conditionalFormatting>
  <conditionalFormatting sqref="L10">
    <cfRule type="cellIs" dxfId="300" priority="295" operator="between">
      <formula>0.1251</formula>
      <formula>0.19</formula>
    </cfRule>
  </conditionalFormatting>
  <conditionalFormatting sqref="M10">
    <cfRule type="cellIs" dxfId="299" priority="294" operator="between">
      <formula>0.191</formula>
      <formula>0.24</formula>
    </cfRule>
  </conditionalFormatting>
  <conditionalFormatting sqref="N10">
    <cfRule type="cellIs" dxfId="298" priority="293" operator="between">
      <formula>0.2401</formula>
      <formula>0.26</formula>
    </cfRule>
  </conditionalFormatting>
  <conditionalFormatting sqref="O10">
    <cfRule type="cellIs" dxfId="297" priority="292" operator="greaterThan">
      <formula>0.2601</formula>
    </cfRule>
  </conditionalFormatting>
  <conditionalFormatting sqref="K11">
    <cfRule type="cellIs" dxfId="296" priority="291" stopIfTrue="1" operator="between">
      <formula>0</formula>
      <formula>0.125</formula>
    </cfRule>
  </conditionalFormatting>
  <conditionalFormatting sqref="L11">
    <cfRule type="cellIs" dxfId="295" priority="290" operator="between">
      <formula>0.1251</formula>
      <formula>0.19</formula>
    </cfRule>
  </conditionalFormatting>
  <conditionalFormatting sqref="M11">
    <cfRule type="cellIs" dxfId="294" priority="289" operator="between">
      <formula>0.191</formula>
      <formula>0.24</formula>
    </cfRule>
  </conditionalFormatting>
  <conditionalFormatting sqref="N11">
    <cfRule type="cellIs" dxfId="293" priority="288" operator="between">
      <formula>0.2401</formula>
      <formula>0.26</formula>
    </cfRule>
  </conditionalFormatting>
  <conditionalFormatting sqref="O11">
    <cfRule type="cellIs" dxfId="292" priority="287" operator="greaterThan">
      <formula>0.2601</formula>
    </cfRule>
  </conditionalFormatting>
  <conditionalFormatting sqref="K12">
    <cfRule type="cellIs" dxfId="291" priority="286" stopIfTrue="1" operator="between">
      <formula>0</formula>
      <formula>0.125</formula>
    </cfRule>
  </conditionalFormatting>
  <conditionalFormatting sqref="L12">
    <cfRule type="cellIs" dxfId="290" priority="285" operator="between">
      <formula>0.1251</formula>
      <formula>0.19</formula>
    </cfRule>
  </conditionalFormatting>
  <conditionalFormatting sqref="M12">
    <cfRule type="cellIs" dxfId="289" priority="284" operator="between">
      <formula>0.191</formula>
      <formula>0.24</formula>
    </cfRule>
  </conditionalFormatting>
  <conditionalFormatting sqref="N12">
    <cfRule type="cellIs" dxfId="288" priority="283" operator="between">
      <formula>0.2401</formula>
      <formula>0.26</formula>
    </cfRule>
  </conditionalFormatting>
  <conditionalFormatting sqref="O12">
    <cfRule type="cellIs" dxfId="287" priority="282" operator="greaterThan">
      <formula>0.2601</formula>
    </cfRule>
  </conditionalFormatting>
  <conditionalFormatting sqref="K13">
    <cfRule type="cellIs" dxfId="286" priority="281" stopIfTrue="1" operator="between">
      <formula>0</formula>
      <formula>0.125</formula>
    </cfRule>
  </conditionalFormatting>
  <conditionalFormatting sqref="L13">
    <cfRule type="cellIs" dxfId="285" priority="280" operator="between">
      <formula>0.1251</formula>
      <formula>0.19</formula>
    </cfRule>
  </conditionalFormatting>
  <conditionalFormatting sqref="M13">
    <cfRule type="cellIs" dxfId="284" priority="279" operator="between">
      <formula>0.191</formula>
      <formula>0.24</formula>
    </cfRule>
  </conditionalFormatting>
  <conditionalFormatting sqref="N13">
    <cfRule type="cellIs" dxfId="283" priority="278" operator="between">
      <formula>0.2401</formula>
      <formula>0.26</formula>
    </cfRule>
  </conditionalFormatting>
  <conditionalFormatting sqref="O13">
    <cfRule type="cellIs" dxfId="282" priority="277" operator="greaterThan">
      <formula>0.2601</formula>
    </cfRule>
  </conditionalFormatting>
  <conditionalFormatting sqref="K14">
    <cfRule type="cellIs" dxfId="281" priority="276" stopIfTrue="1" operator="between">
      <formula>0</formula>
      <formula>0.125</formula>
    </cfRule>
  </conditionalFormatting>
  <conditionalFormatting sqref="L14">
    <cfRule type="cellIs" dxfId="280" priority="275" operator="between">
      <formula>0.1251</formula>
      <formula>0.19</formula>
    </cfRule>
  </conditionalFormatting>
  <conditionalFormatting sqref="M14">
    <cfRule type="cellIs" dxfId="279" priority="274" operator="between">
      <formula>0.191</formula>
      <formula>0.24</formula>
    </cfRule>
  </conditionalFormatting>
  <conditionalFormatting sqref="N14">
    <cfRule type="cellIs" dxfId="278" priority="273" operator="between">
      <formula>0.2401</formula>
      <formula>0.26</formula>
    </cfRule>
  </conditionalFormatting>
  <conditionalFormatting sqref="O14">
    <cfRule type="cellIs" dxfId="277" priority="272" operator="greaterThan">
      <formula>0.2601</formula>
    </cfRule>
  </conditionalFormatting>
  <conditionalFormatting sqref="R6">
    <cfRule type="cellIs" dxfId="276" priority="271" stopIfTrue="1" operator="between">
      <formula>0</formula>
      <formula>0.5</formula>
    </cfRule>
  </conditionalFormatting>
  <conditionalFormatting sqref="S6">
    <cfRule type="cellIs" dxfId="275" priority="270" operator="between">
      <formula>0.51</formula>
      <formula>0.75</formula>
    </cfRule>
  </conditionalFormatting>
  <conditionalFormatting sqref="T6">
    <cfRule type="cellIs" dxfId="274" priority="269" operator="between">
      <formula>0.76</formula>
      <formula>0.95</formula>
    </cfRule>
  </conditionalFormatting>
  <conditionalFormatting sqref="U6">
    <cfRule type="cellIs" dxfId="273" priority="268" operator="between">
      <formula>0.95</formula>
      <formula>1</formula>
    </cfRule>
  </conditionalFormatting>
  <conditionalFormatting sqref="V6">
    <cfRule type="cellIs" dxfId="272" priority="267" operator="greaterThan">
      <formula>1</formula>
    </cfRule>
  </conditionalFormatting>
  <conditionalFormatting sqref="R7">
    <cfRule type="cellIs" dxfId="271" priority="266" stopIfTrue="1" operator="between">
      <formula>0</formula>
      <formula>0.5</formula>
    </cfRule>
  </conditionalFormatting>
  <conditionalFormatting sqref="S7">
    <cfRule type="cellIs" dxfId="270" priority="265" operator="between">
      <formula>0.51</formula>
      <formula>0.75</formula>
    </cfRule>
  </conditionalFormatting>
  <conditionalFormatting sqref="T7">
    <cfRule type="cellIs" dxfId="269" priority="264" operator="between">
      <formula>0.76</formula>
      <formula>0.95</formula>
    </cfRule>
  </conditionalFormatting>
  <conditionalFormatting sqref="U7">
    <cfRule type="cellIs" dxfId="268" priority="263" operator="between">
      <formula>0.95</formula>
      <formula>1</formula>
    </cfRule>
  </conditionalFormatting>
  <conditionalFormatting sqref="V7">
    <cfRule type="cellIs" dxfId="267" priority="262" operator="greaterThan">
      <formula>1</formula>
    </cfRule>
  </conditionalFormatting>
  <conditionalFormatting sqref="R8">
    <cfRule type="cellIs" dxfId="266" priority="261" stopIfTrue="1" operator="between">
      <formula>0</formula>
      <formula>0.5</formula>
    </cfRule>
  </conditionalFormatting>
  <conditionalFormatting sqref="S8">
    <cfRule type="cellIs" dxfId="265" priority="260" operator="between">
      <formula>0.51</formula>
      <formula>0.75</formula>
    </cfRule>
  </conditionalFormatting>
  <conditionalFormatting sqref="T8">
    <cfRule type="cellIs" dxfId="264" priority="259" operator="between">
      <formula>0.76</formula>
      <formula>0.95</formula>
    </cfRule>
  </conditionalFormatting>
  <conditionalFormatting sqref="U8">
    <cfRule type="cellIs" dxfId="263" priority="258" operator="between">
      <formula>0.95</formula>
      <formula>1</formula>
    </cfRule>
  </conditionalFormatting>
  <conditionalFormatting sqref="V8">
    <cfRule type="cellIs" dxfId="262" priority="257" operator="greaterThan">
      <formula>1</formula>
    </cfRule>
  </conditionalFormatting>
  <conditionalFormatting sqref="R9">
    <cfRule type="cellIs" dxfId="261" priority="256" stopIfTrue="1" operator="between">
      <formula>0</formula>
      <formula>0.5</formula>
    </cfRule>
  </conditionalFormatting>
  <conditionalFormatting sqref="S9">
    <cfRule type="cellIs" dxfId="260" priority="255" operator="between">
      <formula>0.51</formula>
      <formula>0.75</formula>
    </cfRule>
  </conditionalFormatting>
  <conditionalFormatting sqref="T9">
    <cfRule type="cellIs" dxfId="259" priority="254" operator="between">
      <formula>0.76</formula>
      <formula>0.95</formula>
    </cfRule>
  </conditionalFormatting>
  <conditionalFormatting sqref="U9">
    <cfRule type="cellIs" dxfId="258" priority="253" operator="between">
      <formula>0.95</formula>
      <formula>1</formula>
    </cfRule>
  </conditionalFormatting>
  <conditionalFormatting sqref="V9">
    <cfRule type="cellIs" dxfId="257" priority="252" operator="greaterThan">
      <formula>1</formula>
    </cfRule>
  </conditionalFormatting>
  <conditionalFormatting sqref="R10">
    <cfRule type="cellIs" dxfId="256" priority="251" stopIfTrue="1" operator="between">
      <formula>0</formula>
      <formula>0.5</formula>
    </cfRule>
  </conditionalFormatting>
  <conditionalFormatting sqref="S10">
    <cfRule type="cellIs" dxfId="255" priority="250" operator="between">
      <formula>0.51</formula>
      <formula>0.75</formula>
    </cfRule>
  </conditionalFormatting>
  <conditionalFormatting sqref="T10">
    <cfRule type="cellIs" dxfId="254" priority="249" operator="between">
      <formula>0.76</formula>
      <formula>0.95</formula>
    </cfRule>
  </conditionalFormatting>
  <conditionalFormatting sqref="U10">
    <cfRule type="cellIs" dxfId="253" priority="248" operator="between">
      <formula>0.95</formula>
      <formula>1</formula>
    </cfRule>
  </conditionalFormatting>
  <conditionalFormatting sqref="V10">
    <cfRule type="cellIs" dxfId="252" priority="247" operator="greaterThan">
      <formula>1</formula>
    </cfRule>
  </conditionalFormatting>
  <conditionalFormatting sqref="R11">
    <cfRule type="cellIs" dxfId="251" priority="246" stopIfTrue="1" operator="between">
      <formula>0</formula>
      <formula>0.5</formula>
    </cfRule>
  </conditionalFormatting>
  <conditionalFormatting sqref="S11">
    <cfRule type="cellIs" dxfId="250" priority="245" operator="between">
      <formula>0.51</formula>
      <formula>0.75</formula>
    </cfRule>
  </conditionalFormatting>
  <conditionalFormatting sqref="T11">
    <cfRule type="cellIs" dxfId="249" priority="244" operator="between">
      <formula>0.76</formula>
      <formula>0.95</formula>
    </cfRule>
  </conditionalFormatting>
  <conditionalFormatting sqref="U11">
    <cfRule type="cellIs" dxfId="248" priority="243" operator="between">
      <formula>0.95</formula>
      <formula>1</formula>
    </cfRule>
  </conditionalFormatting>
  <conditionalFormatting sqref="V11">
    <cfRule type="cellIs" dxfId="247" priority="242" operator="greaterThan">
      <formula>1</formula>
    </cfRule>
  </conditionalFormatting>
  <conditionalFormatting sqref="R12">
    <cfRule type="cellIs" dxfId="246" priority="241" stopIfTrue="1" operator="between">
      <formula>0</formula>
      <formula>0.5</formula>
    </cfRule>
  </conditionalFormatting>
  <conditionalFormatting sqref="S12">
    <cfRule type="cellIs" dxfId="245" priority="240" operator="between">
      <formula>0.51</formula>
      <formula>0.75</formula>
    </cfRule>
  </conditionalFormatting>
  <conditionalFormatting sqref="T12">
    <cfRule type="cellIs" dxfId="244" priority="239" operator="between">
      <formula>0.76</formula>
      <formula>0.95</formula>
    </cfRule>
  </conditionalFormatting>
  <conditionalFormatting sqref="U12">
    <cfRule type="cellIs" dxfId="243" priority="238" operator="between">
      <formula>0.95</formula>
      <formula>1</formula>
    </cfRule>
  </conditionalFormatting>
  <conditionalFormatting sqref="V12">
    <cfRule type="cellIs" dxfId="242" priority="237" operator="greaterThan">
      <formula>1</formula>
    </cfRule>
  </conditionalFormatting>
  <conditionalFormatting sqref="R13">
    <cfRule type="cellIs" dxfId="241" priority="236" stopIfTrue="1" operator="between">
      <formula>0</formula>
      <formula>0.5</formula>
    </cfRule>
  </conditionalFormatting>
  <conditionalFormatting sqref="S13">
    <cfRule type="cellIs" dxfId="240" priority="235" operator="between">
      <formula>0.51</formula>
      <formula>0.75</formula>
    </cfRule>
  </conditionalFormatting>
  <conditionalFormatting sqref="T13">
    <cfRule type="cellIs" dxfId="239" priority="234" operator="between">
      <formula>0.76</formula>
      <formula>0.95</formula>
    </cfRule>
  </conditionalFormatting>
  <conditionalFormatting sqref="U13">
    <cfRule type="cellIs" dxfId="238" priority="233" operator="between">
      <formula>0.95</formula>
      <formula>1</formula>
    </cfRule>
  </conditionalFormatting>
  <conditionalFormatting sqref="V13">
    <cfRule type="cellIs" dxfId="237" priority="232" operator="greaterThan">
      <formula>1</formula>
    </cfRule>
  </conditionalFormatting>
  <conditionalFormatting sqref="R14">
    <cfRule type="cellIs" dxfId="236" priority="231" stopIfTrue="1" operator="between">
      <formula>0</formula>
      <formula>0.5</formula>
    </cfRule>
  </conditionalFormatting>
  <conditionalFormatting sqref="S14">
    <cfRule type="cellIs" dxfId="235" priority="230" operator="between">
      <formula>0.51</formula>
      <formula>0.75</formula>
    </cfRule>
  </conditionalFormatting>
  <conditionalFormatting sqref="T14">
    <cfRule type="cellIs" dxfId="234" priority="229" operator="between">
      <formula>0.76</formula>
      <formula>0.95</formula>
    </cfRule>
  </conditionalFormatting>
  <conditionalFormatting sqref="U14">
    <cfRule type="cellIs" dxfId="233" priority="228" operator="between">
      <formula>0.95</formula>
      <formula>1</formula>
    </cfRule>
  </conditionalFormatting>
  <conditionalFormatting sqref="V14">
    <cfRule type="cellIs" dxfId="232" priority="227" operator="greaterThan">
      <formula>1</formula>
    </cfRule>
  </conditionalFormatting>
  <conditionalFormatting sqref="Y7">
    <cfRule type="cellIs" dxfId="231" priority="226" stopIfTrue="1" operator="between">
      <formula>0</formula>
      <formula>0.255</formula>
    </cfRule>
  </conditionalFormatting>
  <conditionalFormatting sqref="Z7">
    <cfRule type="cellIs" dxfId="230" priority="225" operator="between">
      <formula>0.2551</formula>
      <formula>0.375</formula>
    </cfRule>
  </conditionalFormatting>
  <conditionalFormatting sqref="AA7">
    <cfRule type="cellIs" dxfId="229" priority="224" operator="between">
      <formula>0.3751</formula>
      <formula>0.475</formula>
    </cfRule>
  </conditionalFormatting>
  <conditionalFormatting sqref="AB7">
    <cfRule type="cellIs" dxfId="228" priority="223" operator="between">
      <formula>0.48</formula>
      <formula>0.51</formula>
    </cfRule>
  </conditionalFormatting>
  <conditionalFormatting sqref="AC7">
    <cfRule type="cellIs" dxfId="227" priority="222" operator="greaterThan">
      <formula>0.505</formula>
    </cfRule>
  </conditionalFormatting>
  <conditionalFormatting sqref="Y9">
    <cfRule type="cellIs" dxfId="226" priority="221" stopIfTrue="1" operator="between">
      <formula>0</formula>
      <formula>0.255</formula>
    </cfRule>
  </conditionalFormatting>
  <conditionalFormatting sqref="Z9">
    <cfRule type="cellIs" dxfId="225" priority="220" operator="between">
      <formula>0.2551</formula>
      <formula>0.375</formula>
    </cfRule>
  </conditionalFormatting>
  <conditionalFormatting sqref="AA9">
    <cfRule type="cellIs" dxfId="224" priority="219" operator="between">
      <formula>0.38</formula>
      <formula>0.475</formula>
    </cfRule>
  </conditionalFormatting>
  <conditionalFormatting sqref="AB9">
    <cfRule type="cellIs" dxfId="223" priority="218" operator="between">
      <formula>0.48</formula>
      <formula>0.51</formula>
    </cfRule>
  </conditionalFormatting>
  <conditionalFormatting sqref="AC9">
    <cfRule type="cellIs" dxfId="222" priority="217" operator="greaterThan">
      <formula>0.505</formula>
    </cfRule>
  </conditionalFormatting>
  <conditionalFormatting sqref="Y10">
    <cfRule type="cellIs" dxfId="221" priority="216" stopIfTrue="1" operator="between">
      <formula>0</formula>
      <formula>0.255</formula>
    </cfRule>
  </conditionalFormatting>
  <conditionalFormatting sqref="Z10">
    <cfRule type="cellIs" dxfId="220" priority="215" operator="between">
      <formula>0.2551</formula>
      <formula>0.375</formula>
    </cfRule>
  </conditionalFormatting>
  <conditionalFormatting sqref="AA10">
    <cfRule type="cellIs" dxfId="219" priority="214" operator="between">
      <formula>0.38</formula>
      <formula>0.475</formula>
    </cfRule>
  </conditionalFormatting>
  <conditionalFormatting sqref="AB10">
    <cfRule type="cellIs" dxfId="218" priority="213" operator="between">
      <formula>0.48</formula>
      <formula>0.51</formula>
    </cfRule>
  </conditionalFormatting>
  <conditionalFormatting sqref="AC10">
    <cfRule type="cellIs" dxfId="217" priority="212" operator="greaterThan">
      <formula>0.505</formula>
    </cfRule>
  </conditionalFormatting>
  <conditionalFormatting sqref="Y11">
    <cfRule type="cellIs" dxfId="216" priority="211" stopIfTrue="1" operator="between">
      <formula>0</formula>
      <formula>0.255</formula>
    </cfRule>
  </conditionalFormatting>
  <conditionalFormatting sqref="Z11">
    <cfRule type="cellIs" dxfId="215" priority="210" operator="between">
      <formula>0.2551</formula>
      <formula>0.375</formula>
    </cfRule>
  </conditionalFormatting>
  <conditionalFormatting sqref="AA11">
    <cfRule type="cellIs" dxfId="214" priority="209" operator="between">
      <formula>0.38</formula>
      <formula>0.475</formula>
    </cfRule>
  </conditionalFormatting>
  <conditionalFormatting sqref="AB11">
    <cfRule type="cellIs" dxfId="213" priority="208" operator="between">
      <formula>0.48</formula>
      <formula>0.51</formula>
    </cfRule>
  </conditionalFormatting>
  <conditionalFormatting sqref="AC11">
    <cfRule type="cellIs" dxfId="212" priority="207" operator="greaterThan">
      <formula>0.505</formula>
    </cfRule>
  </conditionalFormatting>
  <conditionalFormatting sqref="Y12">
    <cfRule type="cellIs" dxfId="211" priority="206" stopIfTrue="1" operator="between">
      <formula>0</formula>
      <formula>0.255</formula>
    </cfRule>
  </conditionalFormatting>
  <conditionalFormatting sqref="Z12">
    <cfRule type="cellIs" dxfId="210" priority="205" operator="between">
      <formula>0.2551</formula>
      <formula>0.375</formula>
    </cfRule>
  </conditionalFormatting>
  <conditionalFormatting sqref="AA12">
    <cfRule type="cellIs" dxfId="209" priority="204" operator="between">
      <formula>0.38</formula>
      <formula>0.475</formula>
    </cfRule>
  </conditionalFormatting>
  <conditionalFormatting sqref="AB12">
    <cfRule type="cellIs" dxfId="208" priority="203" operator="between">
      <formula>0.48</formula>
      <formula>0.51</formula>
    </cfRule>
  </conditionalFormatting>
  <conditionalFormatting sqref="AC12">
    <cfRule type="cellIs" dxfId="207" priority="202" operator="greaterThan">
      <formula>0.505</formula>
    </cfRule>
  </conditionalFormatting>
  <conditionalFormatting sqref="Y13">
    <cfRule type="cellIs" dxfId="206" priority="201" stopIfTrue="1" operator="between">
      <formula>0</formula>
      <formula>0.255</formula>
    </cfRule>
  </conditionalFormatting>
  <conditionalFormatting sqref="Z13">
    <cfRule type="cellIs" dxfId="205" priority="200" operator="between">
      <formula>0.2551</formula>
      <formula>0.375</formula>
    </cfRule>
  </conditionalFormatting>
  <conditionalFormatting sqref="AA13">
    <cfRule type="cellIs" dxfId="204" priority="199" operator="between">
      <formula>0.38</formula>
      <formula>0.475</formula>
    </cfRule>
  </conditionalFormatting>
  <conditionalFormatting sqref="AB13">
    <cfRule type="cellIs" dxfId="203" priority="198" operator="between">
      <formula>0.48</formula>
      <formula>0.51</formula>
    </cfRule>
  </conditionalFormatting>
  <conditionalFormatting sqref="AC13">
    <cfRule type="cellIs" dxfId="202" priority="197" operator="greaterThan">
      <formula>0.505</formula>
    </cfRule>
  </conditionalFormatting>
  <conditionalFormatting sqref="Y14">
    <cfRule type="cellIs" dxfId="201" priority="196" stopIfTrue="1" operator="between">
      <formula>0</formula>
      <formula>0.255</formula>
    </cfRule>
  </conditionalFormatting>
  <conditionalFormatting sqref="Z14">
    <cfRule type="cellIs" dxfId="200" priority="195" operator="between">
      <formula>0.2551</formula>
      <formula>0.375</formula>
    </cfRule>
  </conditionalFormatting>
  <conditionalFormatting sqref="AA14">
    <cfRule type="cellIs" dxfId="199" priority="194" operator="between">
      <formula>0.38</formula>
      <formula>0.475</formula>
    </cfRule>
  </conditionalFormatting>
  <conditionalFormatting sqref="AB14">
    <cfRule type="cellIs" dxfId="198" priority="193" operator="between">
      <formula>0.48</formula>
      <formula>0.51</formula>
    </cfRule>
  </conditionalFormatting>
  <conditionalFormatting sqref="AC14">
    <cfRule type="cellIs" dxfId="197" priority="192" operator="greaterThan">
      <formula>0.505</formula>
    </cfRule>
  </conditionalFormatting>
  <conditionalFormatting sqref="AF6">
    <cfRule type="cellIs" dxfId="196" priority="191" stopIfTrue="1" operator="between">
      <formula>0</formula>
      <formula>0.5</formula>
    </cfRule>
  </conditionalFormatting>
  <conditionalFormatting sqref="AG6">
    <cfRule type="cellIs" dxfId="195" priority="190" operator="between">
      <formula>0.51</formula>
      <formula>0.75</formula>
    </cfRule>
  </conditionalFormatting>
  <conditionalFormatting sqref="AH6">
    <cfRule type="cellIs" dxfId="194" priority="189" operator="between">
      <formula>0.76</formula>
      <formula>0.95</formula>
    </cfRule>
  </conditionalFormatting>
  <conditionalFormatting sqref="AI6">
    <cfRule type="cellIs" dxfId="193" priority="188" operator="between">
      <formula>0.95</formula>
      <formula>1</formula>
    </cfRule>
  </conditionalFormatting>
  <conditionalFormatting sqref="AJ6">
    <cfRule type="cellIs" dxfId="192" priority="187" operator="greaterThan">
      <formula>1</formula>
    </cfRule>
  </conditionalFormatting>
  <conditionalFormatting sqref="AF7">
    <cfRule type="cellIs" dxfId="191" priority="186" stopIfTrue="1" operator="between">
      <formula>0</formula>
      <formula>0.5</formula>
    </cfRule>
  </conditionalFormatting>
  <conditionalFormatting sqref="AG7">
    <cfRule type="cellIs" dxfId="190" priority="185" operator="between">
      <formula>0.51</formula>
      <formula>0.75</formula>
    </cfRule>
  </conditionalFormatting>
  <conditionalFormatting sqref="AH7">
    <cfRule type="cellIs" dxfId="189" priority="184" operator="between">
      <formula>0.76</formula>
      <formula>0.95</formula>
    </cfRule>
  </conditionalFormatting>
  <conditionalFormatting sqref="AI7">
    <cfRule type="cellIs" dxfId="188" priority="183" operator="between">
      <formula>0.95</formula>
      <formula>1</formula>
    </cfRule>
  </conditionalFormatting>
  <conditionalFormatting sqref="AJ7">
    <cfRule type="cellIs" dxfId="187" priority="182" operator="greaterThan">
      <formula>1</formula>
    </cfRule>
  </conditionalFormatting>
  <conditionalFormatting sqref="AF8">
    <cfRule type="cellIs" dxfId="186" priority="181" stopIfTrue="1" operator="between">
      <formula>0</formula>
      <formula>0.5</formula>
    </cfRule>
  </conditionalFormatting>
  <conditionalFormatting sqref="AG8">
    <cfRule type="cellIs" dxfId="185" priority="180" operator="between">
      <formula>0.51</formula>
      <formula>0.75</formula>
    </cfRule>
  </conditionalFormatting>
  <conditionalFormatting sqref="AH8">
    <cfRule type="cellIs" dxfId="184" priority="179" operator="between">
      <formula>0.76</formula>
      <formula>0.95</formula>
    </cfRule>
  </conditionalFormatting>
  <conditionalFormatting sqref="AI8">
    <cfRule type="cellIs" dxfId="183" priority="178" operator="between">
      <formula>0.95</formula>
      <formula>1</formula>
    </cfRule>
  </conditionalFormatting>
  <conditionalFormatting sqref="AJ8">
    <cfRule type="cellIs" dxfId="182" priority="177" operator="greaterThan">
      <formula>1</formula>
    </cfRule>
  </conditionalFormatting>
  <conditionalFormatting sqref="AF9">
    <cfRule type="cellIs" dxfId="181" priority="176" stopIfTrue="1" operator="between">
      <formula>0</formula>
      <formula>0.5</formula>
    </cfRule>
  </conditionalFormatting>
  <conditionalFormatting sqref="AG9">
    <cfRule type="cellIs" dxfId="180" priority="175" operator="between">
      <formula>0.51</formula>
      <formula>0.75</formula>
    </cfRule>
  </conditionalFormatting>
  <conditionalFormatting sqref="AH9">
    <cfRule type="cellIs" dxfId="179" priority="174" operator="between">
      <formula>0.76</formula>
      <formula>0.95</formula>
    </cfRule>
  </conditionalFormatting>
  <conditionalFormatting sqref="AI9">
    <cfRule type="cellIs" dxfId="178" priority="173" operator="between">
      <formula>0.95</formula>
      <formula>1</formula>
    </cfRule>
  </conditionalFormatting>
  <conditionalFormatting sqref="AJ9">
    <cfRule type="cellIs" dxfId="177" priority="172" operator="greaterThan">
      <formula>1</formula>
    </cfRule>
  </conditionalFormatting>
  <conditionalFormatting sqref="AF10">
    <cfRule type="cellIs" dxfId="176" priority="171" stopIfTrue="1" operator="between">
      <formula>0</formula>
      <formula>0.5</formula>
    </cfRule>
  </conditionalFormatting>
  <conditionalFormatting sqref="AG10">
    <cfRule type="cellIs" dxfId="175" priority="170" operator="between">
      <formula>0.51</formula>
      <formula>0.75</formula>
    </cfRule>
  </conditionalFormatting>
  <conditionalFormatting sqref="AH10">
    <cfRule type="cellIs" dxfId="174" priority="169" operator="between">
      <formula>0.76</formula>
      <formula>0.95</formula>
    </cfRule>
  </conditionalFormatting>
  <conditionalFormatting sqref="AI10">
    <cfRule type="cellIs" dxfId="173" priority="168" operator="between">
      <formula>0.95</formula>
      <formula>1</formula>
    </cfRule>
  </conditionalFormatting>
  <conditionalFormatting sqref="AJ10">
    <cfRule type="cellIs" dxfId="172" priority="167" operator="greaterThan">
      <formula>1</formula>
    </cfRule>
  </conditionalFormatting>
  <conditionalFormatting sqref="AF11">
    <cfRule type="cellIs" dxfId="171" priority="166" stopIfTrue="1" operator="between">
      <formula>0</formula>
      <formula>0.5</formula>
    </cfRule>
  </conditionalFormatting>
  <conditionalFormatting sqref="AG11">
    <cfRule type="cellIs" dxfId="170" priority="165" operator="between">
      <formula>0.51</formula>
      <formula>0.75</formula>
    </cfRule>
  </conditionalFormatting>
  <conditionalFormatting sqref="AH11">
    <cfRule type="cellIs" dxfId="169" priority="164" operator="between">
      <formula>0.76</formula>
      <formula>0.95</formula>
    </cfRule>
  </conditionalFormatting>
  <conditionalFormatting sqref="AI11">
    <cfRule type="cellIs" dxfId="168" priority="163" operator="between">
      <formula>0.95</formula>
      <formula>1</formula>
    </cfRule>
  </conditionalFormatting>
  <conditionalFormatting sqref="AJ11">
    <cfRule type="cellIs" dxfId="167" priority="162" operator="greaterThan">
      <formula>1</formula>
    </cfRule>
  </conditionalFormatting>
  <conditionalFormatting sqref="AF12">
    <cfRule type="cellIs" dxfId="166" priority="161" stopIfTrue="1" operator="between">
      <formula>0</formula>
      <formula>0.5</formula>
    </cfRule>
  </conditionalFormatting>
  <conditionalFormatting sqref="AG12">
    <cfRule type="cellIs" dxfId="165" priority="160" operator="between">
      <formula>0.51</formula>
      <formula>0.75</formula>
    </cfRule>
  </conditionalFormatting>
  <conditionalFormatting sqref="AH12">
    <cfRule type="cellIs" dxfId="164" priority="159" operator="between">
      <formula>0.76</formula>
      <formula>0.95</formula>
    </cfRule>
  </conditionalFormatting>
  <conditionalFormatting sqref="AI12">
    <cfRule type="cellIs" dxfId="163" priority="158" operator="between">
      <formula>0.95</formula>
      <formula>1</formula>
    </cfRule>
  </conditionalFormatting>
  <conditionalFormatting sqref="AJ12">
    <cfRule type="cellIs" dxfId="162" priority="157" operator="greaterThan">
      <formula>1</formula>
    </cfRule>
  </conditionalFormatting>
  <conditionalFormatting sqref="AF13">
    <cfRule type="cellIs" dxfId="161" priority="156" stopIfTrue="1" operator="between">
      <formula>0</formula>
      <formula>0.5</formula>
    </cfRule>
  </conditionalFormatting>
  <conditionalFormatting sqref="AG13">
    <cfRule type="cellIs" dxfId="160" priority="155" operator="between">
      <formula>0.51</formula>
      <formula>0.75</formula>
    </cfRule>
  </conditionalFormatting>
  <conditionalFormatting sqref="AH13">
    <cfRule type="cellIs" dxfId="159" priority="154" operator="between">
      <formula>0.76</formula>
      <formula>0.95</formula>
    </cfRule>
  </conditionalFormatting>
  <conditionalFormatting sqref="AI13">
    <cfRule type="cellIs" dxfId="158" priority="153" operator="between">
      <formula>0.95</formula>
      <formula>1</formula>
    </cfRule>
  </conditionalFormatting>
  <conditionalFormatting sqref="AJ13">
    <cfRule type="cellIs" dxfId="157" priority="152" operator="greaterThan">
      <formula>1</formula>
    </cfRule>
  </conditionalFormatting>
  <conditionalFormatting sqref="AF14">
    <cfRule type="cellIs" dxfId="156" priority="151" stopIfTrue="1" operator="between">
      <formula>0</formula>
      <formula>0.5</formula>
    </cfRule>
  </conditionalFormatting>
  <conditionalFormatting sqref="AG14">
    <cfRule type="cellIs" dxfId="155" priority="150" operator="between">
      <formula>0.51</formula>
      <formula>0.75</formula>
    </cfRule>
  </conditionalFormatting>
  <conditionalFormatting sqref="AH14">
    <cfRule type="cellIs" dxfId="154" priority="149" operator="between">
      <formula>0.76</formula>
      <formula>0.95</formula>
    </cfRule>
  </conditionalFormatting>
  <conditionalFormatting sqref="AI14">
    <cfRule type="cellIs" dxfId="153" priority="148" operator="between">
      <formula>0.95</formula>
      <formula>1</formula>
    </cfRule>
  </conditionalFormatting>
  <conditionalFormatting sqref="AJ14">
    <cfRule type="cellIs" dxfId="152" priority="147" operator="greaterThan">
      <formula>1</formula>
    </cfRule>
  </conditionalFormatting>
  <conditionalFormatting sqref="AM6">
    <cfRule type="cellIs" dxfId="151" priority="146" stopIfTrue="1" operator="between">
      <formula>0</formula>
      <formula>0.375</formula>
    </cfRule>
  </conditionalFormatting>
  <conditionalFormatting sqref="AN6">
    <cfRule type="cellIs" dxfId="150" priority="145" operator="between">
      <formula>0.3751</formula>
      <formula>0.5625</formula>
    </cfRule>
  </conditionalFormatting>
  <conditionalFormatting sqref="AO6">
    <cfRule type="cellIs" dxfId="149" priority="144" operator="between">
      <formula>0.563</formula>
      <formula>0.7125</formula>
    </cfRule>
  </conditionalFormatting>
  <conditionalFormatting sqref="AP6">
    <cfRule type="cellIs" dxfId="148" priority="143" operator="between">
      <formula>0.713</formula>
      <formula>0.75</formula>
    </cfRule>
  </conditionalFormatting>
  <conditionalFormatting sqref="AQ6">
    <cfRule type="cellIs" dxfId="147" priority="142" operator="greaterThan">
      <formula>0.755</formula>
    </cfRule>
  </conditionalFormatting>
  <conditionalFormatting sqref="AM7">
    <cfRule type="cellIs" dxfId="146" priority="141" stopIfTrue="1" operator="between">
      <formula>0</formula>
      <formula>0.375</formula>
    </cfRule>
  </conditionalFormatting>
  <conditionalFormatting sqref="AN7">
    <cfRule type="cellIs" dxfId="145" priority="140" operator="between">
      <formula>0.3751</formula>
      <formula>0.5625</formula>
    </cfRule>
  </conditionalFormatting>
  <conditionalFormatting sqref="AO7">
    <cfRule type="cellIs" dxfId="144" priority="139" operator="between">
      <formula>0.563</formula>
      <formula>0.7125</formula>
    </cfRule>
  </conditionalFormatting>
  <conditionalFormatting sqref="AP7">
    <cfRule type="cellIs" dxfId="143" priority="138" operator="between">
      <formula>0.713</formula>
      <formula>0.75</formula>
    </cfRule>
  </conditionalFormatting>
  <conditionalFormatting sqref="AQ7">
    <cfRule type="cellIs" dxfId="142" priority="137" operator="greaterThan">
      <formula>0.755</formula>
    </cfRule>
  </conditionalFormatting>
  <conditionalFormatting sqref="AM8">
    <cfRule type="cellIs" dxfId="141" priority="136" stopIfTrue="1" operator="between">
      <formula>0</formula>
      <formula>0.375</formula>
    </cfRule>
  </conditionalFormatting>
  <conditionalFormatting sqref="AN8">
    <cfRule type="cellIs" dxfId="140" priority="135" operator="between">
      <formula>0.3751</formula>
      <formula>0.5625</formula>
    </cfRule>
  </conditionalFormatting>
  <conditionalFormatting sqref="AO8">
    <cfRule type="cellIs" dxfId="139" priority="134" operator="between">
      <formula>0.563</formula>
      <formula>0.7125</formula>
    </cfRule>
  </conditionalFormatting>
  <conditionalFormatting sqref="AP8">
    <cfRule type="cellIs" dxfId="138" priority="133" operator="between">
      <formula>0.713</formula>
      <formula>0.75</formula>
    </cfRule>
  </conditionalFormatting>
  <conditionalFormatting sqref="AQ8">
    <cfRule type="cellIs" dxfId="137" priority="132" operator="greaterThan">
      <formula>0.755</formula>
    </cfRule>
  </conditionalFormatting>
  <conditionalFormatting sqref="AM9">
    <cfRule type="cellIs" dxfId="136" priority="131" stopIfTrue="1" operator="between">
      <formula>0</formula>
      <formula>0.375</formula>
    </cfRule>
  </conditionalFormatting>
  <conditionalFormatting sqref="AN9">
    <cfRule type="cellIs" dxfId="135" priority="130" operator="between">
      <formula>0.3751</formula>
      <formula>0.5625</formula>
    </cfRule>
  </conditionalFormatting>
  <conditionalFormatting sqref="AO9">
    <cfRule type="cellIs" dxfId="134" priority="129" operator="between">
      <formula>0.563</formula>
      <formula>0.7125</formula>
    </cfRule>
  </conditionalFormatting>
  <conditionalFormatting sqref="AP9">
    <cfRule type="cellIs" dxfId="133" priority="128" operator="between">
      <formula>0.713</formula>
      <formula>0.75</formula>
    </cfRule>
  </conditionalFormatting>
  <conditionalFormatting sqref="AQ9">
    <cfRule type="cellIs" dxfId="132" priority="127" operator="greaterThan">
      <formula>0.755</formula>
    </cfRule>
  </conditionalFormatting>
  <conditionalFormatting sqref="AM10">
    <cfRule type="cellIs" dxfId="131" priority="126" stopIfTrue="1" operator="between">
      <formula>0</formula>
      <formula>0.375</formula>
    </cfRule>
  </conditionalFormatting>
  <conditionalFormatting sqref="AN10">
    <cfRule type="cellIs" dxfId="130" priority="125" operator="between">
      <formula>0.3751</formula>
      <formula>0.5625</formula>
    </cfRule>
  </conditionalFormatting>
  <conditionalFormatting sqref="AO10">
    <cfRule type="cellIs" dxfId="129" priority="124" operator="between">
      <formula>0.563</formula>
      <formula>0.7125</formula>
    </cfRule>
  </conditionalFormatting>
  <conditionalFormatting sqref="AP10">
    <cfRule type="cellIs" dxfId="128" priority="123" operator="between">
      <formula>0.713</formula>
      <formula>0.75</formula>
    </cfRule>
  </conditionalFormatting>
  <conditionalFormatting sqref="AQ10">
    <cfRule type="cellIs" dxfId="127" priority="122" operator="greaterThan">
      <formula>0.755</formula>
    </cfRule>
  </conditionalFormatting>
  <conditionalFormatting sqref="AM11">
    <cfRule type="cellIs" dxfId="126" priority="121" stopIfTrue="1" operator="between">
      <formula>0</formula>
      <formula>0.375</formula>
    </cfRule>
  </conditionalFormatting>
  <conditionalFormatting sqref="AN11">
    <cfRule type="cellIs" dxfId="125" priority="120" operator="between">
      <formula>0.3751</formula>
      <formula>0.5625</formula>
    </cfRule>
  </conditionalFormatting>
  <conditionalFormatting sqref="AO11">
    <cfRule type="cellIs" dxfId="124" priority="119" operator="between">
      <formula>0.563</formula>
      <formula>0.7125</formula>
    </cfRule>
  </conditionalFormatting>
  <conditionalFormatting sqref="AP11">
    <cfRule type="cellIs" dxfId="123" priority="118" operator="between">
      <formula>0.713</formula>
      <formula>0.75</formula>
    </cfRule>
  </conditionalFormatting>
  <conditionalFormatting sqref="AQ11">
    <cfRule type="cellIs" dxfId="122" priority="117" operator="greaterThan">
      <formula>0.755</formula>
    </cfRule>
  </conditionalFormatting>
  <conditionalFormatting sqref="AM12">
    <cfRule type="cellIs" dxfId="121" priority="116" stopIfTrue="1" operator="between">
      <formula>0</formula>
      <formula>0.375</formula>
    </cfRule>
  </conditionalFormatting>
  <conditionalFormatting sqref="AN12">
    <cfRule type="cellIs" dxfId="120" priority="115" operator="between">
      <formula>0.3751</formula>
      <formula>0.5625</formula>
    </cfRule>
  </conditionalFormatting>
  <conditionalFormatting sqref="AO12">
    <cfRule type="cellIs" dxfId="119" priority="114" operator="between">
      <formula>0.563</formula>
      <formula>0.7125</formula>
    </cfRule>
  </conditionalFormatting>
  <conditionalFormatting sqref="AP12">
    <cfRule type="cellIs" dxfId="118" priority="113" operator="between">
      <formula>0.713</formula>
      <formula>0.75</formula>
    </cfRule>
  </conditionalFormatting>
  <conditionalFormatting sqref="AQ12">
    <cfRule type="cellIs" dxfId="117" priority="112" operator="greaterThan">
      <formula>0.755</formula>
    </cfRule>
  </conditionalFormatting>
  <conditionalFormatting sqref="AM13">
    <cfRule type="cellIs" dxfId="116" priority="111" stopIfTrue="1" operator="between">
      <formula>0</formula>
      <formula>0.375</formula>
    </cfRule>
  </conditionalFormatting>
  <conditionalFormatting sqref="AN13">
    <cfRule type="cellIs" dxfId="115" priority="110" operator="between">
      <formula>0.3751</formula>
      <formula>0.5625</formula>
    </cfRule>
  </conditionalFormatting>
  <conditionalFormatting sqref="AO13">
    <cfRule type="cellIs" dxfId="114" priority="109" operator="between">
      <formula>0.563</formula>
      <formula>0.7125</formula>
    </cfRule>
  </conditionalFormatting>
  <conditionalFormatting sqref="AP13">
    <cfRule type="cellIs" dxfId="113" priority="108" operator="between">
      <formula>0.713</formula>
      <formula>0.75</formula>
    </cfRule>
  </conditionalFormatting>
  <conditionalFormatting sqref="AQ13">
    <cfRule type="cellIs" dxfId="112" priority="107" operator="greaterThan">
      <formula>0.755</formula>
    </cfRule>
  </conditionalFormatting>
  <conditionalFormatting sqref="AM14">
    <cfRule type="cellIs" dxfId="111" priority="106" stopIfTrue="1" operator="between">
      <formula>0</formula>
      <formula>0.375</formula>
    </cfRule>
  </conditionalFormatting>
  <conditionalFormatting sqref="AN14">
    <cfRule type="cellIs" dxfId="110" priority="105" operator="between">
      <formula>0.3751</formula>
      <formula>0.5625</formula>
    </cfRule>
  </conditionalFormatting>
  <conditionalFormatting sqref="AO14">
    <cfRule type="cellIs" dxfId="109" priority="104" operator="between">
      <formula>0.563</formula>
      <formula>0.7125</formula>
    </cfRule>
  </conditionalFormatting>
  <conditionalFormatting sqref="AP14">
    <cfRule type="cellIs" dxfId="108" priority="103" operator="between">
      <formula>0.713</formula>
      <formula>0.75</formula>
    </cfRule>
  </conditionalFormatting>
  <conditionalFormatting sqref="AQ14">
    <cfRule type="cellIs" dxfId="107" priority="102" operator="greaterThan">
      <formula>0.755</formula>
    </cfRule>
  </conditionalFormatting>
  <conditionalFormatting sqref="AT6">
    <cfRule type="cellIs" dxfId="106" priority="101" stopIfTrue="1" operator="between">
      <formula>0</formula>
      <formula>0.5</formula>
    </cfRule>
  </conditionalFormatting>
  <conditionalFormatting sqref="AU6">
    <cfRule type="cellIs" dxfId="105" priority="100" operator="between">
      <formula>0.51</formula>
      <formula>0.75</formula>
    </cfRule>
  </conditionalFormatting>
  <conditionalFormatting sqref="AV6">
    <cfRule type="cellIs" dxfId="104" priority="99" operator="between">
      <formula>0.76</formula>
      <formula>0.95</formula>
    </cfRule>
  </conditionalFormatting>
  <conditionalFormatting sqref="AW6">
    <cfRule type="cellIs" dxfId="103" priority="98" operator="between">
      <formula>0.95</formula>
      <formula>1</formula>
    </cfRule>
  </conditionalFormatting>
  <conditionalFormatting sqref="AX6">
    <cfRule type="cellIs" dxfId="102" priority="97" operator="greaterThan">
      <formula>1</formula>
    </cfRule>
  </conditionalFormatting>
  <conditionalFormatting sqref="AT7">
    <cfRule type="cellIs" dxfId="101" priority="96" stopIfTrue="1" operator="between">
      <formula>0</formula>
      <formula>0.5</formula>
    </cfRule>
  </conditionalFormatting>
  <conditionalFormatting sqref="AU7">
    <cfRule type="cellIs" dxfId="100" priority="95" operator="between">
      <formula>0.51</formula>
      <formula>0.75</formula>
    </cfRule>
  </conditionalFormatting>
  <conditionalFormatting sqref="AV7">
    <cfRule type="cellIs" dxfId="99" priority="94" operator="between">
      <formula>0.76</formula>
      <formula>0.95</formula>
    </cfRule>
  </conditionalFormatting>
  <conditionalFormatting sqref="AW7">
    <cfRule type="cellIs" dxfId="98" priority="93" operator="between">
      <formula>0.95</formula>
      <formula>1</formula>
    </cfRule>
  </conditionalFormatting>
  <conditionalFormatting sqref="AX7">
    <cfRule type="cellIs" dxfId="97" priority="92" operator="greaterThan">
      <formula>1</formula>
    </cfRule>
  </conditionalFormatting>
  <conditionalFormatting sqref="AT8">
    <cfRule type="cellIs" dxfId="96" priority="91" stopIfTrue="1" operator="between">
      <formula>0</formula>
      <formula>0.5</formula>
    </cfRule>
  </conditionalFormatting>
  <conditionalFormatting sqref="AU8">
    <cfRule type="cellIs" dxfId="95" priority="90" operator="between">
      <formula>0.51</formula>
      <formula>0.75</formula>
    </cfRule>
  </conditionalFormatting>
  <conditionalFormatting sqref="AV8">
    <cfRule type="cellIs" dxfId="94" priority="89" operator="between">
      <formula>0.76</formula>
      <formula>0.95</formula>
    </cfRule>
  </conditionalFormatting>
  <conditionalFormatting sqref="AW8">
    <cfRule type="cellIs" dxfId="93" priority="88" operator="between">
      <formula>0.95</formula>
      <formula>1</formula>
    </cfRule>
  </conditionalFormatting>
  <conditionalFormatting sqref="AX8">
    <cfRule type="cellIs" dxfId="92" priority="87" operator="greaterThan">
      <formula>1</formula>
    </cfRule>
  </conditionalFormatting>
  <conditionalFormatting sqref="AT9">
    <cfRule type="cellIs" dxfId="91" priority="86" stopIfTrue="1" operator="between">
      <formula>0</formula>
      <formula>0.5</formula>
    </cfRule>
  </conditionalFormatting>
  <conditionalFormatting sqref="AU9">
    <cfRule type="cellIs" dxfId="90" priority="85" operator="between">
      <formula>0.51</formula>
      <formula>0.75</formula>
    </cfRule>
  </conditionalFormatting>
  <conditionalFormatting sqref="AV9">
    <cfRule type="cellIs" dxfId="89" priority="84" operator="between">
      <formula>0.76</formula>
      <formula>0.95</formula>
    </cfRule>
  </conditionalFormatting>
  <conditionalFormatting sqref="AW9">
    <cfRule type="cellIs" dxfId="88" priority="83" operator="between">
      <formula>0.95</formula>
      <formula>1</formula>
    </cfRule>
  </conditionalFormatting>
  <conditionalFormatting sqref="AX9">
    <cfRule type="cellIs" dxfId="87" priority="82" operator="greaterThan">
      <formula>1</formula>
    </cfRule>
  </conditionalFormatting>
  <conditionalFormatting sqref="AT10">
    <cfRule type="cellIs" dxfId="86" priority="81" stopIfTrue="1" operator="between">
      <formula>0</formula>
      <formula>0.5</formula>
    </cfRule>
  </conditionalFormatting>
  <conditionalFormatting sqref="AU10">
    <cfRule type="cellIs" dxfId="85" priority="80" operator="between">
      <formula>0.51</formula>
      <formula>0.75</formula>
    </cfRule>
  </conditionalFormatting>
  <conditionalFormatting sqref="AV10">
    <cfRule type="cellIs" dxfId="84" priority="79" operator="between">
      <formula>0.76</formula>
      <formula>0.95</formula>
    </cfRule>
  </conditionalFormatting>
  <conditionalFormatting sqref="AW10">
    <cfRule type="cellIs" dxfId="83" priority="78" operator="between">
      <formula>0.95</formula>
      <formula>1</formula>
    </cfRule>
  </conditionalFormatting>
  <conditionalFormatting sqref="AX10">
    <cfRule type="cellIs" dxfId="82" priority="77" operator="greaterThan">
      <formula>1</formula>
    </cfRule>
  </conditionalFormatting>
  <conditionalFormatting sqref="AT11">
    <cfRule type="cellIs" dxfId="81" priority="76" stopIfTrue="1" operator="between">
      <formula>0</formula>
      <formula>0.5</formula>
    </cfRule>
  </conditionalFormatting>
  <conditionalFormatting sqref="AU11">
    <cfRule type="cellIs" dxfId="80" priority="75" operator="between">
      <formula>0.51</formula>
      <formula>0.75</formula>
    </cfRule>
  </conditionalFormatting>
  <conditionalFormatting sqref="AV11">
    <cfRule type="cellIs" dxfId="79" priority="74" operator="between">
      <formula>0.76</formula>
      <formula>0.95</formula>
    </cfRule>
  </conditionalFormatting>
  <conditionalFormatting sqref="AW11">
    <cfRule type="cellIs" dxfId="78" priority="73" operator="between">
      <formula>0.95</formula>
      <formula>1</formula>
    </cfRule>
  </conditionalFormatting>
  <conditionalFormatting sqref="AX11">
    <cfRule type="cellIs" dxfId="77" priority="72" operator="greaterThan">
      <formula>1</formula>
    </cfRule>
  </conditionalFormatting>
  <conditionalFormatting sqref="AT12">
    <cfRule type="cellIs" dxfId="76" priority="71" stopIfTrue="1" operator="between">
      <formula>0</formula>
      <formula>0.5</formula>
    </cfRule>
  </conditionalFormatting>
  <conditionalFormatting sqref="AU12">
    <cfRule type="cellIs" dxfId="75" priority="70" operator="between">
      <formula>0.51</formula>
      <formula>0.75</formula>
    </cfRule>
  </conditionalFormatting>
  <conditionalFormatting sqref="AV12">
    <cfRule type="cellIs" dxfId="74" priority="69" operator="between">
      <formula>0.76</formula>
      <formula>0.95</formula>
    </cfRule>
  </conditionalFormatting>
  <conditionalFormatting sqref="AW12">
    <cfRule type="cellIs" dxfId="73" priority="68" operator="between">
      <formula>0.95</formula>
      <formula>1</formula>
    </cfRule>
  </conditionalFormatting>
  <conditionalFormatting sqref="AX12">
    <cfRule type="cellIs" dxfId="72" priority="67" operator="greaterThan">
      <formula>1</formula>
    </cfRule>
  </conditionalFormatting>
  <conditionalFormatting sqref="AT13">
    <cfRule type="cellIs" dxfId="71" priority="66" stopIfTrue="1" operator="between">
      <formula>0</formula>
      <formula>0.5</formula>
    </cfRule>
  </conditionalFormatting>
  <conditionalFormatting sqref="AU13">
    <cfRule type="cellIs" dxfId="70" priority="65" operator="between">
      <formula>0.51</formula>
      <formula>0.75</formula>
    </cfRule>
  </conditionalFormatting>
  <conditionalFormatting sqref="AV13">
    <cfRule type="cellIs" dxfId="69" priority="64" operator="between">
      <formula>0.76</formula>
      <formula>0.95</formula>
    </cfRule>
  </conditionalFormatting>
  <conditionalFormatting sqref="AW13">
    <cfRule type="cellIs" dxfId="68" priority="63" operator="between">
      <formula>0.95</formula>
      <formula>1</formula>
    </cfRule>
  </conditionalFormatting>
  <conditionalFormatting sqref="AX13">
    <cfRule type="cellIs" dxfId="67" priority="62" operator="greaterThan">
      <formula>1</formula>
    </cfRule>
  </conditionalFormatting>
  <conditionalFormatting sqref="AT14">
    <cfRule type="cellIs" dxfId="66" priority="61" stopIfTrue="1" operator="between">
      <formula>0</formula>
      <formula>0.5</formula>
    </cfRule>
  </conditionalFormatting>
  <conditionalFormatting sqref="AU14">
    <cfRule type="cellIs" dxfId="65" priority="60" operator="between">
      <formula>0.51</formula>
      <formula>0.75</formula>
    </cfRule>
  </conditionalFormatting>
  <conditionalFormatting sqref="AV14">
    <cfRule type="cellIs" dxfId="64" priority="59" operator="between">
      <formula>0.76</formula>
      <formula>0.95</formula>
    </cfRule>
  </conditionalFormatting>
  <conditionalFormatting sqref="AW14">
    <cfRule type="cellIs" dxfId="63" priority="58" operator="between">
      <formula>0.95</formula>
      <formula>1</formula>
    </cfRule>
  </conditionalFormatting>
  <conditionalFormatting sqref="AX14">
    <cfRule type="cellIs" dxfId="62" priority="57" operator="greaterThan">
      <formula>1</formula>
    </cfRule>
  </conditionalFormatting>
  <conditionalFormatting sqref="BA6">
    <cfRule type="cellIs" dxfId="61" priority="56" operator="between">
      <formula>0.501</formula>
      <formula>0.75</formula>
    </cfRule>
  </conditionalFormatting>
  <conditionalFormatting sqref="BB6">
    <cfRule type="cellIs" dxfId="60" priority="55" operator="between">
      <formula>0.76</formula>
      <formula>0.95</formula>
    </cfRule>
  </conditionalFormatting>
  <conditionalFormatting sqref="BC6">
    <cfRule type="cellIs" dxfId="59" priority="54" operator="between">
      <formula>0.95</formula>
      <formula>1</formula>
    </cfRule>
  </conditionalFormatting>
  <conditionalFormatting sqref="BD6">
    <cfRule type="cellIs" dxfId="58" priority="53" operator="greaterThan">
      <formula>1</formula>
    </cfRule>
  </conditionalFormatting>
  <conditionalFormatting sqref="AZ6">
    <cfRule type="cellIs" dxfId="57" priority="52" stopIfTrue="1" operator="between">
      <formula>0</formula>
      <formula>0.5</formula>
    </cfRule>
  </conditionalFormatting>
  <conditionalFormatting sqref="BA7">
    <cfRule type="cellIs" dxfId="56" priority="51" operator="between">
      <formula>0.501</formula>
      <formula>0.75</formula>
    </cfRule>
  </conditionalFormatting>
  <conditionalFormatting sqref="BB7">
    <cfRule type="cellIs" dxfId="55" priority="50" operator="between">
      <formula>0.76</formula>
      <formula>0.95</formula>
    </cfRule>
  </conditionalFormatting>
  <conditionalFormatting sqref="BC7">
    <cfRule type="cellIs" dxfId="54" priority="49" operator="between">
      <formula>0.95</formula>
      <formula>1</formula>
    </cfRule>
  </conditionalFormatting>
  <conditionalFormatting sqref="BD7">
    <cfRule type="cellIs" dxfId="53" priority="48" operator="greaterThan">
      <formula>1</formula>
    </cfRule>
  </conditionalFormatting>
  <conditionalFormatting sqref="AZ7">
    <cfRule type="cellIs" dxfId="52" priority="47" stopIfTrue="1" operator="between">
      <formula>0</formula>
      <formula>0.5</formula>
    </cfRule>
  </conditionalFormatting>
  <conditionalFormatting sqref="BA8">
    <cfRule type="cellIs" dxfId="51" priority="46" operator="between">
      <formula>0.501</formula>
      <formula>0.75</formula>
    </cfRule>
  </conditionalFormatting>
  <conditionalFormatting sqref="BB8">
    <cfRule type="cellIs" dxfId="50" priority="45" operator="between">
      <formula>0.76</formula>
      <formula>0.95</formula>
    </cfRule>
  </conditionalFormatting>
  <conditionalFormatting sqref="BC8">
    <cfRule type="cellIs" dxfId="49" priority="44" operator="between">
      <formula>0.95</formula>
      <formula>1</formula>
    </cfRule>
  </conditionalFormatting>
  <conditionalFormatting sqref="BD8">
    <cfRule type="cellIs" dxfId="48" priority="43" operator="greaterThan">
      <formula>1</formula>
    </cfRule>
  </conditionalFormatting>
  <conditionalFormatting sqref="AZ8">
    <cfRule type="cellIs" dxfId="47" priority="42" stopIfTrue="1" operator="between">
      <formula>0</formula>
      <formula>0.5</formula>
    </cfRule>
  </conditionalFormatting>
  <conditionalFormatting sqref="BA9">
    <cfRule type="cellIs" dxfId="46" priority="41" operator="between">
      <formula>0.501</formula>
      <formula>0.75</formula>
    </cfRule>
  </conditionalFormatting>
  <conditionalFormatting sqref="BB9">
    <cfRule type="cellIs" dxfId="45" priority="40" operator="between">
      <formula>0.76</formula>
      <formula>0.95</formula>
    </cfRule>
  </conditionalFormatting>
  <conditionalFormatting sqref="BC9">
    <cfRule type="cellIs" dxfId="44" priority="39" operator="between">
      <formula>0.95</formula>
      <formula>1</formula>
    </cfRule>
  </conditionalFormatting>
  <conditionalFormatting sqref="BD9">
    <cfRule type="cellIs" dxfId="43" priority="38" operator="greaterThan">
      <formula>1</formula>
    </cfRule>
  </conditionalFormatting>
  <conditionalFormatting sqref="AZ9">
    <cfRule type="cellIs" dxfId="42" priority="37" stopIfTrue="1" operator="between">
      <formula>0</formula>
      <formula>0.5</formula>
    </cfRule>
  </conditionalFormatting>
  <conditionalFormatting sqref="BA10">
    <cfRule type="cellIs" dxfId="41" priority="36" operator="between">
      <formula>0.501</formula>
      <formula>0.75</formula>
    </cfRule>
  </conditionalFormatting>
  <conditionalFormatting sqref="BB10">
    <cfRule type="cellIs" dxfId="40" priority="35" operator="between">
      <formula>0.76</formula>
      <formula>0.95</formula>
    </cfRule>
  </conditionalFormatting>
  <conditionalFormatting sqref="BC10">
    <cfRule type="cellIs" dxfId="39" priority="34" operator="between">
      <formula>0.95</formula>
      <formula>1</formula>
    </cfRule>
  </conditionalFormatting>
  <conditionalFormatting sqref="BD10">
    <cfRule type="cellIs" dxfId="38" priority="33" operator="greaterThan">
      <formula>1</formula>
    </cfRule>
  </conditionalFormatting>
  <conditionalFormatting sqref="AZ10">
    <cfRule type="cellIs" dxfId="37" priority="32" stopIfTrue="1" operator="between">
      <formula>0</formula>
      <formula>0.5</formula>
    </cfRule>
  </conditionalFormatting>
  <conditionalFormatting sqref="BA11">
    <cfRule type="cellIs" dxfId="36" priority="31" operator="between">
      <formula>0.501</formula>
      <formula>0.75</formula>
    </cfRule>
  </conditionalFormatting>
  <conditionalFormatting sqref="BB11">
    <cfRule type="cellIs" dxfId="35" priority="30" operator="between">
      <formula>0.76</formula>
      <formula>0.95</formula>
    </cfRule>
  </conditionalFormatting>
  <conditionalFormatting sqref="BC11">
    <cfRule type="cellIs" dxfId="34" priority="29" operator="between">
      <formula>0.95</formula>
      <formula>1</formula>
    </cfRule>
  </conditionalFormatting>
  <conditionalFormatting sqref="BD11">
    <cfRule type="cellIs" dxfId="33" priority="28" operator="greaterThan">
      <formula>1</formula>
    </cfRule>
  </conditionalFormatting>
  <conditionalFormatting sqref="AZ11">
    <cfRule type="cellIs" dxfId="32" priority="27" stopIfTrue="1" operator="between">
      <formula>0</formula>
      <formula>0.5</formula>
    </cfRule>
  </conditionalFormatting>
  <conditionalFormatting sqref="BA12">
    <cfRule type="cellIs" dxfId="31" priority="26" operator="between">
      <formula>0.501</formula>
      <formula>0.75</formula>
    </cfRule>
  </conditionalFormatting>
  <conditionalFormatting sqref="BB12">
    <cfRule type="cellIs" dxfId="30" priority="25" operator="between">
      <formula>0.76</formula>
      <formula>0.95</formula>
    </cfRule>
  </conditionalFormatting>
  <conditionalFormatting sqref="BC12">
    <cfRule type="cellIs" dxfId="29" priority="24" operator="between">
      <formula>0.95</formula>
      <formula>1</formula>
    </cfRule>
  </conditionalFormatting>
  <conditionalFormatting sqref="BD12">
    <cfRule type="cellIs" dxfId="28" priority="23" operator="greaterThan">
      <formula>1</formula>
    </cfRule>
  </conditionalFormatting>
  <conditionalFormatting sqref="AZ12">
    <cfRule type="cellIs" dxfId="27" priority="22" stopIfTrue="1" operator="between">
      <formula>0</formula>
      <formula>0.5</formula>
    </cfRule>
  </conditionalFormatting>
  <conditionalFormatting sqref="BA13">
    <cfRule type="cellIs" dxfId="26" priority="21" operator="between">
      <formula>0.501</formula>
      <formula>0.75</formula>
    </cfRule>
  </conditionalFormatting>
  <conditionalFormatting sqref="BB13">
    <cfRule type="cellIs" dxfId="25" priority="20" operator="between">
      <formula>0.76</formula>
      <formula>0.95</formula>
    </cfRule>
  </conditionalFormatting>
  <conditionalFormatting sqref="BC13">
    <cfRule type="cellIs" dxfId="24" priority="19" operator="between">
      <formula>0.95</formula>
      <formula>1</formula>
    </cfRule>
  </conditionalFormatting>
  <conditionalFormatting sqref="BD13">
    <cfRule type="cellIs" dxfId="23" priority="18" operator="greaterThan">
      <formula>1</formula>
    </cfRule>
  </conditionalFormatting>
  <conditionalFormatting sqref="AZ13">
    <cfRule type="cellIs" dxfId="22" priority="17" stopIfTrue="1" operator="between">
      <formula>0</formula>
      <formula>0.5</formula>
    </cfRule>
  </conditionalFormatting>
  <conditionalFormatting sqref="BA14">
    <cfRule type="cellIs" dxfId="21" priority="16" operator="between">
      <formula>0.501</formula>
      <formula>0.75</formula>
    </cfRule>
  </conditionalFormatting>
  <conditionalFormatting sqref="BB14">
    <cfRule type="cellIs" dxfId="20" priority="15" operator="between">
      <formula>0.76</formula>
      <formula>0.95</formula>
    </cfRule>
  </conditionalFormatting>
  <conditionalFormatting sqref="BC14">
    <cfRule type="cellIs" dxfId="19" priority="14" operator="between">
      <formula>0.95</formula>
      <formula>1</formula>
    </cfRule>
  </conditionalFormatting>
  <conditionalFormatting sqref="BD14">
    <cfRule type="cellIs" dxfId="18" priority="13" operator="greaterThan">
      <formula>1</formula>
    </cfRule>
  </conditionalFormatting>
  <conditionalFormatting sqref="AZ14">
    <cfRule type="cellIs" dxfId="17" priority="12" stopIfTrue="1" operator="between">
      <formula>0</formula>
      <formula>0.5</formula>
    </cfRule>
  </conditionalFormatting>
  <conditionalFormatting sqref="Y6">
    <cfRule type="cellIs" dxfId="16" priority="11" stopIfTrue="1" operator="between">
      <formula>0</formula>
      <formula>0.255</formula>
    </cfRule>
  </conditionalFormatting>
  <conditionalFormatting sqref="Z6">
    <cfRule type="cellIs" dxfId="15" priority="10" operator="between">
      <formula>0.2551</formula>
      <formula>0.375</formula>
    </cfRule>
  </conditionalFormatting>
  <conditionalFormatting sqref="AA6">
    <cfRule type="cellIs" dxfId="14" priority="9" operator="between">
      <formula>0.3751</formula>
      <formula>0.475</formula>
    </cfRule>
  </conditionalFormatting>
  <conditionalFormatting sqref="AB6">
    <cfRule type="cellIs" dxfId="13" priority="8" operator="between">
      <formula>0.4751</formula>
      <formula>0.51</formula>
    </cfRule>
  </conditionalFormatting>
  <conditionalFormatting sqref="AC6">
    <cfRule type="cellIs" dxfId="12" priority="7" operator="greaterThan">
      <formula>0.505</formula>
    </cfRule>
  </conditionalFormatting>
  <conditionalFormatting sqref="AD8">
    <cfRule type="cellIs" dxfId="11" priority="6" operator="greaterThan">
      <formula>0.505</formula>
    </cfRule>
  </conditionalFormatting>
  <conditionalFormatting sqref="Y8">
    <cfRule type="cellIs" dxfId="10" priority="5" stopIfTrue="1" operator="between">
      <formula>0</formula>
      <formula>0.255</formula>
    </cfRule>
  </conditionalFormatting>
  <conditionalFormatting sqref="Z8">
    <cfRule type="cellIs" dxfId="9" priority="4" operator="between">
      <formula>0.2551</formula>
      <formula>0.375</formula>
    </cfRule>
  </conditionalFormatting>
  <conditionalFormatting sqref="AA8">
    <cfRule type="cellIs" dxfId="8" priority="3" operator="between">
      <formula>0.3751</formula>
      <formula>0.475</formula>
    </cfRule>
  </conditionalFormatting>
  <conditionalFormatting sqref="AB8">
    <cfRule type="cellIs" dxfId="7" priority="2" operator="between">
      <formula>0.48</formula>
      <formula>0.51</formula>
    </cfRule>
  </conditionalFormatting>
  <conditionalFormatting sqref="AC8">
    <cfRule type="cellIs" dxfId="6" priority="1" operator="greaterThan">
      <formula>0.505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BZ30"/>
  <sheetViews>
    <sheetView showGridLines="0" topLeftCell="D3" zoomScale="55" zoomScaleNormal="55" workbookViewId="0">
      <selection activeCell="L23" sqref="L23"/>
    </sheetView>
  </sheetViews>
  <sheetFormatPr baseColWidth="10" defaultColWidth="11" defaultRowHeight="14.25" x14ac:dyDescent="0.2"/>
  <cols>
    <col min="1" max="1" width="1.5703125" style="297" customWidth="1"/>
    <col min="2" max="2" width="22.28515625" style="297" customWidth="1"/>
    <col min="3" max="3" width="42.5703125" style="297" customWidth="1"/>
    <col min="4" max="4" width="38.7109375" style="297" customWidth="1"/>
    <col min="5" max="5" width="32.140625" style="297" customWidth="1"/>
    <col min="6" max="6" width="33.85546875" style="297" customWidth="1"/>
    <col min="7" max="7" width="5.7109375" style="298" customWidth="1"/>
    <col min="8" max="8" width="24.28515625" style="298" customWidth="1"/>
    <col min="9" max="9" width="35.28515625" style="297" customWidth="1"/>
    <col min="10" max="10" width="31" style="297" customWidth="1"/>
    <col min="11" max="11" width="2.5703125" style="299" customWidth="1"/>
    <col min="12" max="12" width="30" style="297" customWidth="1"/>
    <col min="13" max="13" width="30.7109375" style="297" customWidth="1"/>
    <col min="14" max="14" width="33.42578125" style="297" customWidth="1"/>
    <col min="15" max="15" width="2.5703125" style="299" customWidth="1"/>
    <col min="16" max="16" width="11.140625" style="297" customWidth="1"/>
    <col min="17" max="18" width="15.5703125" style="297" customWidth="1"/>
    <col min="19" max="19" width="2.5703125" style="299" customWidth="1"/>
    <col min="20" max="20" width="12.5703125" style="297" customWidth="1"/>
    <col min="21" max="21" width="16.28515625" style="297" customWidth="1"/>
    <col min="22" max="22" width="18.140625" style="297" customWidth="1"/>
    <col min="23" max="23" width="12" style="297" hidden="1" customWidth="1"/>
    <col min="24" max="24" width="5.7109375" style="297" customWidth="1"/>
    <col min="25" max="26" width="0" style="297" hidden="1" customWidth="1"/>
    <col min="27" max="27" width="2.7109375" style="297" hidden="1" customWidth="1"/>
    <col min="28" max="29" width="0" style="297" hidden="1" customWidth="1"/>
    <col min="30" max="30" width="2.7109375" style="297" hidden="1" customWidth="1"/>
    <col min="31" max="32" width="0" style="297" hidden="1" customWidth="1"/>
    <col min="33" max="33" width="2.7109375" style="297" hidden="1" customWidth="1"/>
    <col min="34" max="35" width="0" style="297" hidden="1" customWidth="1"/>
    <col min="36" max="36" width="2.7109375" style="297" hidden="1" customWidth="1"/>
    <col min="37" max="37" width="0" style="297" hidden="1" customWidth="1"/>
    <col min="38" max="38" width="5.7109375" style="297" hidden="1" customWidth="1"/>
    <col min="39" max="40" width="0" style="297" hidden="1" customWidth="1"/>
    <col min="41" max="41" width="2.7109375" style="297" hidden="1" customWidth="1"/>
    <col min="42" max="43" width="0" style="297" hidden="1" customWidth="1"/>
    <col min="44" max="44" width="2.7109375" style="297" hidden="1" customWidth="1"/>
    <col min="45" max="46" width="0" style="297" hidden="1" customWidth="1"/>
    <col min="47" max="47" width="2.7109375" style="297" hidden="1" customWidth="1"/>
    <col min="48" max="49" width="0" style="297" hidden="1" customWidth="1"/>
    <col min="50" max="50" width="2.7109375" style="297" hidden="1" customWidth="1"/>
    <col min="51" max="51" width="0" style="297" hidden="1" customWidth="1"/>
    <col min="52" max="52" width="5.7109375" style="297" hidden="1" customWidth="1"/>
    <col min="53" max="54" width="0" style="297" hidden="1" customWidth="1"/>
    <col min="55" max="55" width="2.7109375" style="297" hidden="1" customWidth="1"/>
    <col min="56" max="57" width="0" style="297" hidden="1" customWidth="1"/>
    <col min="58" max="58" width="2.7109375" style="297" hidden="1" customWidth="1"/>
    <col min="59" max="60" width="0" style="297" hidden="1" customWidth="1"/>
    <col min="61" max="61" width="2.7109375" style="297" hidden="1" customWidth="1"/>
    <col min="62" max="63" width="0" style="297" hidden="1" customWidth="1"/>
    <col min="64" max="64" width="2.7109375" style="297" hidden="1" customWidth="1"/>
    <col min="65" max="65" width="0" style="297" hidden="1" customWidth="1"/>
    <col min="66" max="66" width="5.7109375" style="297" hidden="1" customWidth="1"/>
    <col min="67" max="68" width="0" style="297" hidden="1" customWidth="1"/>
    <col min="69" max="69" width="2.7109375" style="297" hidden="1" customWidth="1"/>
    <col min="70" max="71" width="0" style="297" hidden="1" customWidth="1"/>
    <col min="72" max="72" width="2.7109375" style="297" hidden="1" customWidth="1"/>
    <col min="73" max="74" width="0" style="297" hidden="1" customWidth="1"/>
    <col min="75" max="75" width="2.7109375" style="297" hidden="1" customWidth="1"/>
    <col min="76" max="77" width="0" style="297" hidden="1" customWidth="1"/>
    <col min="78" max="78" width="2.7109375" style="297" hidden="1" customWidth="1"/>
    <col min="79" max="79" width="0" style="297" hidden="1" customWidth="1"/>
    <col min="80" max="255" width="11" style="297"/>
    <col min="256" max="256" width="1.5703125" style="297" customWidth="1"/>
    <col min="257" max="257" width="8.5703125" style="297" customWidth="1"/>
    <col min="258" max="258" width="28.7109375" style="297" customWidth="1"/>
    <col min="259" max="259" width="26.5703125" style="297" customWidth="1"/>
    <col min="260" max="260" width="7.7109375" style="297" customWidth="1"/>
    <col min="261" max="261" width="19.42578125" style="297" customWidth="1"/>
    <col min="262" max="262" width="44.28515625" style="297" customWidth="1"/>
    <col min="263" max="263" width="17" style="297" customWidth="1"/>
    <col min="264" max="264" width="15.5703125" style="297" customWidth="1"/>
    <col min="265" max="265" width="14.140625" style="297" customWidth="1"/>
    <col min="266" max="266" width="1.7109375" style="297" customWidth="1"/>
    <col min="267" max="267" width="13.7109375" style="297" customWidth="1"/>
    <col min="268" max="268" width="13.85546875" style="297" bestFit="1" customWidth="1"/>
    <col min="269" max="269" width="2.5703125" style="297" customWidth="1"/>
    <col min="270" max="270" width="12.42578125" style="297" customWidth="1"/>
    <col min="271" max="271" width="13.5703125" style="297" customWidth="1"/>
    <col min="272" max="272" width="2.5703125" style="297" customWidth="1"/>
    <col min="273" max="273" width="12.42578125" style="297" customWidth="1"/>
    <col min="274" max="274" width="13.5703125" style="297" customWidth="1"/>
    <col min="275" max="275" width="2.5703125" style="297" customWidth="1"/>
    <col min="276" max="276" width="11.5703125" style="297" customWidth="1"/>
    <col min="277" max="277" width="13" style="297" customWidth="1"/>
    <col min="278" max="278" width="1.42578125" style="297" customWidth="1"/>
    <col min="279" max="279" width="10.5703125" style="297" customWidth="1"/>
    <col min="280" max="511" width="11" style="297"/>
    <col min="512" max="512" width="1.5703125" style="297" customWidth="1"/>
    <col min="513" max="513" width="8.5703125" style="297" customWidth="1"/>
    <col min="514" max="514" width="28.7109375" style="297" customWidth="1"/>
    <col min="515" max="515" width="26.5703125" style="297" customWidth="1"/>
    <col min="516" max="516" width="7.7109375" style="297" customWidth="1"/>
    <col min="517" max="517" width="19.42578125" style="297" customWidth="1"/>
    <col min="518" max="518" width="44.28515625" style="297" customWidth="1"/>
    <col min="519" max="519" width="17" style="297" customWidth="1"/>
    <col min="520" max="520" width="15.5703125" style="297" customWidth="1"/>
    <col min="521" max="521" width="14.140625" style="297" customWidth="1"/>
    <col min="522" max="522" width="1.7109375" style="297" customWidth="1"/>
    <col min="523" max="523" width="13.7109375" style="297" customWidth="1"/>
    <col min="524" max="524" width="13.85546875" style="297" bestFit="1" customWidth="1"/>
    <col min="525" max="525" width="2.5703125" style="297" customWidth="1"/>
    <col min="526" max="526" width="12.42578125" style="297" customWidth="1"/>
    <col min="527" max="527" width="13.5703125" style="297" customWidth="1"/>
    <col min="528" max="528" width="2.5703125" style="297" customWidth="1"/>
    <col min="529" max="529" width="12.42578125" style="297" customWidth="1"/>
    <col min="530" max="530" width="13.5703125" style="297" customWidth="1"/>
    <col min="531" max="531" width="2.5703125" style="297" customWidth="1"/>
    <col min="532" max="532" width="11.5703125" style="297" customWidth="1"/>
    <col min="533" max="533" width="13" style="297" customWidth="1"/>
    <col min="534" max="534" width="1.42578125" style="297" customWidth="1"/>
    <col min="535" max="535" width="10.5703125" style="297" customWidth="1"/>
    <col min="536" max="767" width="11" style="297"/>
    <col min="768" max="768" width="1.5703125" style="297" customWidth="1"/>
    <col min="769" max="769" width="8.5703125" style="297" customWidth="1"/>
    <col min="770" max="770" width="28.7109375" style="297" customWidth="1"/>
    <col min="771" max="771" width="26.5703125" style="297" customWidth="1"/>
    <col min="772" max="772" width="7.7109375" style="297" customWidth="1"/>
    <col min="773" max="773" width="19.42578125" style="297" customWidth="1"/>
    <col min="774" max="774" width="44.28515625" style="297" customWidth="1"/>
    <col min="775" max="775" width="17" style="297" customWidth="1"/>
    <col min="776" max="776" width="15.5703125" style="297" customWidth="1"/>
    <col min="777" max="777" width="14.140625" style="297" customWidth="1"/>
    <col min="778" max="778" width="1.7109375" style="297" customWidth="1"/>
    <col min="779" max="779" width="13.7109375" style="297" customWidth="1"/>
    <col min="780" max="780" width="13.85546875" style="297" bestFit="1" customWidth="1"/>
    <col min="781" max="781" width="2.5703125" style="297" customWidth="1"/>
    <col min="782" max="782" width="12.42578125" style="297" customWidth="1"/>
    <col min="783" max="783" width="13.5703125" style="297" customWidth="1"/>
    <col min="784" max="784" width="2.5703125" style="297" customWidth="1"/>
    <col min="785" max="785" width="12.42578125" style="297" customWidth="1"/>
    <col min="786" max="786" width="13.5703125" style="297" customWidth="1"/>
    <col min="787" max="787" width="2.5703125" style="297" customWidth="1"/>
    <col min="788" max="788" width="11.5703125" style="297" customWidth="1"/>
    <col min="789" max="789" width="13" style="297" customWidth="1"/>
    <col min="790" max="790" width="1.42578125" style="297" customWidth="1"/>
    <col min="791" max="791" width="10.5703125" style="297" customWidth="1"/>
    <col min="792" max="1023" width="11" style="297"/>
    <col min="1024" max="1024" width="1.5703125" style="297" customWidth="1"/>
    <col min="1025" max="1025" width="8.5703125" style="297" customWidth="1"/>
    <col min="1026" max="1026" width="28.7109375" style="297" customWidth="1"/>
    <col min="1027" max="1027" width="26.5703125" style="297" customWidth="1"/>
    <col min="1028" max="1028" width="7.7109375" style="297" customWidth="1"/>
    <col min="1029" max="1029" width="19.42578125" style="297" customWidth="1"/>
    <col min="1030" max="1030" width="44.28515625" style="297" customWidth="1"/>
    <col min="1031" max="1031" width="17" style="297" customWidth="1"/>
    <col min="1032" max="1032" width="15.5703125" style="297" customWidth="1"/>
    <col min="1033" max="1033" width="14.140625" style="297" customWidth="1"/>
    <col min="1034" max="1034" width="1.7109375" style="297" customWidth="1"/>
    <col min="1035" max="1035" width="13.7109375" style="297" customWidth="1"/>
    <col min="1036" max="1036" width="13.85546875" style="297" bestFit="1" customWidth="1"/>
    <col min="1037" max="1037" width="2.5703125" style="297" customWidth="1"/>
    <col min="1038" max="1038" width="12.42578125" style="297" customWidth="1"/>
    <col min="1039" max="1039" width="13.5703125" style="297" customWidth="1"/>
    <col min="1040" max="1040" width="2.5703125" style="297" customWidth="1"/>
    <col min="1041" max="1041" width="12.42578125" style="297" customWidth="1"/>
    <col min="1042" max="1042" width="13.5703125" style="297" customWidth="1"/>
    <col min="1043" max="1043" width="2.5703125" style="297" customWidth="1"/>
    <col min="1044" max="1044" width="11.5703125" style="297" customWidth="1"/>
    <col min="1045" max="1045" width="13" style="297" customWidth="1"/>
    <col min="1046" max="1046" width="1.42578125" style="297" customWidth="1"/>
    <col min="1047" max="1047" width="10.5703125" style="297" customWidth="1"/>
    <col min="1048" max="1279" width="11" style="297"/>
    <col min="1280" max="1280" width="1.5703125" style="297" customWidth="1"/>
    <col min="1281" max="1281" width="8.5703125" style="297" customWidth="1"/>
    <col min="1282" max="1282" width="28.7109375" style="297" customWidth="1"/>
    <col min="1283" max="1283" width="26.5703125" style="297" customWidth="1"/>
    <col min="1284" max="1284" width="7.7109375" style="297" customWidth="1"/>
    <col min="1285" max="1285" width="19.42578125" style="297" customWidth="1"/>
    <col min="1286" max="1286" width="44.28515625" style="297" customWidth="1"/>
    <col min="1287" max="1287" width="17" style="297" customWidth="1"/>
    <col min="1288" max="1288" width="15.5703125" style="297" customWidth="1"/>
    <col min="1289" max="1289" width="14.140625" style="297" customWidth="1"/>
    <col min="1290" max="1290" width="1.7109375" style="297" customWidth="1"/>
    <col min="1291" max="1291" width="13.7109375" style="297" customWidth="1"/>
    <col min="1292" max="1292" width="13.85546875" style="297" bestFit="1" customWidth="1"/>
    <col min="1293" max="1293" width="2.5703125" style="297" customWidth="1"/>
    <col min="1294" max="1294" width="12.42578125" style="297" customWidth="1"/>
    <col min="1295" max="1295" width="13.5703125" style="297" customWidth="1"/>
    <col min="1296" max="1296" width="2.5703125" style="297" customWidth="1"/>
    <col min="1297" max="1297" width="12.42578125" style="297" customWidth="1"/>
    <col min="1298" max="1298" width="13.5703125" style="297" customWidth="1"/>
    <col min="1299" max="1299" width="2.5703125" style="297" customWidth="1"/>
    <col min="1300" max="1300" width="11.5703125" style="297" customWidth="1"/>
    <col min="1301" max="1301" width="13" style="297" customWidth="1"/>
    <col min="1302" max="1302" width="1.42578125" style="297" customWidth="1"/>
    <col min="1303" max="1303" width="10.5703125" style="297" customWidth="1"/>
    <col min="1304" max="1535" width="11" style="297"/>
    <col min="1536" max="1536" width="1.5703125" style="297" customWidth="1"/>
    <col min="1537" max="1537" width="8.5703125" style="297" customWidth="1"/>
    <col min="1538" max="1538" width="28.7109375" style="297" customWidth="1"/>
    <col min="1539" max="1539" width="26.5703125" style="297" customWidth="1"/>
    <col min="1540" max="1540" width="7.7109375" style="297" customWidth="1"/>
    <col min="1541" max="1541" width="19.42578125" style="297" customWidth="1"/>
    <col min="1542" max="1542" width="44.28515625" style="297" customWidth="1"/>
    <col min="1543" max="1543" width="17" style="297" customWidth="1"/>
    <col min="1544" max="1544" width="15.5703125" style="297" customWidth="1"/>
    <col min="1545" max="1545" width="14.140625" style="297" customWidth="1"/>
    <col min="1546" max="1546" width="1.7109375" style="297" customWidth="1"/>
    <col min="1547" max="1547" width="13.7109375" style="297" customWidth="1"/>
    <col min="1548" max="1548" width="13.85546875" style="297" bestFit="1" customWidth="1"/>
    <col min="1549" max="1549" width="2.5703125" style="297" customWidth="1"/>
    <col min="1550" max="1550" width="12.42578125" style="297" customWidth="1"/>
    <col min="1551" max="1551" width="13.5703125" style="297" customWidth="1"/>
    <col min="1552" max="1552" width="2.5703125" style="297" customWidth="1"/>
    <col min="1553" max="1553" width="12.42578125" style="297" customWidth="1"/>
    <col min="1554" max="1554" width="13.5703125" style="297" customWidth="1"/>
    <col min="1555" max="1555" width="2.5703125" style="297" customWidth="1"/>
    <col min="1556" max="1556" width="11.5703125" style="297" customWidth="1"/>
    <col min="1557" max="1557" width="13" style="297" customWidth="1"/>
    <col min="1558" max="1558" width="1.42578125" style="297" customWidth="1"/>
    <col min="1559" max="1559" width="10.5703125" style="297" customWidth="1"/>
    <col min="1560" max="1791" width="11" style="297"/>
    <col min="1792" max="1792" width="1.5703125" style="297" customWidth="1"/>
    <col min="1793" max="1793" width="8.5703125" style="297" customWidth="1"/>
    <col min="1794" max="1794" width="28.7109375" style="297" customWidth="1"/>
    <col min="1795" max="1795" width="26.5703125" style="297" customWidth="1"/>
    <col min="1796" max="1796" width="7.7109375" style="297" customWidth="1"/>
    <col min="1797" max="1797" width="19.42578125" style="297" customWidth="1"/>
    <col min="1798" max="1798" width="44.28515625" style="297" customWidth="1"/>
    <col min="1799" max="1799" width="17" style="297" customWidth="1"/>
    <col min="1800" max="1800" width="15.5703125" style="297" customWidth="1"/>
    <col min="1801" max="1801" width="14.140625" style="297" customWidth="1"/>
    <col min="1802" max="1802" width="1.7109375" style="297" customWidth="1"/>
    <col min="1803" max="1803" width="13.7109375" style="297" customWidth="1"/>
    <col min="1804" max="1804" width="13.85546875" style="297" bestFit="1" customWidth="1"/>
    <col min="1805" max="1805" width="2.5703125" style="297" customWidth="1"/>
    <col min="1806" max="1806" width="12.42578125" style="297" customWidth="1"/>
    <col min="1807" max="1807" width="13.5703125" style="297" customWidth="1"/>
    <col min="1808" max="1808" width="2.5703125" style="297" customWidth="1"/>
    <col min="1809" max="1809" width="12.42578125" style="297" customWidth="1"/>
    <col min="1810" max="1810" width="13.5703125" style="297" customWidth="1"/>
    <col min="1811" max="1811" width="2.5703125" style="297" customWidth="1"/>
    <col min="1812" max="1812" width="11.5703125" style="297" customWidth="1"/>
    <col min="1813" max="1813" width="13" style="297" customWidth="1"/>
    <col min="1814" max="1814" width="1.42578125" style="297" customWidth="1"/>
    <col min="1815" max="1815" width="10.5703125" style="297" customWidth="1"/>
    <col min="1816" max="2047" width="11" style="297"/>
    <col min="2048" max="2048" width="1.5703125" style="297" customWidth="1"/>
    <col min="2049" max="2049" width="8.5703125" style="297" customWidth="1"/>
    <col min="2050" max="2050" width="28.7109375" style="297" customWidth="1"/>
    <col min="2051" max="2051" width="26.5703125" style="297" customWidth="1"/>
    <col min="2052" max="2052" width="7.7109375" style="297" customWidth="1"/>
    <col min="2053" max="2053" width="19.42578125" style="297" customWidth="1"/>
    <col min="2054" max="2054" width="44.28515625" style="297" customWidth="1"/>
    <col min="2055" max="2055" width="17" style="297" customWidth="1"/>
    <col min="2056" max="2056" width="15.5703125" style="297" customWidth="1"/>
    <col min="2057" max="2057" width="14.140625" style="297" customWidth="1"/>
    <col min="2058" max="2058" width="1.7109375" style="297" customWidth="1"/>
    <col min="2059" max="2059" width="13.7109375" style="297" customWidth="1"/>
    <col min="2060" max="2060" width="13.85546875" style="297" bestFit="1" customWidth="1"/>
    <col min="2061" max="2061" width="2.5703125" style="297" customWidth="1"/>
    <col min="2062" max="2062" width="12.42578125" style="297" customWidth="1"/>
    <col min="2063" max="2063" width="13.5703125" style="297" customWidth="1"/>
    <col min="2064" max="2064" width="2.5703125" style="297" customWidth="1"/>
    <col min="2065" max="2065" width="12.42578125" style="297" customWidth="1"/>
    <col min="2066" max="2066" width="13.5703125" style="297" customWidth="1"/>
    <col min="2067" max="2067" width="2.5703125" style="297" customWidth="1"/>
    <col min="2068" max="2068" width="11.5703125" style="297" customWidth="1"/>
    <col min="2069" max="2069" width="13" style="297" customWidth="1"/>
    <col min="2070" max="2070" width="1.42578125" style="297" customWidth="1"/>
    <col min="2071" max="2071" width="10.5703125" style="297" customWidth="1"/>
    <col min="2072" max="2303" width="11" style="297"/>
    <col min="2304" max="2304" width="1.5703125" style="297" customWidth="1"/>
    <col min="2305" max="2305" width="8.5703125" style="297" customWidth="1"/>
    <col min="2306" max="2306" width="28.7109375" style="297" customWidth="1"/>
    <col min="2307" max="2307" width="26.5703125" style="297" customWidth="1"/>
    <col min="2308" max="2308" width="7.7109375" style="297" customWidth="1"/>
    <col min="2309" max="2309" width="19.42578125" style="297" customWidth="1"/>
    <col min="2310" max="2310" width="44.28515625" style="297" customWidth="1"/>
    <col min="2311" max="2311" width="17" style="297" customWidth="1"/>
    <col min="2312" max="2312" width="15.5703125" style="297" customWidth="1"/>
    <col min="2313" max="2313" width="14.140625" style="297" customWidth="1"/>
    <col min="2314" max="2314" width="1.7109375" style="297" customWidth="1"/>
    <col min="2315" max="2315" width="13.7109375" style="297" customWidth="1"/>
    <col min="2316" max="2316" width="13.85546875" style="297" bestFit="1" customWidth="1"/>
    <col min="2317" max="2317" width="2.5703125" style="297" customWidth="1"/>
    <col min="2318" max="2318" width="12.42578125" style="297" customWidth="1"/>
    <col min="2319" max="2319" width="13.5703125" style="297" customWidth="1"/>
    <col min="2320" max="2320" width="2.5703125" style="297" customWidth="1"/>
    <col min="2321" max="2321" width="12.42578125" style="297" customWidth="1"/>
    <col min="2322" max="2322" width="13.5703125" style="297" customWidth="1"/>
    <col min="2323" max="2323" width="2.5703125" style="297" customWidth="1"/>
    <col min="2324" max="2324" width="11.5703125" style="297" customWidth="1"/>
    <col min="2325" max="2325" width="13" style="297" customWidth="1"/>
    <col min="2326" max="2326" width="1.42578125" style="297" customWidth="1"/>
    <col min="2327" max="2327" width="10.5703125" style="297" customWidth="1"/>
    <col min="2328" max="2559" width="11" style="297"/>
    <col min="2560" max="2560" width="1.5703125" style="297" customWidth="1"/>
    <col min="2561" max="2561" width="8.5703125" style="297" customWidth="1"/>
    <col min="2562" max="2562" width="28.7109375" style="297" customWidth="1"/>
    <col min="2563" max="2563" width="26.5703125" style="297" customWidth="1"/>
    <col min="2564" max="2564" width="7.7109375" style="297" customWidth="1"/>
    <col min="2565" max="2565" width="19.42578125" style="297" customWidth="1"/>
    <col min="2566" max="2566" width="44.28515625" style="297" customWidth="1"/>
    <col min="2567" max="2567" width="17" style="297" customWidth="1"/>
    <col min="2568" max="2568" width="15.5703125" style="297" customWidth="1"/>
    <col min="2569" max="2569" width="14.140625" style="297" customWidth="1"/>
    <col min="2570" max="2570" width="1.7109375" style="297" customWidth="1"/>
    <col min="2571" max="2571" width="13.7109375" style="297" customWidth="1"/>
    <col min="2572" max="2572" width="13.85546875" style="297" bestFit="1" customWidth="1"/>
    <col min="2573" max="2573" width="2.5703125" style="297" customWidth="1"/>
    <col min="2574" max="2574" width="12.42578125" style="297" customWidth="1"/>
    <col min="2575" max="2575" width="13.5703125" style="297" customWidth="1"/>
    <col min="2576" max="2576" width="2.5703125" style="297" customWidth="1"/>
    <col min="2577" max="2577" width="12.42578125" style="297" customWidth="1"/>
    <col min="2578" max="2578" width="13.5703125" style="297" customWidth="1"/>
    <col min="2579" max="2579" width="2.5703125" style="297" customWidth="1"/>
    <col min="2580" max="2580" width="11.5703125" style="297" customWidth="1"/>
    <col min="2581" max="2581" width="13" style="297" customWidth="1"/>
    <col min="2582" max="2582" width="1.42578125" style="297" customWidth="1"/>
    <col min="2583" max="2583" width="10.5703125" style="297" customWidth="1"/>
    <col min="2584" max="2815" width="11" style="297"/>
    <col min="2816" max="2816" width="1.5703125" style="297" customWidth="1"/>
    <col min="2817" max="2817" width="8.5703125" style="297" customWidth="1"/>
    <col min="2818" max="2818" width="28.7109375" style="297" customWidth="1"/>
    <col min="2819" max="2819" width="26.5703125" style="297" customWidth="1"/>
    <col min="2820" max="2820" width="7.7109375" style="297" customWidth="1"/>
    <col min="2821" max="2821" width="19.42578125" style="297" customWidth="1"/>
    <col min="2822" max="2822" width="44.28515625" style="297" customWidth="1"/>
    <col min="2823" max="2823" width="17" style="297" customWidth="1"/>
    <col min="2824" max="2824" width="15.5703125" style="297" customWidth="1"/>
    <col min="2825" max="2825" width="14.140625" style="297" customWidth="1"/>
    <col min="2826" max="2826" width="1.7109375" style="297" customWidth="1"/>
    <col min="2827" max="2827" width="13.7109375" style="297" customWidth="1"/>
    <col min="2828" max="2828" width="13.85546875" style="297" bestFit="1" customWidth="1"/>
    <col min="2829" max="2829" width="2.5703125" style="297" customWidth="1"/>
    <col min="2830" max="2830" width="12.42578125" style="297" customWidth="1"/>
    <col min="2831" max="2831" width="13.5703125" style="297" customWidth="1"/>
    <col min="2832" max="2832" width="2.5703125" style="297" customWidth="1"/>
    <col min="2833" max="2833" width="12.42578125" style="297" customWidth="1"/>
    <col min="2834" max="2834" width="13.5703125" style="297" customWidth="1"/>
    <col min="2835" max="2835" width="2.5703125" style="297" customWidth="1"/>
    <col min="2836" max="2836" width="11.5703125" style="297" customWidth="1"/>
    <col min="2837" max="2837" width="13" style="297" customWidth="1"/>
    <col min="2838" max="2838" width="1.42578125" style="297" customWidth="1"/>
    <col min="2839" max="2839" width="10.5703125" style="297" customWidth="1"/>
    <col min="2840" max="3071" width="11" style="297"/>
    <col min="3072" max="3072" width="1.5703125" style="297" customWidth="1"/>
    <col min="3073" max="3073" width="8.5703125" style="297" customWidth="1"/>
    <col min="3074" max="3074" width="28.7109375" style="297" customWidth="1"/>
    <col min="3075" max="3075" width="26.5703125" style="297" customWidth="1"/>
    <col min="3076" max="3076" width="7.7109375" style="297" customWidth="1"/>
    <col min="3077" max="3077" width="19.42578125" style="297" customWidth="1"/>
    <col min="3078" max="3078" width="44.28515625" style="297" customWidth="1"/>
    <col min="3079" max="3079" width="17" style="297" customWidth="1"/>
    <col min="3080" max="3080" width="15.5703125" style="297" customWidth="1"/>
    <col min="3081" max="3081" width="14.140625" style="297" customWidth="1"/>
    <col min="3082" max="3082" width="1.7109375" style="297" customWidth="1"/>
    <col min="3083" max="3083" width="13.7109375" style="297" customWidth="1"/>
    <col min="3084" max="3084" width="13.85546875" style="297" bestFit="1" customWidth="1"/>
    <col min="3085" max="3085" width="2.5703125" style="297" customWidth="1"/>
    <col min="3086" max="3086" width="12.42578125" style="297" customWidth="1"/>
    <col min="3087" max="3087" width="13.5703125" style="297" customWidth="1"/>
    <col min="3088" max="3088" width="2.5703125" style="297" customWidth="1"/>
    <col min="3089" max="3089" width="12.42578125" style="297" customWidth="1"/>
    <col min="3090" max="3090" width="13.5703125" style="297" customWidth="1"/>
    <col min="3091" max="3091" width="2.5703125" style="297" customWidth="1"/>
    <col min="3092" max="3092" width="11.5703125" style="297" customWidth="1"/>
    <col min="3093" max="3093" width="13" style="297" customWidth="1"/>
    <col min="3094" max="3094" width="1.42578125" style="297" customWidth="1"/>
    <col min="3095" max="3095" width="10.5703125" style="297" customWidth="1"/>
    <col min="3096" max="3327" width="11" style="297"/>
    <col min="3328" max="3328" width="1.5703125" style="297" customWidth="1"/>
    <col min="3329" max="3329" width="8.5703125" style="297" customWidth="1"/>
    <col min="3330" max="3330" width="28.7109375" style="297" customWidth="1"/>
    <col min="3331" max="3331" width="26.5703125" style="297" customWidth="1"/>
    <col min="3332" max="3332" width="7.7109375" style="297" customWidth="1"/>
    <col min="3333" max="3333" width="19.42578125" style="297" customWidth="1"/>
    <col min="3334" max="3334" width="44.28515625" style="297" customWidth="1"/>
    <col min="3335" max="3335" width="17" style="297" customWidth="1"/>
    <col min="3336" max="3336" width="15.5703125" style="297" customWidth="1"/>
    <col min="3337" max="3337" width="14.140625" style="297" customWidth="1"/>
    <col min="3338" max="3338" width="1.7109375" style="297" customWidth="1"/>
    <col min="3339" max="3339" width="13.7109375" style="297" customWidth="1"/>
    <col min="3340" max="3340" width="13.85546875" style="297" bestFit="1" customWidth="1"/>
    <col min="3341" max="3341" width="2.5703125" style="297" customWidth="1"/>
    <col min="3342" max="3342" width="12.42578125" style="297" customWidth="1"/>
    <col min="3343" max="3343" width="13.5703125" style="297" customWidth="1"/>
    <col min="3344" max="3344" width="2.5703125" style="297" customWidth="1"/>
    <col min="3345" max="3345" width="12.42578125" style="297" customWidth="1"/>
    <col min="3346" max="3346" width="13.5703125" style="297" customWidth="1"/>
    <col min="3347" max="3347" width="2.5703125" style="297" customWidth="1"/>
    <col min="3348" max="3348" width="11.5703125" style="297" customWidth="1"/>
    <col min="3349" max="3349" width="13" style="297" customWidth="1"/>
    <col min="3350" max="3350" width="1.42578125" style="297" customWidth="1"/>
    <col min="3351" max="3351" width="10.5703125" style="297" customWidth="1"/>
    <col min="3352" max="3583" width="11" style="297"/>
    <col min="3584" max="3584" width="1.5703125" style="297" customWidth="1"/>
    <col min="3585" max="3585" width="8.5703125" style="297" customWidth="1"/>
    <col min="3586" max="3586" width="28.7109375" style="297" customWidth="1"/>
    <col min="3587" max="3587" width="26.5703125" style="297" customWidth="1"/>
    <col min="3588" max="3588" width="7.7109375" style="297" customWidth="1"/>
    <col min="3589" max="3589" width="19.42578125" style="297" customWidth="1"/>
    <col min="3590" max="3590" width="44.28515625" style="297" customWidth="1"/>
    <col min="3591" max="3591" width="17" style="297" customWidth="1"/>
    <col min="3592" max="3592" width="15.5703125" style="297" customWidth="1"/>
    <col min="3593" max="3593" width="14.140625" style="297" customWidth="1"/>
    <col min="3594" max="3594" width="1.7109375" style="297" customWidth="1"/>
    <col min="3595" max="3595" width="13.7109375" style="297" customWidth="1"/>
    <col min="3596" max="3596" width="13.85546875" style="297" bestFit="1" customWidth="1"/>
    <col min="3597" max="3597" width="2.5703125" style="297" customWidth="1"/>
    <col min="3598" max="3598" width="12.42578125" style="297" customWidth="1"/>
    <col min="3599" max="3599" width="13.5703125" style="297" customWidth="1"/>
    <col min="3600" max="3600" width="2.5703125" style="297" customWidth="1"/>
    <col min="3601" max="3601" width="12.42578125" style="297" customWidth="1"/>
    <col min="3602" max="3602" width="13.5703125" style="297" customWidth="1"/>
    <col min="3603" max="3603" width="2.5703125" style="297" customWidth="1"/>
    <col min="3604" max="3604" width="11.5703125" style="297" customWidth="1"/>
    <col min="3605" max="3605" width="13" style="297" customWidth="1"/>
    <col min="3606" max="3606" width="1.42578125" style="297" customWidth="1"/>
    <col min="3607" max="3607" width="10.5703125" style="297" customWidth="1"/>
    <col min="3608" max="3839" width="11" style="297"/>
    <col min="3840" max="3840" width="1.5703125" style="297" customWidth="1"/>
    <col min="3841" max="3841" width="8.5703125" style="297" customWidth="1"/>
    <col min="3842" max="3842" width="28.7109375" style="297" customWidth="1"/>
    <col min="3843" max="3843" width="26.5703125" style="297" customWidth="1"/>
    <col min="3844" max="3844" width="7.7109375" style="297" customWidth="1"/>
    <col min="3845" max="3845" width="19.42578125" style="297" customWidth="1"/>
    <col min="3846" max="3846" width="44.28515625" style="297" customWidth="1"/>
    <col min="3847" max="3847" width="17" style="297" customWidth="1"/>
    <col min="3848" max="3848" width="15.5703125" style="297" customWidth="1"/>
    <col min="3849" max="3849" width="14.140625" style="297" customWidth="1"/>
    <col min="3850" max="3850" width="1.7109375" style="297" customWidth="1"/>
    <col min="3851" max="3851" width="13.7109375" style="297" customWidth="1"/>
    <col min="3852" max="3852" width="13.85546875" style="297" bestFit="1" customWidth="1"/>
    <col min="3853" max="3853" width="2.5703125" style="297" customWidth="1"/>
    <col min="3854" max="3854" width="12.42578125" style="297" customWidth="1"/>
    <col min="3855" max="3855" width="13.5703125" style="297" customWidth="1"/>
    <col min="3856" max="3856" width="2.5703125" style="297" customWidth="1"/>
    <col min="3857" max="3857" width="12.42578125" style="297" customWidth="1"/>
    <col min="3858" max="3858" width="13.5703125" style="297" customWidth="1"/>
    <col min="3859" max="3859" width="2.5703125" style="297" customWidth="1"/>
    <col min="3860" max="3860" width="11.5703125" style="297" customWidth="1"/>
    <col min="3861" max="3861" width="13" style="297" customWidth="1"/>
    <col min="3862" max="3862" width="1.42578125" style="297" customWidth="1"/>
    <col min="3863" max="3863" width="10.5703125" style="297" customWidth="1"/>
    <col min="3864" max="4095" width="11" style="297"/>
    <col min="4096" max="4096" width="1.5703125" style="297" customWidth="1"/>
    <col min="4097" max="4097" width="8.5703125" style="297" customWidth="1"/>
    <col min="4098" max="4098" width="28.7109375" style="297" customWidth="1"/>
    <col min="4099" max="4099" width="26.5703125" style="297" customWidth="1"/>
    <col min="4100" max="4100" width="7.7109375" style="297" customWidth="1"/>
    <col min="4101" max="4101" width="19.42578125" style="297" customWidth="1"/>
    <col min="4102" max="4102" width="44.28515625" style="297" customWidth="1"/>
    <col min="4103" max="4103" width="17" style="297" customWidth="1"/>
    <col min="4104" max="4104" width="15.5703125" style="297" customWidth="1"/>
    <col min="4105" max="4105" width="14.140625" style="297" customWidth="1"/>
    <col min="4106" max="4106" width="1.7109375" style="297" customWidth="1"/>
    <col min="4107" max="4107" width="13.7109375" style="297" customWidth="1"/>
    <col min="4108" max="4108" width="13.85546875" style="297" bestFit="1" customWidth="1"/>
    <col min="4109" max="4109" width="2.5703125" style="297" customWidth="1"/>
    <col min="4110" max="4110" width="12.42578125" style="297" customWidth="1"/>
    <col min="4111" max="4111" width="13.5703125" style="297" customWidth="1"/>
    <col min="4112" max="4112" width="2.5703125" style="297" customWidth="1"/>
    <col min="4113" max="4113" width="12.42578125" style="297" customWidth="1"/>
    <col min="4114" max="4114" width="13.5703125" style="297" customWidth="1"/>
    <col min="4115" max="4115" width="2.5703125" style="297" customWidth="1"/>
    <col min="4116" max="4116" width="11.5703125" style="297" customWidth="1"/>
    <col min="4117" max="4117" width="13" style="297" customWidth="1"/>
    <col min="4118" max="4118" width="1.42578125" style="297" customWidth="1"/>
    <col min="4119" max="4119" width="10.5703125" style="297" customWidth="1"/>
    <col min="4120" max="4351" width="11" style="297"/>
    <col min="4352" max="4352" width="1.5703125" style="297" customWidth="1"/>
    <col min="4353" max="4353" width="8.5703125" style="297" customWidth="1"/>
    <col min="4354" max="4354" width="28.7109375" style="297" customWidth="1"/>
    <col min="4355" max="4355" width="26.5703125" style="297" customWidth="1"/>
    <col min="4356" max="4356" width="7.7109375" style="297" customWidth="1"/>
    <col min="4357" max="4357" width="19.42578125" style="297" customWidth="1"/>
    <col min="4358" max="4358" width="44.28515625" style="297" customWidth="1"/>
    <col min="4359" max="4359" width="17" style="297" customWidth="1"/>
    <col min="4360" max="4360" width="15.5703125" style="297" customWidth="1"/>
    <col min="4361" max="4361" width="14.140625" style="297" customWidth="1"/>
    <col min="4362" max="4362" width="1.7109375" style="297" customWidth="1"/>
    <col min="4363" max="4363" width="13.7109375" style="297" customWidth="1"/>
    <col min="4364" max="4364" width="13.85546875" style="297" bestFit="1" customWidth="1"/>
    <col min="4365" max="4365" width="2.5703125" style="297" customWidth="1"/>
    <col min="4366" max="4366" width="12.42578125" style="297" customWidth="1"/>
    <col min="4367" max="4367" width="13.5703125" style="297" customWidth="1"/>
    <col min="4368" max="4368" width="2.5703125" style="297" customWidth="1"/>
    <col min="4369" max="4369" width="12.42578125" style="297" customWidth="1"/>
    <col min="4370" max="4370" width="13.5703125" style="297" customWidth="1"/>
    <col min="4371" max="4371" width="2.5703125" style="297" customWidth="1"/>
    <col min="4372" max="4372" width="11.5703125" style="297" customWidth="1"/>
    <col min="4373" max="4373" width="13" style="297" customWidth="1"/>
    <col min="4374" max="4374" width="1.42578125" style="297" customWidth="1"/>
    <col min="4375" max="4375" width="10.5703125" style="297" customWidth="1"/>
    <col min="4376" max="4607" width="11" style="297"/>
    <col min="4608" max="4608" width="1.5703125" style="297" customWidth="1"/>
    <col min="4609" max="4609" width="8.5703125" style="297" customWidth="1"/>
    <col min="4610" max="4610" width="28.7109375" style="297" customWidth="1"/>
    <col min="4611" max="4611" width="26.5703125" style="297" customWidth="1"/>
    <col min="4612" max="4612" width="7.7109375" style="297" customWidth="1"/>
    <col min="4613" max="4613" width="19.42578125" style="297" customWidth="1"/>
    <col min="4614" max="4614" width="44.28515625" style="297" customWidth="1"/>
    <col min="4615" max="4615" width="17" style="297" customWidth="1"/>
    <col min="4616" max="4616" width="15.5703125" style="297" customWidth="1"/>
    <col min="4617" max="4617" width="14.140625" style="297" customWidth="1"/>
    <col min="4618" max="4618" width="1.7109375" style="297" customWidth="1"/>
    <col min="4619" max="4619" width="13.7109375" style="297" customWidth="1"/>
    <col min="4620" max="4620" width="13.85546875" style="297" bestFit="1" customWidth="1"/>
    <col min="4621" max="4621" width="2.5703125" style="297" customWidth="1"/>
    <col min="4622" max="4622" width="12.42578125" style="297" customWidth="1"/>
    <col min="4623" max="4623" width="13.5703125" style="297" customWidth="1"/>
    <col min="4624" max="4624" width="2.5703125" style="297" customWidth="1"/>
    <col min="4625" max="4625" width="12.42578125" style="297" customWidth="1"/>
    <col min="4626" max="4626" width="13.5703125" style="297" customWidth="1"/>
    <col min="4627" max="4627" width="2.5703125" style="297" customWidth="1"/>
    <col min="4628" max="4628" width="11.5703125" style="297" customWidth="1"/>
    <col min="4629" max="4629" width="13" style="297" customWidth="1"/>
    <col min="4630" max="4630" width="1.42578125" style="297" customWidth="1"/>
    <col min="4631" max="4631" width="10.5703125" style="297" customWidth="1"/>
    <col min="4632" max="4863" width="11" style="297"/>
    <col min="4864" max="4864" width="1.5703125" style="297" customWidth="1"/>
    <col min="4865" max="4865" width="8.5703125" style="297" customWidth="1"/>
    <col min="4866" max="4866" width="28.7109375" style="297" customWidth="1"/>
    <col min="4867" max="4867" width="26.5703125" style="297" customWidth="1"/>
    <col min="4868" max="4868" width="7.7109375" style="297" customWidth="1"/>
    <col min="4869" max="4869" width="19.42578125" style="297" customWidth="1"/>
    <col min="4870" max="4870" width="44.28515625" style="297" customWidth="1"/>
    <col min="4871" max="4871" width="17" style="297" customWidth="1"/>
    <col min="4872" max="4872" width="15.5703125" style="297" customWidth="1"/>
    <col min="4873" max="4873" width="14.140625" style="297" customWidth="1"/>
    <col min="4874" max="4874" width="1.7109375" style="297" customWidth="1"/>
    <col min="4875" max="4875" width="13.7109375" style="297" customWidth="1"/>
    <col min="4876" max="4876" width="13.85546875" style="297" bestFit="1" customWidth="1"/>
    <col min="4877" max="4877" width="2.5703125" style="297" customWidth="1"/>
    <col min="4878" max="4878" width="12.42578125" style="297" customWidth="1"/>
    <col min="4879" max="4879" width="13.5703125" style="297" customWidth="1"/>
    <col min="4880" max="4880" width="2.5703125" style="297" customWidth="1"/>
    <col min="4881" max="4881" width="12.42578125" style="297" customWidth="1"/>
    <col min="4882" max="4882" width="13.5703125" style="297" customWidth="1"/>
    <col min="4883" max="4883" width="2.5703125" style="297" customWidth="1"/>
    <col min="4884" max="4884" width="11.5703125" style="297" customWidth="1"/>
    <col min="4885" max="4885" width="13" style="297" customWidth="1"/>
    <col min="4886" max="4886" width="1.42578125" style="297" customWidth="1"/>
    <col min="4887" max="4887" width="10.5703125" style="297" customWidth="1"/>
    <col min="4888" max="5119" width="11" style="297"/>
    <col min="5120" max="5120" width="1.5703125" style="297" customWidth="1"/>
    <col min="5121" max="5121" width="8.5703125" style="297" customWidth="1"/>
    <col min="5122" max="5122" width="28.7109375" style="297" customWidth="1"/>
    <col min="5123" max="5123" width="26.5703125" style="297" customWidth="1"/>
    <col min="5124" max="5124" width="7.7109375" style="297" customWidth="1"/>
    <col min="5125" max="5125" width="19.42578125" style="297" customWidth="1"/>
    <col min="5126" max="5126" width="44.28515625" style="297" customWidth="1"/>
    <col min="5127" max="5127" width="17" style="297" customWidth="1"/>
    <col min="5128" max="5128" width="15.5703125" style="297" customWidth="1"/>
    <col min="5129" max="5129" width="14.140625" style="297" customWidth="1"/>
    <col min="5130" max="5130" width="1.7109375" style="297" customWidth="1"/>
    <col min="5131" max="5131" width="13.7109375" style="297" customWidth="1"/>
    <col min="5132" max="5132" width="13.85546875" style="297" bestFit="1" customWidth="1"/>
    <col min="5133" max="5133" width="2.5703125" style="297" customWidth="1"/>
    <col min="5134" max="5134" width="12.42578125" style="297" customWidth="1"/>
    <col min="5135" max="5135" width="13.5703125" style="297" customWidth="1"/>
    <col min="5136" max="5136" width="2.5703125" style="297" customWidth="1"/>
    <col min="5137" max="5137" width="12.42578125" style="297" customWidth="1"/>
    <col min="5138" max="5138" width="13.5703125" style="297" customWidth="1"/>
    <col min="5139" max="5139" width="2.5703125" style="297" customWidth="1"/>
    <col min="5140" max="5140" width="11.5703125" style="297" customWidth="1"/>
    <col min="5141" max="5141" width="13" style="297" customWidth="1"/>
    <col min="5142" max="5142" width="1.42578125" style="297" customWidth="1"/>
    <col min="5143" max="5143" width="10.5703125" style="297" customWidth="1"/>
    <col min="5144" max="5375" width="11" style="297"/>
    <col min="5376" max="5376" width="1.5703125" style="297" customWidth="1"/>
    <col min="5377" max="5377" width="8.5703125" style="297" customWidth="1"/>
    <col min="5378" max="5378" width="28.7109375" style="297" customWidth="1"/>
    <col min="5379" max="5379" width="26.5703125" style="297" customWidth="1"/>
    <col min="5380" max="5380" width="7.7109375" style="297" customWidth="1"/>
    <col min="5381" max="5381" width="19.42578125" style="297" customWidth="1"/>
    <col min="5382" max="5382" width="44.28515625" style="297" customWidth="1"/>
    <col min="5383" max="5383" width="17" style="297" customWidth="1"/>
    <col min="5384" max="5384" width="15.5703125" style="297" customWidth="1"/>
    <col min="5385" max="5385" width="14.140625" style="297" customWidth="1"/>
    <col min="5386" max="5386" width="1.7109375" style="297" customWidth="1"/>
    <col min="5387" max="5387" width="13.7109375" style="297" customWidth="1"/>
    <col min="5388" max="5388" width="13.85546875" style="297" bestFit="1" customWidth="1"/>
    <col min="5389" max="5389" width="2.5703125" style="297" customWidth="1"/>
    <col min="5390" max="5390" width="12.42578125" style="297" customWidth="1"/>
    <col min="5391" max="5391" width="13.5703125" style="297" customWidth="1"/>
    <col min="5392" max="5392" width="2.5703125" style="297" customWidth="1"/>
    <col min="5393" max="5393" width="12.42578125" style="297" customWidth="1"/>
    <col min="5394" max="5394" width="13.5703125" style="297" customWidth="1"/>
    <col min="5395" max="5395" width="2.5703125" style="297" customWidth="1"/>
    <col min="5396" max="5396" width="11.5703125" style="297" customWidth="1"/>
    <col min="5397" max="5397" width="13" style="297" customWidth="1"/>
    <col min="5398" max="5398" width="1.42578125" style="297" customWidth="1"/>
    <col min="5399" max="5399" width="10.5703125" style="297" customWidth="1"/>
    <col min="5400" max="5631" width="11" style="297"/>
    <col min="5632" max="5632" width="1.5703125" style="297" customWidth="1"/>
    <col min="5633" max="5633" width="8.5703125" style="297" customWidth="1"/>
    <col min="5634" max="5634" width="28.7109375" style="297" customWidth="1"/>
    <col min="5635" max="5635" width="26.5703125" style="297" customWidth="1"/>
    <col min="5636" max="5636" width="7.7109375" style="297" customWidth="1"/>
    <col min="5637" max="5637" width="19.42578125" style="297" customWidth="1"/>
    <col min="5638" max="5638" width="44.28515625" style="297" customWidth="1"/>
    <col min="5639" max="5639" width="17" style="297" customWidth="1"/>
    <col min="5640" max="5640" width="15.5703125" style="297" customWidth="1"/>
    <col min="5641" max="5641" width="14.140625" style="297" customWidth="1"/>
    <col min="5642" max="5642" width="1.7109375" style="297" customWidth="1"/>
    <col min="5643" max="5643" width="13.7109375" style="297" customWidth="1"/>
    <col min="5644" max="5644" width="13.85546875" style="297" bestFit="1" customWidth="1"/>
    <col min="5645" max="5645" width="2.5703125" style="297" customWidth="1"/>
    <col min="5646" max="5646" width="12.42578125" style="297" customWidth="1"/>
    <col min="5647" max="5647" width="13.5703125" style="297" customWidth="1"/>
    <col min="5648" max="5648" width="2.5703125" style="297" customWidth="1"/>
    <col min="5649" max="5649" width="12.42578125" style="297" customWidth="1"/>
    <col min="5650" max="5650" width="13.5703125" style="297" customWidth="1"/>
    <col min="5651" max="5651" width="2.5703125" style="297" customWidth="1"/>
    <col min="5652" max="5652" width="11.5703125" style="297" customWidth="1"/>
    <col min="5653" max="5653" width="13" style="297" customWidth="1"/>
    <col min="5654" max="5654" width="1.42578125" style="297" customWidth="1"/>
    <col min="5655" max="5655" width="10.5703125" style="297" customWidth="1"/>
    <col min="5656" max="5887" width="11" style="297"/>
    <col min="5888" max="5888" width="1.5703125" style="297" customWidth="1"/>
    <col min="5889" max="5889" width="8.5703125" style="297" customWidth="1"/>
    <col min="5890" max="5890" width="28.7109375" style="297" customWidth="1"/>
    <col min="5891" max="5891" width="26.5703125" style="297" customWidth="1"/>
    <col min="5892" max="5892" width="7.7109375" style="297" customWidth="1"/>
    <col min="5893" max="5893" width="19.42578125" style="297" customWidth="1"/>
    <col min="5894" max="5894" width="44.28515625" style="297" customWidth="1"/>
    <col min="5895" max="5895" width="17" style="297" customWidth="1"/>
    <col min="5896" max="5896" width="15.5703125" style="297" customWidth="1"/>
    <col min="5897" max="5897" width="14.140625" style="297" customWidth="1"/>
    <col min="5898" max="5898" width="1.7109375" style="297" customWidth="1"/>
    <col min="5899" max="5899" width="13.7109375" style="297" customWidth="1"/>
    <col min="5900" max="5900" width="13.85546875" style="297" bestFit="1" customWidth="1"/>
    <col min="5901" max="5901" width="2.5703125" style="297" customWidth="1"/>
    <col min="5902" max="5902" width="12.42578125" style="297" customWidth="1"/>
    <col min="5903" max="5903" width="13.5703125" style="297" customWidth="1"/>
    <col min="5904" max="5904" width="2.5703125" style="297" customWidth="1"/>
    <col min="5905" max="5905" width="12.42578125" style="297" customWidth="1"/>
    <col min="5906" max="5906" width="13.5703125" style="297" customWidth="1"/>
    <col min="5907" max="5907" width="2.5703125" style="297" customWidth="1"/>
    <col min="5908" max="5908" width="11.5703125" style="297" customWidth="1"/>
    <col min="5909" max="5909" width="13" style="297" customWidth="1"/>
    <col min="5910" max="5910" width="1.42578125" style="297" customWidth="1"/>
    <col min="5911" max="5911" width="10.5703125" style="297" customWidth="1"/>
    <col min="5912" max="6143" width="11" style="297"/>
    <col min="6144" max="6144" width="1.5703125" style="297" customWidth="1"/>
    <col min="6145" max="6145" width="8.5703125" style="297" customWidth="1"/>
    <col min="6146" max="6146" width="28.7109375" style="297" customWidth="1"/>
    <col min="6147" max="6147" width="26.5703125" style="297" customWidth="1"/>
    <col min="6148" max="6148" width="7.7109375" style="297" customWidth="1"/>
    <col min="6149" max="6149" width="19.42578125" style="297" customWidth="1"/>
    <col min="6150" max="6150" width="44.28515625" style="297" customWidth="1"/>
    <col min="6151" max="6151" width="17" style="297" customWidth="1"/>
    <col min="6152" max="6152" width="15.5703125" style="297" customWidth="1"/>
    <col min="6153" max="6153" width="14.140625" style="297" customWidth="1"/>
    <col min="6154" max="6154" width="1.7109375" style="297" customWidth="1"/>
    <col min="6155" max="6155" width="13.7109375" style="297" customWidth="1"/>
    <col min="6156" max="6156" width="13.85546875" style="297" bestFit="1" customWidth="1"/>
    <col min="6157" max="6157" width="2.5703125" style="297" customWidth="1"/>
    <col min="6158" max="6158" width="12.42578125" style="297" customWidth="1"/>
    <col min="6159" max="6159" width="13.5703125" style="297" customWidth="1"/>
    <col min="6160" max="6160" width="2.5703125" style="297" customWidth="1"/>
    <col min="6161" max="6161" width="12.42578125" style="297" customWidth="1"/>
    <col min="6162" max="6162" width="13.5703125" style="297" customWidth="1"/>
    <col min="6163" max="6163" width="2.5703125" style="297" customWidth="1"/>
    <col min="6164" max="6164" width="11.5703125" style="297" customWidth="1"/>
    <col min="6165" max="6165" width="13" style="297" customWidth="1"/>
    <col min="6166" max="6166" width="1.42578125" style="297" customWidth="1"/>
    <col min="6167" max="6167" width="10.5703125" style="297" customWidth="1"/>
    <col min="6168" max="6399" width="11" style="297"/>
    <col min="6400" max="6400" width="1.5703125" style="297" customWidth="1"/>
    <col min="6401" max="6401" width="8.5703125" style="297" customWidth="1"/>
    <col min="6402" max="6402" width="28.7109375" style="297" customWidth="1"/>
    <col min="6403" max="6403" width="26.5703125" style="297" customWidth="1"/>
    <col min="6404" max="6404" width="7.7109375" style="297" customWidth="1"/>
    <col min="6405" max="6405" width="19.42578125" style="297" customWidth="1"/>
    <col min="6406" max="6406" width="44.28515625" style="297" customWidth="1"/>
    <col min="6407" max="6407" width="17" style="297" customWidth="1"/>
    <col min="6408" max="6408" width="15.5703125" style="297" customWidth="1"/>
    <col min="6409" max="6409" width="14.140625" style="297" customWidth="1"/>
    <col min="6410" max="6410" width="1.7109375" style="297" customWidth="1"/>
    <col min="6411" max="6411" width="13.7109375" style="297" customWidth="1"/>
    <col min="6412" max="6412" width="13.85546875" style="297" bestFit="1" customWidth="1"/>
    <col min="6413" max="6413" width="2.5703125" style="297" customWidth="1"/>
    <col min="6414" max="6414" width="12.42578125" style="297" customWidth="1"/>
    <col min="6415" max="6415" width="13.5703125" style="297" customWidth="1"/>
    <col min="6416" max="6416" width="2.5703125" style="297" customWidth="1"/>
    <col min="6417" max="6417" width="12.42578125" style="297" customWidth="1"/>
    <col min="6418" max="6418" width="13.5703125" style="297" customWidth="1"/>
    <col min="6419" max="6419" width="2.5703125" style="297" customWidth="1"/>
    <col min="6420" max="6420" width="11.5703125" style="297" customWidth="1"/>
    <col min="6421" max="6421" width="13" style="297" customWidth="1"/>
    <col min="6422" max="6422" width="1.42578125" style="297" customWidth="1"/>
    <col min="6423" max="6423" width="10.5703125" style="297" customWidth="1"/>
    <col min="6424" max="6655" width="11" style="297"/>
    <col min="6656" max="6656" width="1.5703125" style="297" customWidth="1"/>
    <col min="6657" max="6657" width="8.5703125" style="297" customWidth="1"/>
    <col min="6658" max="6658" width="28.7109375" style="297" customWidth="1"/>
    <col min="6659" max="6659" width="26.5703125" style="297" customWidth="1"/>
    <col min="6660" max="6660" width="7.7109375" style="297" customWidth="1"/>
    <col min="6661" max="6661" width="19.42578125" style="297" customWidth="1"/>
    <col min="6662" max="6662" width="44.28515625" style="297" customWidth="1"/>
    <col min="6663" max="6663" width="17" style="297" customWidth="1"/>
    <col min="6664" max="6664" width="15.5703125" style="297" customWidth="1"/>
    <col min="6665" max="6665" width="14.140625" style="297" customWidth="1"/>
    <col min="6666" max="6666" width="1.7109375" style="297" customWidth="1"/>
    <col min="6667" max="6667" width="13.7109375" style="297" customWidth="1"/>
    <col min="6668" max="6668" width="13.85546875" style="297" bestFit="1" customWidth="1"/>
    <col min="6669" max="6669" width="2.5703125" style="297" customWidth="1"/>
    <col min="6670" max="6670" width="12.42578125" style="297" customWidth="1"/>
    <col min="6671" max="6671" width="13.5703125" style="297" customWidth="1"/>
    <col min="6672" max="6672" width="2.5703125" style="297" customWidth="1"/>
    <col min="6673" max="6673" width="12.42578125" style="297" customWidth="1"/>
    <col min="6674" max="6674" width="13.5703125" style="297" customWidth="1"/>
    <col min="6675" max="6675" width="2.5703125" style="297" customWidth="1"/>
    <col min="6676" max="6676" width="11.5703125" style="297" customWidth="1"/>
    <col min="6677" max="6677" width="13" style="297" customWidth="1"/>
    <col min="6678" max="6678" width="1.42578125" style="297" customWidth="1"/>
    <col min="6679" max="6679" width="10.5703125" style="297" customWidth="1"/>
    <col min="6680" max="6911" width="11" style="297"/>
    <col min="6912" max="6912" width="1.5703125" style="297" customWidth="1"/>
    <col min="6913" max="6913" width="8.5703125" style="297" customWidth="1"/>
    <col min="6914" max="6914" width="28.7109375" style="297" customWidth="1"/>
    <col min="6915" max="6915" width="26.5703125" style="297" customWidth="1"/>
    <col min="6916" max="6916" width="7.7109375" style="297" customWidth="1"/>
    <col min="6917" max="6917" width="19.42578125" style="297" customWidth="1"/>
    <col min="6918" max="6918" width="44.28515625" style="297" customWidth="1"/>
    <col min="6919" max="6919" width="17" style="297" customWidth="1"/>
    <col min="6920" max="6920" width="15.5703125" style="297" customWidth="1"/>
    <col min="6921" max="6921" width="14.140625" style="297" customWidth="1"/>
    <col min="6922" max="6922" width="1.7109375" style="297" customWidth="1"/>
    <col min="6923" max="6923" width="13.7109375" style="297" customWidth="1"/>
    <col min="6924" max="6924" width="13.85546875" style="297" bestFit="1" customWidth="1"/>
    <col min="6925" max="6925" width="2.5703125" style="297" customWidth="1"/>
    <col min="6926" max="6926" width="12.42578125" style="297" customWidth="1"/>
    <col min="6927" max="6927" width="13.5703125" style="297" customWidth="1"/>
    <col min="6928" max="6928" width="2.5703125" style="297" customWidth="1"/>
    <col min="6929" max="6929" width="12.42578125" style="297" customWidth="1"/>
    <col min="6930" max="6930" width="13.5703125" style="297" customWidth="1"/>
    <col min="6931" max="6931" width="2.5703125" style="297" customWidth="1"/>
    <col min="6932" max="6932" width="11.5703125" style="297" customWidth="1"/>
    <col min="6933" max="6933" width="13" style="297" customWidth="1"/>
    <col min="6934" max="6934" width="1.42578125" style="297" customWidth="1"/>
    <col min="6935" max="6935" width="10.5703125" style="297" customWidth="1"/>
    <col min="6936" max="7167" width="11" style="297"/>
    <col min="7168" max="7168" width="1.5703125" style="297" customWidth="1"/>
    <col min="7169" max="7169" width="8.5703125" style="297" customWidth="1"/>
    <col min="7170" max="7170" width="28.7109375" style="297" customWidth="1"/>
    <col min="7171" max="7171" width="26.5703125" style="297" customWidth="1"/>
    <col min="7172" max="7172" width="7.7109375" style="297" customWidth="1"/>
    <col min="7173" max="7173" width="19.42578125" style="297" customWidth="1"/>
    <col min="7174" max="7174" width="44.28515625" style="297" customWidth="1"/>
    <col min="7175" max="7175" width="17" style="297" customWidth="1"/>
    <col min="7176" max="7176" width="15.5703125" style="297" customWidth="1"/>
    <col min="7177" max="7177" width="14.140625" style="297" customWidth="1"/>
    <col min="7178" max="7178" width="1.7109375" style="297" customWidth="1"/>
    <col min="7179" max="7179" width="13.7109375" style="297" customWidth="1"/>
    <col min="7180" max="7180" width="13.85546875" style="297" bestFit="1" customWidth="1"/>
    <col min="7181" max="7181" width="2.5703125" style="297" customWidth="1"/>
    <col min="7182" max="7182" width="12.42578125" style="297" customWidth="1"/>
    <col min="7183" max="7183" width="13.5703125" style="297" customWidth="1"/>
    <col min="7184" max="7184" width="2.5703125" style="297" customWidth="1"/>
    <col min="7185" max="7185" width="12.42578125" style="297" customWidth="1"/>
    <col min="7186" max="7186" width="13.5703125" style="297" customWidth="1"/>
    <col min="7187" max="7187" width="2.5703125" style="297" customWidth="1"/>
    <col min="7188" max="7188" width="11.5703125" style="297" customWidth="1"/>
    <col min="7189" max="7189" width="13" style="297" customWidth="1"/>
    <col min="7190" max="7190" width="1.42578125" style="297" customWidth="1"/>
    <col min="7191" max="7191" width="10.5703125" style="297" customWidth="1"/>
    <col min="7192" max="7423" width="11" style="297"/>
    <col min="7424" max="7424" width="1.5703125" style="297" customWidth="1"/>
    <col min="7425" max="7425" width="8.5703125" style="297" customWidth="1"/>
    <col min="7426" max="7426" width="28.7109375" style="297" customWidth="1"/>
    <col min="7427" max="7427" width="26.5703125" style="297" customWidth="1"/>
    <col min="7428" max="7428" width="7.7109375" style="297" customWidth="1"/>
    <col min="7429" max="7429" width="19.42578125" style="297" customWidth="1"/>
    <col min="7430" max="7430" width="44.28515625" style="297" customWidth="1"/>
    <col min="7431" max="7431" width="17" style="297" customWidth="1"/>
    <col min="7432" max="7432" width="15.5703125" style="297" customWidth="1"/>
    <col min="7433" max="7433" width="14.140625" style="297" customWidth="1"/>
    <col min="7434" max="7434" width="1.7109375" style="297" customWidth="1"/>
    <col min="7435" max="7435" width="13.7109375" style="297" customWidth="1"/>
    <col min="7436" max="7436" width="13.85546875" style="297" bestFit="1" customWidth="1"/>
    <col min="7437" max="7437" width="2.5703125" style="297" customWidth="1"/>
    <col min="7438" max="7438" width="12.42578125" style="297" customWidth="1"/>
    <col min="7439" max="7439" width="13.5703125" style="297" customWidth="1"/>
    <col min="7440" max="7440" width="2.5703125" style="297" customWidth="1"/>
    <col min="7441" max="7441" width="12.42578125" style="297" customWidth="1"/>
    <col min="7442" max="7442" width="13.5703125" style="297" customWidth="1"/>
    <col min="7443" max="7443" width="2.5703125" style="297" customWidth="1"/>
    <col min="7444" max="7444" width="11.5703125" style="297" customWidth="1"/>
    <col min="7445" max="7445" width="13" style="297" customWidth="1"/>
    <col min="7446" max="7446" width="1.42578125" style="297" customWidth="1"/>
    <col min="7447" max="7447" width="10.5703125" style="297" customWidth="1"/>
    <col min="7448" max="7679" width="11" style="297"/>
    <col min="7680" max="7680" width="1.5703125" style="297" customWidth="1"/>
    <col min="7681" max="7681" width="8.5703125" style="297" customWidth="1"/>
    <col min="7682" max="7682" width="28.7109375" style="297" customWidth="1"/>
    <col min="7683" max="7683" width="26.5703125" style="297" customWidth="1"/>
    <col min="7684" max="7684" width="7.7109375" style="297" customWidth="1"/>
    <col min="7685" max="7685" width="19.42578125" style="297" customWidth="1"/>
    <col min="7686" max="7686" width="44.28515625" style="297" customWidth="1"/>
    <col min="7687" max="7687" width="17" style="297" customWidth="1"/>
    <col min="7688" max="7688" width="15.5703125" style="297" customWidth="1"/>
    <col min="7689" max="7689" width="14.140625" style="297" customWidth="1"/>
    <col min="7690" max="7690" width="1.7109375" style="297" customWidth="1"/>
    <col min="7691" max="7691" width="13.7109375" style="297" customWidth="1"/>
    <col min="7692" max="7692" width="13.85546875" style="297" bestFit="1" customWidth="1"/>
    <col min="7693" max="7693" width="2.5703125" style="297" customWidth="1"/>
    <col min="7694" max="7694" width="12.42578125" style="297" customWidth="1"/>
    <col min="7695" max="7695" width="13.5703125" style="297" customWidth="1"/>
    <col min="7696" max="7696" width="2.5703125" style="297" customWidth="1"/>
    <col min="7697" max="7697" width="12.42578125" style="297" customWidth="1"/>
    <col min="7698" max="7698" width="13.5703125" style="297" customWidth="1"/>
    <col min="7699" max="7699" width="2.5703125" style="297" customWidth="1"/>
    <col min="7700" max="7700" width="11.5703125" style="297" customWidth="1"/>
    <col min="7701" max="7701" width="13" style="297" customWidth="1"/>
    <col min="7702" max="7702" width="1.42578125" style="297" customWidth="1"/>
    <col min="7703" max="7703" width="10.5703125" style="297" customWidth="1"/>
    <col min="7704" max="7935" width="11" style="297"/>
    <col min="7936" max="7936" width="1.5703125" style="297" customWidth="1"/>
    <col min="7937" max="7937" width="8.5703125" style="297" customWidth="1"/>
    <col min="7938" max="7938" width="28.7109375" style="297" customWidth="1"/>
    <col min="7939" max="7939" width="26.5703125" style="297" customWidth="1"/>
    <col min="7940" max="7940" width="7.7109375" style="297" customWidth="1"/>
    <col min="7941" max="7941" width="19.42578125" style="297" customWidth="1"/>
    <col min="7942" max="7942" width="44.28515625" style="297" customWidth="1"/>
    <col min="7943" max="7943" width="17" style="297" customWidth="1"/>
    <col min="7944" max="7944" width="15.5703125" style="297" customWidth="1"/>
    <col min="7945" max="7945" width="14.140625" style="297" customWidth="1"/>
    <col min="7946" max="7946" width="1.7109375" style="297" customWidth="1"/>
    <col min="7947" max="7947" width="13.7109375" style="297" customWidth="1"/>
    <col min="7948" max="7948" width="13.85546875" style="297" bestFit="1" customWidth="1"/>
    <col min="7949" max="7949" width="2.5703125" style="297" customWidth="1"/>
    <col min="7950" max="7950" width="12.42578125" style="297" customWidth="1"/>
    <col min="7951" max="7951" width="13.5703125" style="297" customWidth="1"/>
    <col min="7952" max="7952" width="2.5703125" style="297" customWidth="1"/>
    <col min="7953" max="7953" width="12.42578125" style="297" customWidth="1"/>
    <col min="7954" max="7954" width="13.5703125" style="297" customWidth="1"/>
    <col min="7955" max="7955" width="2.5703125" style="297" customWidth="1"/>
    <col min="7956" max="7956" width="11.5703125" style="297" customWidth="1"/>
    <col min="7957" max="7957" width="13" style="297" customWidth="1"/>
    <col min="7958" max="7958" width="1.42578125" style="297" customWidth="1"/>
    <col min="7959" max="7959" width="10.5703125" style="297" customWidth="1"/>
    <col min="7960" max="8191" width="11" style="297"/>
    <col min="8192" max="8192" width="1.5703125" style="297" customWidth="1"/>
    <col min="8193" max="8193" width="8.5703125" style="297" customWidth="1"/>
    <col min="8194" max="8194" width="28.7109375" style="297" customWidth="1"/>
    <col min="8195" max="8195" width="26.5703125" style="297" customWidth="1"/>
    <col min="8196" max="8196" width="7.7109375" style="297" customWidth="1"/>
    <col min="8197" max="8197" width="19.42578125" style="297" customWidth="1"/>
    <col min="8198" max="8198" width="44.28515625" style="297" customWidth="1"/>
    <col min="8199" max="8199" width="17" style="297" customWidth="1"/>
    <col min="8200" max="8200" width="15.5703125" style="297" customWidth="1"/>
    <col min="8201" max="8201" width="14.140625" style="297" customWidth="1"/>
    <col min="8202" max="8202" width="1.7109375" style="297" customWidth="1"/>
    <col min="8203" max="8203" width="13.7109375" style="297" customWidth="1"/>
    <col min="8204" max="8204" width="13.85546875" style="297" bestFit="1" customWidth="1"/>
    <col min="8205" max="8205" width="2.5703125" style="297" customWidth="1"/>
    <col min="8206" max="8206" width="12.42578125" style="297" customWidth="1"/>
    <col min="8207" max="8207" width="13.5703125" style="297" customWidth="1"/>
    <col min="8208" max="8208" width="2.5703125" style="297" customWidth="1"/>
    <col min="8209" max="8209" width="12.42578125" style="297" customWidth="1"/>
    <col min="8210" max="8210" width="13.5703125" style="297" customWidth="1"/>
    <col min="8211" max="8211" width="2.5703125" style="297" customWidth="1"/>
    <col min="8212" max="8212" width="11.5703125" style="297" customWidth="1"/>
    <col min="8213" max="8213" width="13" style="297" customWidth="1"/>
    <col min="8214" max="8214" width="1.42578125" style="297" customWidth="1"/>
    <col min="8215" max="8215" width="10.5703125" style="297" customWidth="1"/>
    <col min="8216" max="8447" width="11" style="297"/>
    <col min="8448" max="8448" width="1.5703125" style="297" customWidth="1"/>
    <col min="8449" max="8449" width="8.5703125" style="297" customWidth="1"/>
    <col min="8450" max="8450" width="28.7109375" style="297" customWidth="1"/>
    <col min="8451" max="8451" width="26.5703125" style="297" customWidth="1"/>
    <col min="8452" max="8452" width="7.7109375" style="297" customWidth="1"/>
    <col min="8453" max="8453" width="19.42578125" style="297" customWidth="1"/>
    <col min="8454" max="8454" width="44.28515625" style="297" customWidth="1"/>
    <col min="8455" max="8455" width="17" style="297" customWidth="1"/>
    <col min="8456" max="8456" width="15.5703125" style="297" customWidth="1"/>
    <col min="8457" max="8457" width="14.140625" style="297" customWidth="1"/>
    <col min="8458" max="8458" width="1.7109375" style="297" customWidth="1"/>
    <col min="8459" max="8459" width="13.7109375" style="297" customWidth="1"/>
    <col min="8460" max="8460" width="13.85546875" style="297" bestFit="1" customWidth="1"/>
    <col min="8461" max="8461" width="2.5703125" style="297" customWidth="1"/>
    <col min="8462" max="8462" width="12.42578125" style="297" customWidth="1"/>
    <col min="8463" max="8463" width="13.5703125" style="297" customWidth="1"/>
    <col min="8464" max="8464" width="2.5703125" style="297" customWidth="1"/>
    <col min="8465" max="8465" width="12.42578125" style="297" customWidth="1"/>
    <col min="8466" max="8466" width="13.5703125" style="297" customWidth="1"/>
    <col min="8467" max="8467" width="2.5703125" style="297" customWidth="1"/>
    <col min="8468" max="8468" width="11.5703125" style="297" customWidth="1"/>
    <col min="8469" max="8469" width="13" style="297" customWidth="1"/>
    <col min="8470" max="8470" width="1.42578125" style="297" customWidth="1"/>
    <col min="8471" max="8471" width="10.5703125" style="297" customWidth="1"/>
    <col min="8472" max="8703" width="11" style="297"/>
    <col min="8704" max="8704" width="1.5703125" style="297" customWidth="1"/>
    <col min="8705" max="8705" width="8.5703125" style="297" customWidth="1"/>
    <col min="8706" max="8706" width="28.7109375" style="297" customWidth="1"/>
    <col min="8707" max="8707" width="26.5703125" style="297" customWidth="1"/>
    <col min="8708" max="8708" width="7.7109375" style="297" customWidth="1"/>
    <col min="8709" max="8709" width="19.42578125" style="297" customWidth="1"/>
    <col min="8710" max="8710" width="44.28515625" style="297" customWidth="1"/>
    <col min="8711" max="8711" width="17" style="297" customWidth="1"/>
    <col min="8712" max="8712" width="15.5703125" style="297" customWidth="1"/>
    <col min="8713" max="8713" width="14.140625" style="297" customWidth="1"/>
    <col min="8714" max="8714" width="1.7109375" style="297" customWidth="1"/>
    <col min="8715" max="8715" width="13.7109375" style="297" customWidth="1"/>
    <col min="8716" max="8716" width="13.85546875" style="297" bestFit="1" customWidth="1"/>
    <col min="8717" max="8717" width="2.5703125" style="297" customWidth="1"/>
    <col min="8718" max="8718" width="12.42578125" style="297" customWidth="1"/>
    <col min="8719" max="8719" width="13.5703125" style="297" customWidth="1"/>
    <col min="8720" max="8720" width="2.5703125" style="297" customWidth="1"/>
    <col min="8721" max="8721" width="12.42578125" style="297" customWidth="1"/>
    <col min="8722" max="8722" width="13.5703125" style="297" customWidth="1"/>
    <col min="8723" max="8723" width="2.5703125" style="297" customWidth="1"/>
    <col min="8724" max="8724" width="11.5703125" style="297" customWidth="1"/>
    <col min="8725" max="8725" width="13" style="297" customWidth="1"/>
    <col min="8726" max="8726" width="1.42578125" style="297" customWidth="1"/>
    <col min="8727" max="8727" width="10.5703125" style="297" customWidth="1"/>
    <col min="8728" max="8959" width="11" style="297"/>
    <col min="8960" max="8960" width="1.5703125" style="297" customWidth="1"/>
    <col min="8961" max="8961" width="8.5703125" style="297" customWidth="1"/>
    <col min="8962" max="8962" width="28.7109375" style="297" customWidth="1"/>
    <col min="8963" max="8963" width="26.5703125" style="297" customWidth="1"/>
    <col min="8964" max="8964" width="7.7109375" style="297" customWidth="1"/>
    <col min="8965" max="8965" width="19.42578125" style="297" customWidth="1"/>
    <col min="8966" max="8966" width="44.28515625" style="297" customWidth="1"/>
    <col min="8967" max="8967" width="17" style="297" customWidth="1"/>
    <col min="8968" max="8968" width="15.5703125" style="297" customWidth="1"/>
    <col min="8969" max="8969" width="14.140625" style="297" customWidth="1"/>
    <col min="8970" max="8970" width="1.7109375" style="297" customWidth="1"/>
    <col min="8971" max="8971" width="13.7109375" style="297" customWidth="1"/>
    <col min="8972" max="8972" width="13.85546875" style="297" bestFit="1" customWidth="1"/>
    <col min="8973" max="8973" width="2.5703125" style="297" customWidth="1"/>
    <col min="8974" max="8974" width="12.42578125" style="297" customWidth="1"/>
    <col min="8975" max="8975" width="13.5703125" style="297" customWidth="1"/>
    <col min="8976" max="8976" width="2.5703125" style="297" customWidth="1"/>
    <col min="8977" max="8977" width="12.42578125" style="297" customWidth="1"/>
    <col min="8978" max="8978" width="13.5703125" style="297" customWidth="1"/>
    <col min="8979" max="8979" width="2.5703125" style="297" customWidth="1"/>
    <col min="8980" max="8980" width="11.5703125" style="297" customWidth="1"/>
    <col min="8981" max="8981" width="13" style="297" customWidth="1"/>
    <col min="8982" max="8982" width="1.42578125" style="297" customWidth="1"/>
    <col min="8983" max="8983" width="10.5703125" style="297" customWidth="1"/>
    <col min="8984" max="9215" width="11" style="297"/>
    <col min="9216" max="9216" width="1.5703125" style="297" customWidth="1"/>
    <col min="9217" max="9217" width="8.5703125" style="297" customWidth="1"/>
    <col min="9218" max="9218" width="28.7109375" style="297" customWidth="1"/>
    <col min="9219" max="9219" width="26.5703125" style="297" customWidth="1"/>
    <col min="9220" max="9220" width="7.7109375" style="297" customWidth="1"/>
    <col min="9221" max="9221" width="19.42578125" style="297" customWidth="1"/>
    <col min="9222" max="9222" width="44.28515625" style="297" customWidth="1"/>
    <col min="9223" max="9223" width="17" style="297" customWidth="1"/>
    <col min="9224" max="9224" width="15.5703125" style="297" customWidth="1"/>
    <col min="9225" max="9225" width="14.140625" style="297" customWidth="1"/>
    <col min="9226" max="9226" width="1.7109375" style="297" customWidth="1"/>
    <col min="9227" max="9227" width="13.7109375" style="297" customWidth="1"/>
    <col min="9228" max="9228" width="13.85546875" style="297" bestFit="1" customWidth="1"/>
    <col min="9229" max="9229" width="2.5703125" style="297" customWidth="1"/>
    <col min="9230" max="9230" width="12.42578125" style="297" customWidth="1"/>
    <col min="9231" max="9231" width="13.5703125" style="297" customWidth="1"/>
    <col min="9232" max="9232" width="2.5703125" style="297" customWidth="1"/>
    <col min="9233" max="9233" width="12.42578125" style="297" customWidth="1"/>
    <col min="9234" max="9234" width="13.5703125" style="297" customWidth="1"/>
    <col min="9235" max="9235" width="2.5703125" style="297" customWidth="1"/>
    <col min="9236" max="9236" width="11.5703125" style="297" customWidth="1"/>
    <col min="9237" max="9237" width="13" style="297" customWidth="1"/>
    <col min="9238" max="9238" width="1.42578125" style="297" customWidth="1"/>
    <col min="9239" max="9239" width="10.5703125" style="297" customWidth="1"/>
    <col min="9240" max="9471" width="11" style="297"/>
    <col min="9472" max="9472" width="1.5703125" style="297" customWidth="1"/>
    <col min="9473" max="9473" width="8.5703125" style="297" customWidth="1"/>
    <col min="9474" max="9474" width="28.7109375" style="297" customWidth="1"/>
    <col min="9475" max="9475" width="26.5703125" style="297" customWidth="1"/>
    <col min="9476" max="9476" width="7.7109375" style="297" customWidth="1"/>
    <col min="9477" max="9477" width="19.42578125" style="297" customWidth="1"/>
    <col min="9478" max="9478" width="44.28515625" style="297" customWidth="1"/>
    <col min="9479" max="9479" width="17" style="297" customWidth="1"/>
    <col min="9480" max="9480" width="15.5703125" style="297" customWidth="1"/>
    <col min="9481" max="9481" width="14.140625" style="297" customWidth="1"/>
    <col min="9482" max="9482" width="1.7109375" style="297" customWidth="1"/>
    <col min="9483" max="9483" width="13.7109375" style="297" customWidth="1"/>
    <col min="9484" max="9484" width="13.85546875" style="297" bestFit="1" customWidth="1"/>
    <col min="9485" max="9485" width="2.5703125" style="297" customWidth="1"/>
    <col min="9486" max="9486" width="12.42578125" style="297" customWidth="1"/>
    <col min="9487" max="9487" width="13.5703125" style="297" customWidth="1"/>
    <col min="9488" max="9488" width="2.5703125" style="297" customWidth="1"/>
    <col min="9489" max="9489" width="12.42578125" style="297" customWidth="1"/>
    <col min="9490" max="9490" width="13.5703125" style="297" customWidth="1"/>
    <col min="9491" max="9491" width="2.5703125" style="297" customWidth="1"/>
    <col min="9492" max="9492" width="11.5703125" style="297" customWidth="1"/>
    <col min="9493" max="9493" width="13" style="297" customWidth="1"/>
    <col min="9494" max="9494" width="1.42578125" style="297" customWidth="1"/>
    <col min="9495" max="9495" width="10.5703125" style="297" customWidth="1"/>
    <col min="9496" max="9727" width="11" style="297"/>
    <col min="9728" max="9728" width="1.5703125" style="297" customWidth="1"/>
    <col min="9729" max="9729" width="8.5703125" style="297" customWidth="1"/>
    <col min="9730" max="9730" width="28.7109375" style="297" customWidth="1"/>
    <col min="9731" max="9731" width="26.5703125" style="297" customWidth="1"/>
    <col min="9732" max="9732" width="7.7109375" style="297" customWidth="1"/>
    <col min="9733" max="9733" width="19.42578125" style="297" customWidth="1"/>
    <col min="9734" max="9734" width="44.28515625" style="297" customWidth="1"/>
    <col min="9735" max="9735" width="17" style="297" customWidth="1"/>
    <col min="9736" max="9736" width="15.5703125" style="297" customWidth="1"/>
    <col min="9737" max="9737" width="14.140625" style="297" customWidth="1"/>
    <col min="9738" max="9738" width="1.7109375" style="297" customWidth="1"/>
    <col min="9739" max="9739" width="13.7109375" style="297" customWidth="1"/>
    <col min="9740" max="9740" width="13.85546875" style="297" bestFit="1" customWidth="1"/>
    <col min="9741" max="9741" width="2.5703125" style="297" customWidth="1"/>
    <col min="9742" max="9742" width="12.42578125" style="297" customWidth="1"/>
    <col min="9743" max="9743" width="13.5703125" style="297" customWidth="1"/>
    <col min="9744" max="9744" width="2.5703125" style="297" customWidth="1"/>
    <col min="9745" max="9745" width="12.42578125" style="297" customWidth="1"/>
    <col min="9746" max="9746" width="13.5703125" style="297" customWidth="1"/>
    <col min="9747" max="9747" width="2.5703125" style="297" customWidth="1"/>
    <col min="9748" max="9748" width="11.5703125" style="297" customWidth="1"/>
    <col min="9749" max="9749" width="13" style="297" customWidth="1"/>
    <col min="9750" max="9750" width="1.42578125" style="297" customWidth="1"/>
    <col min="9751" max="9751" width="10.5703125" style="297" customWidth="1"/>
    <col min="9752" max="9983" width="11" style="297"/>
    <col min="9984" max="9984" width="1.5703125" style="297" customWidth="1"/>
    <col min="9985" max="9985" width="8.5703125" style="297" customWidth="1"/>
    <col min="9986" max="9986" width="28.7109375" style="297" customWidth="1"/>
    <col min="9987" max="9987" width="26.5703125" style="297" customWidth="1"/>
    <col min="9988" max="9988" width="7.7109375" style="297" customWidth="1"/>
    <col min="9989" max="9989" width="19.42578125" style="297" customWidth="1"/>
    <col min="9990" max="9990" width="44.28515625" style="297" customWidth="1"/>
    <col min="9991" max="9991" width="17" style="297" customWidth="1"/>
    <col min="9992" max="9992" width="15.5703125" style="297" customWidth="1"/>
    <col min="9993" max="9993" width="14.140625" style="297" customWidth="1"/>
    <col min="9994" max="9994" width="1.7109375" style="297" customWidth="1"/>
    <col min="9995" max="9995" width="13.7109375" style="297" customWidth="1"/>
    <col min="9996" max="9996" width="13.85546875" style="297" bestFit="1" customWidth="1"/>
    <col min="9997" max="9997" width="2.5703125" style="297" customWidth="1"/>
    <col min="9998" max="9998" width="12.42578125" style="297" customWidth="1"/>
    <col min="9999" max="9999" width="13.5703125" style="297" customWidth="1"/>
    <col min="10000" max="10000" width="2.5703125" style="297" customWidth="1"/>
    <col min="10001" max="10001" width="12.42578125" style="297" customWidth="1"/>
    <col min="10002" max="10002" width="13.5703125" style="297" customWidth="1"/>
    <col min="10003" max="10003" width="2.5703125" style="297" customWidth="1"/>
    <col min="10004" max="10004" width="11.5703125" style="297" customWidth="1"/>
    <col min="10005" max="10005" width="13" style="297" customWidth="1"/>
    <col min="10006" max="10006" width="1.42578125" style="297" customWidth="1"/>
    <col min="10007" max="10007" width="10.5703125" style="297" customWidth="1"/>
    <col min="10008" max="10239" width="11" style="297"/>
    <col min="10240" max="10240" width="1.5703125" style="297" customWidth="1"/>
    <col min="10241" max="10241" width="8.5703125" style="297" customWidth="1"/>
    <col min="10242" max="10242" width="28.7109375" style="297" customWidth="1"/>
    <col min="10243" max="10243" width="26.5703125" style="297" customWidth="1"/>
    <col min="10244" max="10244" width="7.7109375" style="297" customWidth="1"/>
    <col min="10245" max="10245" width="19.42578125" style="297" customWidth="1"/>
    <col min="10246" max="10246" width="44.28515625" style="297" customWidth="1"/>
    <col min="10247" max="10247" width="17" style="297" customWidth="1"/>
    <col min="10248" max="10248" width="15.5703125" style="297" customWidth="1"/>
    <col min="10249" max="10249" width="14.140625" style="297" customWidth="1"/>
    <col min="10250" max="10250" width="1.7109375" style="297" customWidth="1"/>
    <col min="10251" max="10251" width="13.7109375" style="297" customWidth="1"/>
    <col min="10252" max="10252" width="13.85546875" style="297" bestFit="1" customWidth="1"/>
    <col min="10253" max="10253" width="2.5703125" style="297" customWidth="1"/>
    <col min="10254" max="10254" width="12.42578125" style="297" customWidth="1"/>
    <col min="10255" max="10255" width="13.5703125" style="297" customWidth="1"/>
    <col min="10256" max="10256" width="2.5703125" style="297" customWidth="1"/>
    <col min="10257" max="10257" width="12.42578125" style="297" customWidth="1"/>
    <col min="10258" max="10258" width="13.5703125" style="297" customWidth="1"/>
    <col min="10259" max="10259" width="2.5703125" style="297" customWidth="1"/>
    <col min="10260" max="10260" width="11.5703125" style="297" customWidth="1"/>
    <col min="10261" max="10261" width="13" style="297" customWidth="1"/>
    <col min="10262" max="10262" width="1.42578125" style="297" customWidth="1"/>
    <col min="10263" max="10263" width="10.5703125" style="297" customWidth="1"/>
    <col min="10264" max="10495" width="11" style="297"/>
    <col min="10496" max="10496" width="1.5703125" style="297" customWidth="1"/>
    <col min="10497" max="10497" width="8.5703125" style="297" customWidth="1"/>
    <col min="10498" max="10498" width="28.7109375" style="297" customWidth="1"/>
    <col min="10499" max="10499" width="26.5703125" style="297" customWidth="1"/>
    <col min="10500" max="10500" width="7.7109375" style="297" customWidth="1"/>
    <col min="10501" max="10501" width="19.42578125" style="297" customWidth="1"/>
    <col min="10502" max="10502" width="44.28515625" style="297" customWidth="1"/>
    <col min="10503" max="10503" width="17" style="297" customWidth="1"/>
    <col min="10504" max="10504" width="15.5703125" style="297" customWidth="1"/>
    <col min="10505" max="10505" width="14.140625" style="297" customWidth="1"/>
    <col min="10506" max="10506" width="1.7109375" style="297" customWidth="1"/>
    <col min="10507" max="10507" width="13.7109375" style="297" customWidth="1"/>
    <col min="10508" max="10508" width="13.85546875" style="297" bestFit="1" customWidth="1"/>
    <col min="10509" max="10509" width="2.5703125" style="297" customWidth="1"/>
    <col min="10510" max="10510" width="12.42578125" style="297" customWidth="1"/>
    <col min="10511" max="10511" width="13.5703125" style="297" customWidth="1"/>
    <col min="10512" max="10512" width="2.5703125" style="297" customWidth="1"/>
    <col min="10513" max="10513" width="12.42578125" style="297" customWidth="1"/>
    <col min="10514" max="10514" width="13.5703125" style="297" customWidth="1"/>
    <col min="10515" max="10515" width="2.5703125" style="297" customWidth="1"/>
    <col min="10516" max="10516" width="11.5703125" style="297" customWidth="1"/>
    <col min="10517" max="10517" width="13" style="297" customWidth="1"/>
    <col min="10518" max="10518" width="1.42578125" style="297" customWidth="1"/>
    <col min="10519" max="10519" width="10.5703125" style="297" customWidth="1"/>
    <col min="10520" max="10751" width="11" style="297"/>
    <col min="10752" max="10752" width="1.5703125" style="297" customWidth="1"/>
    <col min="10753" max="10753" width="8.5703125" style="297" customWidth="1"/>
    <col min="10754" max="10754" width="28.7109375" style="297" customWidth="1"/>
    <col min="10755" max="10755" width="26.5703125" style="297" customWidth="1"/>
    <col min="10756" max="10756" width="7.7109375" style="297" customWidth="1"/>
    <col min="10757" max="10757" width="19.42578125" style="297" customWidth="1"/>
    <col min="10758" max="10758" width="44.28515625" style="297" customWidth="1"/>
    <col min="10759" max="10759" width="17" style="297" customWidth="1"/>
    <col min="10760" max="10760" width="15.5703125" style="297" customWidth="1"/>
    <col min="10761" max="10761" width="14.140625" style="297" customWidth="1"/>
    <col min="10762" max="10762" width="1.7109375" style="297" customWidth="1"/>
    <col min="10763" max="10763" width="13.7109375" style="297" customWidth="1"/>
    <col min="10764" max="10764" width="13.85546875" style="297" bestFit="1" customWidth="1"/>
    <col min="10765" max="10765" width="2.5703125" style="297" customWidth="1"/>
    <col min="10766" max="10766" width="12.42578125" style="297" customWidth="1"/>
    <col min="10767" max="10767" width="13.5703125" style="297" customWidth="1"/>
    <col min="10768" max="10768" width="2.5703125" style="297" customWidth="1"/>
    <col min="10769" max="10769" width="12.42578125" style="297" customWidth="1"/>
    <col min="10770" max="10770" width="13.5703125" style="297" customWidth="1"/>
    <col min="10771" max="10771" width="2.5703125" style="297" customWidth="1"/>
    <col min="10772" max="10772" width="11.5703125" style="297" customWidth="1"/>
    <col min="10773" max="10773" width="13" style="297" customWidth="1"/>
    <col min="10774" max="10774" width="1.42578125" style="297" customWidth="1"/>
    <col min="10775" max="10775" width="10.5703125" style="297" customWidth="1"/>
    <col min="10776" max="11007" width="11" style="297"/>
    <col min="11008" max="11008" width="1.5703125" style="297" customWidth="1"/>
    <col min="11009" max="11009" width="8.5703125" style="297" customWidth="1"/>
    <col min="11010" max="11010" width="28.7109375" style="297" customWidth="1"/>
    <col min="11011" max="11011" width="26.5703125" style="297" customWidth="1"/>
    <col min="11012" max="11012" width="7.7109375" style="297" customWidth="1"/>
    <col min="11013" max="11013" width="19.42578125" style="297" customWidth="1"/>
    <col min="11014" max="11014" width="44.28515625" style="297" customWidth="1"/>
    <col min="11015" max="11015" width="17" style="297" customWidth="1"/>
    <col min="11016" max="11016" width="15.5703125" style="297" customWidth="1"/>
    <col min="11017" max="11017" width="14.140625" style="297" customWidth="1"/>
    <col min="11018" max="11018" width="1.7109375" style="297" customWidth="1"/>
    <col min="11019" max="11019" width="13.7109375" style="297" customWidth="1"/>
    <col min="11020" max="11020" width="13.85546875" style="297" bestFit="1" customWidth="1"/>
    <col min="11021" max="11021" width="2.5703125" style="297" customWidth="1"/>
    <col min="11022" max="11022" width="12.42578125" style="297" customWidth="1"/>
    <col min="11023" max="11023" width="13.5703125" style="297" customWidth="1"/>
    <col min="11024" max="11024" width="2.5703125" style="297" customWidth="1"/>
    <col min="11025" max="11025" width="12.42578125" style="297" customWidth="1"/>
    <col min="11026" max="11026" width="13.5703125" style="297" customWidth="1"/>
    <col min="11027" max="11027" width="2.5703125" style="297" customWidth="1"/>
    <col min="11028" max="11028" width="11.5703125" style="297" customWidth="1"/>
    <col min="11029" max="11029" width="13" style="297" customWidth="1"/>
    <col min="11030" max="11030" width="1.42578125" style="297" customWidth="1"/>
    <col min="11031" max="11031" width="10.5703125" style="297" customWidth="1"/>
    <col min="11032" max="11263" width="11" style="297"/>
    <col min="11264" max="11264" width="1.5703125" style="297" customWidth="1"/>
    <col min="11265" max="11265" width="8.5703125" style="297" customWidth="1"/>
    <col min="11266" max="11266" width="28.7109375" style="297" customWidth="1"/>
    <col min="11267" max="11267" width="26.5703125" style="297" customWidth="1"/>
    <col min="11268" max="11268" width="7.7109375" style="297" customWidth="1"/>
    <col min="11269" max="11269" width="19.42578125" style="297" customWidth="1"/>
    <col min="11270" max="11270" width="44.28515625" style="297" customWidth="1"/>
    <col min="11271" max="11271" width="17" style="297" customWidth="1"/>
    <col min="11272" max="11272" width="15.5703125" style="297" customWidth="1"/>
    <col min="11273" max="11273" width="14.140625" style="297" customWidth="1"/>
    <col min="11274" max="11274" width="1.7109375" style="297" customWidth="1"/>
    <col min="11275" max="11275" width="13.7109375" style="297" customWidth="1"/>
    <col min="11276" max="11276" width="13.85546875" style="297" bestFit="1" customWidth="1"/>
    <col min="11277" max="11277" width="2.5703125" style="297" customWidth="1"/>
    <col min="11278" max="11278" width="12.42578125" style="297" customWidth="1"/>
    <col min="11279" max="11279" width="13.5703125" style="297" customWidth="1"/>
    <col min="11280" max="11280" width="2.5703125" style="297" customWidth="1"/>
    <col min="11281" max="11281" width="12.42578125" style="297" customWidth="1"/>
    <col min="11282" max="11282" width="13.5703125" style="297" customWidth="1"/>
    <col min="11283" max="11283" width="2.5703125" style="297" customWidth="1"/>
    <col min="11284" max="11284" width="11.5703125" style="297" customWidth="1"/>
    <col min="11285" max="11285" width="13" style="297" customWidth="1"/>
    <col min="11286" max="11286" width="1.42578125" style="297" customWidth="1"/>
    <col min="11287" max="11287" width="10.5703125" style="297" customWidth="1"/>
    <col min="11288" max="11519" width="11" style="297"/>
    <col min="11520" max="11520" width="1.5703125" style="297" customWidth="1"/>
    <col min="11521" max="11521" width="8.5703125" style="297" customWidth="1"/>
    <col min="11522" max="11522" width="28.7109375" style="297" customWidth="1"/>
    <col min="11523" max="11523" width="26.5703125" style="297" customWidth="1"/>
    <col min="11524" max="11524" width="7.7109375" style="297" customWidth="1"/>
    <col min="11525" max="11525" width="19.42578125" style="297" customWidth="1"/>
    <col min="11526" max="11526" width="44.28515625" style="297" customWidth="1"/>
    <col min="11527" max="11527" width="17" style="297" customWidth="1"/>
    <col min="11528" max="11528" width="15.5703125" style="297" customWidth="1"/>
    <col min="11529" max="11529" width="14.140625" style="297" customWidth="1"/>
    <col min="11530" max="11530" width="1.7109375" style="297" customWidth="1"/>
    <col min="11531" max="11531" width="13.7109375" style="297" customWidth="1"/>
    <col min="11532" max="11532" width="13.85546875" style="297" bestFit="1" customWidth="1"/>
    <col min="11533" max="11533" width="2.5703125" style="297" customWidth="1"/>
    <col min="11534" max="11534" width="12.42578125" style="297" customWidth="1"/>
    <col min="11535" max="11535" width="13.5703125" style="297" customWidth="1"/>
    <col min="11536" max="11536" width="2.5703125" style="297" customWidth="1"/>
    <col min="11537" max="11537" width="12.42578125" style="297" customWidth="1"/>
    <col min="11538" max="11538" width="13.5703125" style="297" customWidth="1"/>
    <col min="11539" max="11539" width="2.5703125" style="297" customWidth="1"/>
    <col min="11540" max="11540" width="11.5703125" style="297" customWidth="1"/>
    <col min="11541" max="11541" width="13" style="297" customWidth="1"/>
    <col min="11542" max="11542" width="1.42578125" style="297" customWidth="1"/>
    <col min="11543" max="11543" width="10.5703125" style="297" customWidth="1"/>
    <col min="11544" max="11775" width="11" style="297"/>
    <col min="11776" max="11776" width="1.5703125" style="297" customWidth="1"/>
    <col min="11777" max="11777" width="8.5703125" style="297" customWidth="1"/>
    <col min="11778" max="11778" width="28.7109375" style="297" customWidth="1"/>
    <col min="11779" max="11779" width="26.5703125" style="297" customWidth="1"/>
    <col min="11780" max="11780" width="7.7109375" style="297" customWidth="1"/>
    <col min="11781" max="11781" width="19.42578125" style="297" customWidth="1"/>
    <col min="11782" max="11782" width="44.28515625" style="297" customWidth="1"/>
    <col min="11783" max="11783" width="17" style="297" customWidth="1"/>
    <col min="11784" max="11784" width="15.5703125" style="297" customWidth="1"/>
    <col min="11785" max="11785" width="14.140625" style="297" customWidth="1"/>
    <col min="11786" max="11786" width="1.7109375" style="297" customWidth="1"/>
    <col min="11787" max="11787" width="13.7109375" style="297" customWidth="1"/>
    <col min="11788" max="11788" width="13.85546875" style="297" bestFit="1" customWidth="1"/>
    <col min="11789" max="11789" width="2.5703125" style="297" customWidth="1"/>
    <col min="11790" max="11790" width="12.42578125" style="297" customWidth="1"/>
    <col min="11791" max="11791" width="13.5703125" style="297" customWidth="1"/>
    <col min="11792" max="11792" width="2.5703125" style="297" customWidth="1"/>
    <col min="11793" max="11793" width="12.42578125" style="297" customWidth="1"/>
    <col min="11794" max="11794" width="13.5703125" style="297" customWidth="1"/>
    <col min="11795" max="11795" width="2.5703125" style="297" customWidth="1"/>
    <col min="11796" max="11796" width="11.5703125" style="297" customWidth="1"/>
    <col min="11797" max="11797" width="13" style="297" customWidth="1"/>
    <col min="11798" max="11798" width="1.42578125" style="297" customWidth="1"/>
    <col min="11799" max="11799" width="10.5703125" style="297" customWidth="1"/>
    <col min="11800" max="12031" width="11" style="297"/>
    <col min="12032" max="12032" width="1.5703125" style="297" customWidth="1"/>
    <col min="12033" max="12033" width="8.5703125" style="297" customWidth="1"/>
    <col min="12034" max="12034" width="28.7109375" style="297" customWidth="1"/>
    <col min="12035" max="12035" width="26.5703125" style="297" customWidth="1"/>
    <col min="12036" max="12036" width="7.7109375" style="297" customWidth="1"/>
    <col min="12037" max="12037" width="19.42578125" style="297" customWidth="1"/>
    <col min="12038" max="12038" width="44.28515625" style="297" customWidth="1"/>
    <col min="12039" max="12039" width="17" style="297" customWidth="1"/>
    <col min="12040" max="12040" width="15.5703125" style="297" customWidth="1"/>
    <col min="12041" max="12041" width="14.140625" style="297" customWidth="1"/>
    <col min="12042" max="12042" width="1.7109375" style="297" customWidth="1"/>
    <col min="12043" max="12043" width="13.7109375" style="297" customWidth="1"/>
    <col min="12044" max="12044" width="13.85546875" style="297" bestFit="1" customWidth="1"/>
    <col min="12045" max="12045" width="2.5703125" style="297" customWidth="1"/>
    <col min="12046" max="12046" width="12.42578125" style="297" customWidth="1"/>
    <col min="12047" max="12047" width="13.5703125" style="297" customWidth="1"/>
    <col min="12048" max="12048" width="2.5703125" style="297" customWidth="1"/>
    <col min="12049" max="12049" width="12.42578125" style="297" customWidth="1"/>
    <col min="12050" max="12050" width="13.5703125" style="297" customWidth="1"/>
    <col min="12051" max="12051" width="2.5703125" style="297" customWidth="1"/>
    <col min="12052" max="12052" width="11.5703125" style="297" customWidth="1"/>
    <col min="12053" max="12053" width="13" style="297" customWidth="1"/>
    <col min="12054" max="12054" width="1.42578125" style="297" customWidth="1"/>
    <col min="12055" max="12055" width="10.5703125" style="297" customWidth="1"/>
    <col min="12056" max="12287" width="11" style="297"/>
    <col min="12288" max="12288" width="1.5703125" style="297" customWidth="1"/>
    <col min="12289" max="12289" width="8.5703125" style="297" customWidth="1"/>
    <col min="12290" max="12290" width="28.7109375" style="297" customWidth="1"/>
    <col min="12291" max="12291" width="26.5703125" style="297" customWidth="1"/>
    <col min="12292" max="12292" width="7.7109375" style="297" customWidth="1"/>
    <col min="12293" max="12293" width="19.42578125" style="297" customWidth="1"/>
    <col min="12294" max="12294" width="44.28515625" style="297" customWidth="1"/>
    <col min="12295" max="12295" width="17" style="297" customWidth="1"/>
    <col min="12296" max="12296" width="15.5703125" style="297" customWidth="1"/>
    <col min="12297" max="12297" width="14.140625" style="297" customWidth="1"/>
    <col min="12298" max="12298" width="1.7109375" style="297" customWidth="1"/>
    <col min="12299" max="12299" width="13.7109375" style="297" customWidth="1"/>
    <col min="12300" max="12300" width="13.85546875" style="297" bestFit="1" customWidth="1"/>
    <col min="12301" max="12301" width="2.5703125" style="297" customWidth="1"/>
    <col min="12302" max="12302" width="12.42578125" style="297" customWidth="1"/>
    <col min="12303" max="12303" width="13.5703125" style="297" customWidth="1"/>
    <col min="12304" max="12304" width="2.5703125" style="297" customWidth="1"/>
    <col min="12305" max="12305" width="12.42578125" style="297" customWidth="1"/>
    <col min="12306" max="12306" width="13.5703125" style="297" customWidth="1"/>
    <col min="12307" max="12307" width="2.5703125" style="297" customWidth="1"/>
    <col min="12308" max="12308" width="11.5703125" style="297" customWidth="1"/>
    <col min="12309" max="12309" width="13" style="297" customWidth="1"/>
    <col min="12310" max="12310" width="1.42578125" style="297" customWidth="1"/>
    <col min="12311" max="12311" width="10.5703125" style="297" customWidth="1"/>
    <col min="12312" max="12543" width="11" style="297"/>
    <col min="12544" max="12544" width="1.5703125" style="297" customWidth="1"/>
    <col min="12545" max="12545" width="8.5703125" style="297" customWidth="1"/>
    <col min="12546" max="12546" width="28.7109375" style="297" customWidth="1"/>
    <col min="12547" max="12547" width="26.5703125" style="297" customWidth="1"/>
    <col min="12548" max="12548" width="7.7109375" style="297" customWidth="1"/>
    <col min="12549" max="12549" width="19.42578125" style="297" customWidth="1"/>
    <col min="12550" max="12550" width="44.28515625" style="297" customWidth="1"/>
    <col min="12551" max="12551" width="17" style="297" customWidth="1"/>
    <col min="12552" max="12552" width="15.5703125" style="297" customWidth="1"/>
    <col min="12553" max="12553" width="14.140625" style="297" customWidth="1"/>
    <col min="12554" max="12554" width="1.7109375" style="297" customWidth="1"/>
    <col min="12555" max="12555" width="13.7109375" style="297" customWidth="1"/>
    <col min="12556" max="12556" width="13.85546875" style="297" bestFit="1" customWidth="1"/>
    <col min="12557" max="12557" width="2.5703125" style="297" customWidth="1"/>
    <col min="12558" max="12558" width="12.42578125" style="297" customWidth="1"/>
    <col min="12559" max="12559" width="13.5703125" style="297" customWidth="1"/>
    <col min="12560" max="12560" width="2.5703125" style="297" customWidth="1"/>
    <col min="12561" max="12561" width="12.42578125" style="297" customWidth="1"/>
    <col min="12562" max="12562" width="13.5703125" style="297" customWidth="1"/>
    <col min="12563" max="12563" width="2.5703125" style="297" customWidth="1"/>
    <col min="12564" max="12564" width="11.5703125" style="297" customWidth="1"/>
    <col min="12565" max="12565" width="13" style="297" customWidth="1"/>
    <col min="12566" max="12566" width="1.42578125" style="297" customWidth="1"/>
    <col min="12567" max="12567" width="10.5703125" style="297" customWidth="1"/>
    <col min="12568" max="12799" width="11" style="297"/>
    <col min="12800" max="12800" width="1.5703125" style="297" customWidth="1"/>
    <col min="12801" max="12801" width="8.5703125" style="297" customWidth="1"/>
    <col min="12802" max="12802" width="28.7109375" style="297" customWidth="1"/>
    <col min="12803" max="12803" width="26.5703125" style="297" customWidth="1"/>
    <col min="12804" max="12804" width="7.7109375" style="297" customWidth="1"/>
    <col min="12805" max="12805" width="19.42578125" style="297" customWidth="1"/>
    <col min="12806" max="12806" width="44.28515625" style="297" customWidth="1"/>
    <col min="12807" max="12807" width="17" style="297" customWidth="1"/>
    <col min="12808" max="12808" width="15.5703125" style="297" customWidth="1"/>
    <col min="12809" max="12809" width="14.140625" style="297" customWidth="1"/>
    <col min="12810" max="12810" width="1.7109375" style="297" customWidth="1"/>
    <col min="12811" max="12811" width="13.7109375" style="297" customWidth="1"/>
    <col min="12812" max="12812" width="13.85546875" style="297" bestFit="1" customWidth="1"/>
    <col min="12813" max="12813" width="2.5703125" style="297" customWidth="1"/>
    <col min="12814" max="12814" width="12.42578125" style="297" customWidth="1"/>
    <col min="12815" max="12815" width="13.5703125" style="297" customWidth="1"/>
    <col min="12816" max="12816" width="2.5703125" style="297" customWidth="1"/>
    <col min="12817" max="12817" width="12.42578125" style="297" customWidth="1"/>
    <col min="12818" max="12818" width="13.5703125" style="297" customWidth="1"/>
    <col min="12819" max="12819" width="2.5703125" style="297" customWidth="1"/>
    <col min="12820" max="12820" width="11.5703125" style="297" customWidth="1"/>
    <col min="12821" max="12821" width="13" style="297" customWidth="1"/>
    <col min="12822" max="12822" width="1.42578125" style="297" customWidth="1"/>
    <col min="12823" max="12823" width="10.5703125" style="297" customWidth="1"/>
    <col min="12824" max="13055" width="11" style="297"/>
    <col min="13056" max="13056" width="1.5703125" style="297" customWidth="1"/>
    <col min="13057" max="13057" width="8.5703125" style="297" customWidth="1"/>
    <col min="13058" max="13058" width="28.7109375" style="297" customWidth="1"/>
    <col min="13059" max="13059" width="26.5703125" style="297" customWidth="1"/>
    <col min="13060" max="13060" width="7.7109375" style="297" customWidth="1"/>
    <col min="13061" max="13061" width="19.42578125" style="297" customWidth="1"/>
    <col min="13062" max="13062" width="44.28515625" style="297" customWidth="1"/>
    <col min="13063" max="13063" width="17" style="297" customWidth="1"/>
    <col min="13064" max="13064" width="15.5703125" style="297" customWidth="1"/>
    <col min="13065" max="13065" width="14.140625" style="297" customWidth="1"/>
    <col min="13066" max="13066" width="1.7109375" style="297" customWidth="1"/>
    <col min="13067" max="13067" width="13.7109375" style="297" customWidth="1"/>
    <col min="13068" max="13068" width="13.85546875" style="297" bestFit="1" customWidth="1"/>
    <col min="13069" max="13069" width="2.5703125" style="297" customWidth="1"/>
    <col min="13070" max="13070" width="12.42578125" style="297" customWidth="1"/>
    <col min="13071" max="13071" width="13.5703125" style="297" customWidth="1"/>
    <col min="13072" max="13072" width="2.5703125" style="297" customWidth="1"/>
    <col min="13073" max="13073" width="12.42578125" style="297" customWidth="1"/>
    <col min="13074" max="13074" width="13.5703125" style="297" customWidth="1"/>
    <col min="13075" max="13075" width="2.5703125" style="297" customWidth="1"/>
    <col min="13076" max="13076" width="11.5703125" style="297" customWidth="1"/>
    <col min="13077" max="13077" width="13" style="297" customWidth="1"/>
    <col min="13078" max="13078" width="1.42578125" style="297" customWidth="1"/>
    <col min="13079" max="13079" width="10.5703125" style="297" customWidth="1"/>
    <col min="13080" max="13311" width="11" style="297"/>
    <col min="13312" max="13312" width="1.5703125" style="297" customWidth="1"/>
    <col min="13313" max="13313" width="8.5703125" style="297" customWidth="1"/>
    <col min="13314" max="13314" width="28.7109375" style="297" customWidth="1"/>
    <col min="13315" max="13315" width="26.5703125" style="297" customWidth="1"/>
    <col min="13316" max="13316" width="7.7109375" style="297" customWidth="1"/>
    <col min="13317" max="13317" width="19.42578125" style="297" customWidth="1"/>
    <col min="13318" max="13318" width="44.28515625" style="297" customWidth="1"/>
    <col min="13319" max="13319" width="17" style="297" customWidth="1"/>
    <col min="13320" max="13320" width="15.5703125" style="297" customWidth="1"/>
    <col min="13321" max="13321" width="14.140625" style="297" customWidth="1"/>
    <col min="13322" max="13322" width="1.7109375" style="297" customWidth="1"/>
    <col min="13323" max="13323" width="13.7109375" style="297" customWidth="1"/>
    <col min="13324" max="13324" width="13.85546875" style="297" bestFit="1" customWidth="1"/>
    <col min="13325" max="13325" width="2.5703125" style="297" customWidth="1"/>
    <col min="13326" max="13326" width="12.42578125" style="297" customWidth="1"/>
    <col min="13327" max="13327" width="13.5703125" style="297" customWidth="1"/>
    <col min="13328" max="13328" width="2.5703125" style="297" customWidth="1"/>
    <col min="13329" max="13329" width="12.42578125" style="297" customWidth="1"/>
    <col min="13330" max="13330" width="13.5703125" style="297" customWidth="1"/>
    <col min="13331" max="13331" width="2.5703125" style="297" customWidth="1"/>
    <col min="13332" max="13332" width="11.5703125" style="297" customWidth="1"/>
    <col min="13333" max="13333" width="13" style="297" customWidth="1"/>
    <col min="13334" max="13334" width="1.42578125" style="297" customWidth="1"/>
    <col min="13335" max="13335" width="10.5703125" style="297" customWidth="1"/>
    <col min="13336" max="13567" width="11" style="297"/>
    <col min="13568" max="13568" width="1.5703125" style="297" customWidth="1"/>
    <col min="13569" max="13569" width="8.5703125" style="297" customWidth="1"/>
    <col min="13570" max="13570" width="28.7109375" style="297" customWidth="1"/>
    <col min="13571" max="13571" width="26.5703125" style="297" customWidth="1"/>
    <col min="13572" max="13572" width="7.7109375" style="297" customWidth="1"/>
    <col min="13573" max="13573" width="19.42578125" style="297" customWidth="1"/>
    <col min="13574" max="13574" width="44.28515625" style="297" customWidth="1"/>
    <col min="13575" max="13575" width="17" style="297" customWidth="1"/>
    <col min="13576" max="13576" width="15.5703125" style="297" customWidth="1"/>
    <col min="13577" max="13577" width="14.140625" style="297" customWidth="1"/>
    <col min="13578" max="13578" width="1.7109375" style="297" customWidth="1"/>
    <col min="13579" max="13579" width="13.7109375" style="297" customWidth="1"/>
    <col min="13580" max="13580" width="13.85546875" style="297" bestFit="1" customWidth="1"/>
    <col min="13581" max="13581" width="2.5703125" style="297" customWidth="1"/>
    <col min="13582" max="13582" width="12.42578125" style="297" customWidth="1"/>
    <col min="13583" max="13583" width="13.5703125" style="297" customWidth="1"/>
    <col min="13584" max="13584" width="2.5703125" style="297" customWidth="1"/>
    <col min="13585" max="13585" width="12.42578125" style="297" customWidth="1"/>
    <col min="13586" max="13586" width="13.5703125" style="297" customWidth="1"/>
    <col min="13587" max="13587" width="2.5703125" style="297" customWidth="1"/>
    <col min="13588" max="13588" width="11.5703125" style="297" customWidth="1"/>
    <col min="13589" max="13589" width="13" style="297" customWidth="1"/>
    <col min="13590" max="13590" width="1.42578125" style="297" customWidth="1"/>
    <col min="13591" max="13591" width="10.5703125" style="297" customWidth="1"/>
    <col min="13592" max="13823" width="11" style="297"/>
    <col min="13824" max="13824" width="1.5703125" style="297" customWidth="1"/>
    <col min="13825" max="13825" width="8.5703125" style="297" customWidth="1"/>
    <col min="13826" max="13826" width="28.7109375" style="297" customWidth="1"/>
    <col min="13827" max="13827" width="26.5703125" style="297" customWidth="1"/>
    <col min="13828" max="13828" width="7.7109375" style="297" customWidth="1"/>
    <col min="13829" max="13829" width="19.42578125" style="297" customWidth="1"/>
    <col min="13830" max="13830" width="44.28515625" style="297" customWidth="1"/>
    <col min="13831" max="13831" width="17" style="297" customWidth="1"/>
    <col min="13832" max="13832" width="15.5703125" style="297" customWidth="1"/>
    <col min="13833" max="13833" width="14.140625" style="297" customWidth="1"/>
    <col min="13834" max="13834" width="1.7109375" style="297" customWidth="1"/>
    <col min="13835" max="13835" width="13.7109375" style="297" customWidth="1"/>
    <col min="13836" max="13836" width="13.85546875" style="297" bestFit="1" customWidth="1"/>
    <col min="13837" max="13837" width="2.5703125" style="297" customWidth="1"/>
    <col min="13838" max="13838" width="12.42578125" style="297" customWidth="1"/>
    <col min="13839" max="13839" width="13.5703125" style="297" customWidth="1"/>
    <col min="13840" max="13840" width="2.5703125" style="297" customWidth="1"/>
    <col min="13841" max="13841" width="12.42578125" style="297" customWidth="1"/>
    <col min="13842" max="13842" width="13.5703125" style="297" customWidth="1"/>
    <col min="13843" max="13843" width="2.5703125" style="297" customWidth="1"/>
    <col min="13844" max="13844" width="11.5703125" style="297" customWidth="1"/>
    <col min="13845" max="13845" width="13" style="297" customWidth="1"/>
    <col min="13846" max="13846" width="1.42578125" style="297" customWidth="1"/>
    <col min="13847" max="13847" width="10.5703125" style="297" customWidth="1"/>
    <col min="13848" max="14079" width="11" style="297"/>
    <col min="14080" max="14080" width="1.5703125" style="297" customWidth="1"/>
    <col min="14081" max="14081" width="8.5703125" style="297" customWidth="1"/>
    <col min="14082" max="14082" width="28.7109375" style="297" customWidth="1"/>
    <col min="14083" max="14083" width="26.5703125" style="297" customWidth="1"/>
    <col min="14084" max="14084" width="7.7109375" style="297" customWidth="1"/>
    <col min="14085" max="14085" width="19.42578125" style="297" customWidth="1"/>
    <col min="14086" max="14086" width="44.28515625" style="297" customWidth="1"/>
    <col min="14087" max="14087" width="17" style="297" customWidth="1"/>
    <col min="14088" max="14088" width="15.5703125" style="297" customWidth="1"/>
    <col min="14089" max="14089" width="14.140625" style="297" customWidth="1"/>
    <col min="14090" max="14090" width="1.7109375" style="297" customWidth="1"/>
    <col min="14091" max="14091" width="13.7109375" style="297" customWidth="1"/>
    <col min="14092" max="14092" width="13.85546875" style="297" bestFit="1" customWidth="1"/>
    <col min="14093" max="14093" width="2.5703125" style="297" customWidth="1"/>
    <col min="14094" max="14094" width="12.42578125" style="297" customWidth="1"/>
    <col min="14095" max="14095" width="13.5703125" style="297" customWidth="1"/>
    <col min="14096" max="14096" width="2.5703125" style="297" customWidth="1"/>
    <col min="14097" max="14097" width="12.42578125" style="297" customWidth="1"/>
    <col min="14098" max="14098" width="13.5703125" style="297" customWidth="1"/>
    <col min="14099" max="14099" width="2.5703125" style="297" customWidth="1"/>
    <col min="14100" max="14100" width="11.5703125" style="297" customWidth="1"/>
    <col min="14101" max="14101" width="13" style="297" customWidth="1"/>
    <col min="14102" max="14102" width="1.42578125" style="297" customWidth="1"/>
    <col min="14103" max="14103" width="10.5703125" style="297" customWidth="1"/>
    <col min="14104" max="14335" width="11" style="297"/>
    <col min="14336" max="14336" width="1.5703125" style="297" customWidth="1"/>
    <col min="14337" max="14337" width="8.5703125" style="297" customWidth="1"/>
    <col min="14338" max="14338" width="28.7109375" style="297" customWidth="1"/>
    <col min="14339" max="14339" width="26.5703125" style="297" customWidth="1"/>
    <col min="14340" max="14340" width="7.7109375" style="297" customWidth="1"/>
    <col min="14341" max="14341" width="19.42578125" style="297" customWidth="1"/>
    <col min="14342" max="14342" width="44.28515625" style="297" customWidth="1"/>
    <col min="14343" max="14343" width="17" style="297" customWidth="1"/>
    <col min="14344" max="14344" width="15.5703125" style="297" customWidth="1"/>
    <col min="14345" max="14345" width="14.140625" style="297" customWidth="1"/>
    <col min="14346" max="14346" width="1.7109375" style="297" customWidth="1"/>
    <col min="14347" max="14347" width="13.7109375" style="297" customWidth="1"/>
    <col min="14348" max="14348" width="13.85546875" style="297" bestFit="1" customWidth="1"/>
    <col min="14349" max="14349" width="2.5703125" style="297" customWidth="1"/>
    <col min="14350" max="14350" width="12.42578125" style="297" customWidth="1"/>
    <col min="14351" max="14351" width="13.5703125" style="297" customWidth="1"/>
    <col min="14352" max="14352" width="2.5703125" style="297" customWidth="1"/>
    <col min="14353" max="14353" width="12.42578125" style="297" customWidth="1"/>
    <col min="14354" max="14354" width="13.5703125" style="297" customWidth="1"/>
    <col min="14355" max="14355" width="2.5703125" style="297" customWidth="1"/>
    <col min="14356" max="14356" width="11.5703125" style="297" customWidth="1"/>
    <col min="14357" max="14357" width="13" style="297" customWidth="1"/>
    <col min="14358" max="14358" width="1.42578125" style="297" customWidth="1"/>
    <col min="14359" max="14359" width="10.5703125" style="297" customWidth="1"/>
    <col min="14360" max="14591" width="11" style="297"/>
    <col min="14592" max="14592" width="1.5703125" style="297" customWidth="1"/>
    <col min="14593" max="14593" width="8.5703125" style="297" customWidth="1"/>
    <col min="14594" max="14594" width="28.7109375" style="297" customWidth="1"/>
    <col min="14595" max="14595" width="26.5703125" style="297" customWidth="1"/>
    <col min="14596" max="14596" width="7.7109375" style="297" customWidth="1"/>
    <col min="14597" max="14597" width="19.42578125" style="297" customWidth="1"/>
    <col min="14598" max="14598" width="44.28515625" style="297" customWidth="1"/>
    <col min="14599" max="14599" width="17" style="297" customWidth="1"/>
    <col min="14600" max="14600" width="15.5703125" style="297" customWidth="1"/>
    <col min="14601" max="14601" width="14.140625" style="297" customWidth="1"/>
    <col min="14602" max="14602" width="1.7109375" style="297" customWidth="1"/>
    <col min="14603" max="14603" width="13.7109375" style="297" customWidth="1"/>
    <col min="14604" max="14604" width="13.85546875" style="297" bestFit="1" customWidth="1"/>
    <col min="14605" max="14605" width="2.5703125" style="297" customWidth="1"/>
    <col min="14606" max="14606" width="12.42578125" style="297" customWidth="1"/>
    <col min="14607" max="14607" width="13.5703125" style="297" customWidth="1"/>
    <col min="14608" max="14608" width="2.5703125" style="297" customWidth="1"/>
    <col min="14609" max="14609" width="12.42578125" style="297" customWidth="1"/>
    <col min="14610" max="14610" width="13.5703125" style="297" customWidth="1"/>
    <col min="14611" max="14611" width="2.5703125" style="297" customWidth="1"/>
    <col min="14612" max="14612" width="11.5703125" style="297" customWidth="1"/>
    <col min="14613" max="14613" width="13" style="297" customWidth="1"/>
    <col min="14614" max="14614" width="1.42578125" style="297" customWidth="1"/>
    <col min="14615" max="14615" width="10.5703125" style="297" customWidth="1"/>
    <col min="14616" max="14847" width="11" style="297"/>
    <col min="14848" max="14848" width="1.5703125" style="297" customWidth="1"/>
    <col min="14849" max="14849" width="8.5703125" style="297" customWidth="1"/>
    <col min="14850" max="14850" width="28.7109375" style="297" customWidth="1"/>
    <col min="14851" max="14851" width="26.5703125" style="297" customWidth="1"/>
    <col min="14852" max="14852" width="7.7109375" style="297" customWidth="1"/>
    <col min="14853" max="14853" width="19.42578125" style="297" customWidth="1"/>
    <col min="14854" max="14854" width="44.28515625" style="297" customWidth="1"/>
    <col min="14855" max="14855" width="17" style="297" customWidth="1"/>
    <col min="14856" max="14856" width="15.5703125" style="297" customWidth="1"/>
    <col min="14857" max="14857" width="14.140625" style="297" customWidth="1"/>
    <col min="14858" max="14858" width="1.7109375" style="297" customWidth="1"/>
    <col min="14859" max="14859" width="13.7109375" style="297" customWidth="1"/>
    <col min="14860" max="14860" width="13.85546875" style="297" bestFit="1" customWidth="1"/>
    <col min="14861" max="14861" width="2.5703125" style="297" customWidth="1"/>
    <col min="14862" max="14862" width="12.42578125" style="297" customWidth="1"/>
    <col min="14863" max="14863" width="13.5703125" style="297" customWidth="1"/>
    <col min="14864" max="14864" width="2.5703125" style="297" customWidth="1"/>
    <col min="14865" max="14865" width="12.42578125" style="297" customWidth="1"/>
    <col min="14866" max="14866" width="13.5703125" style="297" customWidth="1"/>
    <col min="14867" max="14867" width="2.5703125" style="297" customWidth="1"/>
    <col min="14868" max="14868" width="11.5703125" style="297" customWidth="1"/>
    <col min="14869" max="14869" width="13" style="297" customWidth="1"/>
    <col min="14870" max="14870" width="1.42578125" style="297" customWidth="1"/>
    <col min="14871" max="14871" width="10.5703125" style="297" customWidth="1"/>
    <col min="14872" max="15103" width="11" style="297"/>
    <col min="15104" max="15104" width="1.5703125" style="297" customWidth="1"/>
    <col min="15105" max="15105" width="8.5703125" style="297" customWidth="1"/>
    <col min="15106" max="15106" width="28.7109375" style="297" customWidth="1"/>
    <col min="15107" max="15107" width="26.5703125" style="297" customWidth="1"/>
    <col min="15108" max="15108" width="7.7109375" style="297" customWidth="1"/>
    <col min="15109" max="15109" width="19.42578125" style="297" customWidth="1"/>
    <col min="15110" max="15110" width="44.28515625" style="297" customWidth="1"/>
    <col min="15111" max="15111" width="17" style="297" customWidth="1"/>
    <col min="15112" max="15112" width="15.5703125" style="297" customWidth="1"/>
    <col min="15113" max="15113" width="14.140625" style="297" customWidth="1"/>
    <col min="15114" max="15114" width="1.7109375" style="297" customWidth="1"/>
    <col min="15115" max="15115" width="13.7109375" style="297" customWidth="1"/>
    <col min="15116" max="15116" width="13.85546875" style="297" bestFit="1" customWidth="1"/>
    <col min="15117" max="15117" width="2.5703125" style="297" customWidth="1"/>
    <col min="15118" max="15118" width="12.42578125" style="297" customWidth="1"/>
    <col min="15119" max="15119" width="13.5703125" style="297" customWidth="1"/>
    <col min="15120" max="15120" width="2.5703125" style="297" customWidth="1"/>
    <col min="15121" max="15121" width="12.42578125" style="297" customWidth="1"/>
    <col min="15122" max="15122" width="13.5703125" style="297" customWidth="1"/>
    <col min="15123" max="15123" width="2.5703125" style="297" customWidth="1"/>
    <col min="15124" max="15124" width="11.5703125" style="297" customWidth="1"/>
    <col min="15125" max="15125" width="13" style="297" customWidth="1"/>
    <col min="15126" max="15126" width="1.42578125" style="297" customWidth="1"/>
    <col min="15127" max="15127" width="10.5703125" style="297" customWidth="1"/>
    <col min="15128" max="15359" width="11" style="297"/>
    <col min="15360" max="15360" width="1.5703125" style="297" customWidth="1"/>
    <col min="15361" max="15361" width="8.5703125" style="297" customWidth="1"/>
    <col min="15362" max="15362" width="28.7109375" style="297" customWidth="1"/>
    <col min="15363" max="15363" width="26.5703125" style="297" customWidth="1"/>
    <col min="15364" max="15364" width="7.7109375" style="297" customWidth="1"/>
    <col min="15365" max="15365" width="19.42578125" style="297" customWidth="1"/>
    <col min="15366" max="15366" width="44.28515625" style="297" customWidth="1"/>
    <col min="15367" max="15367" width="17" style="297" customWidth="1"/>
    <col min="15368" max="15368" width="15.5703125" style="297" customWidth="1"/>
    <col min="15369" max="15369" width="14.140625" style="297" customWidth="1"/>
    <col min="15370" max="15370" width="1.7109375" style="297" customWidth="1"/>
    <col min="15371" max="15371" width="13.7109375" style="297" customWidth="1"/>
    <col min="15372" max="15372" width="13.85546875" style="297" bestFit="1" customWidth="1"/>
    <col min="15373" max="15373" width="2.5703125" style="297" customWidth="1"/>
    <col min="15374" max="15374" width="12.42578125" style="297" customWidth="1"/>
    <col min="15375" max="15375" width="13.5703125" style="297" customWidth="1"/>
    <col min="15376" max="15376" width="2.5703125" style="297" customWidth="1"/>
    <col min="15377" max="15377" width="12.42578125" style="297" customWidth="1"/>
    <col min="15378" max="15378" width="13.5703125" style="297" customWidth="1"/>
    <col min="15379" max="15379" width="2.5703125" style="297" customWidth="1"/>
    <col min="15380" max="15380" width="11.5703125" style="297" customWidth="1"/>
    <col min="15381" max="15381" width="13" style="297" customWidth="1"/>
    <col min="15382" max="15382" width="1.42578125" style="297" customWidth="1"/>
    <col min="15383" max="15383" width="10.5703125" style="297" customWidth="1"/>
    <col min="15384" max="15615" width="11" style="297"/>
    <col min="15616" max="15616" width="1.5703125" style="297" customWidth="1"/>
    <col min="15617" max="15617" width="8.5703125" style="297" customWidth="1"/>
    <col min="15618" max="15618" width="28.7109375" style="297" customWidth="1"/>
    <col min="15619" max="15619" width="26.5703125" style="297" customWidth="1"/>
    <col min="15620" max="15620" width="7.7109375" style="297" customWidth="1"/>
    <col min="15621" max="15621" width="19.42578125" style="297" customWidth="1"/>
    <col min="15622" max="15622" width="44.28515625" style="297" customWidth="1"/>
    <col min="15623" max="15623" width="17" style="297" customWidth="1"/>
    <col min="15624" max="15624" width="15.5703125" style="297" customWidth="1"/>
    <col min="15625" max="15625" width="14.140625" style="297" customWidth="1"/>
    <col min="15626" max="15626" width="1.7109375" style="297" customWidth="1"/>
    <col min="15627" max="15627" width="13.7109375" style="297" customWidth="1"/>
    <col min="15628" max="15628" width="13.85546875" style="297" bestFit="1" customWidth="1"/>
    <col min="15629" max="15629" width="2.5703125" style="297" customWidth="1"/>
    <col min="15630" max="15630" width="12.42578125" style="297" customWidth="1"/>
    <col min="15631" max="15631" width="13.5703125" style="297" customWidth="1"/>
    <col min="15632" max="15632" width="2.5703125" style="297" customWidth="1"/>
    <col min="15633" max="15633" width="12.42578125" style="297" customWidth="1"/>
    <col min="15634" max="15634" width="13.5703125" style="297" customWidth="1"/>
    <col min="15635" max="15635" width="2.5703125" style="297" customWidth="1"/>
    <col min="15636" max="15636" width="11.5703125" style="297" customWidth="1"/>
    <col min="15637" max="15637" width="13" style="297" customWidth="1"/>
    <col min="15638" max="15638" width="1.42578125" style="297" customWidth="1"/>
    <col min="15639" max="15639" width="10.5703125" style="297" customWidth="1"/>
    <col min="15640" max="15871" width="11" style="297"/>
    <col min="15872" max="15872" width="1.5703125" style="297" customWidth="1"/>
    <col min="15873" max="15873" width="8.5703125" style="297" customWidth="1"/>
    <col min="15874" max="15874" width="28.7109375" style="297" customWidth="1"/>
    <col min="15875" max="15875" width="26.5703125" style="297" customWidth="1"/>
    <col min="15876" max="15876" width="7.7109375" style="297" customWidth="1"/>
    <col min="15877" max="15877" width="19.42578125" style="297" customWidth="1"/>
    <col min="15878" max="15878" width="44.28515625" style="297" customWidth="1"/>
    <col min="15879" max="15879" width="17" style="297" customWidth="1"/>
    <col min="15880" max="15880" width="15.5703125" style="297" customWidth="1"/>
    <col min="15881" max="15881" width="14.140625" style="297" customWidth="1"/>
    <col min="15882" max="15882" width="1.7109375" style="297" customWidth="1"/>
    <col min="15883" max="15883" width="13.7109375" style="297" customWidth="1"/>
    <col min="15884" max="15884" width="13.85546875" style="297" bestFit="1" customWidth="1"/>
    <col min="15885" max="15885" width="2.5703125" style="297" customWidth="1"/>
    <col min="15886" max="15886" width="12.42578125" style="297" customWidth="1"/>
    <col min="15887" max="15887" width="13.5703125" style="297" customWidth="1"/>
    <col min="15888" max="15888" width="2.5703125" style="297" customWidth="1"/>
    <col min="15889" max="15889" width="12.42578125" style="297" customWidth="1"/>
    <col min="15890" max="15890" width="13.5703125" style="297" customWidth="1"/>
    <col min="15891" max="15891" width="2.5703125" style="297" customWidth="1"/>
    <col min="15892" max="15892" width="11.5703125" style="297" customWidth="1"/>
    <col min="15893" max="15893" width="13" style="297" customWidth="1"/>
    <col min="15894" max="15894" width="1.42578125" style="297" customWidth="1"/>
    <col min="15895" max="15895" width="10.5703125" style="297" customWidth="1"/>
    <col min="15896" max="16127" width="11" style="297"/>
    <col min="16128" max="16128" width="1.5703125" style="297" customWidth="1"/>
    <col min="16129" max="16129" width="8.5703125" style="297" customWidth="1"/>
    <col min="16130" max="16130" width="28.7109375" style="297" customWidth="1"/>
    <col min="16131" max="16131" width="26.5703125" style="297" customWidth="1"/>
    <col min="16132" max="16132" width="7.7109375" style="297" customWidth="1"/>
    <col min="16133" max="16133" width="19.42578125" style="297" customWidth="1"/>
    <col min="16134" max="16134" width="44.28515625" style="297" customWidth="1"/>
    <col min="16135" max="16135" width="17" style="297" customWidth="1"/>
    <col min="16136" max="16136" width="15.5703125" style="297" customWidth="1"/>
    <col min="16137" max="16137" width="14.140625" style="297" customWidth="1"/>
    <col min="16138" max="16138" width="1.7109375" style="297" customWidth="1"/>
    <col min="16139" max="16139" width="13.7109375" style="297" customWidth="1"/>
    <col min="16140" max="16140" width="13.85546875" style="297" bestFit="1" customWidth="1"/>
    <col min="16141" max="16141" width="2.5703125" style="297" customWidth="1"/>
    <col min="16142" max="16142" width="12.42578125" style="297" customWidth="1"/>
    <col min="16143" max="16143" width="13.5703125" style="297" customWidth="1"/>
    <col min="16144" max="16144" width="2.5703125" style="297" customWidth="1"/>
    <col min="16145" max="16145" width="12.42578125" style="297" customWidth="1"/>
    <col min="16146" max="16146" width="13.5703125" style="297" customWidth="1"/>
    <col min="16147" max="16147" width="2.5703125" style="297" customWidth="1"/>
    <col min="16148" max="16148" width="11.5703125" style="297" customWidth="1"/>
    <col min="16149" max="16149" width="13" style="297" customWidth="1"/>
    <col min="16150" max="16150" width="1.42578125" style="297" customWidth="1"/>
    <col min="16151" max="16151" width="10.5703125" style="297" customWidth="1"/>
    <col min="16152" max="16384" width="11" style="297"/>
  </cols>
  <sheetData>
    <row r="1" spans="2:23" s="419" customFormat="1" ht="24.75" customHeight="1" x14ac:dyDescent="0.2">
      <c r="B1" s="1171"/>
      <c r="C1" s="1172"/>
      <c r="D1" s="1337" t="s">
        <v>952</v>
      </c>
      <c r="E1" s="1196"/>
      <c r="F1" s="1196" t="s">
        <v>953</v>
      </c>
      <c r="G1" s="1196"/>
      <c r="H1" s="1196"/>
      <c r="I1" s="1196"/>
      <c r="J1" s="1196"/>
      <c r="K1" s="1196"/>
      <c r="L1" s="1196"/>
      <c r="M1" s="1196"/>
      <c r="N1" s="1196"/>
      <c r="O1" s="1196"/>
      <c r="P1" s="1314"/>
      <c r="Q1" s="1381"/>
      <c r="R1" s="1196"/>
      <c r="S1" s="1196"/>
      <c r="T1" s="1196"/>
      <c r="U1" s="1196"/>
      <c r="V1" s="1196"/>
      <c r="W1" s="1382"/>
    </row>
    <row r="2" spans="2:23" s="419" customFormat="1" ht="26.25" customHeight="1" x14ac:dyDescent="0.2">
      <c r="B2" s="1173"/>
      <c r="C2" s="1174"/>
      <c r="D2" s="1340" t="s">
        <v>954</v>
      </c>
      <c r="E2" s="1320"/>
      <c r="F2" s="1320" t="s">
        <v>800</v>
      </c>
      <c r="G2" s="1320"/>
      <c r="H2" s="1320"/>
      <c r="I2" s="1320"/>
      <c r="J2" s="1320"/>
      <c r="K2" s="1320"/>
      <c r="L2" s="1320"/>
      <c r="M2" s="1320"/>
      <c r="N2" s="1320"/>
      <c r="O2" s="1320"/>
      <c r="P2" s="1321"/>
      <c r="Q2" s="1383"/>
      <c r="R2" s="1320"/>
      <c r="S2" s="1320"/>
      <c r="T2" s="1320"/>
      <c r="U2" s="1320"/>
      <c r="V2" s="1320"/>
      <c r="W2" s="1384"/>
    </row>
    <row r="3" spans="2:23" s="419" customFormat="1" ht="30.75" customHeight="1" thickBot="1" x14ac:dyDescent="0.25">
      <c r="B3" s="1175"/>
      <c r="C3" s="1176"/>
      <c r="D3" s="1343" t="s">
        <v>852</v>
      </c>
      <c r="E3" s="1200"/>
      <c r="F3" s="495" t="s">
        <v>958</v>
      </c>
      <c r="G3" s="1527" t="s">
        <v>959</v>
      </c>
      <c r="H3" s="1527"/>
      <c r="I3" s="1527"/>
      <c r="J3" s="1527"/>
      <c r="K3" s="1527"/>
      <c r="L3" s="1527"/>
      <c r="M3" s="1527"/>
      <c r="N3" s="1344" t="s">
        <v>957</v>
      </c>
      <c r="O3" s="1343"/>
      <c r="P3" s="496">
        <v>1</v>
      </c>
      <c r="Q3" s="1385"/>
      <c r="R3" s="1200"/>
      <c r="S3" s="1200"/>
      <c r="T3" s="1200"/>
      <c r="U3" s="1200"/>
      <c r="V3" s="1200"/>
      <c r="W3" s="1386"/>
    </row>
    <row r="4" spans="2:23" ht="18.75" thickBot="1" x14ac:dyDescent="0.25">
      <c r="B4" s="416"/>
      <c r="C4" s="416"/>
      <c r="D4" s="416"/>
      <c r="E4" s="416"/>
      <c r="F4" s="416"/>
      <c r="G4" s="416"/>
      <c r="H4" s="416"/>
      <c r="I4" s="416"/>
      <c r="J4" s="416"/>
      <c r="K4" s="416"/>
      <c r="L4" s="416"/>
      <c r="M4" s="416"/>
      <c r="N4" s="416"/>
      <c r="O4" s="416"/>
      <c r="P4" s="416"/>
      <c r="Q4" s="416"/>
      <c r="R4" s="416"/>
      <c r="S4" s="416"/>
      <c r="T4" s="416"/>
      <c r="U4" s="416"/>
      <c r="V4" s="416"/>
      <c r="W4" s="416"/>
    </row>
    <row r="5" spans="2:23" ht="18.75" customHeight="1" thickBot="1" x14ac:dyDescent="0.25">
      <c r="B5" s="1408" t="s">
        <v>926</v>
      </c>
      <c r="C5" s="1409"/>
      <c r="D5" s="1408" t="s">
        <v>927</v>
      </c>
      <c r="E5" s="1409"/>
      <c r="W5" s="300"/>
    </row>
    <row r="6" spans="2:23" ht="18.75" customHeight="1" x14ac:dyDescent="0.2">
      <c r="B6" s="405" t="s">
        <v>740</v>
      </c>
      <c r="C6" s="301" t="s">
        <v>741</v>
      </c>
      <c r="D6" s="405" t="s">
        <v>740</v>
      </c>
      <c r="E6" s="301" t="s">
        <v>741</v>
      </c>
      <c r="W6" s="300"/>
    </row>
    <row r="7" spans="2:23" ht="18.75" customHeight="1" x14ac:dyDescent="0.2">
      <c r="B7" s="406" t="s">
        <v>778</v>
      </c>
      <c r="C7" s="302" t="s">
        <v>780</v>
      </c>
      <c r="D7" s="406" t="s">
        <v>920</v>
      </c>
      <c r="E7" s="302" t="s">
        <v>780</v>
      </c>
      <c r="F7" s="303"/>
      <c r="G7" s="304"/>
      <c r="I7" s="305"/>
      <c r="W7" s="300"/>
    </row>
    <row r="8" spans="2:23" ht="25.5" x14ac:dyDescent="0.2">
      <c r="B8" s="407" t="s">
        <v>779</v>
      </c>
      <c r="C8" s="302" t="s">
        <v>745</v>
      </c>
      <c r="D8" s="407" t="s">
        <v>921</v>
      </c>
      <c r="E8" s="302" t="s">
        <v>745</v>
      </c>
      <c r="G8" s="304"/>
      <c r="H8" s="306"/>
      <c r="I8" s="305"/>
      <c r="W8" s="307"/>
    </row>
    <row r="9" spans="2:23" ht="25.5" x14ac:dyDescent="0.2">
      <c r="B9" s="408" t="s">
        <v>776</v>
      </c>
      <c r="C9" s="302" t="s">
        <v>747</v>
      </c>
      <c r="D9" s="408" t="s">
        <v>922</v>
      </c>
      <c r="E9" s="302" t="s">
        <v>747</v>
      </c>
      <c r="G9" s="304"/>
      <c r="H9" s="304"/>
      <c r="I9" s="305"/>
      <c r="W9" s="308"/>
    </row>
    <row r="10" spans="2:23" ht="15" x14ac:dyDescent="0.2">
      <c r="B10" s="409" t="s">
        <v>777</v>
      </c>
      <c r="C10" s="302" t="s">
        <v>748</v>
      </c>
      <c r="D10" s="409" t="s">
        <v>923</v>
      </c>
      <c r="E10" s="302" t="s">
        <v>748</v>
      </c>
      <c r="G10" s="304"/>
      <c r="I10" s="305"/>
      <c r="W10" s="308"/>
    </row>
    <row r="11" spans="2:23" ht="15.75" thickBot="1" x14ac:dyDescent="0.25">
      <c r="B11" s="410" t="s">
        <v>749</v>
      </c>
      <c r="C11" s="309" t="s">
        <v>750</v>
      </c>
      <c r="D11" s="411" t="s">
        <v>950</v>
      </c>
      <c r="E11" s="309" t="s">
        <v>750</v>
      </c>
      <c r="W11" s="308"/>
    </row>
    <row r="12" spans="2:23" ht="15" x14ac:dyDescent="0.2">
      <c r="D12" s="310"/>
      <c r="E12" s="310"/>
      <c r="F12" s="310"/>
      <c r="W12" s="308"/>
    </row>
    <row r="13" spans="2:23" ht="19.5" x14ac:dyDescent="0.25">
      <c r="F13" s="394"/>
      <c r="I13" s="520"/>
      <c r="J13" s="520"/>
    </row>
    <row r="14" spans="2:23" ht="19.5" x14ac:dyDescent="0.25">
      <c r="B14" s="1528" t="s">
        <v>1106</v>
      </c>
      <c r="C14" s="1528"/>
      <c r="E14" s="1528" t="s">
        <v>1107</v>
      </c>
      <c r="F14" s="1528"/>
      <c r="I14" s="1528" t="s">
        <v>2032</v>
      </c>
      <c r="J14" s="1528"/>
      <c r="M14" s="1528" t="s">
        <v>2362</v>
      </c>
      <c r="N14" s="1528"/>
    </row>
    <row r="15" spans="2:23" s="542" customFormat="1" ht="19.5" x14ac:dyDescent="0.25">
      <c r="B15" s="593"/>
      <c r="C15" s="593"/>
      <c r="E15" s="396"/>
      <c r="G15" s="298"/>
      <c r="H15" s="298"/>
      <c r="I15" s="396"/>
      <c r="K15" s="299"/>
      <c r="M15" s="396"/>
      <c r="O15" s="299"/>
      <c r="S15" s="299"/>
    </row>
    <row r="16" spans="2:23" ht="19.5" x14ac:dyDescent="0.25">
      <c r="B16" s="519" t="s">
        <v>1012</v>
      </c>
      <c r="C16" s="396"/>
      <c r="D16" s="520"/>
      <c r="E16" s="519" t="s">
        <v>1012</v>
      </c>
      <c r="G16" s="297"/>
      <c r="H16" s="297"/>
      <c r="I16" s="519" t="s">
        <v>1012</v>
      </c>
      <c r="J16" s="542"/>
      <c r="K16" s="297"/>
      <c r="M16" s="519" t="s">
        <v>1012</v>
      </c>
      <c r="N16" s="542"/>
      <c r="O16" s="297"/>
      <c r="S16" s="297"/>
    </row>
    <row r="17" spans="2:19" ht="19.5" x14ac:dyDescent="0.25">
      <c r="B17" s="522" t="s">
        <v>1013</v>
      </c>
      <c r="C17" s="523">
        <f>+'Plan de Accion 2018'!AC328</f>
        <v>17235928559.849998</v>
      </c>
      <c r="D17" s="520"/>
      <c r="E17" s="522" t="s">
        <v>1013</v>
      </c>
      <c r="F17" s="523">
        <v>35922847995.809998</v>
      </c>
      <c r="G17" s="297"/>
      <c r="H17" s="297"/>
      <c r="I17" s="522" t="s">
        <v>1013</v>
      </c>
      <c r="J17" s="523">
        <v>56279035497.190002</v>
      </c>
      <c r="K17" s="297"/>
      <c r="L17" s="865"/>
      <c r="M17" s="522" t="s">
        <v>1013</v>
      </c>
      <c r="N17" s="523">
        <f>56279035497.19+13953713987.76</f>
        <v>70232749484.949997</v>
      </c>
      <c r="O17" s="297"/>
      <c r="S17" s="297"/>
    </row>
    <row r="18" spans="2:19" ht="20.25" thickBot="1" x14ac:dyDescent="0.3">
      <c r="B18" s="522" t="s">
        <v>1014</v>
      </c>
      <c r="C18" s="524">
        <f>+'Plan de Accion 2018'!L327</f>
        <v>123940944854</v>
      </c>
      <c r="D18" s="520"/>
      <c r="E18" s="522" t="s">
        <v>1014</v>
      </c>
      <c r="F18" s="524">
        <v>123940944854</v>
      </c>
      <c r="G18" s="297"/>
      <c r="H18" s="299"/>
      <c r="I18" s="522" t="s">
        <v>1014</v>
      </c>
      <c r="J18" s="524">
        <v>123940944854.60999</v>
      </c>
      <c r="K18" s="297"/>
      <c r="M18" s="522" t="s">
        <v>1014</v>
      </c>
      <c r="N18" s="524">
        <v>107533582066.44</v>
      </c>
      <c r="O18" s="297"/>
      <c r="P18" s="1021"/>
    </row>
    <row r="19" spans="2:19" ht="20.25" thickBot="1" x14ac:dyDescent="0.3">
      <c r="C19" s="521">
        <f>+C17/C18</f>
        <v>0.13906565405123855</v>
      </c>
      <c r="D19" s="520"/>
      <c r="F19" s="521">
        <f>+F17/F18</f>
        <v>0.28983842295317669</v>
      </c>
      <c r="G19" s="297"/>
      <c r="H19" s="299"/>
      <c r="I19" s="542"/>
      <c r="J19" s="521">
        <f>+J17/J18</f>
        <v>0.45407944536172951</v>
      </c>
      <c r="K19" s="297"/>
      <c r="M19" s="542"/>
      <c r="N19" s="521">
        <f>+N17/N18</f>
        <v>0.65312387195989108</v>
      </c>
      <c r="O19" s="297"/>
    </row>
    <row r="20" spans="2:19" ht="19.5" x14ac:dyDescent="0.25">
      <c r="C20" s="537"/>
      <c r="D20" s="520"/>
      <c r="F20" s="537"/>
      <c r="G20" s="297"/>
      <c r="H20" s="299"/>
      <c r="I20" s="542"/>
      <c r="J20" s="537"/>
      <c r="K20" s="297"/>
      <c r="M20" s="542"/>
      <c r="N20" s="537"/>
      <c r="O20" s="297"/>
    </row>
    <row r="21" spans="2:19" ht="18" x14ac:dyDescent="0.25">
      <c r="B21" s="519" t="s">
        <v>1015</v>
      </c>
      <c r="E21" s="519" t="s">
        <v>1015</v>
      </c>
      <c r="G21" s="297"/>
      <c r="H21" s="299"/>
      <c r="I21" s="519" t="s">
        <v>1015</v>
      </c>
      <c r="J21" s="542"/>
      <c r="K21" s="297"/>
      <c r="M21" s="519" t="s">
        <v>1015</v>
      </c>
      <c r="N21" s="542"/>
      <c r="O21" s="297"/>
    </row>
    <row r="22" spans="2:19" ht="19.5" x14ac:dyDescent="0.25">
      <c r="B22" s="522" t="s">
        <v>1013</v>
      </c>
      <c r="C22" s="523">
        <f>+'Plan de Accion 2018'!AC327</f>
        <v>10741284867605.9</v>
      </c>
      <c r="D22" s="520"/>
      <c r="E22" s="522" t="s">
        <v>1013</v>
      </c>
      <c r="F22" s="523">
        <v>22444626965916.301</v>
      </c>
      <c r="G22" s="297"/>
      <c r="H22" s="299"/>
      <c r="I22" s="522" t="s">
        <v>1013</v>
      </c>
      <c r="J22" s="523">
        <v>34067125570443.301</v>
      </c>
      <c r="K22" s="297"/>
      <c r="M22" s="522" t="s">
        <v>1013</v>
      </c>
      <c r="N22" s="523">
        <f>34067125570443.3+12001295503907</f>
        <v>46068421074350.297</v>
      </c>
      <c r="O22" s="297"/>
    </row>
    <row r="23" spans="2:19" ht="20.25" thickBot="1" x14ac:dyDescent="0.3">
      <c r="B23" s="522" t="s">
        <v>1014</v>
      </c>
      <c r="C23" s="524">
        <f>+'Plan de Accion 2018'!L326</f>
        <v>42726949922000</v>
      </c>
      <c r="D23" s="520"/>
      <c r="E23" s="522" t="s">
        <v>1014</v>
      </c>
      <c r="F23" s="524">
        <v>43128604240962.609</v>
      </c>
      <c r="G23" s="297"/>
      <c r="H23" s="299"/>
      <c r="I23" s="522" t="s">
        <v>1014</v>
      </c>
      <c r="J23" s="523">
        <v>44440604240962</v>
      </c>
      <c r="K23" s="297"/>
      <c r="M23" s="522" t="s">
        <v>1014</v>
      </c>
      <c r="N23" s="523">
        <v>46648156240962</v>
      </c>
      <c r="O23" s="297"/>
    </row>
    <row r="24" spans="2:19" ht="20.25" thickBot="1" x14ac:dyDescent="0.3">
      <c r="C24" s="525">
        <f>+C22/C23</f>
        <v>0.25139367278063629</v>
      </c>
      <c r="D24" s="520"/>
      <c r="F24" s="525">
        <f>+F22/F23</f>
        <v>0.5204116238150569</v>
      </c>
      <c r="G24" s="297"/>
      <c r="H24" s="299"/>
      <c r="J24" s="525">
        <f>+J22/J23</f>
        <v>0.76657656105950944</v>
      </c>
      <c r="K24" s="297"/>
      <c r="M24" s="542"/>
      <c r="N24" s="525">
        <f>+N22/N23</f>
        <v>0.98757217405084419</v>
      </c>
      <c r="O24" s="297"/>
    </row>
    <row r="25" spans="2:19" ht="19.5" x14ac:dyDescent="0.25">
      <c r="C25" s="538"/>
      <c r="D25" s="520"/>
      <c r="F25" s="538"/>
      <c r="G25" s="297"/>
      <c r="H25" s="299"/>
      <c r="I25" s="542"/>
      <c r="J25" s="538"/>
      <c r="K25" s="297"/>
      <c r="M25" s="542"/>
      <c r="N25" s="538"/>
      <c r="O25" s="297"/>
    </row>
    <row r="26" spans="2:19" ht="18" x14ac:dyDescent="0.25">
      <c r="B26" s="519" t="s">
        <v>1016</v>
      </c>
      <c r="E26" s="519" t="s">
        <v>1016</v>
      </c>
      <c r="G26" s="297"/>
      <c r="H26" s="299"/>
      <c r="I26" s="519" t="s">
        <v>1016</v>
      </c>
      <c r="J26" s="542"/>
      <c r="K26" s="297"/>
      <c r="M26" s="519" t="s">
        <v>1016</v>
      </c>
      <c r="N26" s="542"/>
      <c r="O26" s="297"/>
    </row>
    <row r="27" spans="2:19" ht="18" x14ac:dyDescent="0.25">
      <c r="B27" s="522" t="s">
        <v>1013</v>
      </c>
      <c r="C27" s="523">
        <f>+C17+C22</f>
        <v>10758520796165.75</v>
      </c>
      <c r="E27" s="522" t="s">
        <v>1013</v>
      </c>
      <c r="F27" s="523">
        <v>22480549813912.109</v>
      </c>
      <c r="G27" s="297"/>
      <c r="H27" s="299"/>
      <c r="I27" s="522" t="s">
        <v>1013</v>
      </c>
      <c r="J27" s="523">
        <f>+J17+J22</f>
        <v>34123404605940.492</v>
      </c>
      <c r="K27" s="297"/>
      <c r="M27" s="522" t="s">
        <v>1013</v>
      </c>
      <c r="N27" s="523">
        <f>+N17+N22</f>
        <v>46138653823835.25</v>
      </c>
      <c r="O27" s="297"/>
    </row>
    <row r="28" spans="2:19" ht="18.75" thickBot="1" x14ac:dyDescent="0.3">
      <c r="B28" s="522" t="s">
        <v>1014</v>
      </c>
      <c r="C28" s="524">
        <f>+C18+C23</f>
        <v>42850890866854</v>
      </c>
      <c r="E28" s="522" t="s">
        <v>1014</v>
      </c>
      <c r="F28" s="524">
        <v>43252545185816.609</v>
      </c>
      <c r="G28" s="297"/>
      <c r="H28" s="299"/>
      <c r="I28" s="522" t="s">
        <v>1014</v>
      </c>
      <c r="J28" s="524">
        <f>+J18+J23</f>
        <v>44564545185816.609</v>
      </c>
      <c r="K28" s="297"/>
      <c r="M28" s="522" t="s">
        <v>1014</v>
      </c>
      <c r="N28" s="524">
        <f>+N18+N23</f>
        <v>46755689823028.438</v>
      </c>
      <c r="O28" s="297"/>
    </row>
    <row r="29" spans="2:19" ht="20.25" thickBot="1" x14ac:dyDescent="0.3">
      <c r="C29" s="525">
        <f>+C27/C28</f>
        <v>0.25106877776694431</v>
      </c>
      <c r="F29" s="525">
        <f>+F27/F28</f>
        <v>0.51975091216791425</v>
      </c>
      <c r="G29" s="297"/>
      <c r="H29" s="299"/>
      <c r="I29" s="542"/>
      <c r="J29" s="525">
        <f>+J27/J28</f>
        <v>0.76570745788292749</v>
      </c>
      <c r="K29" s="297"/>
      <c r="M29" s="542"/>
      <c r="N29" s="525">
        <f>+N27/N28</f>
        <v>0.9868029751773808</v>
      </c>
      <c r="O29" s="297"/>
    </row>
    <row r="30" spans="2:19" x14ac:dyDescent="0.2">
      <c r="F30" s="298"/>
      <c r="H30" s="297"/>
    </row>
  </sheetData>
  <mergeCells count="15">
    <mergeCell ref="B14:C14"/>
    <mergeCell ref="E14:F14"/>
    <mergeCell ref="B5:C5"/>
    <mergeCell ref="D5:E5"/>
    <mergeCell ref="B1:C3"/>
    <mergeCell ref="D1:E1"/>
    <mergeCell ref="F1:P1"/>
    <mergeCell ref="I14:J14"/>
    <mergeCell ref="M14:N14"/>
    <mergeCell ref="Q1:W3"/>
    <mergeCell ref="D2:E2"/>
    <mergeCell ref="F2:P2"/>
    <mergeCell ref="D3:E3"/>
    <mergeCell ref="G3:M3"/>
    <mergeCell ref="N3:O3"/>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K62"/>
  <sheetViews>
    <sheetView zoomScale="60" zoomScaleNormal="60" workbookViewId="0">
      <pane ySplit="4" topLeftCell="A34" activePane="bottomLeft" state="frozen"/>
      <selection pane="bottomLeft" activeCell="H36" sqref="H36"/>
    </sheetView>
  </sheetViews>
  <sheetFormatPr baseColWidth="10" defaultRowHeight="15" x14ac:dyDescent="0.25"/>
  <cols>
    <col min="2" max="2" width="11.85546875" bestFit="1" customWidth="1"/>
    <col min="3" max="3" width="32.42578125" customWidth="1"/>
    <col min="4" max="4" width="23.85546875" customWidth="1"/>
    <col min="5" max="5" width="18.85546875" customWidth="1"/>
    <col min="6" max="6" width="19.42578125" customWidth="1"/>
    <col min="7" max="7" width="18.28515625" customWidth="1"/>
    <col min="11" max="11" width="36.140625" customWidth="1"/>
  </cols>
  <sheetData>
    <row r="2" spans="1:7" x14ac:dyDescent="0.25">
      <c r="A2" s="1531" t="s">
        <v>962</v>
      </c>
      <c r="B2" s="1531"/>
      <c r="C2" s="1531"/>
      <c r="D2" s="1531"/>
      <c r="E2" s="1531"/>
      <c r="F2" s="1531"/>
      <c r="G2" s="1531"/>
    </row>
    <row r="3" spans="1:7" x14ac:dyDescent="0.25">
      <c r="A3" s="428"/>
      <c r="B3" s="428"/>
      <c r="C3" s="428"/>
      <c r="D3" s="428"/>
      <c r="E3" s="428"/>
      <c r="F3" s="428"/>
      <c r="G3" s="428"/>
    </row>
    <row r="4" spans="1:7" x14ac:dyDescent="0.25">
      <c r="A4" s="429" t="s">
        <v>963</v>
      </c>
      <c r="B4" s="429" t="s">
        <v>964</v>
      </c>
      <c r="C4" s="429" t="s">
        <v>965</v>
      </c>
      <c r="D4" s="429" t="s">
        <v>969</v>
      </c>
      <c r="E4" s="429" t="s">
        <v>966</v>
      </c>
      <c r="F4" s="429" t="s">
        <v>967</v>
      </c>
      <c r="G4" s="429" t="s">
        <v>968</v>
      </c>
    </row>
    <row r="5" spans="1:7" ht="25.5" x14ac:dyDescent="0.25">
      <c r="A5" s="433">
        <v>1</v>
      </c>
      <c r="B5" s="431">
        <v>43131</v>
      </c>
      <c r="C5" s="430" t="s">
        <v>970</v>
      </c>
      <c r="D5" s="430" t="s">
        <v>973</v>
      </c>
      <c r="E5" s="432" t="s">
        <v>971</v>
      </c>
      <c r="F5" s="430" t="s">
        <v>972</v>
      </c>
      <c r="G5" s="430" t="s">
        <v>972</v>
      </c>
    </row>
    <row r="6" spans="1:7" ht="409.5" x14ac:dyDescent="0.25">
      <c r="A6" s="433">
        <v>2</v>
      </c>
      <c r="B6" s="431">
        <v>43242</v>
      </c>
      <c r="C6" s="432" t="s">
        <v>997</v>
      </c>
      <c r="D6" s="430" t="s">
        <v>977</v>
      </c>
      <c r="E6" s="432" t="s">
        <v>974</v>
      </c>
      <c r="F6" s="432" t="s">
        <v>976</v>
      </c>
      <c r="G6" s="432" t="s">
        <v>976</v>
      </c>
    </row>
    <row r="7" spans="1:7" ht="294" x14ac:dyDescent="0.25">
      <c r="A7" s="1532">
        <v>3</v>
      </c>
      <c r="B7" s="1533">
        <v>43311</v>
      </c>
      <c r="C7" s="599" t="s">
        <v>1184</v>
      </c>
      <c r="D7" s="430" t="s">
        <v>973</v>
      </c>
      <c r="E7" s="432" t="s">
        <v>1108</v>
      </c>
      <c r="F7" s="1529" t="s">
        <v>1109</v>
      </c>
      <c r="G7" s="1534" t="s">
        <v>1110</v>
      </c>
    </row>
    <row r="8" spans="1:7" ht="369.75" x14ac:dyDescent="0.25">
      <c r="A8" s="1532"/>
      <c r="B8" s="1532"/>
      <c r="C8" s="432" t="s">
        <v>1111</v>
      </c>
      <c r="D8" s="430" t="s">
        <v>1112</v>
      </c>
      <c r="E8" s="432" t="s">
        <v>1113</v>
      </c>
      <c r="F8" s="1529"/>
      <c r="G8" s="1534"/>
    </row>
    <row r="9" spans="1:7" ht="178.5" x14ac:dyDescent="0.25">
      <c r="A9" s="1532"/>
      <c r="B9" s="1532"/>
      <c r="C9" s="432" t="s">
        <v>1114</v>
      </c>
      <c r="D9" s="430" t="s">
        <v>1185</v>
      </c>
      <c r="E9" s="432" t="s">
        <v>1115</v>
      </c>
      <c r="F9" s="1529"/>
      <c r="G9" s="1534"/>
    </row>
    <row r="10" spans="1:7" ht="140.25" x14ac:dyDescent="0.25">
      <c r="A10" s="1532"/>
      <c r="B10" s="1532"/>
      <c r="C10" s="432" t="s">
        <v>1116</v>
      </c>
      <c r="D10" s="430" t="s">
        <v>1117</v>
      </c>
      <c r="E10" s="432" t="s">
        <v>1118</v>
      </c>
      <c r="F10" s="1529"/>
      <c r="G10" s="1534"/>
    </row>
    <row r="11" spans="1:7" ht="153" x14ac:dyDescent="0.25">
      <c r="A11" s="1532"/>
      <c r="B11" s="1532"/>
      <c r="C11" s="432" t="s">
        <v>1119</v>
      </c>
      <c r="D11" s="430" t="s">
        <v>1120</v>
      </c>
      <c r="E11" s="432" t="s">
        <v>1121</v>
      </c>
      <c r="F11" s="1529"/>
      <c r="G11" s="1534"/>
    </row>
    <row r="12" spans="1:7" ht="76.5" x14ac:dyDescent="0.25">
      <c r="A12" s="1532"/>
      <c r="B12" s="1532"/>
      <c r="C12" s="432" t="s">
        <v>1122</v>
      </c>
      <c r="D12" s="432" t="s">
        <v>1123</v>
      </c>
      <c r="E12" s="432" t="s">
        <v>1124</v>
      </c>
      <c r="F12" s="1529"/>
      <c r="G12" s="1534"/>
    </row>
    <row r="13" spans="1:7" ht="165.75" x14ac:dyDescent="0.25">
      <c r="A13" s="1532"/>
      <c r="B13" s="1532"/>
      <c r="C13" s="432" t="s">
        <v>1125</v>
      </c>
      <c r="D13" s="432" t="s">
        <v>1126</v>
      </c>
      <c r="E13" s="432" t="s">
        <v>1127</v>
      </c>
      <c r="F13" s="1529"/>
      <c r="G13" s="1534"/>
    </row>
    <row r="14" spans="1:7" ht="127.5" x14ac:dyDescent="0.25">
      <c r="A14" s="1242">
        <v>4</v>
      </c>
      <c r="B14" s="602">
        <v>43312</v>
      </c>
      <c r="C14" s="600" t="s">
        <v>1133</v>
      </c>
      <c r="D14" s="601" t="s">
        <v>1131</v>
      </c>
      <c r="E14" s="600" t="s">
        <v>1128</v>
      </c>
      <c r="F14" s="600" t="s">
        <v>1129</v>
      </c>
      <c r="G14" s="600" t="s">
        <v>1130</v>
      </c>
    </row>
    <row r="15" spans="1:7" ht="409.5" x14ac:dyDescent="0.25">
      <c r="A15" s="1242"/>
      <c r="B15" s="602">
        <v>43329</v>
      </c>
      <c r="C15" s="600" t="s">
        <v>1188</v>
      </c>
      <c r="D15" s="432" t="s">
        <v>1183</v>
      </c>
      <c r="E15" s="432" t="s">
        <v>974</v>
      </c>
      <c r="F15" s="432" t="s">
        <v>1182</v>
      </c>
      <c r="G15" s="432" t="s">
        <v>1182</v>
      </c>
    </row>
    <row r="16" spans="1:7" ht="89.25" x14ac:dyDescent="0.25">
      <c r="A16" s="1242"/>
      <c r="B16" s="788">
        <v>43355</v>
      </c>
      <c r="C16" s="600" t="s">
        <v>1849</v>
      </c>
      <c r="D16" s="600" t="s">
        <v>1834</v>
      </c>
      <c r="E16" s="600" t="s">
        <v>974</v>
      </c>
      <c r="F16" s="600" t="s">
        <v>1834</v>
      </c>
      <c r="G16" s="600" t="s">
        <v>1834</v>
      </c>
    </row>
    <row r="17" spans="1:7" ht="89.25" x14ac:dyDescent="0.25">
      <c r="A17" s="1242"/>
      <c r="B17" s="789">
        <v>43362</v>
      </c>
      <c r="C17" s="600" t="s">
        <v>1883</v>
      </c>
      <c r="D17" s="600" t="s">
        <v>1819</v>
      </c>
      <c r="E17" s="600" t="s">
        <v>974</v>
      </c>
      <c r="F17" s="600" t="s">
        <v>1872</v>
      </c>
      <c r="G17" s="600" t="s">
        <v>1819</v>
      </c>
    </row>
    <row r="18" spans="1:7" ht="114.75" x14ac:dyDescent="0.25">
      <c r="A18" s="1242"/>
      <c r="B18" s="789">
        <v>43362</v>
      </c>
      <c r="C18" s="600" t="s">
        <v>1884</v>
      </c>
      <c r="D18" s="600" t="s">
        <v>1819</v>
      </c>
      <c r="E18" s="600" t="s">
        <v>974</v>
      </c>
      <c r="F18" s="600" t="s">
        <v>1872</v>
      </c>
      <c r="G18" s="600" t="s">
        <v>1819</v>
      </c>
    </row>
    <row r="19" spans="1:7" ht="140.25" x14ac:dyDescent="0.25">
      <c r="A19" s="1242"/>
      <c r="B19" s="789">
        <v>43364</v>
      </c>
      <c r="C19" s="600" t="s">
        <v>1825</v>
      </c>
      <c r="D19" s="600" t="s">
        <v>1824</v>
      </c>
      <c r="E19" s="600" t="s">
        <v>974</v>
      </c>
      <c r="F19" s="600" t="s">
        <v>1824</v>
      </c>
      <c r="G19" s="600" t="s">
        <v>1824</v>
      </c>
    </row>
    <row r="20" spans="1:7" ht="89.25" x14ac:dyDescent="0.25">
      <c r="A20" s="1242"/>
      <c r="B20" s="789">
        <v>43364</v>
      </c>
      <c r="C20" s="600" t="s">
        <v>1827</v>
      </c>
      <c r="D20" s="600" t="s">
        <v>1826</v>
      </c>
      <c r="E20" s="600" t="s">
        <v>974</v>
      </c>
      <c r="F20" s="600" t="s">
        <v>1826</v>
      </c>
      <c r="G20" s="600" t="s">
        <v>1826</v>
      </c>
    </row>
    <row r="21" spans="1:7" ht="89.25" x14ac:dyDescent="0.25">
      <c r="A21" s="1242"/>
      <c r="B21" s="789">
        <v>43364</v>
      </c>
      <c r="C21" s="600" t="s">
        <v>1832</v>
      </c>
      <c r="D21" s="600" t="s">
        <v>1833</v>
      </c>
      <c r="E21" s="600" t="s">
        <v>974</v>
      </c>
      <c r="F21" s="600" t="s">
        <v>1833</v>
      </c>
      <c r="G21" s="600" t="s">
        <v>1833</v>
      </c>
    </row>
    <row r="22" spans="1:7" ht="63.75" x14ac:dyDescent="0.25">
      <c r="A22" s="1242"/>
      <c r="B22" s="1530">
        <v>43367</v>
      </c>
      <c r="C22" s="600" t="s">
        <v>1844</v>
      </c>
      <c r="D22" s="1263" t="s">
        <v>1845</v>
      </c>
      <c r="E22" s="1263" t="s">
        <v>1841</v>
      </c>
      <c r="F22" s="1263" t="s">
        <v>1845</v>
      </c>
      <c r="G22" s="1263" t="s">
        <v>1845</v>
      </c>
    </row>
    <row r="23" spans="1:7" ht="242.25" x14ac:dyDescent="0.25">
      <c r="A23" s="1242"/>
      <c r="B23" s="1530"/>
      <c r="C23" s="600" t="s">
        <v>1846</v>
      </c>
      <c r="D23" s="1263"/>
      <c r="E23" s="1263"/>
      <c r="F23" s="1263"/>
      <c r="G23" s="1263"/>
    </row>
    <row r="24" spans="1:7" ht="76.5" customHeight="1" x14ac:dyDescent="0.25">
      <c r="A24" s="1242"/>
      <c r="B24" s="1530"/>
      <c r="C24" s="600" t="s">
        <v>1847</v>
      </c>
      <c r="D24" s="1263"/>
      <c r="E24" s="1263"/>
      <c r="F24" s="1263"/>
      <c r="G24" s="1263"/>
    </row>
    <row r="25" spans="1:7" ht="191.25" x14ac:dyDescent="0.25">
      <c r="A25" s="1242"/>
      <c r="B25" s="1530"/>
      <c r="C25" s="600" t="s">
        <v>1848</v>
      </c>
      <c r="D25" s="1263"/>
      <c r="E25" s="1263"/>
      <c r="F25" s="1263"/>
      <c r="G25" s="1263"/>
    </row>
    <row r="26" spans="1:7" ht="204" x14ac:dyDescent="0.25">
      <c r="A26" s="1242"/>
      <c r="B26" s="1530"/>
      <c r="C26" s="600" t="s">
        <v>1842</v>
      </c>
      <c r="D26" s="1263"/>
      <c r="E26" s="1263"/>
      <c r="F26" s="1263"/>
      <c r="G26" s="1263"/>
    </row>
    <row r="27" spans="1:7" ht="51" x14ac:dyDescent="0.25">
      <c r="A27" s="1242"/>
      <c r="B27" s="1530"/>
      <c r="C27" s="600" t="s">
        <v>1843</v>
      </c>
      <c r="D27" s="1263"/>
      <c r="E27" s="1263"/>
      <c r="F27" s="1263"/>
      <c r="G27" s="1263"/>
    </row>
    <row r="28" spans="1:7" ht="76.5" x14ac:dyDescent="0.25">
      <c r="A28" s="1242"/>
      <c r="B28" s="1530">
        <v>43371</v>
      </c>
      <c r="C28" s="600" t="s">
        <v>1873</v>
      </c>
      <c r="D28" s="1161" t="s">
        <v>1874</v>
      </c>
      <c r="E28" s="1529" t="s">
        <v>1875</v>
      </c>
      <c r="F28" s="1161" t="s">
        <v>1874</v>
      </c>
      <c r="G28" s="600" t="s">
        <v>1876</v>
      </c>
    </row>
    <row r="29" spans="1:7" ht="51" x14ac:dyDescent="0.25">
      <c r="A29" s="1242"/>
      <c r="B29" s="1530"/>
      <c r="C29" s="600" t="s">
        <v>1877</v>
      </c>
      <c r="D29" s="1161"/>
      <c r="E29" s="1529"/>
      <c r="F29" s="1161"/>
      <c r="G29" s="600" t="s">
        <v>1872</v>
      </c>
    </row>
    <row r="30" spans="1:7" ht="102" x14ac:dyDescent="0.25">
      <c r="A30" s="1242"/>
      <c r="B30" s="1530"/>
      <c r="C30" s="600" t="s">
        <v>1878</v>
      </c>
      <c r="D30" s="1161"/>
      <c r="E30" s="1529"/>
      <c r="F30" s="1161"/>
      <c r="G30" s="600" t="s">
        <v>1872</v>
      </c>
    </row>
    <row r="31" spans="1:7" ht="51" x14ac:dyDescent="0.25">
      <c r="A31" s="1242"/>
      <c r="B31" s="1530"/>
      <c r="C31" s="600" t="s">
        <v>1879</v>
      </c>
      <c r="D31" s="1161"/>
      <c r="E31" s="1529"/>
      <c r="F31" s="1161"/>
      <c r="G31" s="600" t="s">
        <v>1880</v>
      </c>
    </row>
    <row r="32" spans="1:7" ht="76.5" x14ac:dyDescent="0.25">
      <c r="A32" s="1242"/>
      <c r="B32" s="1530"/>
      <c r="C32" s="600" t="s">
        <v>1881</v>
      </c>
      <c r="D32" s="1161"/>
      <c r="E32" s="1529"/>
      <c r="F32" s="1161"/>
      <c r="G32" s="600" t="s">
        <v>1876</v>
      </c>
    </row>
    <row r="33" spans="1:11" ht="63.75" x14ac:dyDescent="0.25">
      <c r="A33" s="1242"/>
      <c r="B33" s="1530"/>
      <c r="C33" s="600" t="s">
        <v>2154</v>
      </c>
      <c r="D33" s="1161"/>
      <c r="E33" s="1529"/>
      <c r="F33" s="1161"/>
      <c r="G33" s="600" t="s">
        <v>1882</v>
      </c>
    </row>
    <row r="34" spans="1:11" ht="255" x14ac:dyDescent="0.25">
      <c r="A34" s="1242">
        <v>5</v>
      </c>
      <c r="B34" s="872">
        <v>43389</v>
      </c>
      <c r="C34" s="130" t="s">
        <v>2246</v>
      </c>
      <c r="D34" s="130" t="s">
        <v>1953</v>
      </c>
      <c r="E34" s="130" t="s">
        <v>1954</v>
      </c>
      <c r="F34" s="130" t="s">
        <v>1955</v>
      </c>
      <c r="G34" s="130" t="s">
        <v>1956</v>
      </c>
    </row>
    <row r="35" spans="1:11" ht="120" x14ac:dyDescent="0.25">
      <c r="A35" s="1242"/>
      <c r="B35" s="872">
        <v>43389</v>
      </c>
      <c r="C35" s="130" t="s">
        <v>2350</v>
      </c>
      <c r="D35" s="130" t="s">
        <v>1957</v>
      </c>
      <c r="E35" s="130" t="s">
        <v>1958</v>
      </c>
      <c r="F35" s="130" t="s">
        <v>1955</v>
      </c>
      <c r="G35" s="130" t="s">
        <v>1956</v>
      </c>
    </row>
    <row r="36" spans="1:11" ht="270" x14ac:dyDescent="0.25">
      <c r="A36" s="1242"/>
      <c r="B36" s="872">
        <v>43389</v>
      </c>
      <c r="C36" s="130" t="s">
        <v>2351</v>
      </c>
      <c r="D36" s="130" t="s">
        <v>1957</v>
      </c>
      <c r="E36" s="130" t="s">
        <v>1958</v>
      </c>
      <c r="F36" s="130" t="s">
        <v>1955</v>
      </c>
      <c r="G36" s="130" t="s">
        <v>1956</v>
      </c>
    </row>
    <row r="37" spans="1:11" ht="191.25" x14ac:dyDescent="0.25">
      <c r="A37" s="1242"/>
      <c r="B37" s="602">
        <v>43395</v>
      </c>
      <c r="C37" s="862" t="s">
        <v>2131</v>
      </c>
      <c r="D37" s="862" t="s">
        <v>2352</v>
      </c>
      <c r="E37" s="862" t="s">
        <v>2353</v>
      </c>
      <c r="F37" s="862" t="s">
        <v>2352</v>
      </c>
      <c r="G37" s="862" t="s">
        <v>1892</v>
      </c>
    </row>
    <row r="38" spans="1:11" ht="76.5" x14ac:dyDescent="0.25">
      <c r="A38" s="1242"/>
      <c r="B38" s="602">
        <v>43395</v>
      </c>
      <c r="C38" s="862" t="s">
        <v>1888</v>
      </c>
      <c r="D38" s="862" t="s">
        <v>1876</v>
      </c>
      <c r="E38" s="862" t="s">
        <v>974</v>
      </c>
      <c r="F38" s="862" t="s">
        <v>1876</v>
      </c>
      <c r="G38" s="862" t="s">
        <v>1876</v>
      </c>
    </row>
    <row r="39" spans="1:11" ht="89.25" x14ac:dyDescent="0.25">
      <c r="A39" s="1242"/>
      <c r="B39" s="602">
        <v>43396</v>
      </c>
      <c r="C39" s="862" t="s">
        <v>1889</v>
      </c>
      <c r="D39" s="862" t="s">
        <v>1126</v>
      </c>
      <c r="E39" s="862" t="s">
        <v>974</v>
      </c>
      <c r="F39" s="862" t="s">
        <v>2354</v>
      </c>
      <c r="G39" s="862" t="s">
        <v>1819</v>
      </c>
    </row>
    <row r="40" spans="1:11" ht="234.75" customHeight="1" x14ac:dyDescent="0.25">
      <c r="A40" s="1242"/>
      <c r="B40" s="602">
        <v>43396</v>
      </c>
      <c r="C40" s="833" t="s">
        <v>1890</v>
      </c>
      <c r="D40" s="862" t="s">
        <v>2355</v>
      </c>
      <c r="E40" s="862" t="s">
        <v>974</v>
      </c>
      <c r="F40" s="862" t="s">
        <v>1891</v>
      </c>
      <c r="G40" s="862" t="s">
        <v>1891</v>
      </c>
      <c r="K40" s="530"/>
    </row>
    <row r="41" spans="1:11" ht="165.75" x14ac:dyDescent="0.25">
      <c r="A41" s="1242"/>
      <c r="B41" s="602">
        <v>43396</v>
      </c>
      <c r="C41" s="862" t="s">
        <v>1893</v>
      </c>
      <c r="D41" s="862" t="s">
        <v>1895</v>
      </c>
      <c r="E41" s="862" t="s">
        <v>2356</v>
      </c>
      <c r="F41" s="862" t="s">
        <v>1894</v>
      </c>
      <c r="G41" s="862" t="s">
        <v>1833</v>
      </c>
    </row>
    <row r="42" spans="1:11" ht="127.5" x14ac:dyDescent="0.25">
      <c r="A42" s="1242"/>
      <c r="B42" s="602">
        <v>43404</v>
      </c>
      <c r="C42" s="862" t="s">
        <v>2357</v>
      </c>
      <c r="D42" s="862" t="s">
        <v>2358</v>
      </c>
      <c r="E42" s="862" t="s">
        <v>974</v>
      </c>
      <c r="F42" s="862" t="s">
        <v>1952</v>
      </c>
      <c r="G42" s="862" t="s">
        <v>1833</v>
      </c>
      <c r="K42" s="530"/>
    </row>
    <row r="43" spans="1:11" ht="76.5" x14ac:dyDescent="0.25">
      <c r="A43" s="1242"/>
      <c r="B43" s="1530">
        <v>43413</v>
      </c>
      <c r="C43" s="862" t="s">
        <v>2023</v>
      </c>
      <c r="D43" s="1241" t="s">
        <v>2027</v>
      </c>
      <c r="E43" s="1161" t="s">
        <v>974</v>
      </c>
      <c r="F43" s="1241" t="s">
        <v>2028</v>
      </c>
      <c r="G43" s="1161" t="s">
        <v>1819</v>
      </c>
    </row>
    <row r="44" spans="1:11" ht="89.25" x14ac:dyDescent="0.25">
      <c r="A44" s="1242"/>
      <c r="B44" s="1530"/>
      <c r="C44" s="862" t="s">
        <v>2024</v>
      </c>
      <c r="D44" s="1241"/>
      <c r="E44" s="1161"/>
      <c r="F44" s="1241"/>
      <c r="G44" s="1161"/>
    </row>
    <row r="45" spans="1:11" ht="63.75" x14ac:dyDescent="0.25">
      <c r="A45" s="1242"/>
      <c r="B45" s="1530"/>
      <c r="C45" s="862" t="s">
        <v>2025</v>
      </c>
      <c r="D45" s="1241"/>
      <c r="E45" s="1161"/>
      <c r="F45" s="1241"/>
      <c r="G45" s="1161"/>
    </row>
    <row r="46" spans="1:11" ht="76.5" x14ac:dyDescent="0.25">
      <c r="A46" s="1242"/>
      <c r="B46" s="1530"/>
      <c r="C46" s="862" t="s">
        <v>2026</v>
      </c>
      <c r="D46" s="1241"/>
      <c r="E46" s="1161"/>
      <c r="F46" s="1241"/>
      <c r="G46" s="1161"/>
    </row>
    <row r="47" spans="1:11" ht="318.75" x14ac:dyDescent="0.25">
      <c r="A47" s="1622">
        <v>6</v>
      </c>
      <c r="B47" s="602">
        <v>43420</v>
      </c>
      <c r="C47" s="888" t="s">
        <v>2041</v>
      </c>
      <c r="D47" s="888" t="s">
        <v>2359</v>
      </c>
      <c r="E47" s="888" t="s">
        <v>974</v>
      </c>
      <c r="F47" s="888" t="s">
        <v>2042</v>
      </c>
      <c r="G47" s="888" t="s">
        <v>2042</v>
      </c>
    </row>
    <row r="48" spans="1:11" ht="127.5" x14ac:dyDescent="0.25">
      <c r="A48" s="1623"/>
      <c r="B48" s="602">
        <v>43420</v>
      </c>
      <c r="C48" s="891" t="s">
        <v>2065</v>
      </c>
      <c r="D48" s="891" t="s">
        <v>2047</v>
      </c>
      <c r="E48" s="891" t="s">
        <v>974</v>
      </c>
      <c r="F48" s="891" t="s">
        <v>2048</v>
      </c>
      <c r="G48" s="891" t="s">
        <v>1112</v>
      </c>
    </row>
    <row r="49" spans="1:7" ht="127.5" x14ac:dyDescent="0.25">
      <c r="A49" s="1623"/>
      <c r="B49" s="602">
        <v>43447</v>
      </c>
      <c r="C49" s="926" t="s">
        <v>2066</v>
      </c>
      <c r="D49" s="926" t="s">
        <v>2047</v>
      </c>
      <c r="E49" s="926" t="s">
        <v>974</v>
      </c>
      <c r="F49" s="926" t="s">
        <v>2048</v>
      </c>
      <c r="G49" s="926" t="s">
        <v>1112</v>
      </c>
    </row>
    <row r="50" spans="1:7" ht="102" x14ac:dyDescent="0.25">
      <c r="A50" s="1623"/>
      <c r="B50" s="928">
        <v>43452</v>
      </c>
      <c r="C50" s="927" t="s">
        <v>2071</v>
      </c>
      <c r="D50" s="927" t="s">
        <v>2072</v>
      </c>
      <c r="E50" s="927" t="s">
        <v>974</v>
      </c>
      <c r="F50" s="927" t="s">
        <v>2073</v>
      </c>
      <c r="G50" s="927" t="s">
        <v>1130</v>
      </c>
    </row>
    <row r="51" spans="1:7" ht="89.25" x14ac:dyDescent="0.25">
      <c r="A51" s="1623"/>
      <c r="B51" s="928">
        <v>43452</v>
      </c>
      <c r="C51" s="927" t="s">
        <v>2074</v>
      </c>
      <c r="D51" s="927" t="s">
        <v>2075</v>
      </c>
      <c r="E51" s="927" t="s">
        <v>974</v>
      </c>
      <c r="F51" s="927" t="s">
        <v>1887</v>
      </c>
      <c r="G51" s="927" t="s">
        <v>1130</v>
      </c>
    </row>
    <row r="52" spans="1:7" ht="76.5" x14ac:dyDescent="0.25">
      <c r="A52" s="1623"/>
      <c r="B52" s="928">
        <v>43452</v>
      </c>
      <c r="C52" s="927" t="s">
        <v>2132</v>
      </c>
      <c r="D52" s="833" t="s">
        <v>2063</v>
      </c>
      <c r="E52" s="927" t="s">
        <v>974</v>
      </c>
      <c r="F52" s="927" t="s">
        <v>1887</v>
      </c>
      <c r="G52" s="833" t="s">
        <v>2064</v>
      </c>
    </row>
    <row r="53" spans="1:7" s="1009" customFormat="1" ht="63.75" x14ac:dyDescent="0.25">
      <c r="A53" s="1623"/>
      <c r="B53" s="1008">
        <v>43452</v>
      </c>
      <c r="C53" s="960" t="s">
        <v>2223</v>
      </c>
      <c r="D53" s="1001" t="s">
        <v>2360</v>
      </c>
      <c r="E53" s="1007" t="s">
        <v>2224</v>
      </c>
      <c r="F53" s="1007" t="s">
        <v>2225</v>
      </c>
      <c r="G53" s="1007" t="s">
        <v>1887</v>
      </c>
    </row>
    <row r="54" spans="1:7" ht="102" x14ac:dyDescent="0.25">
      <c r="A54" s="1623"/>
      <c r="B54" s="928">
        <v>43452</v>
      </c>
      <c r="C54" s="927" t="s">
        <v>2081</v>
      </c>
      <c r="D54" s="833" t="s">
        <v>1876</v>
      </c>
      <c r="E54" s="927" t="s">
        <v>974</v>
      </c>
      <c r="F54" s="927" t="s">
        <v>2080</v>
      </c>
      <c r="G54" s="833" t="s">
        <v>1876</v>
      </c>
    </row>
    <row r="55" spans="1:7" ht="102" x14ac:dyDescent="0.25">
      <c r="A55" s="1623"/>
      <c r="B55" s="1032">
        <v>43455</v>
      </c>
      <c r="C55" s="1022" t="s">
        <v>2139</v>
      </c>
      <c r="D55" s="1022" t="s">
        <v>2361</v>
      </c>
      <c r="E55" s="1022" t="s">
        <v>974</v>
      </c>
      <c r="F55" s="1022" t="s">
        <v>2140</v>
      </c>
      <c r="G55" s="1022" t="s">
        <v>1819</v>
      </c>
    </row>
    <row r="56" spans="1:7" ht="114.75" x14ac:dyDescent="0.25">
      <c r="A56" s="1623"/>
      <c r="B56" s="1032">
        <v>43455</v>
      </c>
      <c r="C56" s="1022" t="s">
        <v>2141</v>
      </c>
      <c r="D56" s="1022" t="s">
        <v>2361</v>
      </c>
      <c r="E56" s="1022" t="s">
        <v>974</v>
      </c>
      <c r="F56" s="1022" t="s">
        <v>2140</v>
      </c>
      <c r="G56" s="1022" t="s">
        <v>1819</v>
      </c>
    </row>
    <row r="57" spans="1:7" ht="114.75" x14ac:dyDescent="0.25">
      <c r="A57" s="1623"/>
      <c r="B57" s="1032">
        <v>43476</v>
      </c>
      <c r="C57" s="1022" t="s">
        <v>2142</v>
      </c>
      <c r="D57" s="1022" t="s">
        <v>2361</v>
      </c>
      <c r="E57" s="1022" t="s">
        <v>974</v>
      </c>
      <c r="F57" s="1022" t="s">
        <v>792</v>
      </c>
      <c r="G57" s="1022" t="s">
        <v>1819</v>
      </c>
    </row>
    <row r="58" spans="1:7" ht="63.75" x14ac:dyDescent="0.25">
      <c r="A58" s="1623"/>
      <c r="B58" s="1032">
        <v>43476</v>
      </c>
      <c r="C58" s="1022" t="s">
        <v>2222</v>
      </c>
      <c r="D58" s="1022" t="s">
        <v>2361</v>
      </c>
      <c r="E58" s="1022" t="s">
        <v>974</v>
      </c>
      <c r="F58" s="1022" t="s">
        <v>792</v>
      </c>
      <c r="G58" s="1022" t="s">
        <v>1819</v>
      </c>
    </row>
    <row r="59" spans="1:7" ht="76.5" x14ac:dyDescent="0.25">
      <c r="A59" s="1623"/>
      <c r="B59" s="1032">
        <v>43115</v>
      </c>
      <c r="C59" s="1022" t="s">
        <v>2167</v>
      </c>
      <c r="D59" s="1022" t="s">
        <v>2166</v>
      </c>
      <c r="E59" s="1022" t="s">
        <v>974</v>
      </c>
      <c r="F59" s="1022" t="s">
        <v>792</v>
      </c>
      <c r="G59" s="1022" t="s">
        <v>792</v>
      </c>
    </row>
    <row r="60" spans="1:7" ht="114.75" customHeight="1" x14ac:dyDescent="0.25">
      <c r="A60" s="1623"/>
      <c r="B60" s="1032">
        <v>43115</v>
      </c>
      <c r="C60" s="1022" t="s">
        <v>2186</v>
      </c>
      <c r="D60" s="1022" t="s">
        <v>2187</v>
      </c>
      <c r="E60" s="1022" t="s">
        <v>974</v>
      </c>
      <c r="F60" s="1022" t="s">
        <v>2028</v>
      </c>
      <c r="G60" s="1022" t="s">
        <v>2188</v>
      </c>
    </row>
    <row r="61" spans="1:7" ht="63.75" x14ac:dyDescent="0.25">
      <c r="A61" s="1623"/>
      <c r="B61" s="1032">
        <v>43115</v>
      </c>
      <c r="C61" s="1022" t="s">
        <v>2245</v>
      </c>
      <c r="D61" s="1022" t="s">
        <v>792</v>
      </c>
      <c r="E61" s="1022" t="s">
        <v>974</v>
      </c>
      <c r="F61" s="1022" t="s">
        <v>2215</v>
      </c>
      <c r="G61" s="1022" t="s">
        <v>2064</v>
      </c>
    </row>
    <row r="62" spans="1:7" ht="51" x14ac:dyDescent="0.25">
      <c r="A62" s="1624"/>
      <c r="B62" s="1032">
        <v>43118</v>
      </c>
      <c r="C62" s="1022" t="s">
        <v>2241</v>
      </c>
      <c r="D62" s="1022" t="s">
        <v>2242</v>
      </c>
      <c r="E62" s="1022" t="s">
        <v>2243</v>
      </c>
      <c r="F62" s="1022" t="s">
        <v>2244</v>
      </c>
      <c r="G62" s="1022" t="s">
        <v>1834</v>
      </c>
    </row>
  </sheetData>
  <mergeCells count="22">
    <mergeCell ref="A47:A62"/>
    <mergeCell ref="F28:F33"/>
    <mergeCell ref="F22:F27"/>
    <mergeCell ref="F43:F46"/>
    <mergeCell ref="A2:G2"/>
    <mergeCell ref="A7:A13"/>
    <mergeCell ref="B7:B13"/>
    <mergeCell ref="F7:F13"/>
    <mergeCell ref="G7:G13"/>
    <mergeCell ref="G43:G46"/>
    <mergeCell ref="B43:B46"/>
    <mergeCell ref="G22:G27"/>
    <mergeCell ref="B22:B27"/>
    <mergeCell ref="A34:A46"/>
    <mergeCell ref="D28:D33"/>
    <mergeCell ref="E28:E33"/>
    <mergeCell ref="D43:D46"/>
    <mergeCell ref="E43:E46"/>
    <mergeCell ref="B28:B33"/>
    <mergeCell ref="A14:A33"/>
    <mergeCell ref="D22:D27"/>
    <mergeCell ref="E22:E27"/>
  </mergeCells>
  <printOptions horizontalCentered="1" verticalCentered="1"/>
  <pageMargins left="0.23622047244094491" right="0.23622047244094491" top="0.15748031496062992" bottom="0.15748031496062992" header="0.31496062992125984" footer="0.31496062992125984"/>
  <pageSetup scale="9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A167"/>
  <sheetViews>
    <sheetView showGridLines="0" zoomScale="60" zoomScaleNormal="60" workbookViewId="0">
      <pane ySplit="7" topLeftCell="A8" activePane="bottomLeft" state="frozen"/>
      <selection pane="bottomLeft" activeCell="H9" sqref="H9"/>
    </sheetView>
  </sheetViews>
  <sheetFormatPr baseColWidth="10" defaultRowHeight="15" x14ac:dyDescent="0.25"/>
  <cols>
    <col min="1" max="1" width="23.28515625" bestFit="1" customWidth="1"/>
    <col min="2" max="2" width="35.5703125" customWidth="1"/>
    <col min="3" max="3" width="16.5703125" customWidth="1"/>
    <col min="4" max="4" width="40.5703125" customWidth="1"/>
    <col min="5" max="5" width="12.85546875" customWidth="1"/>
    <col min="6" max="6" width="35.7109375" customWidth="1"/>
    <col min="7" max="7" width="12.85546875" style="160" customWidth="1"/>
    <col min="8" max="8" width="12.140625" customWidth="1"/>
    <col min="9" max="9" width="14.5703125" bestFit="1" customWidth="1"/>
    <col min="10" max="10" width="35.7109375" customWidth="1"/>
    <col min="11" max="11" width="26.85546875" customWidth="1"/>
    <col min="12" max="12" width="17.28515625" customWidth="1"/>
    <col min="13" max="13" width="21.42578125" customWidth="1"/>
    <col min="14" max="14" width="23.7109375" customWidth="1"/>
    <col min="15" max="15" width="25.7109375" customWidth="1"/>
    <col min="16" max="16" width="35" customWidth="1"/>
    <col min="17" max="17" width="19.140625" customWidth="1"/>
    <col min="18" max="18" width="31" customWidth="1"/>
    <col min="19" max="19" width="28.28515625" customWidth="1"/>
    <col min="20" max="20" width="12.140625" customWidth="1"/>
    <col min="21" max="21" width="35.7109375" customWidth="1"/>
    <col min="22" max="22" width="27.7109375" customWidth="1"/>
    <col min="23" max="23" width="21.140625" customWidth="1"/>
    <col min="24" max="24" width="13.85546875" style="146" hidden="1" customWidth="1"/>
    <col min="25" max="25" width="35.7109375" style="146" hidden="1" customWidth="1"/>
    <col min="26" max="26" width="27.7109375" style="146" hidden="1" customWidth="1"/>
    <col min="27" max="27" width="13.5703125" style="146" hidden="1" customWidth="1"/>
    <col min="28" max="28" width="27.7109375" style="146" hidden="1" customWidth="1"/>
    <col min="29" max="29" width="11.42578125" style="146" hidden="1" customWidth="1"/>
    <col min="30" max="30" width="15.7109375" style="146" hidden="1" customWidth="1"/>
    <col min="31" max="31" width="11.42578125" style="146" hidden="1" customWidth="1"/>
    <col min="32" max="32" width="15.7109375" style="146" hidden="1" customWidth="1"/>
    <col min="33" max="33" width="13.7109375" style="146" hidden="1" customWidth="1"/>
    <col min="34" max="34" width="35.7109375" style="146" hidden="1" customWidth="1"/>
    <col min="35" max="35" width="27.7109375" style="146" hidden="1" customWidth="1"/>
    <col min="36" max="36" width="17.140625" style="146" hidden="1" customWidth="1"/>
    <col min="37" max="37" width="27.7109375" style="146" hidden="1" customWidth="1"/>
    <col min="38" max="38" width="13.7109375" style="146" hidden="1" customWidth="1"/>
    <col min="39" max="39" width="15.7109375" style="146" hidden="1" customWidth="1"/>
    <col min="40" max="40" width="13.7109375" style="146" hidden="1" customWidth="1"/>
    <col min="41" max="41" width="15.7109375" style="146" hidden="1" customWidth="1"/>
    <col min="42" max="42" width="13.7109375" style="146" hidden="1" customWidth="1"/>
    <col min="43" max="43" width="35.7109375" style="146" hidden="1" customWidth="1"/>
    <col min="44" max="44" width="27.7109375" style="146" hidden="1" customWidth="1"/>
    <col min="45" max="45" width="18" style="146" hidden="1" customWidth="1"/>
    <col min="46" max="46" width="27.7109375" style="146" hidden="1" customWidth="1"/>
    <col min="47" max="47" width="13.7109375" style="146" hidden="1" customWidth="1"/>
    <col min="48" max="48" width="15.7109375" style="146" hidden="1" customWidth="1"/>
    <col min="49" max="49" width="13.7109375" style="146" hidden="1" customWidth="1"/>
    <col min="50" max="50" width="15.7109375" style="146" hidden="1" customWidth="1"/>
    <col min="51" max="51" width="13.7109375" style="146" hidden="1" customWidth="1"/>
    <col min="52" max="52" width="35.7109375" style="146" hidden="1" customWidth="1"/>
    <col min="53" max="53" width="27.7109375" style="146" hidden="1" customWidth="1"/>
    <col min="54" max="54" width="13.7109375" style="146" hidden="1" customWidth="1"/>
    <col min="55" max="55" width="27.7109375" style="146" hidden="1" customWidth="1"/>
    <col min="56" max="56" width="13.7109375" style="146" hidden="1" customWidth="1"/>
    <col min="57" max="57" width="15.7109375" style="146" hidden="1" customWidth="1"/>
    <col min="58" max="58" width="13.7109375" style="146" hidden="1" customWidth="1"/>
    <col min="59" max="59" width="15.7109375" style="146" hidden="1" customWidth="1"/>
    <col min="60" max="60" width="13.7109375" style="146" hidden="1" customWidth="1"/>
    <col min="61" max="61" width="15.7109375" style="146" hidden="1" customWidth="1"/>
    <col min="62" max="62" width="13.7109375" style="146" hidden="1" customWidth="1"/>
    <col min="63" max="63" width="15.7109375" style="146" hidden="1" customWidth="1"/>
    <col min="64" max="64" width="13.7109375" style="146" hidden="1" customWidth="1"/>
    <col min="65" max="65" width="15.7109375" style="146" hidden="1" customWidth="1"/>
    <col min="66" max="66" width="13.7109375" style="146" hidden="1" customWidth="1"/>
    <col min="67" max="67" width="15.7109375" style="146" hidden="1" customWidth="1"/>
    <col min="68" max="68" width="40.85546875" style="146" hidden="1" customWidth="1"/>
    <col min="69" max="69" width="16.5703125" style="146" customWidth="1"/>
    <col min="70" max="70" width="15.28515625" style="146" customWidth="1"/>
    <col min="71" max="71" width="35.7109375" style="146" customWidth="1"/>
    <col min="72" max="72" width="28" style="146" customWidth="1"/>
    <col min="73" max="73" width="17.85546875" style="146" customWidth="1"/>
    <col min="74" max="74" width="29.140625" style="146" customWidth="1"/>
    <col min="75" max="75" width="14.140625" style="146" customWidth="1"/>
    <col min="76" max="77" width="16.140625" style="146" customWidth="1"/>
    <col min="78" max="78" width="15" style="146" customWidth="1"/>
    <col min="79" max="16384" width="11.42578125" style="146"/>
  </cols>
  <sheetData>
    <row r="1" spans="1:235" x14ac:dyDescent="0.25">
      <c r="J1" s="146"/>
      <c r="K1" s="147"/>
      <c r="L1" s="146"/>
      <c r="M1" s="148"/>
      <c r="N1" s="149"/>
      <c r="O1" s="150"/>
      <c r="P1" s="147"/>
    </row>
    <row r="2" spans="1:235" x14ac:dyDescent="0.25">
      <c r="J2" s="146"/>
      <c r="K2" s="147"/>
      <c r="L2" s="147"/>
      <c r="M2" s="151"/>
      <c r="N2" s="151"/>
      <c r="O2" s="151"/>
      <c r="P2" s="146"/>
    </row>
    <row r="3" spans="1:235" ht="15.75" x14ac:dyDescent="0.25">
      <c r="D3" s="178" t="s">
        <v>126</v>
      </c>
      <c r="E3" s="178"/>
      <c r="F3" s="178"/>
      <c r="G3" s="178"/>
      <c r="H3" s="178"/>
      <c r="I3" s="178"/>
      <c r="J3" s="178"/>
      <c r="K3" s="178"/>
      <c r="L3" s="178"/>
      <c r="M3" s="178"/>
      <c r="N3" s="146"/>
      <c r="O3" s="147"/>
      <c r="P3" s="146"/>
    </row>
    <row r="4" spans="1:235" ht="15.75" x14ac:dyDescent="0.25">
      <c r="D4" s="178" t="s">
        <v>125</v>
      </c>
      <c r="E4" s="178"/>
      <c r="F4" s="178"/>
      <c r="G4" s="178"/>
      <c r="H4" s="178"/>
      <c r="I4" s="178"/>
      <c r="J4" s="178"/>
      <c r="K4" s="178"/>
      <c r="L4" s="178"/>
      <c r="M4" s="178"/>
    </row>
    <row r="5" spans="1:235" ht="16.5" thickBot="1" x14ac:dyDescent="0.3">
      <c r="D5" s="1206" t="s">
        <v>766</v>
      </c>
      <c r="E5" s="1206"/>
      <c r="F5" s="1206"/>
      <c r="G5" s="1206"/>
      <c r="H5" s="1206"/>
      <c r="I5" s="1206"/>
      <c r="J5" s="1206"/>
      <c r="K5" s="1206"/>
      <c r="L5" s="1206"/>
      <c r="M5" s="1206"/>
      <c r="O5" s="48"/>
    </row>
    <row r="6" spans="1:235" ht="16.5" thickBot="1" x14ac:dyDescent="0.3">
      <c r="A6" s="173"/>
      <c r="B6" s="173"/>
      <c r="C6" s="173"/>
      <c r="D6" s="275"/>
      <c r="E6" s="275"/>
      <c r="F6" s="275"/>
      <c r="G6" s="276"/>
      <c r="H6" s="275"/>
      <c r="I6" s="275"/>
      <c r="J6" s="275"/>
      <c r="K6" s="275"/>
      <c r="L6" s="275"/>
      <c r="M6" s="275"/>
      <c r="N6" s="264"/>
      <c r="O6" s="173"/>
      <c r="P6" s="173"/>
      <c r="Q6" s="173"/>
      <c r="R6" s="173"/>
      <c r="S6" s="173"/>
      <c r="T6" s="173"/>
      <c r="U6" s="173"/>
      <c r="V6" s="173"/>
      <c r="W6" s="173"/>
      <c r="X6" s="1535" t="s">
        <v>771</v>
      </c>
      <c r="Y6" s="1536"/>
      <c r="Z6" s="1536"/>
      <c r="AA6" s="1536"/>
      <c r="AB6" s="1536"/>
      <c r="AC6" s="1536"/>
      <c r="AD6" s="1536"/>
      <c r="AE6" s="1536"/>
      <c r="AF6" s="1537"/>
      <c r="AG6" s="1538" t="s">
        <v>773</v>
      </c>
      <c r="AH6" s="1539"/>
      <c r="AI6" s="1539"/>
      <c r="AJ6" s="1539"/>
      <c r="AK6" s="1539"/>
      <c r="AL6" s="1539"/>
      <c r="AM6" s="1539"/>
      <c r="AN6" s="1539"/>
      <c r="AO6" s="1540"/>
      <c r="AP6" s="1535" t="s">
        <v>772</v>
      </c>
      <c r="AQ6" s="1536"/>
      <c r="AR6" s="1536"/>
      <c r="AS6" s="1536"/>
      <c r="AT6" s="1536"/>
      <c r="AU6" s="1536"/>
      <c r="AV6" s="1536"/>
      <c r="AW6" s="1536"/>
      <c r="AX6" s="1537"/>
      <c r="AY6" s="1538" t="s">
        <v>774</v>
      </c>
      <c r="AZ6" s="1539"/>
      <c r="BA6" s="1539"/>
      <c r="BB6" s="1539"/>
      <c r="BC6" s="1539"/>
      <c r="BD6" s="1539"/>
      <c r="BE6" s="1539"/>
      <c r="BF6" s="1539"/>
      <c r="BG6" s="1540"/>
      <c r="BH6" s="1213" t="s">
        <v>775</v>
      </c>
      <c r="BI6" s="1214"/>
      <c r="BJ6" s="1214"/>
      <c r="BK6" s="1214"/>
      <c r="BL6" s="1214"/>
      <c r="BM6" s="1214"/>
      <c r="BN6" s="1214"/>
      <c r="BO6" s="1215"/>
      <c r="BP6" s="265"/>
      <c r="BQ6" s="265"/>
      <c r="BR6" s="1207" t="s">
        <v>848</v>
      </c>
      <c r="BS6" s="1208"/>
      <c r="BT6" s="1208"/>
      <c r="BU6" s="1208"/>
      <c r="BV6" s="1208"/>
      <c r="BW6" s="1208"/>
      <c r="BX6" s="1208"/>
      <c r="BY6" s="1208"/>
      <c r="BZ6" s="1209"/>
    </row>
    <row r="7" spans="1:235" ht="36.75" thickBot="1" x14ac:dyDescent="0.3">
      <c r="A7" s="166" t="s">
        <v>80</v>
      </c>
      <c r="B7" s="167" t="s">
        <v>81</v>
      </c>
      <c r="C7" s="167" t="s">
        <v>142</v>
      </c>
      <c r="D7" s="167" t="s">
        <v>141</v>
      </c>
      <c r="E7" s="167" t="s">
        <v>82</v>
      </c>
      <c r="F7" s="167" t="s">
        <v>119</v>
      </c>
      <c r="G7" s="167" t="s">
        <v>86</v>
      </c>
      <c r="H7" s="167" t="s">
        <v>16</v>
      </c>
      <c r="I7" s="167" t="s">
        <v>83</v>
      </c>
      <c r="J7" s="167" t="s">
        <v>120</v>
      </c>
      <c r="K7" s="167" t="s">
        <v>569</v>
      </c>
      <c r="L7" s="167" t="s">
        <v>12</v>
      </c>
      <c r="M7" s="167" t="s">
        <v>88</v>
      </c>
      <c r="N7" s="167" t="s">
        <v>87</v>
      </c>
      <c r="O7" s="167" t="s">
        <v>90</v>
      </c>
      <c r="P7" s="167" t="s">
        <v>91</v>
      </c>
      <c r="Q7" s="167" t="s">
        <v>13</v>
      </c>
      <c r="R7" s="167" t="s">
        <v>0</v>
      </c>
      <c r="S7" s="167" t="s">
        <v>85</v>
      </c>
      <c r="T7" s="167" t="s">
        <v>16</v>
      </c>
      <c r="U7" s="168" t="s">
        <v>768</v>
      </c>
      <c r="V7" s="168" t="s">
        <v>569</v>
      </c>
      <c r="W7" s="169" t="s">
        <v>17</v>
      </c>
      <c r="X7" s="167" t="s">
        <v>16</v>
      </c>
      <c r="Y7" s="167" t="s">
        <v>120</v>
      </c>
      <c r="Z7" s="167" t="s">
        <v>569</v>
      </c>
      <c r="AA7" s="167" t="s">
        <v>16</v>
      </c>
      <c r="AB7" s="167" t="s">
        <v>569</v>
      </c>
      <c r="AC7" s="167" t="s">
        <v>15</v>
      </c>
      <c r="AD7" s="167" t="s">
        <v>20</v>
      </c>
      <c r="AE7" s="167" t="s">
        <v>15</v>
      </c>
      <c r="AF7" s="167" t="s">
        <v>20</v>
      </c>
      <c r="AG7" s="167" t="s">
        <v>16</v>
      </c>
      <c r="AH7" s="167" t="s">
        <v>120</v>
      </c>
      <c r="AI7" s="167" t="s">
        <v>569</v>
      </c>
      <c r="AJ7" s="167" t="s">
        <v>16</v>
      </c>
      <c r="AK7" s="167" t="s">
        <v>569</v>
      </c>
      <c r="AL7" s="167" t="s">
        <v>15</v>
      </c>
      <c r="AM7" s="167" t="s">
        <v>20</v>
      </c>
      <c r="AN7" s="167" t="s">
        <v>15</v>
      </c>
      <c r="AO7" s="167" t="s">
        <v>20</v>
      </c>
      <c r="AP7" s="167" t="s">
        <v>16</v>
      </c>
      <c r="AQ7" s="167" t="s">
        <v>120</v>
      </c>
      <c r="AR7" s="167" t="s">
        <v>569</v>
      </c>
      <c r="AS7" s="167" t="s">
        <v>16</v>
      </c>
      <c r="AT7" s="167" t="s">
        <v>569</v>
      </c>
      <c r="AU7" s="167" t="s">
        <v>15</v>
      </c>
      <c r="AV7" s="167" t="s">
        <v>20</v>
      </c>
      <c r="AW7" s="167" t="s">
        <v>15</v>
      </c>
      <c r="AX7" s="167" t="s">
        <v>20</v>
      </c>
      <c r="AY7" s="167" t="s">
        <v>16</v>
      </c>
      <c r="AZ7" s="167" t="s">
        <v>120</v>
      </c>
      <c r="BA7" s="167" t="s">
        <v>569</v>
      </c>
      <c r="BB7" s="167" t="s">
        <v>16</v>
      </c>
      <c r="BC7" s="167" t="s">
        <v>569</v>
      </c>
      <c r="BD7" s="167" t="s">
        <v>15</v>
      </c>
      <c r="BE7" s="167" t="s">
        <v>20</v>
      </c>
      <c r="BF7" s="167" t="s">
        <v>15</v>
      </c>
      <c r="BG7" s="167" t="s">
        <v>20</v>
      </c>
      <c r="BH7" s="167" t="s">
        <v>15</v>
      </c>
      <c r="BI7" s="167" t="s">
        <v>20</v>
      </c>
      <c r="BJ7" s="167" t="s">
        <v>15</v>
      </c>
      <c r="BK7" s="167" t="s">
        <v>20</v>
      </c>
      <c r="BL7" s="167" t="s">
        <v>15</v>
      </c>
      <c r="BM7" s="167" t="s">
        <v>20</v>
      </c>
      <c r="BN7" s="167" t="s">
        <v>15</v>
      </c>
      <c r="BO7" s="167" t="s">
        <v>20</v>
      </c>
      <c r="BP7" s="169" t="s">
        <v>770</v>
      </c>
      <c r="BQ7" s="168" t="s">
        <v>849</v>
      </c>
      <c r="BR7" s="170" t="s">
        <v>16</v>
      </c>
      <c r="BS7" s="170" t="s">
        <v>120</v>
      </c>
      <c r="BT7" s="170" t="s">
        <v>569</v>
      </c>
      <c r="BU7" s="170" t="s">
        <v>16</v>
      </c>
      <c r="BV7" s="170" t="s">
        <v>569</v>
      </c>
      <c r="BW7" s="170" t="s">
        <v>15</v>
      </c>
      <c r="BX7" s="170" t="s">
        <v>20</v>
      </c>
      <c r="BY7" s="170" t="s">
        <v>15</v>
      </c>
      <c r="BZ7" s="170" t="s">
        <v>20</v>
      </c>
    </row>
    <row r="8" spans="1:235" s="153" customFormat="1" ht="57" x14ac:dyDescent="0.25">
      <c r="A8" s="179">
        <v>11200</v>
      </c>
      <c r="B8" s="180" t="s">
        <v>3</v>
      </c>
      <c r="C8" s="181" t="s">
        <v>291</v>
      </c>
      <c r="D8" s="180" t="s">
        <v>153</v>
      </c>
      <c r="E8" s="182" t="s">
        <v>818</v>
      </c>
      <c r="F8" s="180" t="s">
        <v>133</v>
      </c>
      <c r="G8" s="183" t="s">
        <v>124</v>
      </c>
      <c r="H8" s="182">
        <v>4</v>
      </c>
      <c r="I8" s="182" t="s">
        <v>292</v>
      </c>
      <c r="J8" s="180" t="s">
        <v>24</v>
      </c>
      <c r="K8" s="184">
        <v>0</v>
      </c>
      <c r="L8" s="185">
        <v>1</v>
      </c>
      <c r="M8" s="180" t="s">
        <v>51</v>
      </c>
      <c r="N8" s="180" t="s">
        <v>68</v>
      </c>
      <c r="O8" s="180" t="s">
        <v>21</v>
      </c>
      <c r="P8" s="180" t="s">
        <v>36</v>
      </c>
      <c r="Q8" s="180" t="s">
        <v>75</v>
      </c>
      <c r="R8" s="180" t="s">
        <v>631</v>
      </c>
      <c r="S8" s="180" t="s">
        <v>98</v>
      </c>
      <c r="T8" s="182">
        <v>4</v>
      </c>
      <c r="U8" s="180" t="str">
        <f>+J8</f>
        <v>Reportar el cumplimiento del Plan de Acción de la Dependencia</v>
      </c>
      <c r="V8" s="186">
        <f>+K8</f>
        <v>0</v>
      </c>
      <c r="W8" s="187" t="s">
        <v>117</v>
      </c>
      <c r="X8" s="188">
        <v>1</v>
      </c>
      <c r="Y8" s="180" t="s">
        <v>24</v>
      </c>
      <c r="Z8" s="184">
        <v>0</v>
      </c>
      <c r="AA8" s="189"/>
      <c r="AB8" s="187"/>
      <c r="AC8" s="190">
        <f>+(AA8/X8)</f>
        <v>0</v>
      </c>
      <c r="AD8" s="190" t="e">
        <f>+(AB8/Z8)</f>
        <v>#DIV/0!</v>
      </c>
      <c r="AE8" s="190">
        <f>+(AA8/T8)</f>
        <v>0</v>
      </c>
      <c r="AF8" s="190" t="e">
        <f>+(AB8/V8)</f>
        <v>#DIV/0!</v>
      </c>
      <c r="AG8" s="188">
        <v>1</v>
      </c>
      <c r="AH8" s="180" t="s">
        <v>24</v>
      </c>
      <c r="AI8" s="184">
        <v>0</v>
      </c>
      <c r="AJ8" s="189">
        <v>0</v>
      </c>
      <c r="AK8" s="189"/>
      <c r="AL8" s="190">
        <f>+(AJ8/AG8)</f>
        <v>0</v>
      </c>
      <c r="AM8" s="190" t="e">
        <f>+(AK8/AI8)</f>
        <v>#DIV/0!</v>
      </c>
      <c r="AN8" s="190">
        <f>+(AJ8+AA8)/T8</f>
        <v>0</v>
      </c>
      <c r="AO8" s="190" t="e">
        <f>+(AK8+AB8)/V8</f>
        <v>#DIV/0!</v>
      </c>
      <c r="AP8" s="188">
        <v>1</v>
      </c>
      <c r="AQ8" s="180" t="s">
        <v>24</v>
      </c>
      <c r="AR8" s="184">
        <v>0</v>
      </c>
      <c r="AS8" s="189"/>
      <c r="AT8" s="189"/>
      <c r="AU8" s="190">
        <f>+(AS8/AP8)</f>
        <v>0</v>
      </c>
      <c r="AV8" s="190" t="e">
        <f>+(AT8/AR8)</f>
        <v>#DIV/0!</v>
      </c>
      <c r="AW8" s="190">
        <f>+(AJ8+AA8+AS8)/T8</f>
        <v>0</v>
      </c>
      <c r="AX8" s="190" t="e">
        <f>+(AK8+AB8+AT8)/V8</f>
        <v>#DIV/0!</v>
      </c>
      <c r="AY8" s="188">
        <v>1</v>
      </c>
      <c r="AZ8" s="180" t="s">
        <v>24</v>
      </c>
      <c r="BA8" s="184">
        <v>0</v>
      </c>
      <c r="BB8" s="189"/>
      <c r="BC8" s="189"/>
      <c r="BD8" s="190">
        <f>+(BB8/AY8)</f>
        <v>0</v>
      </c>
      <c r="BE8" s="190" t="e">
        <f>+(BC8/BA8)</f>
        <v>#DIV/0!</v>
      </c>
      <c r="BF8" s="190">
        <f>+(AJ8+AA8+AS8+BB8)/T8</f>
        <v>0</v>
      </c>
      <c r="BG8" s="190" t="e">
        <f>+(AK8+AB8+AT8+BC8)/V8</f>
        <v>#DIV/0!</v>
      </c>
      <c r="BH8" s="191">
        <f>IF(AND(X8=0,AA8=0),"No Prog ni Ejec",IF(X8=0,CONCATENATE("No Prog, Ejec=  ",AA8),AA8/X8))</f>
        <v>0</v>
      </c>
      <c r="BI8" s="191" t="str">
        <f>IF(AND(Z8=0,AB8=0),"No Prog ni Ejec",IF(Z8=0,CONCATENATE("No Prog, Ejec=  ",AB8),AB8/Z8))</f>
        <v>No Prog ni Ejec</v>
      </c>
      <c r="BJ8" s="191">
        <f>IF(AND(AG8=0,AJ8=0),"No Prog ni Ejec",IF(AG8=0,CONCATENATE("No Prog, Ejec=  ",AJ8),AJ8/AG8))</f>
        <v>0</v>
      </c>
      <c r="BK8" s="191" t="str">
        <f>IF(AND(AI8=0,AK8=0),"No Prog ni Ejec",IF(AI8=0,CONCATENATE("No Prog, Ejec=  ",AK8),AK8/AI8))</f>
        <v>No Prog ni Ejec</v>
      </c>
      <c r="BL8" s="191">
        <f>IF(AND(AP8=0,AS8=0),"No Prog ni Ejec",IF(AP8=0,CONCATENATE("No Prog, Ejec=  ",AS8),AS8/AP8))</f>
        <v>0</v>
      </c>
      <c r="BM8" s="191" t="str">
        <f>IF(AND(AR8=0,AT8=0),"No Prog ni Ejec",IF(AR8=0,CONCATENATE("No Prog, Ejec=  ",AT8),AT8/AR8))</f>
        <v>No Prog ni Ejec</v>
      </c>
      <c r="BN8" s="191">
        <f>IF(AND(AY8=0,BB8=0),"No Prog ni Ejec",IF(AY8=0,CONCATENATE("No Prog, Ejec=  ",BB8),BB8/AY8))</f>
        <v>0</v>
      </c>
      <c r="BO8" s="191" t="str">
        <f>IF(AND(BA8=0,BC8=0),"No Prog ni Ejec",IF(BA8=0,CONCATENATE("No Prog, Ejec=  ",BC8),BC8/BA8))</f>
        <v>No Prog ni Ejec</v>
      </c>
      <c r="BP8" s="192"/>
      <c r="BQ8" s="277">
        <v>5</v>
      </c>
      <c r="BR8" s="193">
        <f>+(X8+AG8)</f>
        <v>2</v>
      </c>
      <c r="BS8" s="194" t="str">
        <f>+U8</f>
        <v>Reportar el cumplimiento del Plan de Acción de la Dependencia</v>
      </c>
      <c r="BT8" s="195">
        <f>+(Z8+AI8+(AR8/3))</f>
        <v>0</v>
      </c>
      <c r="BU8" s="196"/>
      <c r="BV8" s="196"/>
      <c r="BW8" s="196"/>
      <c r="BX8" s="196"/>
      <c r="BY8" s="196"/>
      <c r="BZ8" s="19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c r="EO8" s="146"/>
      <c r="EP8" s="146"/>
      <c r="EQ8" s="146"/>
      <c r="ER8" s="146"/>
      <c r="ES8" s="146"/>
      <c r="ET8" s="146"/>
      <c r="EU8" s="146"/>
      <c r="EV8" s="146"/>
      <c r="EW8" s="146"/>
      <c r="EX8" s="146"/>
      <c r="EY8" s="146"/>
      <c r="EZ8" s="146"/>
      <c r="FA8" s="146"/>
      <c r="FB8" s="146"/>
      <c r="FC8" s="146"/>
      <c r="FD8" s="146"/>
      <c r="FE8" s="146"/>
      <c r="FF8" s="146"/>
      <c r="FG8" s="146"/>
      <c r="FH8" s="146"/>
      <c r="FI8" s="146"/>
      <c r="FJ8" s="146"/>
      <c r="FK8" s="146"/>
      <c r="FL8" s="146"/>
      <c r="FM8" s="146"/>
      <c r="FN8" s="146"/>
      <c r="FO8" s="146"/>
      <c r="FP8" s="146"/>
      <c r="FQ8" s="146"/>
      <c r="FR8" s="146"/>
      <c r="FS8" s="146"/>
      <c r="FT8" s="146"/>
      <c r="FU8" s="146"/>
      <c r="FV8" s="146"/>
      <c r="FW8" s="146"/>
      <c r="FX8" s="146"/>
      <c r="FY8" s="146"/>
      <c r="FZ8" s="146"/>
      <c r="GA8" s="146"/>
      <c r="GB8" s="146"/>
      <c r="GC8" s="146"/>
      <c r="GD8" s="146"/>
      <c r="GE8" s="146"/>
      <c r="GF8" s="146"/>
      <c r="GG8" s="146"/>
      <c r="GH8" s="146"/>
      <c r="GI8" s="146"/>
      <c r="GJ8" s="146"/>
      <c r="GK8" s="146"/>
      <c r="GL8" s="146"/>
      <c r="GM8" s="146"/>
      <c r="GN8" s="146"/>
      <c r="GO8" s="146"/>
      <c r="GP8" s="146"/>
      <c r="GQ8" s="146"/>
      <c r="GR8" s="146"/>
      <c r="GS8" s="146"/>
      <c r="GT8" s="146"/>
      <c r="GU8" s="146"/>
      <c r="GV8" s="146"/>
      <c r="GW8" s="146"/>
      <c r="GX8" s="146"/>
      <c r="GY8" s="146"/>
      <c r="GZ8" s="146"/>
      <c r="HA8" s="146"/>
      <c r="HB8" s="146"/>
      <c r="HC8" s="146"/>
      <c r="HD8" s="146"/>
      <c r="HE8" s="146"/>
      <c r="HF8" s="146"/>
      <c r="HG8" s="146"/>
      <c r="HH8" s="146"/>
      <c r="HI8" s="146"/>
      <c r="HJ8" s="146"/>
      <c r="HK8" s="146"/>
      <c r="HL8" s="146"/>
      <c r="HM8" s="146"/>
      <c r="HN8" s="146"/>
      <c r="HO8" s="146"/>
      <c r="HP8" s="146"/>
      <c r="HQ8" s="146"/>
      <c r="HR8" s="146"/>
      <c r="HS8" s="146"/>
      <c r="HT8" s="146"/>
      <c r="HU8" s="146"/>
      <c r="HV8" s="146"/>
      <c r="HW8" s="146"/>
      <c r="HX8" s="146"/>
      <c r="HY8" s="146"/>
      <c r="HZ8" s="146"/>
      <c r="IA8" s="146"/>
    </row>
    <row r="9" spans="1:235" s="159" customFormat="1" ht="99.75" x14ac:dyDescent="0.25">
      <c r="A9" s="197">
        <v>11200</v>
      </c>
      <c r="B9" s="194" t="s">
        <v>3</v>
      </c>
      <c r="C9" s="198" t="s">
        <v>152</v>
      </c>
      <c r="D9" s="194" t="s">
        <v>256</v>
      </c>
      <c r="E9" s="1556" t="s">
        <v>154</v>
      </c>
      <c r="F9" s="1541" t="s">
        <v>149</v>
      </c>
      <c r="G9" s="199" t="s">
        <v>124</v>
      </c>
      <c r="H9" s="200"/>
      <c r="I9" s="1556" t="s">
        <v>155</v>
      </c>
      <c r="J9" s="1541" t="s">
        <v>148</v>
      </c>
      <c r="K9" s="1559">
        <v>500000000</v>
      </c>
      <c r="L9" s="1562">
        <v>1</v>
      </c>
      <c r="M9" s="1541" t="s">
        <v>48</v>
      </c>
      <c r="N9" s="1541" t="s">
        <v>62</v>
      </c>
      <c r="O9" s="1541" t="s">
        <v>37</v>
      </c>
      <c r="P9" s="1541" t="s">
        <v>40</v>
      </c>
      <c r="Q9" s="1541" t="s">
        <v>227</v>
      </c>
      <c r="R9" s="201" t="s">
        <v>841</v>
      </c>
      <c r="S9" s="194" t="s">
        <v>99</v>
      </c>
      <c r="T9" s="202"/>
      <c r="U9" s="1544" t="str">
        <f>+J9</f>
        <v>Diseño y ejecución de estrategias de campaña Marketing para la ADRES.</v>
      </c>
      <c r="V9" s="1547">
        <f>+K9</f>
        <v>500000000</v>
      </c>
      <c r="W9" s="1550" t="s">
        <v>114</v>
      </c>
      <c r="X9" s="278"/>
      <c r="Y9" s="1541" t="s">
        <v>148</v>
      </c>
      <c r="Z9" s="1559">
        <v>150000000</v>
      </c>
      <c r="AA9" s="279"/>
      <c r="AB9" s="1565"/>
      <c r="AC9" s="280" t="e">
        <f>+(AA9/X9)</f>
        <v>#DIV/0!</v>
      </c>
      <c r="AD9" s="1568">
        <f>+(AB9/Z9)</f>
        <v>0</v>
      </c>
      <c r="AE9" s="280" t="e">
        <f t="shared" ref="AE9:AE74" si="0">+(AA9/T9)</f>
        <v>#DIV/0!</v>
      </c>
      <c r="AF9" s="1568">
        <f t="shared" ref="AF9:AF74" si="1">+(AB9/V9)</f>
        <v>0</v>
      </c>
      <c r="AG9" s="278"/>
      <c r="AH9" s="1541" t="s">
        <v>148</v>
      </c>
      <c r="AI9" s="1559">
        <v>150000000</v>
      </c>
      <c r="AJ9" s="279"/>
      <c r="AK9" s="1565"/>
      <c r="AL9" s="280" t="e">
        <f>+(AJ9/AG9)</f>
        <v>#DIV/0!</v>
      </c>
      <c r="AM9" s="1568">
        <f t="shared" ref="AM9:AM74" si="2">+(AK9/AI9)</f>
        <v>0</v>
      </c>
      <c r="AN9" s="280" t="e">
        <f t="shared" ref="AN9:AN74" si="3">+(AJ9+AA9)/T9</f>
        <v>#DIV/0!</v>
      </c>
      <c r="AO9" s="1568">
        <f t="shared" ref="AO9:AO74" si="4">+(AK9+AB9)/V9</f>
        <v>0</v>
      </c>
      <c r="AP9" s="278"/>
      <c r="AQ9" s="1541" t="s">
        <v>148</v>
      </c>
      <c r="AR9" s="1559">
        <v>150000000</v>
      </c>
      <c r="AS9" s="279"/>
      <c r="AT9" s="1565"/>
      <c r="AU9" s="280" t="e">
        <f>+(AS9/AP9)</f>
        <v>#DIV/0!</v>
      </c>
      <c r="AV9" s="1568">
        <f>+(AT9/AR9)</f>
        <v>0</v>
      </c>
      <c r="AW9" s="280" t="e">
        <f>+(AJ9+AA9+AS9)/T9</f>
        <v>#DIV/0!</v>
      </c>
      <c r="AX9" s="1568">
        <f>+(AK9+AB9+AT9)/V9</f>
        <v>0</v>
      </c>
      <c r="AY9" s="278"/>
      <c r="AZ9" s="1541" t="s">
        <v>148</v>
      </c>
      <c r="BA9" s="1559">
        <v>50000000</v>
      </c>
      <c r="BB9" s="279"/>
      <c r="BC9" s="1565"/>
      <c r="BD9" s="280" t="e">
        <f>+(BB9/AY9)</f>
        <v>#DIV/0!</v>
      </c>
      <c r="BE9" s="1568">
        <f>+(BC9/BA9)</f>
        <v>0</v>
      </c>
      <c r="BF9" s="280" t="e">
        <f>+(AJ9+AA9+AS9+BB9)/T9</f>
        <v>#DIV/0!</v>
      </c>
      <c r="BG9" s="1568">
        <f>+(AK9+AB9+AT9+BC9)/V9</f>
        <v>0</v>
      </c>
      <c r="BH9" s="205" t="str">
        <f t="shared" ref="BH9:BH74" si="5">IF(AND(X9=0,AA9=0),"No Prog ni Ejec",IF(X9=0,CONCATENATE("No Prog, Ejec=  ",AA9),AA9/X9))</f>
        <v>No Prog ni Ejec</v>
      </c>
      <c r="BI9" s="1553">
        <f t="shared" ref="BI9:BI74" si="6">IF(AND(Z9=0,AB9=0),"No Prog ni Ejec",IF(Z9=0,CONCATENATE("No Prog, Ejec=  ",AB9),AB9/Z9))</f>
        <v>0</v>
      </c>
      <c r="BJ9" s="205" t="str">
        <f t="shared" ref="BJ9:BJ74" si="7">IF(AND(AG9=0,AJ9=0),"No Prog ni Ejec",IF(AG9=0,CONCATENATE("No Prog, Ejec=  ",AJ9),AJ9/AG9))</f>
        <v>No Prog ni Ejec</v>
      </c>
      <c r="BK9" s="1553">
        <f t="shared" ref="BK9:BK74" si="8">IF(AND(AI9=0,AK9=0),"No Prog ni Ejec",IF(AI9=0,CONCATENATE("No Prog, Ejec=  ",AK9),AK9/AI9))</f>
        <v>0</v>
      </c>
      <c r="BL9" s="205" t="str">
        <f>IF(AND(AP9=0,AS9=0),"No Prog ni Ejec",IF(AP9=0,CONCATENATE("No Prog, Ejec=  ",AS9),AS9/AP9))</f>
        <v>No Prog ni Ejec</v>
      </c>
      <c r="BM9" s="1553">
        <f>IF(AND(AR9=0,AT9=0),"No Prog ni Ejec",IF(AR9=0,CONCATENATE("No Prog, Ejec=  ",AT9),AT9/AR9))</f>
        <v>0</v>
      </c>
      <c r="BN9" s="205" t="str">
        <f t="shared" ref="BN9:BN74" si="9">IF(AND(AY9=0,BB9=0),"No Prog ni Ejec",IF(AY9=0,CONCATENATE("No Prog, Ejec=  ",BB9),BB9/AY9))</f>
        <v>No Prog ni Ejec</v>
      </c>
      <c r="BO9" s="1553">
        <f t="shared" ref="BO9:BO74" si="10">IF(AND(BA9=0,BC9=0),"No Prog ni Ejec",IF(BA9=0,CONCATENATE("No Prog, Ejec=  ",BC9),BC9/BA9))</f>
        <v>0</v>
      </c>
      <c r="BP9" s="206"/>
      <c r="BQ9" s="277">
        <v>6</v>
      </c>
      <c r="BR9" s="193">
        <f>+(X9+AG9+(AP9/3))</f>
        <v>0</v>
      </c>
      <c r="BS9" s="1571" t="str">
        <f>+U9</f>
        <v>Diseño y ejecución de estrategias de campaña Marketing para la ADRES.</v>
      </c>
      <c r="BT9" s="195">
        <f>+(Z9+AI9+(AR9/3))</f>
        <v>350000000</v>
      </c>
      <c r="BU9" s="196"/>
      <c r="BV9" s="196"/>
      <c r="BW9" s="196"/>
      <c r="BX9" s="196"/>
      <c r="BY9" s="196"/>
      <c r="BZ9" s="196"/>
      <c r="CA9" s="146"/>
      <c r="CB9" s="146"/>
      <c r="CC9" s="146"/>
      <c r="CD9" s="146"/>
      <c r="CE9" s="146"/>
      <c r="CF9" s="146"/>
      <c r="CG9" s="146"/>
      <c r="CH9" s="146"/>
      <c r="CI9" s="146"/>
      <c r="CJ9" s="146"/>
      <c r="CK9" s="146"/>
      <c r="CL9" s="146"/>
      <c r="CM9" s="146"/>
      <c r="CN9" s="146"/>
      <c r="CO9" s="146"/>
      <c r="CP9" s="146"/>
      <c r="CQ9" s="146"/>
      <c r="CR9" s="146"/>
      <c r="CS9" s="146"/>
      <c r="CT9" s="146"/>
      <c r="CU9" s="146"/>
      <c r="CV9" s="146"/>
      <c r="CW9" s="146"/>
      <c r="CX9" s="146"/>
      <c r="CY9" s="146"/>
      <c r="CZ9" s="146"/>
      <c r="DA9" s="146"/>
      <c r="DB9" s="146"/>
      <c r="DC9" s="146"/>
      <c r="DD9" s="146"/>
      <c r="DE9" s="146"/>
      <c r="DF9" s="146"/>
      <c r="DG9" s="146"/>
      <c r="DH9" s="146"/>
      <c r="DI9" s="146"/>
      <c r="DJ9" s="146"/>
      <c r="DK9" s="146"/>
      <c r="DL9" s="146"/>
      <c r="DM9" s="146"/>
      <c r="DN9" s="146"/>
      <c r="DO9" s="146"/>
      <c r="DP9" s="146"/>
      <c r="DQ9" s="146"/>
      <c r="DR9" s="146"/>
      <c r="DS9" s="146"/>
      <c r="DT9" s="146"/>
      <c r="DU9" s="146"/>
      <c r="DV9" s="146"/>
      <c r="DW9" s="146"/>
      <c r="DX9" s="146"/>
      <c r="DY9" s="146"/>
      <c r="DZ9" s="146"/>
      <c r="EA9" s="146"/>
      <c r="EB9" s="146"/>
      <c r="EC9" s="146"/>
      <c r="ED9" s="146"/>
      <c r="EE9" s="146"/>
      <c r="EF9" s="146"/>
      <c r="EG9" s="146"/>
      <c r="EH9" s="146"/>
      <c r="EI9" s="146"/>
      <c r="EJ9" s="146"/>
      <c r="EK9" s="146"/>
      <c r="EL9" s="146"/>
      <c r="EM9" s="146"/>
      <c r="EN9" s="146"/>
      <c r="EO9" s="146"/>
      <c r="EP9" s="146"/>
      <c r="EQ9" s="146"/>
      <c r="ER9" s="146"/>
      <c r="ES9" s="146"/>
      <c r="ET9" s="146"/>
      <c r="EU9" s="146"/>
      <c r="EV9" s="146"/>
      <c r="EW9" s="146"/>
      <c r="EX9" s="146"/>
      <c r="EY9" s="146"/>
      <c r="EZ9" s="146"/>
      <c r="FA9" s="146"/>
      <c r="FB9" s="146"/>
      <c r="FC9" s="146"/>
      <c r="FD9" s="146"/>
      <c r="FE9" s="146"/>
      <c r="FF9" s="146"/>
      <c r="FG9" s="146"/>
      <c r="FH9" s="146"/>
      <c r="FI9" s="146"/>
      <c r="FJ9" s="146"/>
      <c r="FK9" s="146"/>
      <c r="FL9" s="146"/>
      <c r="FM9" s="146"/>
      <c r="FN9" s="146"/>
      <c r="FO9" s="146"/>
      <c r="FP9" s="146"/>
      <c r="FQ9" s="146"/>
      <c r="FR9" s="146"/>
      <c r="FS9" s="146"/>
      <c r="FT9" s="146"/>
      <c r="FU9" s="146"/>
      <c r="FV9" s="146"/>
      <c r="FW9" s="146"/>
      <c r="FX9" s="146"/>
      <c r="FY9" s="146"/>
      <c r="FZ9" s="146"/>
      <c r="GA9" s="146"/>
      <c r="GB9" s="146"/>
      <c r="GC9" s="146"/>
      <c r="GD9" s="146"/>
      <c r="GE9" s="146"/>
      <c r="GF9" s="146"/>
      <c r="GG9" s="146"/>
      <c r="GH9" s="146"/>
      <c r="GI9" s="146"/>
      <c r="GJ9" s="146"/>
      <c r="GK9" s="146"/>
      <c r="GL9" s="146"/>
      <c r="GM9" s="146"/>
      <c r="GN9" s="146"/>
      <c r="GO9" s="146"/>
      <c r="GP9" s="146"/>
      <c r="GQ9" s="146"/>
      <c r="GR9" s="146"/>
      <c r="GS9" s="146"/>
      <c r="GT9" s="146"/>
      <c r="GU9" s="146"/>
      <c r="GV9" s="146"/>
      <c r="GW9" s="146"/>
      <c r="GX9" s="146"/>
      <c r="GY9" s="146"/>
      <c r="GZ9" s="146"/>
      <c r="HA9" s="146"/>
      <c r="HB9" s="146"/>
      <c r="HC9" s="146"/>
      <c r="HD9" s="146"/>
      <c r="HE9" s="146"/>
      <c r="HF9" s="146"/>
      <c r="HG9" s="146"/>
      <c r="HH9" s="146"/>
      <c r="HI9" s="146"/>
      <c r="HJ9" s="146"/>
      <c r="HK9" s="146"/>
      <c r="HL9" s="146"/>
      <c r="HM9" s="146"/>
      <c r="HN9" s="146"/>
      <c r="HO9" s="146"/>
      <c r="HP9" s="146"/>
      <c r="HQ9" s="146"/>
      <c r="HR9" s="146"/>
      <c r="HS9" s="146"/>
      <c r="HT9" s="146"/>
      <c r="HU9" s="146"/>
      <c r="HV9" s="146"/>
      <c r="HW9" s="146"/>
      <c r="HX9" s="146"/>
      <c r="HY9" s="146"/>
      <c r="HZ9" s="146"/>
      <c r="IA9" s="146"/>
    </row>
    <row r="10" spans="1:235" s="154" customFormat="1" ht="99.75" x14ac:dyDescent="0.25">
      <c r="A10" s="197">
        <v>11200</v>
      </c>
      <c r="B10" s="194" t="s">
        <v>3</v>
      </c>
      <c r="C10" s="198" t="s">
        <v>152</v>
      </c>
      <c r="D10" s="194" t="s">
        <v>256</v>
      </c>
      <c r="E10" s="1557"/>
      <c r="F10" s="1542"/>
      <c r="G10" s="199"/>
      <c r="H10" s="200"/>
      <c r="I10" s="1557"/>
      <c r="J10" s="1542"/>
      <c r="K10" s="1560"/>
      <c r="L10" s="1563"/>
      <c r="M10" s="1542"/>
      <c r="N10" s="1542"/>
      <c r="O10" s="1542"/>
      <c r="P10" s="1542"/>
      <c r="Q10" s="1542"/>
      <c r="R10" s="201" t="s">
        <v>842</v>
      </c>
      <c r="S10" s="194" t="s">
        <v>99</v>
      </c>
      <c r="T10" s="202"/>
      <c r="U10" s="1545"/>
      <c r="V10" s="1548"/>
      <c r="W10" s="1551"/>
      <c r="X10" s="203"/>
      <c r="Y10" s="1542"/>
      <c r="Z10" s="1560"/>
      <c r="AA10" s="196"/>
      <c r="AB10" s="1566"/>
      <c r="AC10" s="204"/>
      <c r="AD10" s="1569"/>
      <c r="AE10" s="204"/>
      <c r="AF10" s="1569"/>
      <c r="AG10" s="203"/>
      <c r="AH10" s="1542"/>
      <c r="AI10" s="1560"/>
      <c r="AJ10" s="196"/>
      <c r="AK10" s="1566"/>
      <c r="AL10" s="204"/>
      <c r="AM10" s="1569"/>
      <c r="AN10" s="204"/>
      <c r="AO10" s="1569"/>
      <c r="AP10" s="203"/>
      <c r="AQ10" s="1542"/>
      <c r="AR10" s="1560"/>
      <c r="AS10" s="196"/>
      <c r="AT10" s="1566"/>
      <c r="AU10" s="204"/>
      <c r="AV10" s="1569"/>
      <c r="AW10" s="204"/>
      <c r="AX10" s="1569"/>
      <c r="AY10" s="203"/>
      <c r="AZ10" s="1542"/>
      <c r="BA10" s="1560"/>
      <c r="BB10" s="196"/>
      <c r="BC10" s="1566"/>
      <c r="BD10" s="204"/>
      <c r="BE10" s="1569"/>
      <c r="BF10" s="204"/>
      <c r="BG10" s="1569"/>
      <c r="BH10" s="207"/>
      <c r="BI10" s="1554"/>
      <c r="BJ10" s="207"/>
      <c r="BK10" s="1554"/>
      <c r="BL10" s="207"/>
      <c r="BM10" s="1554"/>
      <c r="BN10" s="207"/>
      <c r="BO10" s="1554"/>
      <c r="BP10" s="206"/>
      <c r="BQ10" s="277">
        <v>6</v>
      </c>
      <c r="BR10" s="208">
        <f>+(X10+AG10+(AP10/3))</f>
        <v>0</v>
      </c>
      <c r="BS10" s="1571"/>
      <c r="BT10" s="195">
        <f t="shared" ref="BT10:BT73" si="11">+(Z10+AI10+(AR10/3))</f>
        <v>0</v>
      </c>
      <c r="BU10" s="196"/>
      <c r="BV10" s="196"/>
      <c r="BW10" s="196"/>
      <c r="BX10" s="196"/>
      <c r="BY10" s="196"/>
      <c r="BZ10" s="196"/>
      <c r="CA10" s="146"/>
      <c r="CB10" s="146"/>
      <c r="CC10" s="146"/>
      <c r="CD10" s="146"/>
      <c r="CE10" s="146"/>
      <c r="CF10" s="146"/>
      <c r="CG10" s="146"/>
      <c r="CH10" s="146"/>
      <c r="CI10" s="146"/>
      <c r="CJ10" s="146"/>
      <c r="CK10" s="146"/>
      <c r="CL10" s="146"/>
      <c r="CM10" s="146"/>
      <c r="CN10" s="146"/>
      <c r="CO10" s="146"/>
      <c r="CP10" s="146"/>
      <c r="CQ10" s="146"/>
      <c r="CR10" s="146"/>
      <c r="CS10" s="146"/>
      <c r="CT10" s="146"/>
      <c r="CU10" s="146"/>
      <c r="CV10" s="146"/>
      <c r="CW10" s="146"/>
      <c r="CX10" s="146"/>
      <c r="CY10" s="146"/>
      <c r="CZ10" s="146"/>
      <c r="DA10" s="146"/>
      <c r="DB10" s="146"/>
      <c r="DC10" s="146"/>
      <c r="DD10" s="146"/>
      <c r="DE10" s="146"/>
      <c r="DF10" s="146"/>
      <c r="DG10" s="146"/>
      <c r="DH10" s="146"/>
      <c r="DI10" s="146"/>
      <c r="DJ10" s="146"/>
      <c r="DK10" s="146"/>
      <c r="DL10" s="146"/>
      <c r="DM10" s="146"/>
      <c r="DN10" s="146"/>
      <c r="DO10" s="146"/>
      <c r="DP10" s="146"/>
      <c r="DQ10" s="146"/>
      <c r="DR10" s="146"/>
      <c r="DS10" s="146"/>
      <c r="DT10" s="146"/>
      <c r="DU10" s="146"/>
      <c r="DV10" s="146"/>
      <c r="DW10" s="146"/>
      <c r="DX10" s="146"/>
      <c r="DY10" s="146"/>
      <c r="DZ10" s="146"/>
      <c r="EA10" s="146"/>
      <c r="EB10" s="146"/>
      <c r="EC10" s="146"/>
      <c r="ED10" s="146"/>
      <c r="EE10" s="146"/>
      <c r="EF10" s="146"/>
      <c r="EG10" s="146"/>
      <c r="EH10" s="146"/>
      <c r="EI10" s="146"/>
      <c r="EJ10" s="146"/>
      <c r="EK10" s="146"/>
      <c r="EL10" s="146"/>
      <c r="EM10" s="146"/>
      <c r="EN10" s="146"/>
      <c r="EO10" s="146"/>
      <c r="EP10" s="146"/>
      <c r="EQ10" s="146"/>
      <c r="ER10" s="146"/>
      <c r="ES10" s="146"/>
      <c r="ET10" s="146"/>
      <c r="EU10" s="146"/>
      <c r="EV10" s="146"/>
      <c r="EW10" s="146"/>
      <c r="EX10" s="146"/>
      <c r="EY10" s="146"/>
      <c r="EZ10" s="146"/>
      <c r="FA10" s="146"/>
      <c r="FB10" s="146"/>
      <c r="FC10" s="146"/>
      <c r="FD10" s="146"/>
      <c r="FE10" s="146"/>
      <c r="FF10" s="146"/>
      <c r="FG10" s="146"/>
      <c r="FH10" s="146"/>
      <c r="FI10" s="146"/>
      <c r="FJ10" s="146"/>
      <c r="FK10" s="146"/>
      <c r="FL10" s="146"/>
      <c r="FM10" s="146"/>
      <c r="FN10" s="146"/>
      <c r="FO10" s="146"/>
      <c r="FP10" s="146"/>
      <c r="FQ10" s="146"/>
      <c r="FR10" s="146"/>
      <c r="FS10" s="146"/>
      <c r="FT10" s="146"/>
      <c r="FU10" s="146"/>
      <c r="FV10" s="146"/>
      <c r="FW10" s="146"/>
      <c r="FX10" s="146"/>
      <c r="FY10" s="146"/>
      <c r="FZ10" s="146"/>
      <c r="GA10" s="146"/>
      <c r="GB10" s="146"/>
      <c r="GC10" s="146"/>
      <c r="GD10" s="146"/>
      <c r="GE10" s="146"/>
      <c r="GF10" s="146"/>
      <c r="GG10" s="146"/>
      <c r="GH10" s="146"/>
      <c r="GI10" s="146"/>
      <c r="GJ10" s="146"/>
      <c r="GK10" s="146"/>
      <c r="GL10" s="146"/>
      <c r="GM10" s="146"/>
      <c r="GN10" s="146"/>
      <c r="GO10" s="146"/>
      <c r="GP10" s="146"/>
      <c r="GQ10" s="146"/>
      <c r="GR10" s="146"/>
      <c r="GS10" s="146"/>
      <c r="GT10" s="146"/>
      <c r="GU10" s="146"/>
      <c r="GV10" s="146"/>
      <c r="GW10" s="146"/>
      <c r="GX10" s="146"/>
      <c r="GY10" s="146"/>
      <c r="GZ10" s="146"/>
      <c r="HA10" s="146"/>
      <c r="HB10" s="146"/>
      <c r="HC10" s="146"/>
      <c r="HD10" s="146"/>
      <c r="HE10" s="146"/>
      <c r="HF10" s="146"/>
      <c r="HG10" s="146"/>
      <c r="HH10" s="146"/>
      <c r="HI10" s="146"/>
      <c r="HJ10" s="146"/>
      <c r="HK10" s="146"/>
      <c r="HL10" s="146"/>
      <c r="HM10" s="146"/>
      <c r="HN10" s="146"/>
      <c r="HO10" s="146"/>
      <c r="HP10" s="146"/>
      <c r="HQ10" s="146"/>
      <c r="HR10" s="146"/>
      <c r="HS10" s="146"/>
      <c r="HT10" s="146"/>
      <c r="HU10" s="146"/>
      <c r="HV10" s="146"/>
      <c r="HW10" s="146"/>
      <c r="HX10" s="146"/>
      <c r="HY10" s="146"/>
      <c r="HZ10" s="146"/>
      <c r="IA10" s="146"/>
    </row>
    <row r="11" spans="1:235" s="154" customFormat="1" ht="99.75" x14ac:dyDescent="0.25">
      <c r="A11" s="197">
        <v>11200</v>
      </c>
      <c r="B11" s="194" t="s">
        <v>3</v>
      </c>
      <c r="C11" s="198" t="s">
        <v>152</v>
      </c>
      <c r="D11" s="194" t="s">
        <v>256</v>
      </c>
      <c r="E11" s="1558"/>
      <c r="F11" s="1543"/>
      <c r="G11" s="199"/>
      <c r="H11" s="200"/>
      <c r="I11" s="1558"/>
      <c r="J11" s="1543"/>
      <c r="K11" s="1561"/>
      <c r="L11" s="1564"/>
      <c r="M11" s="1543"/>
      <c r="N11" s="1543"/>
      <c r="O11" s="1543"/>
      <c r="P11" s="1543"/>
      <c r="Q11" s="1543"/>
      <c r="R11" s="201" t="s">
        <v>843</v>
      </c>
      <c r="S11" s="194" t="s">
        <v>99</v>
      </c>
      <c r="T11" s="202"/>
      <c r="U11" s="1546"/>
      <c r="V11" s="1549"/>
      <c r="W11" s="1552"/>
      <c r="X11" s="203"/>
      <c r="Y11" s="1543"/>
      <c r="Z11" s="1561"/>
      <c r="AA11" s="196"/>
      <c r="AB11" s="1567"/>
      <c r="AC11" s="204"/>
      <c r="AD11" s="1570"/>
      <c r="AE11" s="204"/>
      <c r="AF11" s="1570"/>
      <c r="AG11" s="203"/>
      <c r="AH11" s="1543"/>
      <c r="AI11" s="1561"/>
      <c r="AJ11" s="196"/>
      <c r="AK11" s="1567"/>
      <c r="AL11" s="204"/>
      <c r="AM11" s="1570"/>
      <c r="AN11" s="204"/>
      <c r="AO11" s="1570"/>
      <c r="AP11" s="203"/>
      <c r="AQ11" s="1543"/>
      <c r="AR11" s="1561"/>
      <c r="AS11" s="196"/>
      <c r="AT11" s="1567"/>
      <c r="AU11" s="204"/>
      <c r="AV11" s="1570"/>
      <c r="AW11" s="204"/>
      <c r="AX11" s="1570"/>
      <c r="AY11" s="203"/>
      <c r="AZ11" s="1543"/>
      <c r="BA11" s="1561"/>
      <c r="BB11" s="196"/>
      <c r="BC11" s="1567"/>
      <c r="BD11" s="204"/>
      <c r="BE11" s="1570"/>
      <c r="BF11" s="204"/>
      <c r="BG11" s="1570"/>
      <c r="BH11" s="207"/>
      <c r="BI11" s="1555"/>
      <c r="BJ11" s="207"/>
      <c r="BK11" s="1555"/>
      <c r="BL11" s="207"/>
      <c r="BM11" s="1555"/>
      <c r="BN11" s="207"/>
      <c r="BO11" s="1555"/>
      <c r="BP11" s="206"/>
      <c r="BQ11" s="277">
        <v>6</v>
      </c>
      <c r="BR11" s="208">
        <f t="shared" ref="BR11:BR74" si="12">+(X11+AG11+(AP11/3))</f>
        <v>0</v>
      </c>
      <c r="BS11" s="1571"/>
      <c r="BT11" s="195">
        <f t="shared" si="11"/>
        <v>0</v>
      </c>
      <c r="BU11" s="196"/>
      <c r="BV11" s="196"/>
      <c r="BW11" s="196"/>
      <c r="BX11" s="196"/>
      <c r="BY11" s="196"/>
      <c r="BZ11" s="196"/>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c r="FA11" s="146"/>
      <c r="FB11" s="146"/>
      <c r="FC11" s="146"/>
      <c r="FD11" s="146"/>
      <c r="FE11" s="146"/>
      <c r="FF11" s="146"/>
      <c r="FG11" s="146"/>
      <c r="FH11" s="146"/>
      <c r="FI11" s="146"/>
      <c r="FJ11" s="146"/>
      <c r="FK11" s="146"/>
      <c r="FL11" s="146"/>
      <c r="FM11" s="146"/>
      <c r="FN11" s="146"/>
      <c r="FO11" s="146"/>
      <c r="FP11" s="146"/>
      <c r="FQ11" s="146"/>
      <c r="FR11" s="146"/>
      <c r="FS11" s="146"/>
      <c r="FT11" s="146"/>
      <c r="FU11" s="146"/>
      <c r="FV11" s="146"/>
      <c r="FW11" s="146"/>
      <c r="FX11" s="146"/>
      <c r="FY11" s="146"/>
      <c r="FZ11" s="146"/>
      <c r="GA11" s="146"/>
      <c r="GB11" s="146"/>
      <c r="GC11" s="146"/>
      <c r="GD11" s="146"/>
      <c r="GE11" s="146"/>
      <c r="GF11" s="146"/>
      <c r="GG11" s="146"/>
      <c r="GH11" s="146"/>
      <c r="GI11" s="146"/>
      <c r="GJ11" s="146"/>
      <c r="GK11" s="146"/>
      <c r="GL11" s="146"/>
      <c r="GM11" s="146"/>
      <c r="GN11" s="146"/>
      <c r="GO11" s="146"/>
      <c r="GP11" s="146"/>
      <c r="GQ11" s="146"/>
      <c r="GR11" s="146"/>
      <c r="GS11" s="146"/>
      <c r="GT11" s="146"/>
      <c r="GU11" s="146"/>
      <c r="GV11" s="146"/>
      <c r="GW11" s="146"/>
      <c r="GX11" s="146"/>
      <c r="GY11" s="146"/>
      <c r="GZ11" s="146"/>
      <c r="HA11" s="146"/>
      <c r="HB11" s="146"/>
      <c r="HC11" s="146"/>
      <c r="HD11" s="146"/>
      <c r="HE11" s="146"/>
      <c r="HF11" s="146"/>
      <c r="HG11" s="146"/>
      <c r="HH11" s="146"/>
      <c r="HI11" s="146"/>
      <c r="HJ11" s="146"/>
      <c r="HK11" s="146"/>
      <c r="HL11" s="146"/>
      <c r="HM11" s="146"/>
      <c r="HN11" s="146"/>
      <c r="HO11" s="146"/>
      <c r="HP11" s="146"/>
      <c r="HQ11" s="146"/>
      <c r="HR11" s="146"/>
      <c r="HS11" s="146"/>
      <c r="HT11" s="146"/>
      <c r="HU11" s="146"/>
      <c r="HV11" s="146"/>
      <c r="HW11" s="146"/>
      <c r="HX11" s="146"/>
      <c r="HY11" s="146"/>
      <c r="HZ11" s="146"/>
      <c r="IA11" s="146"/>
    </row>
    <row r="12" spans="1:235" s="153" customFormat="1" ht="57" x14ac:dyDescent="0.25">
      <c r="A12" s="197">
        <v>11300</v>
      </c>
      <c r="B12" s="194" t="s">
        <v>4</v>
      </c>
      <c r="C12" s="198" t="s">
        <v>150</v>
      </c>
      <c r="D12" s="194" t="s">
        <v>153</v>
      </c>
      <c r="E12" s="198" t="s">
        <v>151</v>
      </c>
      <c r="F12" s="194" t="s">
        <v>133</v>
      </c>
      <c r="G12" s="209" t="s">
        <v>124</v>
      </c>
      <c r="H12" s="198">
        <v>4</v>
      </c>
      <c r="I12" s="198" t="s">
        <v>293</v>
      </c>
      <c r="J12" s="194" t="s">
        <v>24</v>
      </c>
      <c r="K12" s="210">
        <v>0</v>
      </c>
      <c r="L12" s="211">
        <v>1</v>
      </c>
      <c r="M12" s="194" t="s">
        <v>51</v>
      </c>
      <c r="N12" s="194" t="s">
        <v>68</v>
      </c>
      <c r="O12" s="194" t="s">
        <v>21</v>
      </c>
      <c r="P12" s="194" t="s">
        <v>36</v>
      </c>
      <c r="Q12" s="194" t="s">
        <v>75</v>
      </c>
      <c r="R12" s="194" t="s">
        <v>631</v>
      </c>
      <c r="S12" s="194" t="s">
        <v>98</v>
      </c>
      <c r="T12" s="198">
        <v>4</v>
      </c>
      <c r="U12" s="212" t="str">
        <f t="shared" ref="U12:V75" si="13">+J12</f>
        <v>Reportar el cumplimiento del Plan de Acción de la Dependencia</v>
      </c>
      <c r="V12" s="213">
        <f t="shared" si="13"/>
        <v>0</v>
      </c>
      <c r="W12" s="214" t="s">
        <v>117</v>
      </c>
      <c r="X12" s="215">
        <v>1</v>
      </c>
      <c r="Y12" s="214" t="s">
        <v>24</v>
      </c>
      <c r="Z12" s="210">
        <v>0</v>
      </c>
      <c r="AA12" s="196"/>
      <c r="AB12" s="196"/>
      <c r="AC12" s="204">
        <f t="shared" ref="AC12:AC75" si="14">+(AA12/X12)</f>
        <v>0</v>
      </c>
      <c r="AD12" s="204" t="e">
        <f t="shared" ref="AD12:AD75" si="15">+(AB12/Z12)</f>
        <v>#DIV/0!</v>
      </c>
      <c r="AE12" s="204">
        <f t="shared" si="0"/>
        <v>0</v>
      </c>
      <c r="AF12" s="204" t="e">
        <f t="shared" si="1"/>
        <v>#DIV/0!</v>
      </c>
      <c r="AG12" s="215">
        <v>1</v>
      </c>
      <c r="AH12" s="214" t="s">
        <v>24</v>
      </c>
      <c r="AI12" s="210">
        <v>0</v>
      </c>
      <c r="AJ12" s="196"/>
      <c r="AK12" s="196"/>
      <c r="AL12" s="204">
        <f t="shared" ref="AL12:AL75" si="16">+(AJ12/AG12)</f>
        <v>0</v>
      </c>
      <c r="AM12" s="204" t="e">
        <f t="shared" si="2"/>
        <v>#DIV/0!</v>
      </c>
      <c r="AN12" s="204">
        <f t="shared" si="3"/>
        <v>0</v>
      </c>
      <c r="AO12" s="204" t="e">
        <f t="shared" si="4"/>
        <v>#DIV/0!</v>
      </c>
      <c r="AP12" s="215">
        <v>1</v>
      </c>
      <c r="AQ12" s="214" t="s">
        <v>24</v>
      </c>
      <c r="AR12" s="210">
        <v>0</v>
      </c>
      <c r="AS12" s="196"/>
      <c r="AT12" s="196"/>
      <c r="AU12" s="204">
        <f t="shared" ref="AU12:AU75" si="17">+(AS12/AP12)</f>
        <v>0</v>
      </c>
      <c r="AV12" s="204" t="e">
        <f t="shared" ref="AV12:AV75" si="18">+(AT12/AR12)</f>
        <v>#DIV/0!</v>
      </c>
      <c r="AW12" s="204">
        <f t="shared" ref="AW12:AW75" si="19">+(AJ12+AA12+AS12)/T12</f>
        <v>0</v>
      </c>
      <c r="AX12" s="204" t="e">
        <f t="shared" ref="AX12:AX75" si="20">+(AK12+AB12+AT12)/V12</f>
        <v>#DIV/0!</v>
      </c>
      <c r="AY12" s="215">
        <v>1</v>
      </c>
      <c r="AZ12" s="214" t="s">
        <v>24</v>
      </c>
      <c r="BA12" s="210">
        <v>0</v>
      </c>
      <c r="BB12" s="196"/>
      <c r="BC12" s="196"/>
      <c r="BD12" s="216">
        <f t="shared" ref="BD12:BD75" si="21">+(BB12/AY12)</f>
        <v>0</v>
      </c>
      <c r="BE12" s="216" t="e">
        <f t="shared" ref="BE12:BE75" si="22">+(BC12/BA12)</f>
        <v>#DIV/0!</v>
      </c>
      <c r="BF12" s="216">
        <f t="shared" ref="BF12:BF75" si="23">+(AJ12+AA12+AS12+BB12)/T12</f>
        <v>0</v>
      </c>
      <c r="BG12" s="216" t="e">
        <f t="shared" ref="BG12:BG75" si="24">+(AK12+AB12+AT12+BC12)/V12</f>
        <v>#DIV/0!</v>
      </c>
      <c r="BH12" s="217">
        <f t="shared" si="5"/>
        <v>0</v>
      </c>
      <c r="BI12" s="217" t="str">
        <f t="shared" si="6"/>
        <v>No Prog ni Ejec</v>
      </c>
      <c r="BJ12" s="217">
        <f t="shared" si="7"/>
        <v>0</v>
      </c>
      <c r="BK12" s="217" t="str">
        <f t="shared" si="8"/>
        <v>No Prog ni Ejec</v>
      </c>
      <c r="BL12" s="217">
        <f t="shared" ref="BL12:BL75" si="25">IF(AND(AP12=0,AS12=0),"No Prog ni Ejec",IF(AP12=0,CONCATENATE("No Prog, Ejec=  ",AS12),AS12/AP12))</f>
        <v>0</v>
      </c>
      <c r="BM12" s="217" t="str">
        <f t="shared" ref="BM12:BM75" si="26">IF(AND(AR12=0,AT12=0),"No Prog ni Ejec",IF(AR12=0,CONCATENATE("No Prog, Ejec=  ",AT12),AT12/AR12))</f>
        <v>No Prog ni Ejec</v>
      </c>
      <c r="BN12" s="217">
        <f t="shared" si="9"/>
        <v>0</v>
      </c>
      <c r="BO12" s="217" t="str">
        <f t="shared" si="10"/>
        <v>No Prog ni Ejec</v>
      </c>
      <c r="BP12" s="206"/>
      <c r="BQ12" s="277">
        <v>5</v>
      </c>
      <c r="BR12" s="218">
        <f t="shared" si="12"/>
        <v>2.3333333333333335</v>
      </c>
      <c r="BS12" s="219" t="str">
        <f>+U12</f>
        <v>Reportar el cumplimiento del Plan de Acción de la Dependencia</v>
      </c>
      <c r="BT12" s="195">
        <f t="shared" si="11"/>
        <v>0</v>
      </c>
      <c r="BU12" s="196"/>
      <c r="BV12" s="196"/>
      <c r="BW12" s="196"/>
      <c r="BX12" s="196"/>
      <c r="BY12" s="196"/>
      <c r="BZ12" s="196"/>
      <c r="CA12" s="146"/>
      <c r="CB12" s="146"/>
      <c r="CC12" s="146"/>
      <c r="CD12" s="146"/>
      <c r="CE12" s="146"/>
      <c r="CF12" s="146"/>
      <c r="CG12" s="146"/>
      <c r="CH12" s="146"/>
      <c r="CI12" s="146"/>
      <c r="CJ12" s="146"/>
      <c r="CK12" s="146"/>
      <c r="CL12" s="146"/>
      <c r="CM12" s="146"/>
      <c r="CN12" s="146"/>
      <c r="CO12" s="146"/>
      <c r="CP12" s="146"/>
      <c r="CQ12" s="146"/>
      <c r="CR12" s="146"/>
      <c r="CS12" s="146"/>
      <c r="CT12" s="146"/>
      <c r="CU12" s="146"/>
      <c r="CV12" s="146"/>
      <c r="CW12" s="146"/>
      <c r="CX12" s="146"/>
      <c r="CY12" s="146"/>
      <c r="CZ12" s="146"/>
      <c r="DA12" s="146"/>
      <c r="DB12" s="146"/>
      <c r="DC12" s="146"/>
      <c r="DD12" s="146"/>
      <c r="DE12" s="146"/>
      <c r="DF12" s="146"/>
      <c r="DG12" s="146"/>
      <c r="DH12" s="146"/>
      <c r="DI12" s="146"/>
      <c r="DJ12" s="146"/>
      <c r="DK12" s="146"/>
      <c r="DL12" s="146"/>
      <c r="DM12" s="146"/>
      <c r="DN12" s="146"/>
      <c r="DO12" s="146"/>
      <c r="DP12" s="146"/>
      <c r="DQ12" s="146"/>
      <c r="DR12" s="146"/>
      <c r="DS12" s="146"/>
      <c r="DT12" s="146"/>
      <c r="DU12" s="146"/>
      <c r="DV12" s="146"/>
      <c r="DW12" s="146"/>
      <c r="DX12" s="146"/>
      <c r="DY12" s="146"/>
      <c r="DZ12" s="146"/>
      <c r="EA12" s="146"/>
      <c r="EB12" s="146"/>
      <c r="EC12" s="146"/>
      <c r="ED12" s="146"/>
      <c r="EE12" s="146"/>
      <c r="EF12" s="146"/>
      <c r="EG12" s="146"/>
      <c r="EH12" s="146"/>
      <c r="EI12" s="146"/>
      <c r="EJ12" s="146"/>
      <c r="EK12" s="146"/>
      <c r="EL12" s="146"/>
      <c r="EM12" s="146"/>
      <c r="EN12" s="146"/>
      <c r="EO12" s="146"/>
      <c r="EP12" s="146"/>
      <c r="EQ12" s="146"/>
      <c r="ER12" s="146"/>
      <c r="ES12" s="146"/>
      <c r="ET12" s="146"/>
      <c r="EU12" s="146"/>
      <c r="EV12" s="146"/>
      <c r="EW12" s="146"/>
      <c r="EX12" s="146"/>
      <c r="EY12" s="146"/>
      <c r="EZ12" s="146"/>
      <c r="FA12" s="146"/>
      <c r="FB12" s="146"/>
      <c r="FC12" s="146"/>
      <c r="FD12" s="146"/>
      <c r="FE12" s="146"/>
      <c r="FF12" s="146"/>
      <c r="FG12" s="146"/>
      <c r="FH12" s="146"/>
      <c r="FI12" s="146"/>
      <c r="FJ12" s="146"/>
      <c r="FK12" s="146"/>
      <c r="FL12" s="146"/>
      <c r="FM12" s="146"/>
      <c r="FN12" s="146"/>
      <c r="FO12" s="146"/>
      <c r="FP12" s="146"/>
      <c r="FQ12" s="146"/>
      <c r="FR12" s="146"/>
      <c r="FS12" s="146"/>
      <c r="FT12" s="146"/>
      <c r="FU12" s="146"/>
      <c r="FV12" s="146"/>
      <c r="FW12" s="146"/>
      <c r="FX12" s="146"/>
      <c r="FY12" s="146"/>
      <c r="FZ12" s="146"/>
      <c r="GA12" s="146"/>
      <c r="GB12" s="146"/>
      <c r="GC12" s="146"/>
      <c r="GD12" s="146"/>
      <c r="GE12" s="146"/>
      <c r="GF12" s="146"/>
      <c r="GG12" s="146"/>
      <c r="GH12" s="146"/>
      <c r="GI12" s="146"/>
      <c r="GJ12" s="146"/>
      <c r="GK12" s="146"/>
      <c r="GL12" s="146"/>
      <c r="GM12" s="146"/>
      <c r="GN12" s="146"/>
      <c r="GO12" s="146"/>
      <c r="GP12" s="146"/>
      <c r="GQ12" s="146"/>
      <c r="GR12" s="146"/>
      <c r="GS12" s="146"/>
      <c r="GT12" s="146"/>
      <c r="GU12" s="146"/>
      <c r="GV12" s="146"/>
      <c r="GW12" s="146"/>
      <c r="GX12" s="146"/>
      <c r="GY12" s="146"/>
      <c r="GZ12" s="146"/>
      <c r="HA12" s="146"/>
      <c r="HB12" s="146"/>
      <c r="HC12" s="146"/>
      <c r="HD12" s="146"/>
      <c r="HE12" s="146"/>
      <c r="HF12" s="146"/>
      <c r="HG12" s="146"/>
      <c r="HH12" s="146"/>
      <c r="HI12" s="146"/>
      <c r="HJ12" s="146"/>
      <c r="HK12" s="146"/>
      <c r="HL12" s="146"/>
      <c r="HM12" s="146"/>
      <c r="HN12" s="146"/>
      <c r="HO12" s="146"/>
      <c r="HP12" s="146"/>
      <c r="HQ12" s="146"/>
      <c r="HR12" s="146"/>
      <c r="HS12" s="146"/>
      <c r="HT12" s="146"/>
      <c r="HU12" s="146"/>
      <c r="HV12" s="146"/>
      <c r="HW12" s="146"/>
      <c r="HX12" s="146"/>
      <c r="HY12" s="146"/>
      <c r="HZ12" s="146"/>
      <c r="IA12" s="146"/>
    </row>
    <row r="13" spans="1:235" s="153" customFormat="1" ht="99.75" x14ac:dyDescent="0.25">
      <c r="A13" s="197">
        <v>11300</v>
      </c>
      <c r="B13" s="194" t="s">
        <v>4</v>
      </c>
      <c r="C13" s="198" t="s">
        <v>157</v>
      </c>
      <c r="D13" s="194" t="s">
        <v>256</v>
      </c>
      <c r="E13" s="198" t="s">
        <v>576</v>
      </c>
      <c r="F13" s="194" t="s">
        <v>159</v>
      </c>
      <c r="G13" s="209" t="s">
        <v>123</v>
      </c>
      <c r="H13" s="216">
        <v>1</v>
      </c>
      <c r="I13" s="198" t="s">
        <v>577</v>
      </c>
      <c r="J13" s="194" t="s">
        <v>156</v>
      </c>
      <c r="K13" s="210">
        <v>0</v>
      </c>
      <c r="L13" s="211">
        <v>1</v>
      </c>
      <c r="M13" s="194" t="s">
        <v>51</v>
      </c>
      <c r="N13" s="194" t="s">
        <v>68</v>
      </c>
      <c r="O13" s="194" t="s">
        <v>21</v>
      </c>
      <c r="P13" s="194" t="s">
        <v>36</v>
      </c>
      <c r="Q13" s="194" t="s">
        <v>75</v>
      </c>
      <c r="R13" s="194" t="s">
        <v>672</v>
      </c>
      <c r="S13" s="194" t="s">
        <v>98</v>
      </c>
      <c r="T13" s="211">
        <v>1</v>
      </c>
      <c r="U13" s="212" t="str">
        <f t="shared" si="13"/>
        <v>Formular los proceso y procedimientos en el marco del MIPG</v>
      </c>
      <c r="V13" s="213">
        <f t="shared" si="13"/>
        <v>0</v>
      </c>
      <c r="W13" s="214" t="s">
        <v>117</v>
      </c>
      <c r="X13" s="216">
        <v>0.25</v>
      </c>
      <c r="Y13" s="214" t="s">
        <v>156</v>
      </c>
      <c r="Z13" s="210">
        <v>0</v>
      </c>
      <c r="AA13" s="196"/>
      <c r="AB13" s="196"/>
      <c r="AC13" s="204">
        <f t="shared" si="14"/>
        <v>0</v>
      </c>
      <c r="AD13" s="204" t="e">
        <f t="shared" si="15"/>
        <v>#DIV/0!</v>
      </c>
      <c r="AE13" s="204">
        <f t="shared" si="0"/>
        <v>0</v>
      </c>
      <c r="AF13" s="204" t="e">
        <f t="shared" si="1"/>
        <v>#DIV/0!</v>
      </c>
      <c r="AG13" s="216">
        <v>0.25</v>
      </c>
      <c r="AH13" s="214" t="s">
        <v>156</v>
      </c>
      <c r="AI13" s="210">
        <v>0</v>
      </c>
      <c r="AJ13" s="196"/>
      <c r="AK13" s="196"/>
      <c r="AL13" s="204">
        <f t="shared" si="16"/>
        <v>0</v>
      </c>
      <c r="AM13" s="204" t="e">
        <f t="shared" si="2"/>
        <v>#DIV/0!</v>
      </c>
      <c r="AN13" s="204">
        <f t="shared" si="3"/>
        <v>0</v>
      </c>
      <c r="AO13" s="204" t="e">
        <f t="shared" si="4"/>
        <v>#DIV/0!</v>
      </c>
      <c r="AP13" s="216">
        <v>0.25</v>
      </c>
      <c r="AQ13" s="214" t="s">
        <v>156</v>
      </c>
      <c r="AR13" s="210">
        <v>0</v>
      </c>
      <c r="AS13" s="196"/>
      <c r="AT13" s="196"/>
      <c r="AU13" s="204">
        <f t="shared" si="17"/>
        <v>0</v>
      </c>
      <c r="AV13" s="204" t="e">
        <f t="shared" si="18"/>
        <v>#DIV/0!</v>
      </c>
      <c r="AW13" s="204">
        <f t="shared" si="19"/>
        <v>0</v>
      </c>
      <c r="AX13" s="204" t="e">
        <f t="shared" si="20"/>
        <v>#DIV/0!</v>
      </c>
      <c r="AY13" s="216">
        <v>0.25</v>
      </c>
      <c r="AZ13" s="214" t="s">
        <v>156</v>
      </c>
      <c r="BA13" s="210">
        <v>0</v>
      </c>
      <c r="BB13" s="196"/>
      <c r="BC13" s="196"/>
      <c r="BD13" s="216">
        <f t="shared" si="21"/>
        <v>0</v>
      </c>
      <c r="BE13" s="216" t="e">
        <f t="shared" si="22"/>
        <v>#DIV/0!</v>
      </c>
      <c r="BF13" s="216">
        <f t="shared" si="23"/>
        <v>0</v>
      </c>
      <c r="BG13" s="216" t="e">
        <f t="shared" si="24"/>
        <v>#DIV/0!</v>
      </c>
      <c r="BH13" s="217">
        <f t="shared" si="5"/>
        <v>0</v>
      </c>
      <c r="BI13" s="217" t="str">
        <f t="shared" si="6"/>
        <v>No Prog ni Ejec</v>
      </c>
      <c r="BJ13" s="217">
        <f t="shared" si="7"/>
        <v>0</v>
      </c>
      <c r="BK13" s="217" t="str">
        <f t="shared" si="8"/>
        <v>No Prog ni Ejec</v>
      </c>
      <c r="BL13" s="217">
        <f t="shared" si="25"/>
        <v>0</v>
      </c>
      <c r="BM13" s="217" t="str">
        <f t="shared" si="26"/>
        <v>No Prog ni Ejec</v>
      </c>
      <c r="BN13" s="217">
        <f t="shared" si="9"/>
        <v>0</v>
      </c>
      <c r="BO13" s="217" t="str">
        <f t="shared" si="10"/>
        <v>No Prog ni Ejec</v>
      </c>
      <c r="BP13" s="206"/>
      <c r="BQ13" s="277">
        <v>5</v>
      </c>
      <c r="BR13" s="208">
        <f t="shared" si="12"/>
        <v>0.58333333333333337</v>
      </c>
      <c r="BS13" s="219" t="str">
        <f>+U13</f>
        <v>Formular los proceso y procedimientos en el marco del MIPG</v>
      </c>
      <c r="BT13" s="195">
        <f t="shared" si="11"/>
        <v>0</v>
      </c>
      <c r="BU13" s="196"/>
      <c r="BV13" s="196"/>
      <c r="BW13" s="196"/>
      <c r="BX13" s="196"/>
      <c r="BY13" s="196"/>
      <c r="BZ13" s="19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c r="FA13" s="146"/>
      <c r="FB13" s="146"/>
      <c r="FC13" s="146"/>
      <c r="FD13" s="146"/>
      <c r="FE13" s="146"/>
      <c r="FF13" s="146"/>
      <c r="FG13" s="146"/>
      <c r="FH13" s="146"/>
      <c r="FI13" s="146"/>
      <c r="FJ13" s="146"/>
      <c r="FK13" s="146"/>
      <c r="FL13" s="146"/>
      <c r="FM13" s="146"/>
      <c r="FN13" s="146"/>
      <c r="FO13" s="146"/>
      <c r="FP13" s="146"/>
      <c r="FQ13" s="146"/>
      <c r="FR13" s="146"/>
      <c r="FS13" s="146"/>
      <c r="FT13" s="146"/>
      <c r="FU13" s="146"/>
      <c r="FV13" s="146"/>
      <c r="FW13" s="146"/>
      <c r="FX13" s="146"/>
      <c r="FY13" s="146"/>
      <c r="FZ13" s="146"/>
      <c r="GA13" s="146"/>
      <c r="GB13" s="146"/>
      <c r="GC13" s="146"/>
      <c r="GD13" s="146"/>
      <c r="GE13" s="146"/>
      <c r="GF13" s="146"/>
      <c r="GG13" s="146"/>
      <c r="GH13" s="146"/>
      <c r="GI13" s="146"/>
      <c r="GJ13" s="146"/>
      <c r="GK13" s="146"/>
      <c r="GL13" s="146"/>
      <c r="GM13" s="146"/>
      <c r="GN13" s="146"/>
      <c r="GO13" s="146"/>
      <c r="GP13" s="146"/>
      <c r="GQ13" s="146"/>
      <c r="GR13" s="146"/>
      <c r="GS13" s="146"/>
      <c r="GT13" s="146"/>
      <c r="GU13" s="146"/>
      <c r="GV13" s="146"/>
      <c r="GW13" s="146"/>
      <c r="GX13" s="146"/>
      <c r="GY13" s="146"/>
      <c r="GZ13" s="146"/>
      <c r="HA13" s="146"/>
      <c r="HB13" s="146"/>
      <c r="HC13" s="146"/>
      <c r="HD13" s="146"/>
      <c r="HE13" s="146"/>
      <c r="HF13" s="146"/>
      <c r="HG13" s="146"/>
      <c r="HH13" s="146"/>
      <c r="HI13" s="146"/>
      <c r="HJ13" s="146"/>
      <c r="HK13" s="146"/>
      <c r="HL13" s="146"/>
      <c r="HM13" s="146"/>
      <c r="HN13" s="146"/>
      <c r="HO13" s="146"/>
      <c r="HP13" s="146"/>
      <c r="HQ13" s="146"/>
      <c r="HR13" s="146"/>
      <c r="HS13" s="146"/>
      <c r="HT13" s="146"/>
      <c r="HU13" s="146"/>
      <c r="HV13" s="146"/>
      <c r="HW13" s="146"/>
      <c r="HX13" s="146"/>
      <c r="HY13" s="146"/>
      <c r="HZ13" s="146"/>
      <c r="IA13" s="146"/>
    </row>
    <row r="14" spans="1:235" s="153" customFormat="1" ht="99.75" x14ac:dyDescent="0.25">
      <c r="A14" s="197">
        <v>11300</v>
      </c>
      <c r="B14" s="194" t="s">
        <v>4</v>
      </c>
      <c r="C14" s="198" t="s">
        <v>157</v>
      </c>
      <c r="D14" s="194" t="s">
        <v>256</v>
      </c>
      <c r="E14" s="198" t="s">
        <v>158</v>
      </c>
      <c r="F14" s="194" t="s">
        <v>127</v>
      </c>
      <c r="G14" s="209" t="s">
        <v>123</v>
      </c>
      <c r="H14" s="216">
        <v>1</v>
      </c>
      <c r="I14" s="198" t="s">
        <v>294</v>
      </c>
      <c r="J14" s="194" t="s">
        <v>128</v>
      </c>
      <c r="K14" s="210">
        <v>0</v>
      </c>
      <c r="L14" s="211">
        <v>1</v>
      </c>
      <c r="M14" s="194" t="s">
        <v>51</v>
      </c>
      <c r="N14" s="194" t="s">
        <v>68</v>
      </c>
      <c r="O14" s="194" t="s">
        <v>21</v>
      </c>
      <c r="P14" s="194" t="s">
        <v>36</v>
      </c>
      <c r="Q14" s="194" t="s">
        <v>75</v>
      </c>
      <c r="R14" s="194" t="s">
        <v>570</v>
      </c>
      <c r="S14" s="194" t="s">
        <v>98</v>
      </c>
      <c r="T14" s="211">
        <v>1</v>
      </c>
      <c r="U14" s="212" t="str">
        <f t="shared" si="13"/>
        <v>Remitir informes trimestrales de los indicadores formulados y las acciones de mejoras</v>
      </c>
      <c r="V14" s="213">
        <f t="shared" si="13"/>
        <v>0</v>
      </c>
      <c r="W14" s="214" t="s">
        <v>117</v>
      </c>
      <c r="X14" s="216">
        <v>0</v>
      </c>
      <c r="Y14" s="214" t="s">
        <v>128</v>
      </c>
      <c r="Z14" s="210">
        <v>0</v>
      </c>
      <c r="AA14" s="196"/>
      <c r="AB14" s="196"/>
      <c r="AC14" s="204" t="e">
        <f t="shared" si="14"/>
        <v>#DIV/0!</v>
      </c>
      <c r="AD14" s="204" t="e">
        <f>+(AB14/Z14)</f>
        <v>#DIV/0!</v>
      </c>
      <c r="AE14" s="204">
        <f>+(AA14/T14)</f>
        <v>0</v>
      </c>
      <c r="AF14" s="204" t="e">
        <f>+(AB14/V14)</f>
        <v>#DIV/0!</v>
      </c>
      <c r="AG14" s="216">
        <v>0</v>
      </c>
      <c r="AH14" s="214" t="s">
        <v>128</v>
      </c>
      <c r="AI14" s="210">
        <v>0</v>
      </c>
      <c r="AJ14" s="196"/>
      <c r="AK14" s="196"/>
      <c r="AL14" s="204" t="e">
        <f t="shared" si="16"/>
        <v>#DIV/0!</v>
      </c>
      <c r="AM14" s="204" t="e">
        <f t="shared" si="2"/>
        <v>#DIV/0!</v>
      </c>
      <c r="AN14" s="204">
        <f t="shared" si="3"/>
        <v>0</v>
      </c>
      <c r="AO14" s="204" t="e">
        <f t="shared" si="4"/>
        <v>#DIV/0!</v>
      </c>
      <c r="AP14" s="216">
        <v>0</v>
      </c>
      <c r="AQ14" s="214" t="s">
        <v>128</v>
      </c>
      <c r="AR14" s="210">
        <v>0</v>
      </c>
      <c r="AS14" s="196"/>
      <c r="AT14" s="196"/>
      <c r="AU14" s="204" t="e">
        <f t="shared" si="17"/>
        <v>#DIV/0!</v>
      </c>
      <c r="AV14" s="204" t="e">
        <f t="shared" si="18"/>
        <v>#DIV/0!</v>
      </c>
      <c r="AW14" s="204">
        <f t="shared" si="19"/>
        <v>0</v>
      </c>
      <c r="AX14" s="204" t="e">
        <f t="shared" si="20"/>
        <v>#DIV/0!</v>
      </c>
      <c r="AY14" s="216">
        <v>1</v>
      </c>
      <c r="AZ14" s="214" t="s">
        <v>128</v>
      </c>
      <c r="BA14" s="210">
        <v>0</v>
      </c>
      <c r="BB14" s="196"/>
      <c r="BC14" s="196"/>
      <c r="BD14" s="216">
        <f t="shared" si="21"/>
        <v>0</v>
      </c>
      <c r="BE14" s="216" t="e">
        <f t="shared" si="22"/>
        <v>#DIV/0!</v>
      </c>
      <c r="BF14" s="216">
        <f t="shared" si="23"/>
        <v>0</v>
      </c>
      <c r="BG14" s="216" t="e">
        <f t="shared" si="24"/>
        <v>#DIV/0!</v>
      </c>
      <c r="BH14" s="217" t="str">
        <f t="shared" si="5"/>
        <v>No Prog ni Ejec</v>
      </c>
      <c r="BI14" s="217" t="str">
        <f t="shared" si="6"/>
        <v>No Prog ni Ejec</v>
      </c>
      <c r="BJ14" s="217" t="str">
        <f t="shared" si="7"/>
        <v>No Prog ni Ejec</v>
      </c>
      <c r="BK14" s="217" t="str">
        <f t="shared" si="8"/>
        <v>No Prog ni Ejec</v>
      </c>
      <c r="BL14" s="217" t="str">
        <f t="shared" si="25"/>
        <v>No Prog ni Ejec</v>
      </c>
      <c r="BM14" s="217" t="str">
        <f t="shared" si="26"/>
        <v>No Prog ni Ejec</v>
      </c>
      <c r="BN14" s="217">
        <f t="shared" si="9"/>
        <v>0</v>
      </c>
      <c r="BO14" s="217" t="str">
        <f t="shared" si="10"/>
        <v>No Prog ni Ejec</v>
      </c>
      <c r="BP14" s="206"/>
      <c r="BQ14" s="277">
        <v>5</v>
      </c>
      <c r="BR14" s="208">
        <f t="shared" si="12"/>
        <v>0</v>
      </c>
      <c r="BS14" s="219" t="str">
        <f>+U14</f>
        <v>Remitir informes trimestrales de los indicadores formulados y las acciones de mejoras</v>
      </c>
      <c r="BT14" s="195">
        <f t="shared" si="11"/>
        <v>0</v>
      </c>
      <c r="BU14" s="196"/>
      <c r="BV14" s="196"/>
      <c r="BW14" s="196"/>
      <c r="BX14" s="196"/>
      <c r="BY14" s="196"/>
      <c r="BZ14" s="196"/>
      <c r="CA14" s="146"/>
      <c r="CB14" s="146"/>
      <c r="CC14" s="146"/>
      <c r="CD14" s="146"/>
      <c r="CE14" s="146"/>
      <c r="CF14" s="146"/>
      <c r="CG14" s="146"/>
      <c r="CH14" s="146"/>
      <c r="CI14" s="146"/>
      <c r="CJ14" s="146"/>
      <c r="CK14" s="146"/>
      <c r="CL14" s="146"/>
      <c r="CM14" s="146"/>
      <c r="CN14" s="146"/>
      <c r="CO14" s="146"/>
      <c r="CP14" s="146"/>
      <c r="CQ14" s="146"/>
      <c r="CR14" s="146"/>
      <c r="CS14" s="146"/>
      <c r="CT14" s="146"/>
      <c r="CU14" s="146"/>
      <c r="CV14" s="146"/>
      <c r="CW14" s="146"/>
      <c r="CX14" s="146"/>
      <c r="CY14" s="146"/>
      <c r="CZ14" s="146"/>
      <c r="DA14" s="146"/>
      <c r="DB14" s="146"/>
      <c r="DC14" s="146"/>
      <c r="DD14" s="146"/>
      <c r="DE14" s="146"/>
      <c r="DF14" s="146"/>
      <c r="DG14" s="146"/>
      <c r="DH14" s="146"/>
      <c r="DI14" s="146"/>
      <c r="DJ14" s="146"/>
      <c r="DK14" s="146"/>
      <c r="DL14" s="146"/>
      <c r="DM14" s="146"/>
      <c r="DN14" s="146"/>
      <c r="DO14" s="146"/>
      <c r="DP14" s="146"/>
      <c r="DQ14" s="146"/>
      <c r="DR14" s="146"/>
      <c r="DS14" s="146"/>
      <c r="DT14" s="146"/>
      <c r="DU14" s="146"/>
      <c r="DV14" s="146"/>
      <c r="DW14" s="146"/>
      <c r="DX14" s="146"/>
      <c r="DY14" s="146"/>
      <c r="DZ14" s="146"/>
      <c r="EA14" s="146"/>
      <c r="EB14" s="146"/>
      <c r="EC14" s="146"/>
      <c r="ED14" s="146"/>
      <c r="EE14" s="146"/>
      <c r="EF14" s="146"/>
      <c r="EG14" s="146"/>
      <c r="EH14" s="146"/>
      <c r="EI14" s="146"/>
      <c r="EJ14" s="146"/>
      <c r="EK14" s="146"/>
      <c r="EL14" s="146"/>
      <c r="EM14" s="146"/>
      <c r="EN14" s="146"/>
      <c r="EO14" s="146"/>
      <c r="EP14" s="146"/>
      <c r="EQ14" s="146"/>
      <c r="ER14" s="146"/>
      <c r="ES14" s="146"/>
      <c r="ET14" s="146"/>
      <c r="EU14" s="146"/>
      <c r="EV14" s="146"/>
      <c r="EW14" s="146"/>
      <c r="EX14" s="146"/>
      <c r="EY14" s="146"/>
      <c r="EZ14" s="146"/>
      <c r="FA14" s="146"/>
      <c r="FB14" s="146"/>
      <c r="FC14" s="146"/>
      <c r="FD14" s="146"/>
      <c r="FE14" s="146"/>
      <c r="FF14" s="146"/>
      <c r="FG14" s="146"/>
      <c r="FH14" s="146"/>
      <c r="FI14" s="146"/>
      <c r="FJ14" s="146"/>
      <c r="FK14" s="146"/>
      <c r="FL14" s="146"/>
      <c r="FM14" s="146"/>
      <c r="FN14" s="146"/>
      <c r="FO14" s="146"/>
      <c r="FP14" s="146"/>
      <c r="FQ14" s="146"/>
      <c r="FR14" s="146"/>
      <c r="FS14" s="146"/>
      <c r="FT14" s="146"/>
      <c r="FU14" s="146"/>
      <c r="FV14" s="146"/>
      <c r="FW14" s="146"/>
      <c r="FX14" s="146"/>
      <c r="FY14" s="146"/>
      <c r="FZ14" s="146"/>
      <c r="GA14" s="146"/>
      <c r="GB14" s="146"/>
      <c r="GC14" s="146"/>
      <c r="GD14" s="146"/>
      <c r="GE14" s="146"/>
      <c r="GF14" s="146"/>
      <c r="GG14" s="146"/>
      <c r="GH14" s="146"/>
      <c r="GI14" s="146"/>
      <c r="GJ14" s="146"/>
      <c r="GK14" s="146"/>
      <c r="GL14" s="146"/>
      <c r="GM14" s="146"/>
      <c r="GN14" s="146"/>
      <c r="GO14" s="146"/>
      <c r="GP14" s="146"/>
      <c r="GQ14" s="146"/>
      <c r="GR14" s="146"/>
      <c r="GS14" s="146"/>
      <c r="GT14" s="146"/>
      <c r="GU14" s="146"/>
      <c r="GV14" s="146"/>
      <c r="GW14" s="146"/>
      <c r="GX14" s="146"/>
      <c r="GY14" s="146"/>
      <c r="GZ14" s="146"/>
      <c r="HA14" s="146"/>
      <c r="HB14" s="146"/>
      <c r="HC14" s="146"/>
      <c r="HD14" s="146"/>
      <c r="HE14" s="146"/>
      <c r="HF14" s="146"/>
      <c r="HG14" s="146"/>
      <c r="HH14" s="146"/>
      <c r="HI14" s="146"/>
      <c r="HJ14" s="146"/>
      <c r="HK14" s="146"/>
      <c r="HL14" s="146"/>
      <c r="HM14" s="146"/>
      <c r="HN14" s="146"/>
      <c r="HO14" s="146"/>
      <c r="HP14" s="146"/>
      <c r="HQ14" s="146"/>
      <c r="HR14" s="146"/>
      <c r="HS14" s="146"/>
      <c r="HT14" s="146"/>
      <c r="HU14" s="146"/>
      <c r="HV14" s="146"/>
      <c r="HW14" s="146"/>
      <c r="HX14" s="146"/>
      <c r="HY14" s="146"/>
      <c r="HZ14" s="146"/>
      <c r="IA14" s="146"/>
    </row>
    <row r="15" spans="1:235" s="159" customFormat="1" ht="57" x14ac:dyDescent="0.25">
      <c r="A15" s="197">
        <v>11300</v>
      </c>
      <c r="B15" s="194" t="s">
        <v>4</v>
      </c>
      <c r="C15" s="198" t="s">
        <v>160</v>
      </c>
      <c r="D15" s="194" t="s">
        <v>145</v>
      </c>
      <c r="E15" s="198" t="s">
        <v>161</v>
      </c>
      <c r="F15" s="194" t="s">
        <v>162</v>
      </c>
      <c r="G15" s="209" t="s">
        <v>123</v>
      </c>
      <c r="H15" s="216">
        <v>1</v>
      </c>
      <c r="I15" s="198" t="s">
        <v>295</v>
      </c>
      <c r="J15" s="194" t="s">
        <v>165</v>
      </c>
      <c r="K15" s="210">
        <v>74955308000</v>
      </c>
      <c r="L15" s="220">
        <v>1.7542864196212072E-3</v>
      </c>
      <c r="M15" s="194" t="s">
        <v>46</v>
      </c>
      <c r="N15" s="194" t="s">
        <v>68</v>
      </c>
      <c r="O15" s="194" t="s">
        <v>21</v>
      </c>
      <c r="P15" s="194" t="s">
        <v>36</v>
      </c>
      <c r="Q15" s="194" t="s">
        <v>213</v>
      </c>
      <c r="R15" s="194" t="s">
        <v>182</v>
      </c>
      <c r="S15" s="194" t="s">
        <v>99</v>
      </c>
      <c r="T15" s="211">
        <v>1</v>
      </c>
      <c r="U15" s="212" t="str">
        <f t="shared" si="13"/>
        <v>Transferencias Entidades de Administración Publica Central</v>
      </c>
      <c r="V15" s="213">
        <f t="shared" si="13"/>
        <v>74955308000</v>
      </c>
      <c r="W15" s="214" t="s">
        <v>116</v>
      </c>
      <c r="X15" s="281">
        <v>0.25</v>
      </c>
      <c r="Y15" s="282" t="s">
        <v>165</v>
      </c>
      <c r="Z15" s="283">
        <v>18738827000</v>
      </c>
      <c r="AA15" s="279"/>
      <c r="AB15" s="279"/>
      <c r="AC15" s="280">
        <f t="shared" si="14"/>
        <v>0</v>
      </c>
      <c r="AD15" s="280">
        <f t="shared" si="15"/>
        <v>0</v>
      </c>
      <c r="AE15" s="280">
        <f t="shared" si="0"/>
        <v>0</v>
      </c>
      <c r="AF15" s="280">
        <f t="shared" si="1"/>
        <v>0</v>
      </c>
      <c r="AG15" s="281">
        <v>0.25</v>
      </c>
      <c r="AH15" s="282" t="s">
        <v>165</v>
      </c>
      <c r="AI15" s="283">
        <v>18738827000</v>
      </c>
      <c r="AJ15" s="279"/>
      <c r="AK15" s="279"/>
      <c r="AL15" s="280">
        <f t="shared" si="16"/>
        <v>0</v>
      </c>
      <c r="AM15" s="280">
        <f t="shared" si="2"/>
        <v>0</v>
      </c>
      <c r="AN15" s="280">
        <f t="shared" si="3"/>
        <v>0</v>
      </c>
      <c r="AO15" s="280">
        <f t="shared" si="4"/>
        <v>0</v>
      </c>
      <c r="AP15" s="281">
        <v>0.25</v>
      </c>
      <c r="AQ15" s="282" t="s">
        <v>165</v>
      </c>
      <c r="AR15" s="283">
        <v>18738827000</v>
      </c>
      <c r="AS15" s="279"/>
      <c r="AT15" s="279"/>
      <c r="AU15" s="280">
        <f t="shared" si="17"/>
        <v>0</v>
      </c>
      <c r="AV15" s="280">
        <f t="shared" si="18"/>
        <v>0</v>
      </c>
      <c r="AW15" s="280">
        <f t="shared" si="19"/>
        <v>0</v>
      </c>
      <c r="AX15" s="280">
        <f t="shared" si="20"/>
        <v>0</v>
      </c>
      <c r="AY15" s="281">
        <v>0.25</v>
      </c>
      <c r="AZ15" s="282" t="s">
        <v>165</v>
      </c>
      <c r="BA15" s="283">
        <v>18738827000</v>
      </c>
      <c r="BB15" s="279"/>
      <c r="BC15" s="279"/>
      <c r="BD15" s="281">
        <f t="shared" si="21"/>
        <v>0</v>
      </c>
      <c r="BE15" s="281">
        <f t="shared" si="22"/>
        <v>0</v>
      </c>
      <c r="BF15" s="281">
        <f t="shared" si="23"/>
        <v>0</v>
      </c>
      <c r="BG15" s="281">
        <f t="shared" si="24"/>
        <v>0</v>
      </c>
      <c r="BH15" s="205">
        <f t="shared" si="5"/>
        <v>0</v>
      </c>
      <c r="BI15" s="205">
        <f t="shared" si="6"/>
        <v>0</v>
      </c>
      <c r="BJ15" s="205">
        <f t="shared" si="7"/>
        <v>0</v>
      </c>
      <c r="BK15" s="205">
        <f t="shared" si="8"/>
        <v>0</v>
      </c>
      <c r="BL15" s="205">
        <f t="shared" si="25"/>
        <v>0</v>
      </c>
      <c r="BM15" s="205">
        <f t="shared" si="26"/>
        <v>0</v>
      </c>
      <c r="BN15" s="205">
        <f t="shared" si="9"/>
        <v>0</v>
      </c>
      <c r="BO15" s="205">
        <f t="shared" si="10"/>
        <v>0</v>
      </c>
      <c r="BP15" s="206"/>
      <c r="BQ15" s="277">
        <v>1</v>
      </c>
      <c r="BR15" s="208">
        <f t="shared" si="12"/>
        <v>0.58333333333333337</v>
      </c>
      <c r="BS15" s="219" t="str">
        <f t="shared" ref="BS15:BS78" si="27">+U15</f>
        <v>Transferencias Entidades de Administración Publica Central</v>
      </c>
      <c r="BT15" s="195">
        <f t="shared" si="11"/>
        <v>43723929666.666664</v>
      </c>
      <c r="BU15" s="196"/>
      <c r="BV15" s="196"/>
      <c r="BW15" s="196"/>
      <c r="BX15" s="196"/>
      <c r="BY15" s="196"/>
      <c r="BZ15" s="19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46"/>
      <c r="CZ15" s="146"/>
      <c r="DA15" s="146"/>
      <c r="DB15" s="146"/>
      <c r="DC15" s="146"/>
      <c r="DD15" s="146"/>
      <c r="DE15" s="146"/>
      <c r="DF15" s="146"/>
      <c r="DG15" s="146"/>
      <c r="DH15" s="146"/>
      <c r="DI15" s="146"/>
      <c r="DJ15" s="146"/>
      <c r="DK15" s="146"/>
      <c r="DL15" s="146"/>
      <c r="DM15" s="146"/>
      <c r="DN15" s="146"/>
      <c r="DO15" s="146"/>
      <c r="DP15" s="146"/>
      <c r="DQ15" s="146"/>
      <c r="DR15" s="146"/>
      <c r="DS15" s="146"/>
      <c r="DT15" s="146"/>
      <c r="DU15" s="146"/>
      <c r="DV15" s="146"/>
      <c r="DW15" s="146"/>
      <c r="DX15" s="146"/>
      <c r="DY15" s="146"/>
      <c r="DZ15" s="146"/>
      <c r="EA15" s="146"/>
      <c r="EB15" s="146"/>
      <c r="EC15" s="146"/>
      <c r="ED15" s="146"/>
      <c r="EE15" s="146"/>
      <c r="EF15" s="146"/>
      <c r="EG15" s="146"/>
      <c r="EH15" s="146"/>
      <c r="EI15" s="146"/>
      <c r="EJ15" s="146"/>
      <c r="EK15" s="146"/>
      <c r="EL15" s="146"/>
      <c r="EM15" s="146"/>
      <c r="EN15" s="146"/>
      <c r="EO15" s="146"/>
      <c r="EP15" s="146"/>
      <c r="EQ15" s="146"/>
      <c r="ER15" s="146"/>
      <c r="ES15" s="146"/>
      <c r="ET15" s="146"/>
      <c r="EU15" s="146"/>
      <c r="EV15" s="146"/>
      <c r="EW15" s="146"/>
      <c r="EX15" s="146"/>
      <c r="EY15" s="146"/>
      <c r="EZ15" s="146"/>
      <c r="FA15" s="146"/>
      <c r="FB15" s="146"/>
      <c r="FC15" s="146"/>
      <c r="FD15" s="146"/>
      <c r="FE15" s="146"/>
      <c r="FF15" s="146"/>
      <c r="FG15" s="146"/>
      <c r="FH15" s="146"/>
      <c r="FI15" s="146"/>
      <c r="FJ15" s="146"/>
      <c r="FK15" s="146"/>
      <c r="FL15" s="146"/>
      <c r="FM15" s="146"/>
      <c r="FN15" s="146"/>
      <c r="FO15" s="146"/>
      <c r="FP15" s="146"/>
      <c r="FQ15" s="146"/>
      <c r="FR15" s="146"/>
      <c r="FS15" s="146"/>
      <c r="FT15" s="146"/>
      <c r="FU15" s="146"/>
      <c r="FV15" s="146"/>
      <c r="FW15" s="146"/>
      <c r="FX15" s="146"/>
      <c r="FY15" s="146"/>
      <c r="FZ15" s="146"/>
      <c r="GA15" s="146"/>
      <c r="GB15" s="146"/>
      <c r="GC15" s="146"/>
      <c r="GD15" s="146"/>
      <c r="GE15" s="146"/>
      <c r="GF15" s="146"/>
      <c r="GG15" s="146"/>
      <c r="GH15" s="146"/>
      <c r="GI15" s="146"/>
      <c r="GJ15" s="146"/>
      <c r="GK15" s="146"/>
      <c r="GL15" s="146"/>
      <c r="GM15" s="146"/>
      <c r="GN15" s="146"/>
      <c r="GO15" s="146"/>
      <c r="GP15" s="146"/>
      <c r="GQ15" s="146"/>
      <c r="GR15" s="146"/>
      <c r="GS15" s="146"/>
      <c r="GT15" s="146"/>
      <c r="GU15" s="146"/>
      <c r="GV15" s="146"/>
      <c r="GW15" s="146"/>
      <c r="GX15" s="146"/>
      <c r="GY15" s="146"/>
      <c r="GZ15" s="146"/>
      <c r="HA15" s="146"/>
      <c r="HB15" s="146"/>
      <c r="HC15" s="146"/>
      <c r="HD15" s="146"/>
      <c r="HE15" s="146"/>
      <c r="HF15" s="146"/>
      <c r="HG15" s="146"/>
      <c r="HH15" s="146"/>
      <c r="HI15" s="146"/>
      <c r="HJ15" s="146"/>
      <c r="HK15" s="146"/>
      <c r="HL15" s="146"/>
      <c r="HM15" s="146"/>
      <c r="HN15" s="146"/>
      <c r="HO15" s="146"/>
      <c r="HP15" s="146"/>
      <c r="HQ15" s="146"/>
      <c r="HR15" s="146"/>
      <c r="HS15" s="146"/>
      <c r="HT15" s="146"/>
      <c r="HU15" s="146"/>
      <c r="HV15" s="146"/>
      <c r="HW15" s="146"/>
      <c r="HX15" s="146"/>
      <c r="HY15" s="146"/>
      <c r="HZ15" s="146"/>
      <c r="IA15" s="146"/>
    </row>
    <row r="16" spans="1:235" s="159" customFormat="1" ht="57" x14ac:dyDescent="0.25">
      <c r="A16" s="197">
        <v>11300</v>
      </c>
      <c r="B16" s="194" t="s">
        <v>4</v>
      </c>
      <c r="C16" s="198" t="s">
        <v>160</v>
      </c>
      <c r="D16" s="194" t="s">
        <v>145</v>
      </c>
      <c r="E16" s="198" t="s">
        <v>161</v>
      </c>
      <c r="F16" s="194" t="s">
        <v>162</v>
      </c>
      <c r="G16" s="209" t="s">
        <v>123</v>
      </c>
      <c r="H16" s="216">
        <v>1</v>
      </c>
      <c r="I16" s="198" t="s">
        <v>296</v>
      </c>
      <c r="J16" s="194" t="s">
        <v>166</v>
      </c>
      <c r="K16" s="210">
        <v>89295030000</v>
      </c>
      <c r="L16" s="220">
        <v>2.0898994700771331E-3</v>
      </c>
      <c r="M16" s="194" t="s">
        <v>46</v>
      </c>
      <c r="N16" s="194" t="s">
        <v>68</v>
      </c>
      <c r="O16" s="194" t="s">
        <v>21</v>
      </c>
      <c r="P16" s="194" t="s">
        <v>36</v>
      </c>
      <c r="Q16" s="194" t="s">
        <v>213</v>
      </c>
      <c r="R16" s="194" t="s">
        <v>182</v>
      </c>
      <c r="S16" s="194" t="s">
        <v>99</v>
      </c>
      <c r="T16" s="211">
        <v>1</v>
      </c>
      <c r="U16" s="212" t="str">
        <f t="shared" si="13"/>
        <v>Empresas Publicas nacionales No Financieras - ADRES</v>
      </c>
      <c r="V16" s="213">
        <f t="shared" si="13"/>
        <v>89295030000</v>
      </c>
      <c r="W16" s="214" t="s">
        <v>116</v>
      </c>
      <c r="X16" s="281">
        <v>0.25</v>
      </c>
      <c r="Y16" s="282" t="s">
        <v>166</v>
      </c>
      <c r="Z16" s="283">
        <v>22323757500</v>
      </c>
      <c r="AA16" s="279"/>
      <c r="AB16" s="279"/>
      <c r="AC16" s="280">
        <f t="shared" si="14"/>
        <v>0</v>
      </c>
      <c r="AD16" s="280">
        <f t="shared" si="15"/>
        <v>0</v>
      </c>
      <c r="AE16" s="280">
        <f t="shared" si="0"/>
        <v>0</v>
      </c>
      <c r="AF16" s="280">
        <f t="shared" si="1"/>
        <v>0</v>
      </c>
      <c r="AG16" s="281">
        <v>0.25</v>
      </c>
      <c r="AH16" s="282" t="s">
        <v>166</v>
      </c>
      <c r="AI16" s="283">
        <v>22323757500</v>
      </c>
      <c r="AJ16" s="279"/>
      <c r="AK16" s="279"/>
      <c r="AL16" s="280">
        <f t="shared" si="16"/>
        <v>0</v>
      </c>
      <c r="AM16" s="280">
        <f t="shared" si="2"/>
        <v>0</v>
      </c>
      <c r="AN16" s="280">
        <f t="shared" si="3"/>
        <v>0</v>
      </c>
      <c r="AO16" s="280">
        <f t="shared" si="4"/>
        <v>0</v>
      </c>
      <c r="AP16" s="281">
        <v>0.25</v>
      </c>
      <c r="AQ16" s="282" t="s">
        <v>166</v>
      </c>
      <c r="AR16" s="283">
        <v>22323757500</v>
      </c>
      <c r="AS16" s="279"/>
      <c r="AT16" s="279"/>
      <c r="AU16" s="280">
        <f t="shared" si="17"/>
        <v>0</v>
      </c>
      <c r="AV16" s="280">
        <f t="shared" si="18"/>
        <v>0</v>
      </c>
      <c r="AW16" s="280">
        <f t="shared" si="19"/>
        <v>0</v>
      </c>
      <c r="AX16" s="280">
        <f t="shared" si="20"/>
        <v>0</v>
      </c>
      <c r="AY16" s="281">
        <v>0.25</v>
      </c>
      <c r="AZ16" s="282" t="s">
        <v>166</v>
      </c>
      <c r="BA16" s="283">
        <v>22323757500</v>
      </c>
      <c r="BB16" s="279"/>
      <c r="BC16" s="279"/>
      <c r="BD16" s="281">
        <f t="shared" si="21"/>
        <v>0</v>
      </c>
      <c r="BE16" s="281">
        <f t="shared" si="22"/>
        <v>0</v>
      </c>
      <c r="BF16" s="281">
        <f t="shared" si="23"/>
        <v>0</v>
      </c>
      <c r="BG16" s="281">
        <f t="shared" si="24"/>
        <v>0</v>
      </c>
      <c r="BH16" s="205">
        <f t="shared" si="5"/>
        <v>0</v>
      </c>
      <c r="BI16" s="205">
        <f t="shared" si="6"/>
        <v>0</v>
      </c>
      <c r="BJ16" s="205">
        <f t="shared" si="7"/>
        <v>0</v>
      </c>
      <c r="BK16" s="205">
        <f t="shared" si="8"/>
        <v>0</v>
      </c>
      <c r="BL16" s="205">
        <f t="shared" si="25"/>
        <v>0</v>
      </c>
      <c r="BM16" s="205">
        <f t="shared" si="26"/>
        <v>0</v>
      </c>
      <c r="BN16" s="205">
        <f t="shared" si="9"/>
        <v>0</v>
      </c>
      <c r="BO16" s="205">
        <f t="shared" si="10"/>
        <v>0</v>
      </c>
      <c r="BP16" s="206"/>
      <c r="BQ16" s="277">
        <v>1</v>
      </c>
      <c r="BR16" s="208">
        <f t="shared" si="12"/>
        <v>0.58333333333333337</v>
      </c>
      <c r="BS16" s="219" t="str">
        <f t="shared" si="27"/>
        <v>Empresas Publicas nacionales No Financieras - ADRES</v>
      </c>
      <c r="BT16" s="195">
        <f t="shared" si="11"/>
        <v>52088767500</v>
      </c>
      <c r="BU16" s="196"/>
      <c r="BV16" s="196"/>
      <c r="BW16" s="196"/>
      <c r="BX16" s="196"/>
      <c r="BY16" s="196"/>
      <c r="BZ16" s="196"/>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row>
    <row r="17" spans="1:235" s="159" customFormat="1" ht="57" x14ac:dyDescent="0.25">
      <c r="A17" s="197">
        <v>11300</v>
      </c>
      <c r="B17" s="194" t="s">
        <v>4</v>
      </c>
      <c r="C17" s="198" t="s">
        <v>160</v>
      </c>
      <c r="D17" s="194" t="s">
        <v>145</v>
      </c>
      <c r="E17" s="198" t="s">
        <v>161</v>
      </c>
      <c r="F17" s="194" t="s">
        <v>162</v>
      </c>
      <c r="G17" s="209" t="s">
        <v>123</v>
      </c>
      <c r="H17" s="216">
        <v>1</v>
      </c>
      <c r="I17" s="198" t="s">
        <v>297</v>
      </c>
      <c r="J17" s="194" t="s">
        <v>167</v>
      </c>
      <c r="K17" s="210">
        <v>3000000000</v>
      </c>
      <c r="L17" s="220">
        <v>7.0213296420096381E-5</v>
      </c>
      <c r="M17" s="194" t="s">
        <v>46</v>
      </c>
      <c r="N17" s="194" t="s">
        <v>68</v>
      </c>
      <c r="O17" s="194" t="s">
        <v>21</v>
      </c>
      <c r="P17" s="194" t="s">
        <v>36</v>
      </c>
      <c r="Q17" s="194" t="s">
        <v>213</v>
      </c>
      <c r="R17" s="194" t="s">
        <v>182</v>
      </c>
      <c r="S17" s="194" t="s">
        <v>99</v>
      </c>
      <c r="T17" s="211">
        <v>1</v>
      </c>
      <c r="U17" s="212" t="str">
        <f t="shared" si="13"/>
        <v>Sentencias y Conciliaciones URA</v>
      </c>
      <c r="V17" s="213">
        <f t="shared" si="13"/>
        <v>3000000000</v>
      </c>
      <c r="W17" s="214" t="s">
        <v>116</v>
      </c>
      <c r="X17" s="281">
        <v>0.25</v>
      </c>
      <c r="Y17" s="282" t="s">
        <v>167</v>
      </c>
      <c r="Z17" s="283">
        <v>750000000</v>
      </c>
      <c r="AA17" s="279"/>
      <c r="AB17" s="279"/>
      <c r="AC17" s="280">
        <f t="shared" si="14"/>
        <v>0</v>
      </c>
      <c r="AD17" s="280">
        <f t="shared" si="15"/>
        <v>0</v>
      </c>
      <c r="AE17" s="280">
        <f t="shared" si="0"/>
        <v>0</v>
      </c>
      <c r="AF17" s="280">
        <f t="shared" si="1"/>
        <v>0</v>
      </c>
      <c r="AG17" s="281">
        <v>0.25</v>
      </c>
      <c r="AH17" s="282" t="s">
        <v>167</v>
      </c>
      <c r="AI17" s="283">
        <v>750000000</v>
      </c>
      <c r="AJ17" s="279"/>
      <c r="AK17" s="279"/>
      <c r="AL17" s="280">
        <f t="shared" si="16"/>
        <v>0</v>
      </c>
      <c r="AM17" s="280">
        <f t="shared" si="2"/>
        <v>0</v>
      </c>
      <c r="AN17" s="280">
        <f t="shared" si="3"/>
        <v>0</v>
      </c>
      <c r="AO17" s="280">
        <f t="shared" si="4"/>
        <v>0</v>
      </c>
      <c r="AP17" s="281">
        <v>0.25</v>
      </c>
      <c r="AQ17" s="282" t="s">
        <v>167</v>
      </c>
      <c r="AR17" s="283">
        <v>750000000</v>
      </c>
      <c r="AS17" s="279"/>
      <c r="AT17" s="279"/>
      <c r="AU17" s="280">
        <f t="shared" si="17"/>
        <v>0</v>
      </c>
      <c r="AV17" s="280">
        <f t="shared" si="18"/>
        <v>0</v>
      </c>
      <c r="AW17" s="280">
        <f t="shared" si="19"/>
        <v>0</v>
      </c>
      <c r="AX17" s="280">
        <f t="shared" si="20"/>
        <v>0</v>
      </c>
      <c r="AY17" s="281">
        <v>0.25</v>
      </c>
      <c r="AZ17" s="282" t="s">
        <v>167</v>
      </c>
      <c r="BA17" s="283">
        <v>750000000</v>
      </c>
      <c r="BB17" s="279"/>
      <c r="BC17" s="279"/>
      <c r="BD17" s="281">
        <f t="shared" si="21"/>
        <v>0</v>
      </c>
      <c r="BE17" s="281">
        <f t="shared" si="22"/>
        <v>0</v>
      </c>
      <c r="BF17" s="281">
        <f t="shared" si="23"/>
        <v>0</v>
      </c>
      <c r="BG17" s="281">
        <f t="shared" si="24"/>
        <v>0</v>
      </c>
      <c r="BH17" s="205">
        <f t="shared" si="5"/>
        <v>0</v>
      </c>
      <c r="BI17" s="205">
        <f t="shared" si="6"/>
        <v>0</v>
      </c>
      <c r="BJ17" s="205">
        <f t="shared" si="7"/>
        <v>0</v>
      </c>
      <c r="BK17" s="205">
        <f t="shared" si="8"/>
        <v>0</v>
      </c>
      <c r="BL17" s="205">
        <f t="shared" si="25"/>
        <v>0</v>
      </c>
      <c r="BM17" s="205">
        <f t="shared" si="26"/>
        <v>0</v>
      </c>
      <c r="BN17" s="205">
        <f t="shared" si="9"/>
        <v>0</v>
      </c>
      <c r="BO17" s="205">
        <f t="shared" si="10"/>
        <v>0</v>
      </c>
      <c r="BP17" s="206"/>
      <c r="BQ17" s="277">
        <v>1</v>
      </c>
      <c r="BR17" s="208">
        <f t="shared" si="12"/>
        <v>0.58333333333333337</v>
      </c>
      <c r="BS17" s="219" t="str">
        <f t="shared" si="27"/>
        <v>Sentencias y Conciliaciones URA</v>
      </c>
      <c r="BT17" s="195">
        <f t="shared" si="11"/>
        <v>1750000000</v>
      </c>
      <c r="BU17" s="196"/>
      <c r="BV17" s="196"/>
      <c r="BW17" s="196"/>
      <c r="BX17" s="196"/>
      <c r="BY17" s="196"/>
      <c r="BZ17" s="196"/>
      <c r="CA17" s="146"/>
      <c r="CB17" s="146"/>
      <c r="CC17" s="146"/>
      <c r="CD17" s="146"/>
      <c r="CE17" s="146"/>
      <c r="CF17" s="146"/>
      <c r="CG17" s="146"/>
      <c r="CH17" s="146"/>
      <c r="CI17" s="146"/>
      <c r="CJ17" s="146"/>
      <c r="CK17" s="146"/>
      <c r="CL17" s="146"/>
      <c r="CM17" s="146"/>
      <c r="CN17" s="146"/>
      <c r="CO17" s="146"/>
      <c r="CP17" s="146"/>
      <c r="CQ17" s="146"/>
      <c r="CR17" s="146"/>
      <c r="CS17" s="146"/>
      <c r="CT17" s="146"/>
      <c r="CU17" s="146"/>
      <c r="CV17" s="146"/>
      <c r="CW17" s="146"/>
      <c r="CX17" s="146"/>
      <c r="CY17" s="146"/>
      <c r="CZ17" s="146"/>
      <c r="DA17" s="146"/>
      <c r="DB17" s="146"/>
      <c r="DC17" s="146"/>
      <c r="DD17" s="146"/>
      <c r="DE17" s="146"/>
      <c r="DF17" s="146"/>
      <c r="DG17" s="146"/>
      <c r="DH17" s="146"/>
      <c r="DI17" s="146"/>
      <c r="DJ17" s="146"/>
      <c r="DK17" s="146"/>
      <c r="DL17" s="146"/>
      <c r="DM17" s="146"/>
      <c r="DN17" s="146"/>
      <c r="DO17" s="146"/>
      <c r="DP17" s="146"/>
      <c r="DQ17" s="146"/>
      <c r="DR17" s="146"/>
      <c r="DS17" s="146"/>
      <c r="DT17" s="146"/>
      <c r="DU17" s="146"/>
      <c r="DV17" s="146"/>
      <c r="DW17" s="146"/>
      <c r="DX17" s="146"/>
      <c r="DY17" s="146"/>
      <c r="DZ17" s="146"/>
      <c r="EA17" s="146"/>
      <c r="EB17" s="146"/>
      <c r="EC17" s="146"/>
      <c r="ED17" s="146"/>
      <c r="EE17" s="146"/>
      <c r="EF17" s="146"/>
      <c r="EG17" s="146"/>
      <c r="EH17" s="146"/>
      <c r="EI17" s="146"/>
      <c r="EJ17" s="146"/>
      <c r="EK17" s="146"/>
      <c r="EL17" s="146"/>
      <c r="EM17" s="146"/>
      <c r="EN17" s="146"/>
      <c r="EO17" s="146"/>
      <c r="EP17" s="146"/>
      <c r="EQ17" s="146"/>
      <c r="ER17" s="146"/>
      <c r="ES17" s="146"/>
      <c r="ET17" s="146"/>
      <c r="EU17" s="146"/>
      <c r="EV17" s="146"/>
      <c r="EW17" s="146"/>
      <c r="EX17" s="146"/>
      <c r="EY17" s="146"/>
      <c r="EZ17" s="146"/>
      <c r="FA17" s="146"/>
      <c r="FB17" s="146"/>
      <c r="FC17" s="146"/>
      <c r="FD17" s="146"/>
      <c r="FE17" s="146"/>
      <c r="FF17" s="146"/>
      <c r="FG17" s="146"/>
      <c r="FH17" s="146"/>
      <c r="FI17" s="146"/>
      <c r="FJ17" s="146"/>
      <c r="FK17" s="146"/>
      <c r="FL17" s="146"/>
      <c r="FM17" s="146"/>
      <c r="FN17" s="146"/>
      <c r="FO17" s="146"/>
      <c r="FP17" s="146"/>
      <c r="FQ17" s="146"/>
      <c r="FR17" s="146"/>
      <c r="FS17" s="146"/>
      <c r="FT17" s="146"/>
      <c r="FU17" s="146"/>
      <c r="FV17" s="146"/>
      <c r="FW17" s="146"/>
      <c r="FX17" s="146"/>
      <c r="FY17" s="146"/>
      <c r="FZ17" s="146"/>
      <c r="GA17" s="146"/>
      <c r="GB17" s="146"/>
      <c r="GC17" s="146"/>
      <c r="GD17" s="146"/>
      <c r="GE17" s="146"/>
      <c r="GF17" s="146"/>
      <c r="GG17" s="146"/>
      <c r="GH17" s="146"/>
      <c r="GI17" s="146"/>
      <c r="GJ17" s="146"/>
      <c r="GK17" s="146"/>
      <c r="GL17" s="146"/>
      <c r="GM17" s="146"/>
      <c r="GN17" s="146"/>
      <c r="GO17" s="146"/>
      <c r="GP17" s="146"/>
      <c r="GQ17" s="146"/>
      <c r="GR17" s="146"/>
      <c r="GS17" s="146"/>
      <c r="GT17" s="146"/>
      <c r="GU17" s="146"/>
      <c r="GV17" s="146"/>
      <c r="GW17" s="146"/>
      <c r="GX17" s="146"/>
      <c r="GY17" s="146"/>
      <c r="GZ17" s="146"/>
      <c r="HA17" s="146"/>
      <c r="HB17" s="146"/>
      <c r="HC17" s="146"/>
      <c r="HD17" s="146"/>
      <c r="HE17" s="146"/>
      <c r="HF17" s="146"/>
      <c r="HG17" s="146"/>
      <c r="HH17" s="146"/>
      <c r="HI17" s="146"/>
      <c r="HJ17" s="146"/>
      <c r="HK17" s="146"/>
      <c r="HL17" s="146"/>
      <c r="HM17" s="146"/>
      <c r="HN17" s="146"/>
      <c r="HO17" s="146"/>
      <c r="HP17" s="146"/>
      <c r="HQ17" s="146"/>
      <c r="HR17" s="146"/>
      <c r="HS17" s="146"/>
      <c r="HT17" s="146"/>
      <c r="HU17" s="146"/>
      <c r="HV17" s="146"/>
      <c r="HW17" s="146"/>
      <c r="HX17" s="146"/>
      <c r="HY17" s="146"/>
      <c r="HZ17" s="146"/>
      <c r="IA17" s="146"/>
    </row>
    <row r="18" spans="1:235" s="159" customFormat="1" ht="57" x14ac:dyDescent="0.25">
      <c r="A18" s="197">
        <v>11300</v>
      </c>
      <c r="B18" s="194" t="s">
        <v>4</v>
      </c>
      <c r="C18" s="198" t="s">
        <v>160</v>
      </c>
      <c r="D18" s="194" t="s">
        <v>145</v>
      </c>
      <c r="E18" s="198" t="s">
        <v>161</v>
      </c>
      <c r="F18" s="194" t="s">
        <v>162</v>
      </c>
      <c r="G18" s="209" t="s">
        <v>123</v>
      </c>
      <c r="H18" s="216">
        <v>1</v>
      </c>
      <c r="I18" s="198" t="s">
        <v>298</v>
      </c>
      <c r="J18" s="194" t="s">
        <v>163</v>
      </c>
      <c r="K18" s="210">
        <v>12016226455000</v>
      </c>
      <c r="L18" s="220">
        <v>0.28123295664530629</v>
      </c>
      <c r="M18" s="194" t="s">
        <v>46</v>
      </c>
      <c r="N18" s="194" t="s">
        <v>68</v>
      </c>
      <c r="O18" s="194" t="s">
        <v>21</v>
      </c>
      <c r="P18" s="194" t="s">
        <v>36</v>
      </c>
      <c r="Q18" s="194" t="s">
        <v>213</v>
      </c>
      <c r="R18" s="194" t="s">
        <v>182</v>
      </c>
      <c r="S18" s="194" t="s">
        <v>99</v>
      </c>
      <c r="T18" s="211">
        <v>1</v>
      </c>
      <c r="U18" s="212" t="str">
        <f t="shared" si="13"/>
        <v>Financiación UPC Régimen Contributivo SSF</v>
      </c>
      <c r="V18" s="213">
        <f t="shared" si="13"/>
        <v>12016226455000</v>
      </c>
      <c r="W18" s="214" t="s">
        <v>116</v>
      </c>
      <c r="X18" s="281">
        <v>0.25</v>
      </c>
      <c r="Y18" s="282" t="s">
        <v>163</v>
      </c>
      <c r="Z18" s="283">
        <v>3004056613750</v>
      </c>
      <c r="AA18" s="279"/>
      <c r="AB18" s="279"/>
      <c r="AC18" s="280">
        <f t="shared" si="14"/>
        <v>0</v>
      </c>
      <c r="AD18" s="280">
        <f t="shared" si="15"/>
        <v>0</v>
      </c>
      <c r="AE18" s="280">
        <f t="shared" si="0"/>
        <v>0</v>
      </c>
      <c r="AF18" s="280">
        <f t="shared" si="1"/>
        <v>0</v>
      </c>
      <c r="AG18" s="281">
        <v>0.25</v>
      </c>
      <c r="AH18" s="282" t="s">
        <v>163</v>
      </c>
      <c r="AI18" s="283">
        <v>3004056613750</v>
      </c>
      <c r="AJ18" s="279"/>
      <c r="AK18" s="279"/>
      <c r="AL18" s="280">
        <f t="shared" si="16"/>
        <v>0</v>
      </c>
      <c r="AM18" s="280">
        <f t="shared" si="2"/>
        <v>0</v>
      </c>
      <c r="AN18" s="280">
        <f t="shared" si="3"/>
        <v>0</v>
      </c>
      <c r="AO18" s="280">
        <f t="shared" si="4"/>
        <v>0</v>
      </c>
      <c r="AP18" s="281">
        <v>0.25</v>
      </c>
      <c r="AQ18" s="282" t="s">
        <v>163</v>
      </c>
      <c r="AR18" s="283">
        <v>3004056613750</v>
      </c>
      <c r="AS18" s="279"/>
      <c r="AT18" s="279"/>
      <c r="AU18" s="280">
        <f t="shared" si="17"/>
        <v>0</v>
      </c>
      <c r="AV18" s="280">
        <f t="shared" si="18"/>
        <v>0</v>
      </c>
      <c r="AW18" s="280">
        <f t="shared" si="19"/>
        <v>0</v>
      </c>
      <c r="AX18" s="280">
        <f t="shared" si="20"/>
        <v>0</v>
      </c>
      <c r="AY18" s="281">
        <v>0.25</v>
      </c>
      <c r="AZ18" s="282" t="s">
        <v>163</v>
      </c>
      <c r="BA18" s="283">
        <v>3004056613750</v>
      </c>
      <c r="BB18" s="279"/>
      <c r="BC18" s="279"/>
      <c r="BD18" s="281">
        <f t="shared" si="21"/>
        <v>0</v>
      </c>
      <c r="BE18" s="281">
        <f t="shared" si="22"/>
        <v>0</v>
      </c>
      <c r="BF18" s="281">
        <f t="shared" si="23"/>
        <v>0</v>
      </c>
      <c r="BG18" s="281">
        <f t="shared" si="24"/>
        <v>0</v>
      </c>
      <c r="BH18" s="205">
        <f t="shared" si="5"/>
        <v>0</v>
      </c>
      <c r="BI18" s="205">
        <f t="shared" si="6"/>
        <v>0</v>
      </c>
      <c r="BJ18" s="205">
        <f t="shared" si="7"/>
        <v>0</v>
      </c>
      <c r="BK18" s="205">
        <f t="shared" si="8"/>
        <v>0</v>
      </c>
      <c r="BL18" s="205">
        <f t="shared" si="25"/>
        <v>0</v>
      </c>
      <c r="BM18" s="205">
        <f t="shared" si="26"/>
        <v>0</v>
      </c>
      <c r="BN18" s="205">
        <f t="shared" si="9"/>
        <v>0</v>
      </c>
      <c r="BO18" s="205">
        <f t="shared" si="10"/>
        <v>0</v>
      </c>
      <c r="BP18" s="206"/>
      <c r="BQ18" s="277">
        <v>1</v>
      </c>
      <c r="BR18" s="208">
        <f t="shared" si="12"/>
        <v>0.58333333333333337</v>
      </c>
      <c r="BS18" s="219" t="str">
        <f t="shared" si="27"/>
        <v>Financiación UPC Régimen Contributivo SSF</v>
      </c>
      <c r="BT18" s="195">
        <f t="shared" si="11"/>
        <v>7009465432083.333</v>
      </c>
      <c r="BU18" s="196"/>
      <c r="BV18" s="196"/>
      <c r="BW18" s="196"/>
      <c r="BX18" s="196"/>
      <c r="BY18" s="196"/>
      <c r="BZ18" s="196"/>
      <c r="CA18" s="146"/>
      <c r="CB18" s="146"/>
      <c r="CC18" s="146"/>
      <c r="CD18" s="146"/>
      <c r="CE18" s="146"/>
      <c r="CF18" s="146"/>
      <c r="CG18" s="146"/>
      <c r="CH18" s="146"/>
      <c r="CI18" s="146"/>
      <c r="CJ18" s="146"/>
      <c r="CK18" s="146"/>
      <c r="CL18" s="146"/>
      <c r="CM18" s="146"/>
      <c r="CN18" s="146"/>
      <c r="CO18" s="146"/>
      <c r="CP18" s="146"/>
      <c r="CQ18" s="146"/>
      <c r="CR18" s="146"/>
      <c r="CS18" s="146"/>
      <c r="CT18" s="146"/>
      <c r="CU18" s="146"/>
      <c r="CV18" s="146"/>
      <c r="CW18" s="146"/>
      <c r="CX18" s="146"/>
      <c r="CY18" s="146"/>
      <c r="CZ18" s="146"/>
      <c r="DA18" s="146"/>
      <c r="DB18" s="146"/>
      <c r="DC18" s="146"/>
      <c r="DD18" s="146"/>
      <c r="DE18" s="146"/>
      <c r="DF18" s="146"/>
      <c r="DG18" s="146"/>
      <c r="DH18" s="146"/>
      <c r="DI18" s="146"/>
      <c r="DJ18" s="146"/>
      <c r="DK18" s="146"/>
      <c r="DL18" s="146"/>
      <c r="DM18" s="146"/>
      <c r="DN18" s="146"/>
      <c r="DO18" s="146"/>
      <c r="DP18" s="146"/>
      <c r="DQ18" s="146"/>
      <c r="DR18" s="146"/>
      <c r="DS18" s="146"/>
      <c r="DT18" s="146"/>
      <c r="DU18" s="146"/>
      <c r="DV18" s="146"/>
      <c r="DW18" s="146"/>
      <c r="DX18" s="146"/>
      <c r="DY18" s="146"/>
      <c r="DZ18" s="146"/>
      <c r="EA18" s="146"/>
      <c r="EB18" s="146"/>
      <c r="EC18" s="146"/>
      <c r="ED18" s="146"/>
      <c r="EE18" s="146"/>
      <c r="EF18" s="146"/>
      <c r="EG18" s="146"/>
      <c r="EH18" s="146"/>
      <c r="EI18" s="146"/>
      <c r="EJ18" s="146"/>
      <c r="EK18" s="146"/>
      <c r="EL18" s="146"/>
      <c r="EM18" s="146"/>
      <c r="EN18" s="146"/>
      <c r="EO18" s="146"/>
      <c r="EP18" s="146"/>
      <c r="EQ18" s="146"/>
      <c r="ER18" s="146"/>
      <c r="ES18" s="146"/>
      <c r="ET18" s="146"/>
      <c r="EU18" s="146"/>
      <c r="EV18" s="146"/>
      <c r="EW18" s="146"/>
      <c r="EX18" s="146"/>
      <c r="EY18" s="146"/>
      <c r="EZ18" s="146"/>
      <c r="FA18" s="146"/>
      <c r="FB18" s="146"/>
      <c r="FC18" s="146"/>
      <c r="FD18" s="146"/>
      <c r="FE18" s="146"/>
      <c r="FF18" s="146"/>
      <c r="FG18" s="146"/>
      <c r="FH18" s="146"/>
      <c r="FI18" s="146"/>
      <c r="FJ18" s="146"/>
      <c r="FK18" s="146"/>
      <c r="FL18" s="146"/>
      <c r="FM18" s="146"/>
      <c r="FN18" s="146"/>
      <c r="FO18" s="146"/>
      <c r="FP18" s="146"/>
      <c r="FQ18" s="146"/>
      <c r="FR18" s="146"/>
      <c r="FS18" s="146"/>
      <c r="FT18" s="146"/>
      <c r="FU18" s="146"/>
      <c r="FV18" s="146"/>
      <c r="FW18" s="146"/>
      <c r="FX18" s="146"/>
      <c r="FY18" s="146"/>
      <c r="FZ18" s="146"/>
      <c r="GA18" s="146"/>
      <c r="GB18" s="146"/>
      <c r="GC18" s="146"/>
      <c r="GD18" s="146"/>
      <c r="GE18" s="146"/>
      <c r="GF18" s="146"/>
      <c r="GG18" s="146"/>
      <c r="GH18" s="146"/>
      <c r="GI18" s="146"/>
      <c r="GJ18" s="146"/>
      <c r="GK18" s="146"/>
      <c r="GL18" s="146"/>
      <c r="GM18" s="146"/>
      <c r="GN18" s="146"/>
      <c r="GO18" s="146"/>
      <c r="GP18" s="146"/>
      <c r="GQ18" s="146"/>
      <c r="GR18" s="146"/>
      <c r="GS18" s="146"/>
      <c r="GT18" s="146"/>
      <c r="GU18" s="146"/>
      <c r="GV18" s="146"/>
      <c r="GW18" s="146"/>
      <c r="GX18" s="146"/>
      <c r="GY18" s="146"/>
      <c r="GZ18" s="146"/>
      <c r="HA18" s="146"/>
      <c r="HB18" s="146"/>
      <c r="HC18" s="146"/>
      <c r="HD18" s="146"/>
      <c r="HE18" s="146"/>
      <c r="HF18" s="146"/>
      <c r="HG18" s="146"/>
      <c r="HH18" s="146"/>
      <c r="HI18" s="146"/>
      <c r="HJ18" s="146"/>
      <c r="HK18" s="146"/>
      <c r="HL18" s="146"/>
      <c r="HM18" s="146"/>
      <c r="HN18" s="146"/>
      <c r="HO18" s="146"/>
      <c r="HP18" s="146"/>
      <c r="HQ18" s="146"/>
      <c r="HR18" s="146"/>
      <c r="HS18" s="146"/>
      <c r="HT18" s="146"/>
      <c r="HU18" s="146"/>
      <c r="HV18" s="146"/>
      <c r="HW18" s="146"/>
      <c r="HX18" s="146"/>
      <c r="HY18" s="146"/>
      <c r="HZ18" s="146"/>
      <c r="IA18" s="146"/>
    </row>
    <row r="19" spans="1:235" s="159" customFormat="1" ht="57" x14ac:dyDescent="0.25">
      <c r="A19" s="197">
        <v>11300</v>
      </c>
      <c r="B19" s="194" t="s">
        <v>4</v>
      </c>
      <c r="C19" s="198" t="s">
        <v>160</v>
      </c>
      <c r="D19" s="194" t="s">
        <v>145</v>
      </c>
      <c r="E19" s="198" t="s">
        <v>161</v>
      </c>
      <c r="F19" s="194" t="s">
        <v>162</v>
      </c>
      <c r="G19" s="209" t="s">
        <v>123</v>
      </c>
      <c r="H19" s="216">
        <v>1</v>
      </c>
      <c r="I19" s="198" t="s">
        <v>299</v>
      </c>
      <c r="J19" s="194" t="s">
        <v>164</v>
      </c>
      <c r="K19" s="210">
        <v>9042819545000</v>
      </c>
      <c r="L19" s="220">
        <v>0.2116420563955087</v>
      </c>
      <c r="M19" s="194" t="s">
        <v>46</v>
      </c>
      <c r="N19" s="194" t="s">
        <v>68</v>
      </c>
      <c r="O19" s="194" t="s">
        <v>21</v>
      </c>
      <c r="P19" s="194" t="s">
        <v>36</v>
      </c>
      <c r="Q19" s="194" t="s">
        <v>213</v>
      </c>
      <c r="R19" s="194" t="s">
        <v>182</v>
      </c>
      <c r="S19" s="194" t="s">
        <v>99</v>
      </c>
      <c r="T19" s="211">
        <v>1</v>
      </c>
      <c r="U19" s="212" t="str">
        <f t="shared" si="13"/>
        <v>Financiación UPC Régimen Contributivo CSF</v>
      </c>
      <c r="V19" s="213">
        <f t="shared" si="13"/>
        <v>9042819545000</v>
      </c>
      <c r="W19" s="214" t="s">
        <v>116</v>
      </c>
      <c r="X19" s="281">
        <v>0.25</v>
      </c>
      <c r="Y19" s="282" t="s">
        <v>164</v>
      </c>
      <c r="Z19" s="283">
        <v>2260704886250</v>
      </c>
      <c r="AA19" s="279"/>
      <c r="AB19" s="279"/>
      <c r="AC19" s="280">
        <f t="shared" si="14"/>
        <v>0</v>
      </c>
      <c r="AD19" s="280">
        <f t="shared" si="15"/>
        <v>0</v>
      </c>
      <c r="AE19" s="280">
        <f t="shared" si="0"/>
        <v>0</v>
      </c>
      <c r="AF19" s="280">
        <f t="shared" si="1"/>
        <v>0</v>
      </c>
      <c r="AG19" s="281">
        <v>0.25</v>
      </c>
      <c r="AH19" s="282" t="s">
        <v>164</v>
      </c>
      <c r="AI19" s="283">
        <v>2260704886250</v>
      </c>
      <c r="AJ19" s="279"/>
      <c r="AK19" s="279"/>
      <c r="AL19" s="280">
        <f t="shared" si="16"/>
        <v>0</v>
      </c>
      <c r="AM19" s="280">
        <f t="shared" si="2"/>
        <v>0</v>
      </c>
      <c r="AN19" s="280">
        <f t="shared" si="3"/>
        <v>0</v>
      </c>
      <c r="AO19" s="280">
        <f t="shared" si="4"/>
        <v>0</v>
      </c>
      <c r="AP19" s="281">
        <v>0.25</v>
      </c>
      <c r="AQ19" s="282" t="s">
        <v>164</v>
      </c>
      <c r="AR19" s="283">
        <v>2260704886250</v>
      </c>
      <c r="AS19" s="279"/>
      <c r="AT19" s="279"/>
      <c r="AU19" s="280">
        <f t="shared" si="17"/>
        <v>0</v>
      </c>
      <c r="AV19" s="280">
        <f t="shared" si="18"/>
        <v>0</v>
      </c>
      <c r="AW19" s="280">
        <f t="shared" si="19"/>
        <v>0</v>
      </c>
      <c r="AX19" s="280">
        <f t="shared" si="20"/>
        <v>0</v>
      </c>
      <c r="AY19" s="281">
        <v>0.25</v>
      </c>
      <c r="AZ19" s="282" t="s">
        <v>164</v>
      </c>
      <c r="BA19" s="283">
        <v>2260704886250</v>
      </c>
      <c r="BB19" s="279"/>
      <c r="BC19" s="279"/>
      <c r="BD19" s="281">
        <f t="shared" si="21"/>
        <v>0</v>
      </c>
      <c r="BE19" s="281">
        <f t="shared" si="22"/>
        <v>0</v>
      </c>
      <c r="BF19" s="281">
        <f t="shared" si="23"/>
        <v>0</v>
      </c>
      <c r="BG19" s="281">
        <f t="shared" si="24"/>
        <v>0</v>
      </c>
      <c r="BH19" s="205">
        <f t="shared" si="5"/>
        <v>0</v>
      </c>
      <c r="BI19" s="205">
        <f t="shared" si="6"/>
        <v>0</v>
      </c>
      <c r="BJ19" s="205">
        <f t="shared" si="7"/>
        <v>0</v>
      </c>
      <c r="BK19" s="205">
        <f t="shared" si="8"/>
        <v>0</v>
      </c>
      <c r="BL19" s="205">
        <f t="shared" si="25"/>
        <v>0</v>
      </c>
      <c r="BM19" s="205">
        <f t="shared" si="26"/>
        <v>0</v>
      </c>
      <c r="BN19" s="205">
        <f t="shared" si="9"/>
        <v>0</v>
      </c>
      <c r="BO19" s="205">
        <f t="shared" si="10"/>
        <v>0</v>
      </c>
      <c r="BP19" s="206"/>
      <c r="BQ19" s="277">
        <v>1</v>
      </c>
      <c r="BR19" s="208">
        <f t="shared" si="12"/>
        <v>0.58333333333333337</v>
      </c>
      <c r="BS19" s="219" t="str">
        <f t="shared" si="27"/>
        <v>Financiación UPC Régimen Contributivo CSF</v>
      </c>
      <c r="BT19" s="195">
        <f t="shared" si="11"/>
        <v>5274978067916.667</v>
      </c>
      <c r="BU19" s="196"/>
      <c r="BV19" s="196"/>
      <c r="BW19" s="196"/>
      <c r="BX19" s="196"/>
      <c r="BY19" s="196"/>
      <c r="BZ19" s="196"/>
      <c r="CA19" s="146"/>
      <c r="CB19" s="146"/>
      <c r="CC19" s="146"/>
      <c r="CD19" s="146"/>
      <c r="CE19" s="146"/>
      <c r="CF19" s="146"/>
      <c r="CG19" s="146"/>
      <c r="CH19" s="146"/>
      <c r="CI19" s="146"/>
      <c r="CJ19" s="146"/>
      <c r="CK19" s="146"/>
      <c r="CL19" s="146"/>
      <c r="CM19" s="146"/>
      <c r="CN19" s="146"/>
      <c r="CO19" s="146"/>
      <c r="CP19" s="146"/>
      <c r="CQ19" s="146"/>
      <c r="CR19" s="146"/>
      <c r="CS19" s="146"/>
      <c r="CT19" s="146"/>
      <c r="CU19" s="146"/>
      <c r="CV19" s="146"/>
      <c r="CW19" s="146"/>
      <c r="CX19" s="146"/>
      <c r="CY19" s="146"/>
      <c r="CZ19" s="146"/>
      <c r="DA19" s="146"/>
      <c r="DB19" s="146"/>
      <c r="DC19" s="146"/>
      <c r="DD19" s="146"/>
      <c r="DE19" s="146"/>
      <c r="DF19" s="146"/>
      <c r="DG19" s="146"/>
      <c r="DH19" s="146"/>
      <c r="DI19" s="146"/>
      <c r="DJ19" s="146"/>
      <c r="DK19" s="146"/>
      <c r="DL19" s="146"/>
      <c r="DM19" s="146"/>
      <c r="DN19" s="146"/>
      <c r="DO19" s="146"/>
      <c r="DP19" s="146"/>
      <c r="DQ19" s="146"/>
      <c r="DR19" s="146"/>
      <c r="DS19" s="146"/>
      <c r="DT19" s="146"/>
      <c r="DU19" s="146"/>
      <c r="DV19" s="146"/>
      <c r="DW19" s="146"/>
      <c r="DX19" s="146"/>
      <c r="DY19" s="146"/>
      <c r="DZ19" s="146"/>
      <c r="EA19" s="146"/>
      <c r="EB19" s="146"/>
      <c r="EC19" s="146"/>
      <c r="ED19" s="146"/>
      <c r="EE19" s="146"/>
      <c r="EF19" s="146"/>
      <c r="EG19" s="146"/>
      <c r="EH19" s="146"/>
      <c r="EI19" s="146"/>
      <c r="EJ19" s="146"/>
      <c r="EK19" s="146"/>
      <c r="EL19" s="146"/>
      <c r="EM19" s="146"/>
      <c r="EN19" s="146"/>
      <c r="EO19" s="146"/>
      <c r="EP19" s="146"/>
      <c r="EQ19" s="146"/>
      <c r="ER19" s="146"/>
      <c r="ES19" s="146"/>
      <c r="ET19" s="146"/>
      <c r="EU19" s="146"/>
      <c r="EV19" s="146"/>
      <c r="EW19" s="146"/>
      <c r="EX19" s="146"/>
      <c r="EY19" s="146"/>
      <c r="EZ19" s="146"/>
      <c r="FA19" s="146"/>
      <c r="FB19" s="146"/>
      <c r="FC19" s="146"/>
      <c r="FD19" s="146"/>
      <c r="FE19" s="146"/>
      <c r="FF19" s="146"/>
      <c r="FG19" s="146"/>
      <c r="FH19" s="146"/>
      <c r="FI19" s="146"/>
      <c r="FJ19" s="146"/>
      <c r="FK19" s="146"/>
      <c r="FL19" s="146"/>
      <c r="FM19" s="146"/>
      <c r="FN19" s="146"/>
      <c r="FO19" s="146"/>
      <c r="FP19" s="146"/>
      <c r="FQ19" s="146"/>
      <c r="FR19" s="146"/>
      <c r="FS19" s="146"/>
      <c r="FT19" s="146"/>
      <c r="FU19" s="146"/>
      <c r="FV19" s="146"/>
      <c r="FW19" s="146"/>
      <c r="FX19" s="146"/>
      <c r="FY19" s="146"/>
      <c r="FZ19" s="146"/>
      <c r="GA19" s="146"/>
      <c r="GB19" s="146"/>
      <c r="GC19" s="146"/>
      <c r="GD19" s="146"/>
      <c r="GE19" s="146"/>
      <c r="GF19" s="146"/>
      <c r="GG19" s="146"/>
      <c r="GH19" s="146"/>
      <c r="GI19" s="146"/>
      <c r="GJ19" s="146"/>
      <c r="GK19" s="146"/>
      <c r="GL19" s="146"/>
      <c r="GM19" s="146"/>
      <c r="GN19" s="146"/>
      <c r="GO19" s="146"/>
      <c r="GP19" s="146"/>
      <c r="GQ19" s="146"/>
      <c r="GR19" s="146"/>
      <c r="GS19" s="146"/>
      <c r="GT19" s="146"/>
      <c r="GU19" s="146"/>
      <c r="GV19" s="146"/>
      <c r="GW19" s="146"/>
      <c r="GX19" s="146"/>
      <c r="GY19" s="146"/>
      <c r="GZ19" s="146"/>
      <c r="HA19" s="146"/>
      <c r="HB19" s="146"/>
      <c r="HC19" s="146"/>
      <c r="HD19" s="146"/>
      <c r="HE19" s="146"/>
      <c r="HF19" s="146"/>
      <c r="HG19" s="146"/>
      <c r="HH19" s="146"/>
      <c r="HI19" s="146"/>
      <c r="HJ19" s="146"/>
      <c r="HK19" s="146"/>
      <c r="HL19" s="146"/>
      <c r="HM19" s="146"/>
      <c r="HN19" s="146"/>
      <c r="HO19" s="146"/>
      <c r="HP19" s="146"/>
      <c r="HQ19" s="146"/>
      <c r="HR19" s="146"/>
      <c r="HS19" s="146"/>
      <c r="HT19" s="146"/>
      <c r="HU19" s="146"/>
      <c r="HV19" s="146"/>
      <c r="HW19" s="146"/>
      <c r="HX19" s="146"/>
      <c r="HY19" s="146"/>
      <c r="HZ19" s="146"/>
      <c r="IA19" s="146"/>
    </row>
    <row r="20" spans="1:235" s="159" customFormat="1" ht="57" x14ac:dyDescent="0.25">
      <c r="A20" s="197">
        <v>11300</v>
      </c>
      <c r="B20" s="194" t="s">
        <v>4</v>
      </c>
      <c r="C20" s="198" t="s">
        <v>160</v>
      </c>
      <c r="D20" s="194" t="s">
        <v>145</v>
      </c>
      <c r="E20" s="198" t="s">
        <v>161</v>
      </c>
      <c r="F20" s="194" t="s">
        <v>162</v>
      </c>
      <c r="G20" s="209" t="s">
        <v>123</v>
      </c>
      <c r="H20" s="216">
        <v>1</v>
      </c>
      <c r="I20" s="198" t="s">
        <v>300</v>
      </c>
      <c r="J20" s="194" t="s">
        <v>173</v>
      </c>
      <c r="K20" s="210">
        <v>80000000000</v>
      </c>
      <c r="L20" s="220">
        <v>1.8723545712025702E-3</v>
      </c>
      <c r="M20" s="194" t="s">
        <v>46</v>
      </c>
      <c r="N20" s="194" t="s">
        <v>68</v>
      </c>
      <c r="O20" s="194" t="s">
        <v>21</v>
      </c>
      <c r="P20" s="194" t="s">
        <v>36</v>
      </c>
      <c r="Q20" s="194" t="s">
        <v>213</v>
      </c>
      <c r="R20" s="194" t="s">
        <v>182</v>
      </c>
      <c r="S20" s="194" t="s">
        <v>99</v>
      </c>
      <c r="T20" s="211">
        <v>1</v>
      </c>
      <c r="U20" s="212" t="str">
        <f t="shared" si="13"/>
        <v>Devolución de Aportes y Cotizaciones no conciliadas de vigencias anteriores</v>
      </c>
      <c r="V20" s="213">
        <f t="shared" si="13"/>
        <v>80000000000</v>
      </c>
      <c r="W20" s="214" t="s">
        <v>116</v>
      </c>
      <c r="X20" s="281">
        <v>0.25</v>
      </c>
      <c r="Y20" s="282" t="s">
        <v>173</v>
      </c>
      <c r="Z20" s="283">
        <v>20000000000</v>
      </c>
      <c r="AA20" s="279"/>
      <c r="AB20" s="279"/>
      <c r="AC20" s="280">
        <f t="shared" si="14"/>
        <v>0</v>
      </c>
      <c r="AD20" s="280">
        <f t="shared" si="15"/>
        <v>0</v>
      </c>
      <c r="AE20" s="280">
        <f t="shared" si="0"/>
        <v>0</v>
      </c>
      <c r="AF20" s="280">
        <f t="shared" si="1"/>
        <v>0</v>
      </c>
      <c r="AG20" s="281">
        <v>0.25</v>
      </c>
      <c r="AH20" s="282" t="s">
        <v>173</v>
      </c>
      <c r="AI20" s="283">
        <v>20000000000</v>
      </c>
      <c r="AJ20" s="279"/>
      <c r="AK20" s="279"/>
      <c r="AL20" s="280">
        <f t="shared" si="16"/>
        <v>0</v>
      </c>
      <c r="AM20" s="280">
        <f t="shared" si="2"/>
        <v>0</v>
      </c>
      <c r="AN20" s="280">
        <f t="shared" si="3"/>
        <v>0</v>
      </c>
      <c r="AO20" s="280">
        <f t="shared" si="4"/>
        <v>0</v>
      </c>
      <c r="AP20" s="281">
        <v>0.25</v>
      </c>
      <c r="AQ20" s="282" t="s">
        <v>173</v>
      </c>
      <c r="AR20" s="283">
        <v>20000000000</v>
      </c>
      <c r="AS20" s="279"/>
      <c r="AT20" s="279"/>
      <c r="AU20" s="280">
        <f t="shared" si="17"/>
        <v>0</v>
      </c>
      <c r="AV20" s="280">
        <f t="shared" si="18"/>
        <v>0</v>
      </c>
      <c r="AW20" s="280">
        <f t="shared" si="19"/>
        <v>0</v>
      </c>
      <c r="AX20" s="280">
        <f t="shared" si="20"/>
        <v>0</v>
      </c>
      <c r="AY20" s="281">
        <v>0.25</v>
      </c>
      <c r="AZ20" s="282" t="s">
        <v>173</v>
      </c>
      <c r="BA20" s="283">
        <v>20000000000</v>
      </c>
      <c r="BB20" s="279"/>
      <c r="BC20" s="279"/>
      <c r="BD20" s="281">
        <f t="shared" si="21"/>
        <v>0</v>
      </c>
      <c r="BE20" s="281">
        <f t="shared" si="22"/>
        <v>0</v>
      </c>
      <c r="BF20" s="281">
        <f t="shared" si="23"/>
        <v>0</v>
      </c>
      <c r="BG20" s="281">
        <f t="shared" si="24"/>
        <v>0</v>
      </c>
      <c r="BH20" s="205">
        <f t="shared" si="5"/>
        <v>0</v>
      </c>
      <c r="BI20" s="205">
        <f t="shared" si="6"/>
        <v>0</v>
      </c>
      <c r="BJ20" s="205">
        <f t="shared" si="7"/>
        <v>0</v>
      </c>
      <c r="BK20" s="205">
        <f t="shared" si="8"/>
        <v>0</v>
      </c>
      <c r="BL20" s="205">
        <f t="shared" si="25"/>
        <v>0</v>
      </c>
      <c r="BM20" s="205">
        <f t="shared" si="26"/>
        <v>0</v>
      </c>
      <c r="BN20" s="205">
        <f t="shared" si="9"/>
        <v>0</v>
      </c>
      <c r="BO20" s="205">
        <f t="shared" si="10"/>
        <v>0</v>
      </c>
      <c r="BP20" s="206"/>
      <c r="BQ20" s="277">
        <v>1</v>
      </c>
      <c r="BR20" s="208">
        <f t="shared" si="12"/>
        <v>0.58333333333333337</v>
      </c>
      <c r="BS20" s="219" t="str">
        <f t="shared" si="27"/>
        <v>Devolución de Aportes y Cotizaciones no conciliadas de vigencias anteriores</v>
      </c>
      <c r="BT20" s="195">
        <f t="shared" si="11"/>
        <v>46666666666.666664</v>
      </c>
      <c r="BU20" s="196"/>
      <c r="BV20" s="196"/>
      <c r="BW20" s="196"/>
      <c r="BX20" s="196"/>
      <c r="BY20" s="196"/>
      <c r="BZ20" s="196"/>
      <c r="CA20" s="146"/>
      <c r="CB20" s="146"/>
      <c r="CC20" s="146"/>
      <c r="CD20" s="146"/>
      <c r="CE20" s="146"/>
      <c r="CF20" s="146"/>
      <c r="CG20" s="146"/>
      <c r="CH20" s="146"/>
      <c r="CI20" s="146"/>
      <c r="CJ20" s="146"/>
      <c r="CK20" s="146"/>
      <c r="CL20" s="146"/>
      <c r="CM20" s="146"/>
      <c r="CN20" s="146"/>
      <c r="CO20" s="146"/>
      <c r="CP20" s="146"/>
      <c r="CQ20" s="146"/>
      <c r="CR20" s="146"/>
      <c r="CS20" s="146"/>
      <c r="CT20" s="146"/>
      <c r="CU20" s="146"/>
      <c r="CV20" s="146"/>
      <c r="CW20" s="146"/>
      <c r="CX20" s="146"/>
      <c r="CY20" s="146"/>
      <c r="CZ20" s="146"/>
      <c r="DA20" s="146"/>
      <c r="DB20" s="146"/>
      <c r="DC20" s="146"/>
      <c r="DD20" s="146"/>
      <c r="DE20" s="146"/>
      <c r="DF20" s="146"/>
      <c r="DG20" s="146"/>
      <c r="DH20" s="146"/>
      <c r="DI20" s="146"/>
      <c r="DJ20" s="146"/>
      <c r="DK20" s="146"/>
      <c r="DL20" s="146"/>
      <c r="DM20" s="146"/>
      <c r="DN20" s="146"/>
      <c r="DO20" s="146"/>
      <c r="DP20" s="146"/>
      <c r="DQ20" s="146"/>
      <c r="DR20" s="146"/>
      <c r="DS20" s="146"/>
      <c r="DT20" s="146"/>
      <c r="DU20" s="146"/>
      <c r="DV20" s="146"/>
      <c r="DW20" s="146"/>
      <c r="DX20" s="146"/>
      <c r="DY20" s="146"/>
      <c r="DZ20" s="146"/>
      <c r="EA20" s="146"/>
      <c r="EB20" s="146"/>
      <c r="EC20" s="146"/>
      <c r="ED20" s="146"/>
      <c r="EE20" s="146"/>
      <c r="EF20" s="146"/>
      <c r="EG20" s="146"/>
      <c r="EH20" s="146"/>
      <c r="EI20" s="146"/>
      <c r="EJ20" s="146"/>
      <c r="EK20" s="146"/>
      <c r="EL20" s="146"/>
      <c r="EM20" s="146"/>
      <c r="EN20" s="146"/>
      <c r="EO20" s="146"/>
      <c r="EP20" s="146"/>
      <c r="EQ20" s="146"/>
      <c r="ER20" s="146"/>
      <c r="ES20" s="146"/>
      <c r="ET20" s="146"/>
      <c r="EU20" s="146"/>
      <c r="EV20" s="146"/>
      <c r="EW20" s="146"/>
      <c r="EX20" s="146"/>
      <c r="EY20" s="146"/>
      <c r="EZ20" s="146"/>
      <c r="FA20" s="146"/>
      <c r="FB20" s="146"/>
      <c r="FC20" s="146"/>
      <c r="FD20" s="146"/>
      <c r="FE20" s="146"/>
      <c r="FF20" s="146"/>
      <c r="FG20" s="146"/>
      <c r="FH20" s="146"/>
      <c r="FI20" s="146"/>
      <c r="FJ20" s="146"/>
      <c r="FK20" s="146"/>
      <c r="FL20" s="146"/>
      <c r="FM20" s="146"/>
      <c r="FN20" s="146"/>
      <c r="FO20" s="146"/>
      <c r="FP20" s="146"/>
      <c r="FQ20" s="146"/>
      <c r="FR20" s="146"/>
      <c r="FS20" s="146"/>
      <c r="FT20" s="146"/>
      <c r="FU20" s="146"/>
      <c r="FV20" s="146"/>
      <c r="FW20" s="146"/>
      <c r="FX20" s="146"/>
      <c r="FY20" s="146"/>
      <c r="FZ20" s="146"/>
      <c r="GA20" s="146"/>
      <c r="GB20" s="146"/>
      <c r="GC20" s="146"/>
      <c r="GD20" s="146"/>
      <c r="GE20" s="146"/>
      <c r="GF20" s="146"/>
      <c r="GG20" s="146"/>
      <c r="GH20" s="146"/>
      <c r="GI20" s="146"/>
      <c r="GJ20" s="146"/>
      <c r="GK20" s="146"/>
      <c r="GL20" s="146"/>
      <c r="GM20" s="146"/>
      <c r="GN20" s="146"/>
      <c r="GO20" s="146"/>
      <c r="GP20" s="146"/>
      <c r="GQ20" s="146"/>
      <c r="GR20" s="146"/>
      <c r="GS20" s="146"/>
      <c r="GT20" s="146"/>
      <c r="GU20" s="146"/>
      <c r="GV20" s="146"/>
      <c r="GW20" s="146"/>
      <c r="GX20" s="146"/>
      <c r="GY20" s="146"/>
      <c r="GZ20" s="146"/>
      <c r="HA20" s="146"/>
      <c r="HB20" s="146"/>
      <c r="HC20" s="146"/>
      <c r="HD20" s="146"/>
      <c r="HE20" s="146"/>
      <c r="HF20" s="146"/>
      <c r="HG20" s="146"/>
      <c r="HH20" s="146"/>
      <c r="HI20" s="146"/>
      <c r="HJ20" s="146"/>
      <c r="HK20" s="146"/>
      <c r="HL20" s="146"/>
      <c r="HM20" s="146"/>
      <c r="HN20" s="146"/>
      <c r="HO20" s="146"/>
      <c r="HP20" s="146"/>
      <c r="HQ20" s="146"/>
      <c r="HR20" s="146"/>
      <c r="HS20" s="146"/>
      <c r="HT20" s="146"/>
      <c r="HU20" s="146"/>
      <c r="HV20" s="146"/>
      <c r="HW20" s="146"/>
      <c r="HX20" s="146"/>
      <c r="HY20" s="146"/>
      <c r="HZ20" s="146"/>
      <c r="IA20" s="146"/>
    </row>
    <row r="21" spans="1:235" s="159" customFormat="1" ht="57" x14ac:dyDescent="0.25">
      <c r="A21" s="197">
        <v>11300</v>
      </c>
      <c r="B21" s="194" t="s">
        <v>4</v>
      </c>
      <c r="C21" s="198" t="s">
        <v>160</v>
      </c>
      <c r="D21" s="194" t="s">
        <v>145</v>
      </c>
      <c r="E21" s="198" t="s">
        <v>161</v>
      </c>
      <c r="F21" s="194" t="s">
        <v>162</v>
      </c>
      <c r="G21" s="209" t="s">
        <v>123</v>
      </c>
      <c r="H21" s="216">
        <v>1</v>
      </c>
      <c r="I21" s="198" t="s">
        <v>301</v>
      </c>
      <c r="J21" s="194" t="s">
        <v>174</v>
      </c>
      <c r="K21" s="210">
        <v>7000000000</v>
      </c>
      <c r="L21" s="220">
        <v>1.6383102498022489E-4</v>
      </c>
      <c r="M21" s="194" t="s">
        <v>46</v>
      </c>
      <c r="N21" s="194" t="s">
        <v>68</v>
      </c>
      <c r="O21" s="194" t="s">
        <v>21</v>
      </c>
      <c r="P21" s="194" t="s">
        <v>36</v>
      </c>
      <c r="Q21" s="194" t="s">
        <v>213</v>
      </c>
      <c r="R21" s="194" t="s">
        <v>182</v>
      </c>
      <c r="S21" s="194" t="s">
        <v>99</v>
      </c>
      <c r="T21" s="211">
        <v>1</v>
      </c>
      <c r="U21" s="212" t="str">
        <f t="shared" si="13"/>
        <v>Rendimientos Financieros saldo de Aportes Patronales no compensados - Art, 12 Decreto 1363 de 2016</v>
      </c>
      <c r="V21" s="213">
        <f t="shared" si="13"/>
        <v>7000000000</v>
      </c>
      <c r="W21" s="214" t="s">
        <v>116</v>
      </c>
      <c r="X21" s="281">
        <v>0.25</v>
      </c>
      <c r="Y21" s="282" t="s">
        <v>174</v>
      </c>
      <c r="Z21" s="283">
        <v>1750000000</v>
      </c>
      <c r="AA21" s="279"/>
      <c r="AB21" s="279"/>
      <c r="AC21" s="280">
        <f t="shared" si="14"/>
        <v>0</v>
      </c>
      <c r="AD21" s="280">
        <f t="shared" si="15"/>
        <v>0</v>
      </c>
      <c r="AE21" s="280">
        <f t="shared" si="0"/>
        <v>0</v>
      </c>
      <c r="AF21" s="280">
        <f t="shared" si="1"/>
        <v>0</v>
      </c>
      <c r="AG21" s="281">
        <v>0.25</v>
      </c>
      <c r="AH21" s="282" t="s">
        <v>174</v>
      </c>
      <c r="AI21" s="283">
        <v>1750000000</v>
      </c>
      <c r="AJ21" s="279"/>
      <c r="AK21" s="279"/>
      <c r="AL21" s="280">
        <f t="shared" si="16"/>
        <v>0</v>
      </c>
      <c r="AM21" s="280">
        <f t="shared" si="2"/>
        <v>0</v>
      </c>
      <c r="AN21" s="280">
        <f t="shared" si="3"/>
        <v>0</v>
      </c>
      <c r="AO21" s="280">
        <f t="shared" si="4"/>
        <v>0</v>
      </c>
      <c r="AP21" s="281">
        <v>0.25</v>
      </c>
      <c r="AQ21" s="282" t="s">
        <v>174</v>
      </c>
      <c r="AR21" s="283">
        <v>1750000000</v>
      </c>
      <c r="AS21" s="279"/>
      <c r="AT21" s="279"/>
      <c r="AU21" s="280">
        <f t="shared" si="17"/>
        <v>0</v>
      </c>
      <c r="AV21" s="280">
        <f t="shared" si="18"/>
        <v>0</v>
      </c>
      <c r="AW21" s="280">
        <f t="shared" si="19"/>
        <v>0</v>
      </c>
      <c r="AX21" s="280">
        <f t="shared" si="20"/>
        <v>0</v>
      </c>
      <c r="AY21" s="281">
        <v>0.25</v>
      </c>
      <c r="AZ21" s="282" t="s">
        <v>174</v>
      </c>
      <c r="BA21" s="283">
        <v>1750000000</v>
      </c>
      <c r="BB21" s="279"/>
      <c r="BC21" s="279"/>
      <c r="BD21" s="281">
        <f t="shared" si="21"/>
        <v>0</v>
      </c>
      <c r="BE21" s="281">
        <f t="shared" si="22"/>
        <v>0</v>
      </c>
      <c r="BF21" s="281">
        <f t="shared" si="23"/>
        <v>0</v>
      </c>
      <c r="BG21" s="281">
        <f t="shared" si="24"/>
        <v>0</v>
      </c>
      <c r="BH21" s="205">
        <f t="shared" si="5"/>
        <v>0</v>
      </c>
      <c r="BI21" s="205">
        <f t="shared" si="6"/>
        <v>0</v>
      </c>
      <c r="BJ21" s="205">
        <f t="shared" si="7"/>
        <v>0</v>
      </c>
      <c r="BK21" s="205">
        <f t="shared" si="8"/>
        <v>0</v>
      </c>
      <c r="BL21" s="205">
        <f t="shared" si="25"/>
        <v>0</v>
      </c>
      <c r="BM21" s="205">
        <f t="shared" si="26"/>
        <v>0</v>
      </c>
      <c r="BN21" s="205">
        <f t="shared" si="9"/>
        <v>0</v>
      </c>
      <c r="BO21" s="205">
        <f t="shared" si="10"/>
        <v>0</v>
      </c>
      <c r="BP21" s="206"/>
      <c r="BQ21" s="277">
        <v>1</v>
      </c>
      <c r="BR21" s="208">
        <f t="shared" si="12"/>
        <v>0.58333333333333337</v>
      </c>
      <c r="BS21" s="219" t="str">
        <f t="shared" si="27"/>
        <v>Rendimientos Financieros saldo de Aportes Patronales no compensados - Art, 12 Decreto 1363 de 2016</v>
      </c>
      <c r="BT21" s="195">
        <f t="shared" si="11"/>
        <v>4083333333.3333335</v>
      </c>
      <c r="BU21" s="196"/>
      <c r="BV21" s="196"/>
      <c r="BW21" s="196"/>
      <c r="BX21" s="196"/>
      <c r="BY21" s="196"/>
      <c r="BZ21" s="196"/>
      <c r="CA21" s="146"/>
      <c r="CB21" s="146"/>
      <c r="CC21" s="146"/>
      <c r="CD21" s="146"/>
      <c r="CE21" s="146"/>
      <c r="CF21" s="146"/>
      <c r="CG21" s="146"/>
      <c r="CH21" s="146"/>
      <c r="CI21" s="146"/>
      <c r="CJ21" s="146"/>
      <c r="CK21" s="146"/>
      <c r="CL21" s="146"/>
      <c r="CM21" s="146"/>
      <c r="CN21" s="146"/>
      <c r="CO21" s="146"/>
      <c r="CP21" s="146"/>
      <c r="CQ21" s="146"/>
      <c r="CR21" s="146"/>
      <c r="CS21" s="146"/>
      <c r="CT21" s="146"/>
      <c r="CU21" s="146"/>
      <c r="CV21" s="146"/>
      <c r="CW21" s="146"/>
      <c r="CX21" s="146"/>
      <c r="CY21" s="146"/>
      <c r="CZ21" s="146"/>
      <c r="DA21" s="146"/>
      <c r="DB21" s="146"/>
      <c r="DC21" s="146"/>
      <c r="DD21" s="146"/>
      <c r="DE21" s="146"/>
      <c r="DF21" s="146"/>
      <c r="DG21" s="146"/>
      <c r="DH21" s="146"/>
      <c r="DI21" s="146"/>
      <c r="DJ21" s="146"/>
      <c r="DK21" s="146"/>
      <c r="DL21" s="146"/>
      <c r="DM21" s="146"/>
      <c r="DN21" s="146"/>
      <c r="DO21" s="146"/>
      <c r="DP21" s="146"/>
      <c r="DQ21" s="146"/>
      <c r="DR21" s="146"/>
      <c r="DS21" s="146"/>
      <c r="DT21" s="146"/>
      <c r="DU21" s="146"/>
      <c r="DV21" s="146"/>
      <c r="DW21" s="146"/>
      <c r="DX21" s="146"/>
      <c r="DY21" s="146"/>
      <c r="DZ21" s="146"/>
      <c r="EA21" s="146"/>
      <c r="EB21" s="146"/>
      <c r="EC21" s="146"/>
      <c r="ED21" s="146"/>
      <c r="EE21" s="146"/>
      <c r="EF21" s="146"/>
      <c r="EG21" s="146"/>
      <c r="EH21" s="146"/>
      <c r="EI21" s="146"/>
      <c r="EJ21" s="146"/>
      <c r="EK21" s="146"/>
      <c r="EL21" s="146"/>
      <c r="EM21" s="146"/>
      <c r="EN21" s="146"/>
      <c r="EO21" s="146"/>
      <c r="EP21" s="146"/>
      <c r="EQ21" s="146"/>
      <c r="ER21" s="146"/>
      <c r="ES21" s="146"/>
      <c r="ET21" s="146"/>
      <c r="EU21" s="146"/>
      <c r="EV21" s="146"/>
      <c r="EW21" s="146"/>
      <c r="EX21" s="146"/>
      <c r="EY21" s="146"/>
      <c r="EZ21" s="146"/>
      <c r="FA21" s="146"/>
      <c r="FB21" s="146"/>
      <c r="FC21" s="146"/>
      <c r="FD21" s="146"/>
      <c r="FE21" s="146"/>
      <c r="FF21" s="146"/>
      <c r="FG21" s="146"/>
      <c r="FH21" s="146"/>
      <c r="FI21" s="146"/>
      <c r="FJ21" s="146"/>
      <c r="FK21" s="146"/>
      <c r="FL21" s="146"/>
      <c r="FM21" s="146"/>
      <c r="FN21" s="146"/>
      <c r="FO21" s="146"/>
      <c r="FP21" s="146"/>
      <c r="FQ21" s="146"/>
      <c r="FR21" s="146"/>
      <c r="FS21" s="146"/>
      <c r="FT21" s="146"/>
      <c r="FU21" s="146"/>
      <c r="FV21" s="146"/>
      <c r="FW21" s="146"/>
      <c r="FX21" s="146"/>
      <c r="FY21" s="146"/>
      <c r="FZ21" s="146"/>
      <c r="GA21" s="146"/>
      <c r="GB21" s="146"/>
      <c r="GC21" s="146"/>
      <c r="GD21" s="146"/>
      <c r="GE21" s="146"/>
      <c r="GF21" s="146"/>
      <c r="GG21" s="146"/>
      <c r="GH21" s="146"/>
      <c r="GI21" s="146"/>
      <c r="GJ21" s="146"/>
      <c r="GK21" s="146"/>
      <c r="GL21" s="146"/>
      <c r="GM21" s="146"/>
      <c r="GN21" s="146"/>
      <c r="GO21" s="146"/>
      <c r="GP21" s="146"/>
      <c r="GQ21" s="146"/>
      <c r="GR21" s="146"/>
      <c r="GS21" s="146"/>
      <c r="GT21" s="146"/>
      <c r="GU21" s="146"/>
      <c r="GV21" s="146"/>
      <c r="GW21" s="146"/>
      <c r="GX21" s="146"/>
      <c r="GY21" s="146"/>
      <c r="GZ21" s="146"/>
      <c r="HA21" s="146"/>
      <c r="HB21" s="146"/>
      <c r="HC21" s="146"/>
      <c r="HD21" s="146"/>
      <c r="HE21" s="146"/>
      <c r="HF21" s="146"/>
      <c r="HG21" s="146"/>
      <c r="HH21" s="146"/>
      <c r="HI21" s="146"/>
      <c r="HJ21" s="146"/>
      <c r="HK21" s="146"/>
      <c r="HL21" s="146"/>
      <c r="HM21" s="146"/>
      <c r="HN21" s="146"/>
      <c r="HO21" s="146"/>
      <c r="HP21" s="146"/>
      <c r="HQ21" s="146"/>
      <c r="HR21" s="146"/>
      <c r="HS21" s="146"/>
      <c r="HT21" s="146"/>
      <c r="HU21" s="146"/>
      <c r="HV21" s="146"/>
      <c r="HW21" s="146"/>
      <c r="HX21" s="146"/>
      <c r="HY21" s="146"/>
      <c r="HZ21" s="146"/>
      <c r="IA21" s="146"/>
    </row>
    <row r="22" spans="1:235" s="159" customFormat="1" ht="57" x14ac:dyDescent="0.25">
      <c r="A22" s="197">
        <v>11300</v>
      </c>
      <c r="B22" s="194" t="s">
        <v>4</v>
      </c>
      <c r="C22" s="198" t="s">
        <v>160</v>
      </c>
      <c r="D22" s="194" t="s">
        <v>145</v>
      </c>
      <c r="E22" s="198" t="s">
        <v>161</v>
      </c>
      <c r="F22" s="194" t="s">
        <v>162</v>
      </c>
      <c r="G22" s="209" t="s">
        <v>123</v>
      </c>
      <c r="H22" s="216">
        <v>1</v>
      </c>
      <c r="I22" s="198" t="s">
        <v>302</v>
      </c>
      <c r="J22" s="194" t="s">
        <v>757</v>
      </c>
      <c r="K22" s="210">
        <v>483767006000</v>
      </c>
      <c r="L22" s="220">
        <v>1.1322292063513515E-2</v>
      </c>
      <c r="M22" s="194" t="s">
        <v>46</v>
      </c>
      <c r="N22" s="194" t="s">
        <v>68</v>
      </c>
      <c r="O22" s="194" t="s">
        <v>21</v>
      </c>
      <c r="P22" s="194" t="s">
        <v>36</v>
      </c>
      <c r="Q22" s="194" t="s">
        <v>213</v>
      </c>
      <c r="R22" s="194" t="s">
        <v>182</v>
      </c>
      <c r="S22" s="194" t="s">
        <v>99</v>
      </c>
      <c r="T22" s="211">
        <v>1</v>
      </c>
      <c r="U22" s="212" t="str">
        <f t="shared" si="13"/>
        <v>Per cápita Programas de Promoción y Prevención</v>
      </c>
      <c r="V22" s="213">
        <f t="shared" si="13"/>
        <v>483767006000</v>
      </c>
      <c r="W22" s="214" t="s">
        <v>116</v>
      </c>
      <c r="X22" s="281">
        <v>0.25</v>
      </c>
      <c r="Y22" s="282" t="s">
        <v>68</v>
      </c>
      <c r="Z22" s="283">
        <v>120941751500</v>
      </c>
      <c r="AA22" s="279"/>
      <c r="AB22" s="279"/>
      <c r="AC22" s="280">
        <f t="shared" si="14"/>
        <v>0</v>
      </c>
      <c r="AD22" s="280">
        <f t="shared" si="15"/>
        <v>0</v>
      </c>
      <c r="AE22" s="280">
        <f t="shared" si="0"/>
        <v>0</v>
      </c>
      <c r="AF22" s="280">
        <f t="shared" si="1"/>
        <v>0</v>
      </c>
      <c r="AG22" s="281">
        <v>0.25</v>
      </c>
      <c r="AH22" s="282">
        <v>483767006000</v>
      </c>
      <c r="AI22" s="283">
        <v>120941751500</v>
      </c>
      <c r="AJ22" s="279"/>
      <c r="AK22" s="279"/>
      <c r="AL22" s="280">
        <f t="shared" si="16"/>
        <v>0</v>
      </c>
      <c r="AM22" s="280">
        <f t="shared" si="2"/>
        <v>0</v>
      </c>
      <c r="AN22" s="280">
        <f t="shared" si="3"/>
        <v>0</v>
      </c>
      <c r="AO22" s="280">
        <f t="shared" si="4"/>
        <v>0</v>
      </c>
      <c r="AP22" s="281">
        <v>0.25</v>
      </c>
      <c r="AQ22" s="282">
        <v>0</v>
      </c>
      <c r="AR22" s="283">
        <v>120941751500</v>
      </c>
      <c r="AS22" s="279"/>
      <c r="AT22" s="279"/>
      <c r="AU22" s="280">
        <f t="shared" si="17"/>
        <v>0</v>
      </c>
      <c r="AV22" s="280">
        <f t="shared" si="18"/>
        <v>0</v>
      </c>
      <c r="AW22" s="280">
        <f t="shared" si="19"/>
        <v>0</v>
      </c>
      <c r="AX22" s="280">
        <f t="shared" si="20"/>
        <v>0</v>
      </c>
      <c r="AY22" s="281">
        <v>0.25</v>
      </c>
      <c r="AZ22" s="282">
        <v>0</v>
      </c>
      <c r="BA22" s="283">
        <v>120941751500</v>
      </c>
      <c r="BB22" s="279"/>
      <c r="BC22" s="279"/>
      <c r="BD22" s="281">
        <f t="shared" si="21"/>
        <v>0</v>
      </c>
      <c r="BE22" s="281">
        <f t="shared" si="22"/>
        <v>0</v>
      </c>
      <c r="BF22" s="281">
        <f t="shared" si="23"/>
        <v>0</v>
      </c>
      <c r="BG22" s="281">
        <f t="shared" si="24"/>
        <v>0</v>
      </c>
      <c r="BH22" s="205">
        <f t="shared" si="5"/>
        <v>0</v>
      </c>
      <c r="BI22" s="205">
        <f t="shared" si="6"/>
        <v>0</v>
      </c>
      <c r="BJ22" s="205">
        <f t="shared" si="7"/>
        <v>0</v>
      </c>
      <c r="BK22" s="205">
        <f t="shared" si="8"/>
        <v>0</v>
      </c>
      <c r="BL22" s="205">
        <f t="shared" si="25"/>
        <v>0</v>
      </c>
      <c r="BM22" s="205">
        <f t="shared" si="26"/>
        <v>0</v>
      </c>
      <c r="BN22" s="205">
        <f t="shared" si="9"/>
        <v>0</v>
      </c>
      <c r="BO22" s="205">
        <f t="shared" si="10"/>
        <v>0</v>
      </c>
      <c r="BP22" s="206"/>
      <c r="BQ22" s="277">
        <v>1</v>
      </c>
      <c r="BR22" s="208">
        <f t="shared" si="12"/>
        <v>0.58333333333333337</v>
      </c>
      <c r="BS22" s="219" t="str">
        <f t="shared" si="27"/>
        <v>Per cápita Programas de Promoción y Prevención</v>
      </c>
      <c r="BT22" s="195">
        <f t="shared" si="11"/>
        <v>282197420166.66669</v>
      </c>
      <c r="BU22" s="196"/>
      <c r="BV22" s="196"/>
      <c r="BW22" s="196"/>
      <c r="BX22" s="196"/>
      <c r="BY22" s="196"/>
      <c r="BZ22" s="196"/>
      <c r="CA22" s="146"/>
      <c r="CB22" s="146"/>
      <c r="CC22" s="146"/>
      <c r="CD22" s="146"/>
      <c r="CE22" s="146"/>
      <c r="CF22" s="146"/>
      <c r="CG22" s="146"/>
      <c r="CH22" s="146"/>
      <c r="CI22" s="146"/>
      <c r="CJ22" s="146"/>
      <c r="CK22" s="146"/>
      <c r="CL22" s="146"/>
      <c r="CM22" s="146"/>
      <c r="CN22" s="146"/>
      <c r="CO22" s="146"/>
      <c r="CP22" s="146"/>
      <c r="CQ22" s="146"/>
      <c r="CR22" s="146"/>
      <c r="CS22" s="146"/>
      <c r="CT22" s="146"/>
      <c r="CU22" s="146"/>
      <c r="CV22" s="146"/>
      <c r="CW22" s="146"/>
      <c r="CX22" s="146"/>
      <c r="CY22" s="146"/>
      <c r="CZ22" s="146"/>
      <c r="DA22" s="146"/>
      <c r="DB22" s="146"/>
      <c r="DC22" s="146"/>
      <c r="DD22" s="146"/>
      <c r="DE22" s="146"/>
      <c r="DF22" s="146"/>
      <c r="DG22" s="146"/>
      <c r="DH22" s="146"/>
      <c r="DI22" s="146"/>
      <c r="DJ22" s="146"/>
      <c r="DK22" s="146"/>
      <c r="DL22" s="146"/>
      <c r="DM22" s="146"/>
      <c r="DN22" s="146"/>
      <c r="DO22" s="146"/>
      <c r="DP22" s="146"/>
      <c r="DQ22" s="146"/>
      <c r="DR22" s="146"/>
      <c r="DS22" s="146"/>
      <c r="DT22" s="146"/>
      <c r="DU22" s="146"/>
      <c r="DV22" s="146"/>
      <c r="DW22" s="146"/>
      <c r="DX22" s="146"/>
      <c r="DY22" s="146"/>
      <c r="DZ22" s="146"/>
      <c r="EA22" s="146"/>
      <c r="EB22" s="146"/>
      <c r="EC22" s="146"/>
      <c r="ED22" s="146"/>
      <c r="EE22" s="146"/>
      <c r="EF22" s="146"/>
      <c r="EG22" s="146"/>
      <c r="EH22" s="146"/>
      <c r="EI22" s="146"/>
      <c r="EJ22" s="146"/>
      <c r="EK22" s="146"/>
      <c r="EL22" s="146"/>
      <c r="EM22" s="146"/>
      <c r="EN22" s="146"/>
      <c r="EO22" s="146"/>
      <c r="EP22" s="146"/>
      <c r="EQ22" s="146"/>
      <c r="ER22" s="146"/>
      <c r="ES22" s="146"/>
      <c r="ET22" s="146"/>
      <c r="EU22" s="146"/>
      <c r="EV22" s="146"/>
      <c r="EW22" s="146"/>
      <c r="EX22" s="146"/>
      <c r="EY22" s="146"/>
      <c r="EZ22" s="146"/>
      <c r="FA22" s="146"/>
      <c r="FB22" s="146"/>
      <c r="FC22" s="146"/>
      <c r="FD22" s="146"/>
      <c r="FE22" s="146"/>
      <c r="FF22" s="146"/>
      <c r="FG22" s="146"/>
      <c r="FH22" s="146"/>
      <c r="FI22" s="146"/>
      <c r="FJ22" s="146"/>
      <c r="FK22" s="146"/>
      <c r="FL22" s="146"/>
      <c r="FM22" s="146"/>
      <c r="FN22" s="146"/>
      <c r="FO22" s="146"/>
      <c r="FP22" s="146"/>
      <c r="FQ22" s="146"/>
      <c r="FR22" s="146"/>
      <c r="FS22" s="146"/>
      <c r="FT22" s="146"/>
      <c r="FU22" s="146"/>
      <c r="FV22" s="146"/>
      <c r="FW22" s="146"/>
      <c r="FX22" s="146"/>
      <c r="FY22" s="146"/>
      <c r="FZ22" s="146"/>
      <c r="GA22" s="146"/>
      <c r="GB22" s="146"/>
      <c r="GC22" s="146"/>
      <c r="GD22" s="146"/>
      <c r="GE22" s="146"/>
      <c r="GF22" s="146"/>
      <c r="GG22" s="146"/>
      <c r="GH22" s="146"/>
      <c r="GI22" s="146"/>
      <c r="GJ22" s="146"/>
      <c r="GK22" s="146"/>
      <c r="GL22" s="146"/>
      <c r="GM22" s="146"/>
      <c r="GN22" s="146"/>
      <c r="GO22" s="146"/>
      <c r="GP22" s="146"/>
      <c r="GQ22" s="146"/>
      <c r="GR22" s="146"/>
      <c r="GS22" s="146"/>
      <c r="GT22" s="146"/>
      <c r="GU22" s="146"/>
      <c r="GV22" s="146"/>
      <c r="GW22" s="146"/>
      <c r="GX22" s="146"/>
      <c r="GY22" s="146"/>
      <c r="GZ22" s="146"/>
      <c r="HA22" s="146"/>
      <c r="HB22" s="146"/>
      <c r="HC22" s="146"/>
      <c r="HD22" s="146"/>
      <c r="HE22" s="146"/>
      <c r="HF22" s="146"/>
      <c r="HG22" s="146"/>
      <c r="HH22" s="146"/>
      <c r="HI22" s="146"/>
      <c r="HJ22" s="146"/>
      <c r="HK22" s="146"/>
      <c r="HL22" s="146"/>
      <c r="HM22" s="146"/>
      <c r="HN22" s="146"/>
      <c r="HO22" s="146"/>
      <c r="HP22" s="146"/>
      <c r="HQ22" s="146"/>
      <c r="HR22" s="146"/>
      <c r="HS22" s="146"/>
      <c r="HT22" s="146"/>
      <c r="HU22" s="146"/>
      <c r="HV22" s="146"/>
      <c r="HW22" s="146"/>
      <c r="HX22" s="146"/>
      <c r="HY22" s="146"/>
      <c r="HZ22" s="146"/>
      <c r="IA22" s="146"/>
    </row>
    <row r="23" spans="1:235" s="159" customFormat="1" ht="57" x14ac:dyDescent="0.25">
      <c r="A23" s="197">
        <v>11300</v>
      </c>
      <c r="B23" s="194" t="s">
        <v>4</v>
      </c>
      <c r="C23" s="198" t="s">
        <v>160</v>
      </c>
      <c r="D23" s="194" t="s">
        <v>145</v>
      </c>
      <c r="E23" s="198" t="s">
        <v>161</v>
      </c>
      <c r="F23" s="194" t="s">
        <v>162</v>
      </c>
      <c r="G23" s="209" t="s">
        <v>123</v>
      </c>
      <c r="H23" s="216">
        <v>1</v>
      </c>
      <c r="I23" s="198" t="s">
        <v>303</v>
      </c>
      <c r="J23" s="194" t="s">
        <v>168</v>
      </c>
      <c r="K23" s="210">
        <v>799680177000</v>
      </c>
      <c r="L23" s="220">
        <v>1.8716060436325382E-2</v>
      </c>
      <c r="M23" s="194" t="s">
        <v>46</v>
      </c>
      <c r="N23" s="194" t="s">
        <v>68</v>
      </c>
      <c r="O23" s="194" t="s">
        <v>21</v>
      </c>
      <c r="P23" s="194" t="s">
        <v>36</v>
      </c>
      <c r="Q23" s="194" t="s">
        <v>213</v>
      </c>
      <c r="R23" s="194" t="s">
        <v>182</v>
      </c>
      <c r="S23" s="194" t="s">
        <v>99</v>
      </c>
      <c r="T23" s="211">
        <v>1</v>
      </c>
      <c r="U23" s="212" t="str">
        <f t="shared" si="13"/>
        <v>Incapacidades</v>
      </c>
      <c r="V23" s="213">
        <f t="shared" si="13"/>
        <v>799680177000</v>
      </c>
      <c r="W23" s="214" t="s">
        <v>116</v>
      </c>
      <c r="X23" s="281">
        <v>0.25</v>
      </c>
      <c r="Y23" s="282" t="s">
        <v>168</v>
      </c>
      <c r="Z23" s="283">
        <v>199920044250</v>
      </c>
      <c r="AA23" s="279"/>
      <c r="AB23" s="279"/>
      <c r="AC23" s="280">
        <f t="shared" si="14"/>
        <v>0</v>
      </c>
      <c r="AD23" s="280">
        <f t="shared" si="15"/>
        <v>0</v>
      </c>
      <c r="AE23" s="280">
        <f t="shared" si="0"/>
        <v>0</v>
      </c>
      <c r="AF23" s="280">
        <f t="shared" si="1"/>
        <v>0</v>
      </c>
      <c r="AG23" s="281">
        <v>0.25</v>
      </c>
      <c r="AH23" s="282" t="s">
        <v>168</v>
      </c>
      <c r="AI23" s="283">
        <v>199920044250</v>
      </c>
      <c r="AJ23" s="279"/>
      <c r="AK23" s="279"/>
      <c r="AL23" s="280">
        <f t="shared" si="16"/>
        <v>0</v>
      </c>
      <c r="AM23" s="280">
        <f t="shared" si="2"/>
        <v>0</v>
      </c>
      <c r="AN23" s="280">
        <f t="shared" si="3"/>
        <v>0</v>
      </c>
      <c r="AO23" s="280">
        <f t="shared" si="4"/>
        <v>0</v>
      </c>
      <c r="AP23" s="281">
        <v>0.25</v>
      </c>
      <c r="AQ23" s="282" t="s">
        <v>168</v>
      </c>
      <c r="AR23" s="283">
        <v>199920044250</v>
      </c>
      <c r="AS23" s="279"/>
      <c r="AT23" s="279"/>
      <c r="AU23" s="280">
        <f t="shared" si="17"/>
        <v>0</v>
      </c>
      <c r="AV23" s="280">
        <f t="shared" si="18"/>
        <v>0</v>
      </c>
      <c r="AW23" s="280">
        <f t="shared" si="19"/>
        <v>0</v>
      </c>
      <c r="AX23" s="280">
        <f t="shared" si="20"/>
        <v>0</v>
      </c>
      <c r="AY23" s="281">
        <v>0.25</v>
      </c>
      <c r="AZ23" s="282" t="s">
        <v>168</v>
      </c>
      <c r="BA23" s="283">
        <v>199920044250</v>
      </c>
      <c r="BB23" s="279"/>
      <c r="BC23" s="279"/>
      <c r="BD23" s="281">
        <f t="shared" si="21"/>
        <v>0</v>
      </c>
      <c r="BE23" s="281">
        <f t="shared" si="22"/>
        <v>0</v>
      </c>
      <c r="BF23" s="281">
        <f t="shared" si="23"/>
        <v>0</v>
      </c>
      <c r="BG23" s="281">
        <f t="shared" si="24"/>
        <v>0</v>
      </c>
      <c r="BH23" s="205">
        <f t="shared" si="5"/>
        <v>0</v>
      </c>
      <c r="BI23" s="205">
        <f t="shared" si="6"/>
        <v>0</v>
      </c>
      <c r="BJ23" s="205">
        <f t="shared" si="7"/>
        <v>0</v>
      </c>
      <c r="BK23" s="205">
        <f t="shared" si="8"/>
        <v>0</v>
      </c>
      <c r="BL23" s="205">
        <f t="shared" si="25"/>
        <v>0</v>
      </c>
      <c r="BM23" s="205">
        <f t="shared" si="26"/>
        <v>0</v>
      </c>
      <c r="BN23" s="205">
        <f t="shared" si="9"/>
        <v>0</v>
      </c>
      <c r="BO23" s="205">
        <f t="shared" si="10"/>
        <v>0</v>
      </c>
      <c r="BP23" s="206"/>
      <c r="BQ23" s="277">
        <v>1</v>
      </c>
      <c r="BR23" s="208">
        <f t="shared" si="12"/>
        <v>0.58333333333333337</v>
      </c>
      <c r="BS23" s="219" t="str">
        <f t="shared" si="27"/>
        <v>Incapacidades</v>
      </c>
      <c r="BT23" s="195">
        <f t="shared" si="11"/>
        <v>466480103250</v>
      </c>
      <c r="BU23" s="196"/>
      <c r="BV23" s="196"/>
      <c r="BW23" s="196"/>
      <c r="BX23" s="196"/>
      <c r="BY23" s="196"/>
      <c r="BZ23" s="196"/>
      <c r="CA23" s="146"/>
      <c r="CB23" s="146"/>
      <c r="CC23" s="146"/>
      <c r="CD23" s="146"/>
      <c r="CE23" s="146"/>
      <c r="CF23" s="146"/>
      <c r="CG23" s="146"/>
      <c r="CH23" s="146"/>
      <c r="CI23" s="146"/>
      <c r="CJ23" s="146"/>
      <c r="CK23" s="146"/>
      <c r="CL23" s="146"/>
      <c r="CM23" s="146"/>
      <c r="CN23" s="146"/>
      <c r="CO23" s="146"/>
      <c r="CP23" s="146"/>
      <c r="CQ23" s="146"/>
      <c r="CR23" s="146"/>
      <c r="CS23" s="146"/>
      <c r="CT23" s="146"/>
      <c r="CU23" s="146"/>
      <c r="CV23" s="146"/>
      <c r="CW23" s="146"/>
      <c r="CX23" s="146"/>
      <c r="CY23" s="146"/>
      <c r="CZ23" s="146"/>
      <c r="DA23" s="146"/>
      <c r="DB23" s="146"/>
      <c r="DC23" s="146"/>
      <c r="DD23" s="146"/>
      <c r="DE23" s="146"/>
      <c r="DF23" s="146"/>
      <c r="DG23" s="146"/>
      <c r="DH23" s="146"/>
      <c r="DI23" s="146"/>
      <c r="DJ23" s="146"/>
      <c r="DK23" s="146"/>
      <c r="DL23" s="146"/>
      <c r="DM23" s="146"/>
      <c r="DN23" s="146"/>
      <c r="DO23" s="146"/>
      <c r="DP23" s="146"/>
      <c r="DQ23" s="146"/>
      <c r="DR23" s="146"/>
      <c r="DS23" s="146"/>
      <c r="DT23" s="146"/>
      <c r="DU23" s="146"/>
      <c r="DV23" s="146"/>
      <c r="DW23" s="146"/>
      <c r="DX23" s="146"/>
      <c r="DY23" s="146"/>
      <c r="DZ23" s="146"/>
      <c r="EA23" s="146"/>
      <c r="EB23" s="146"/>
      <c r="EC23" s="146"/>
      <c r="ED23" s="146"/>
      <c r="EE23" s="146"/>
      <c r="EF23" s="146"/>
      <c r="EG23" s="146"/>
      <c r="EH23" s="146"/>
      <c r="EI23" s="146"/>
      <c r="EJ23" s="146"/>
      <c r="EK23" s="146"/>
      <c r="EL23" s="146"/>
      <c r="EM23" s="146"/>
      <c r="EN23" s="146"/>
      <c r="EO23" s="146"/>
      <c r="EP23" s="146"/>
      <c r="EQ23" s="146"/>
      <c r="ER23" s="146"/>
      <c r="ES23" s="146"/>
      <c r="ET23" s="146"/>
      <c r="EU23" s="146"/>
      <c r="EV23" s="146"/>
      <c r="EW23" s="146"/>
      <c r="EX23" s="146"/>
      <c r="EY23" s="146"/>
      <c r="EZ23" s="146"/>
      <c r="FA23" s="146"/>
      <c r="FB23" s="146"/>
      <c r="FC23" s="146"/>
      <c r="FD23" s="146"/>
      <c r="FE23" s="146"/>
      <c r="FF23" s="146"/>
      <c r="FG23" s="146"/>
      <c r="FH23" s="146"/>
      <c r="FI23" s="146"/>
      <c r="FJ23" s="146"/>
      <c r="FK23" s="146"/>
      <c r="FL23" s="146"/>
      <c r="FM23" s="146"/>
      <c r="FN23" s="146"/>
      <c r="FO23" s="146"/>
      <c r="FP23" s="146"/>
      <c r="FQ23" s="146"/>
      <c r="FR23" s="146"/>
      <c r="FS23" s="146"/>
      <c r="FT23" s="146"/>
      <c r="FU23" s="146"/>
      <c r="FV23" s="146"/>
      <c r="FW23" s="146"/>
      <c r="FX23" s="146"/>
      <c r="FY23" s="146"/>
      <c r="FZ23" s="146"/>
      <c r="GA23" s="146"/>
      <c r="GB23" s="146"/>
      <c r="GC23" s="146"/>
      <c r="GD23" s="146"/>
      <c r="GE23" s="146"/>
      <c r="GF23" s="146"/>
      <c r="GG23" s="146"/>
      <c r="GH23" s="146"/>
      <c r="GI23" s="146"/>
      <c r="GJ23" s="146"/>
      <c r="GK23" s="146"/>
      <c r="GL23" s="146"/>
      <c r="GM23" s="146"/>
      <c r="GN23" s="146"/>
      <c r="GO23" s="146"/>
      <c r="GP23" s="146"/>
      <c r="GQ23" s="146"/>
      <c r="GR23" s="146"/>
      <c r="GS23" s="146"/>
      <c r="GT23" s="146"/>
      <c r="GU23" s="146"/>
      <c r="GV23" s="146"/>
      <c r="GW23" s="146"/>
      <c r="GX23" s="146"/>
      <c r="GY23" s="146"/>
      <c r="GZ23" s="146"/>
      <c r="HA23" s="146"/>
      <c r="HB23" s="146"/>
      <c r="HC23" s="146"/>
      <c r="HD23" s="146"/>
      <c r="HE23" s="146"/>
      <c r="HF23" s="146"/>
      <c r="HG23" s="146"/>
      <c r="HH23" s="146"/>
      <c r="HI23" s="146"/>
      <c r="HJ23" s="146"/>
      <c r="HK23" s="146"/>
      <c r="HL23" s="146"/>
      <c r="HM23" s="146"/>
      <c r="HN23" s="146"/>
      <c r="HO23" s="146"/>
      <c r="HP23" s="146"/>
      <c r="HQ23" s="146"/>
      <c r="HR23" s="146"/>
      <c r="HS23" s="146"/>
      <c r="HT23" s="146"/>
      <c r="HU23" s="146"/>
      <c r="HV23" s="146"/>
      <c r="HW23" s="146"/>
      <c r="HX23" s="146"/>
      <c r="HY23" s="146"/>
      <c r="HZ23" s="146"/>
      <c r="IA23" s="146"/>
    </row>
    <row r="24" spans="1:235" s="159" customFormat="1" ht="57" x14ac:dyDescent="0.25">
      <c r="A24" s="197">
        <v>11300</v>
      </c>
      <c r="B24" s="194" t="s">
        <v>4</v>
      </c>
      <c r="C24" s="198" t="s">
        <v>160</v>
      </c>
      <c r="D24" s="194" t="s">
        <v>145</v>
      </c>
      <c r="E24" s="198" t="s">
        <v>161</v>
      </c>
      <c r="F24" s="194" t="s">
        <v>162</v>
      </c>
      <c r="G24" s="209" t="s">
        <v>123</v>
      </c>
      <c r="H24" s="216">
        <v>1</v>
      </c>
      <c r="I24" s="198" t="s">
        <v>304</v>
      </c>
      <c r="J24" s="194" t="s">
        <v>169</v>
      </c>
      <c r="K24" s="210">
        <v>720776535000</v>
      </c>
      <c r="L24" s="220">
        <v>1.6869365501534991E-2</v>
      </c>
      <c r="M24" s="194" t="s">
        <v>46</v>
      </c>
      <c r="N24" s="194" t="s">
        <v>68</v>
      </c>
      <c r="O24" s="194" t="s">
        <v>21</v>
      </c>
      <c r="P24" s="194" t="s">
        <v>36</v>
      </c>
      <c r="Q24" s="194" t="s">
        <v>213</v>
      </c>
      <c r="R24" s="194" t="s">
        <v>182</v>
      </c>
      <c r="S24" s="194" t="s">
        <v>99</v>
      </c>
      <c r="T24" s="211">
        <v>1</v>
      </c>
      <c r="U24" s="212" t="str">
        <f t="shared" si="13"/>
        <v>Licencias de Maternidad y Paternidad</v>
      </c>
      <c r="V24" s="213">
        <f t="shared" si="13"/>
        <v>720776535000</v>
      </c>
      <c r="W24" s="214" t="s">
        <v>116</v>
      </c>
      <c r="X24" s="281">
        <v>0.25</v>
      </c>
      <c r="Y24" s="282" t="s">
        <v>169</v>
      </c>
      <c r="Z24" s="283">
        <v>180194133750</v>
      </c>
      <c r="AA24" s="279"/>
      <c r="AB24" s="279"/>
      <c r="AC24" s="280">
        <f t="shared" si="14"/>
        <v>0</v>
      </c>
      <c r="AD24" s="280">
        <f t="shared" si="15"/>
        <v>0</v>
      </c>
      <c r="AE24" s="280">
        <f t="shared" si="0"/>
        <v>0</v>
      </c>
      <c r="AF24" s="280">
        <f t="shared" si="1"/>
        <v>0</v>
      </c>
      <c r="AG24" s="281">
        <v>0.25</v>
      </c>
      <c r="AH24" s="282" t="s">
        <v>169</v>
      </c>
      <c r="AI24" s="283">
        <v>180194133750</v>
      </c>
      <c r="AJ24" s="279"/>
      <c r="AK24" s="279"/>
      <c r="AL24" s="280">
        <f t="shared" si="16"/>
        <v>0</v>
      </c>
      <c r="AM24" s="280">
        <f t="shared" si="2"/>
        <v>0</v>
      </c>
      <c r="AN24" s="280">
        <f t="shared" si="3"/>
        <v>0</v>
      </c>
      <c r="AO24" s="280">
        <f t="shared" si="4"/>
        <v>0</v>
      </c>
      <c r="AP24" s="281">
        <v>0.25</v>
      </c>
      <c r="AQ24" s="282" t="s">
        <v>169</v>
      </c>
      <c r="AR24" s="283">
        <v>180194133750</v>
      </c>
      <c r="AS24" s="279"/>
      <c r="AT24" s="279"/>
      <c r="AU24" s="280">
        <f t="shared" si="17"/>
        <v>0</v>
      </c>
      <c r="AV24" s="280">
        <f t="shared" si="18"/>
        <v>0</v>
      </c>
      <c r="AW24" s="280">
        <f t="shared" si="19"/>
        <v>0</v>
      </c>
      <c r="AX24" s="280">
        <f t="shared" si="20"/>
        <v>0</v>
      </c>
      <c r="AY24" s="281">
        <v>0.25</v>
      </c>
      <c r="AZ24" s="282" t="s">
        <v>169</v>
      </c>
      <c r="BA24" s="283">
        <v>180194133750</v>
      </c>
      <c r="BB24" s="279"/>
      <c r="BC24" s="279"/>
      <c r="BD24" s="281">
        <f t="shared" si="21"/>
        <v>0</v>
      </c>
      <c r="BE24" s="281">
        <f t="shared" si="22"/>
        <v>0</v>
      </c>
      <c r="BF24" s="281">
        <f t="shared" si="23"/>
        <v>0</v>
      </c>
      <c r="BG24" s="281">
        <f t="shared" si="24"/>
        <v>0</v>
      </c>
      <c r="BH24" s="205">
        <f t="shared" si="5"/>
        <v>0</v>
      </c>
      <c r="BI24" s="205">
        <f t="shared" si="6"/>
        <v>0</v>
      </c>
      <c r="BJ24" s="205">
        <f t="shared" si="7"/>
        <v>0</v>
      </c>
      <c r="BK24" s="205">
        <f t="shared" si="8"/>
        <v>0</v>
      </c>
      <c r="BL24" s="205">
        <f t="shared" si="25"/>
        <v>0</v>
      </c>
      <c r="BM24" s="205">
        <f t="shared" si="26"/>
        <v>0</v>
      </c>
      <c r="BN24" s="205">
        <f t="shared" si="9"/>
        <v>0</v>
      </c>
      <c r="BO24" s="205">
        <f t="shared" si="10"/>
        <v>0</v>
      </c>
      <c r="BP24" s="206"/>
      <c r="BQ24" s="277">
        <v>1</v>
      </c>
      <c r="BR24" s="208">
        <f t="shared" si="12"/>
        <v>0.58333333333333337</v>
      </c>
      <c r="BS24" s="219" t="str">
        <f t="shared" si="27"/>
        <v>Licencias de Maternidad y Paternidad</v>
      </c>
      <c r="BT24" s="195">
        <f t="shared" si="11"/>
        <v>420452978750</v>
      </c>
      <c r="BU24" s="196"/>
      <c r="BV24" s="196"/>
      <c r="BW24" s="196"/>
      <c r="BX24" s="196"/>
      <c r="BY24" s="196"/>
      <c r="BZ24" s="196"/>
      <c r="CA24" s="146"/>
      <c r="CB24" s="146"/>
      <c r="CC24" s="146"/>
      <c r="CD24" s="146"/>
      <c r="CE24" s="146"/>
      <c r="CF24" s="146"/>
      <c r="CG24" s="146"/>
      <c r="CH24" s="146"/>
      <c r="CI24" s="146"/>
      <c r="CJ24" s="146"/>
      <c r="CK24" s="146"/>
      <c r="CL24" s="146"/>
      <c r="CM24" s="146"/>
      <c r="CN24" s="146"/>
      <c r="CO24" s="146"/>
      <c r="CP24" s="146"/>
      <c r="CQ24" s="146"/>
      <c r="CR24" s="146"/>
      <c r="CS24" s="146"/>
      <c r="CT24" s="146"/>
      <c r="CU24" s="146"/>
      <c r="CV24" s="146"/>
      <c r="CW24" s="146"/>
      <c r="CX24" s="146"/>
      <c r="CY24" s="146"/>
      <c r="CZ24" s="146"/>
      <c r="DA24" s="146"/>
      <c r="DB24" s="146"/>
      <c r="DC24" s="146"/>
      <c r="DD24" s="146"/>
      <c r="DE24" s="146"/>
      <c r="DF24" s="146"/>
      <c r="DG24" s="146"/>
      <c r="DH24" s="146"/>
      <c r="DI24" s="146"/>
      <c r="DJ24" s="146"/>
      <c r="DK24" s="146"/>
      <c r="DL24" s="146"/>
      <c r="DM24" s="146"/>
      <c r="DN24" s="146"/>
      <c r="DO24" s="146"/>
      <c r="DP24" s="146"/>
      <c r="DQ24" s="146"/>
      <c r="DR24" s="146"/>
      <c r="DS24" s="146"/>
      <c r="DT24" s="146"/>
      <c r="DU24" s="146"/>
      <c r="DV24" s="146"/>
      <c r="DW24" s="146"/>
      <c r="DX24" s="146"/>
      <c r="DY24" s="146"/>
      <c r="DZ24" s="146"/>
      <c r="EA24" s="146"/>
      <c r="EB24" s="146"/>
      <c r="EC24" s="146"/>
      <c r="ED24" s="146"/>
      <c r="EE24" s="146"/>
      <c r="EF24" s="146"/>
      <c r="EG24" s="146"/>
      <c r="EH24" s="146"/>
      <c r="EI24" s="146"/>
      <c r="EJ24" s="146"/>
      <c r="EK24" s="146"/>
      <c r="EL24" s="146"/>
      <c r="EM24" s="146"/>
      <c r="EN24" s="146"/>
      <c r="EO24" s="146"/>
      <c r="EP24" s="146"/>
      <c r="EQ24" s="146"/>
      <c r="ER24" s="146"/>
      <c r="ES24" s="146"/>
      <c r="ET24" s="146"/>
      <c r="EU24" s="146"/>
      <c r="EV24" s="146"/>
      <c r="EW24" s="146"/>
      <c r="EX24" s="146"/>
      <c r="EY24" s="146"/>
      <c r="EZ24" s="146"/>
      <c r="FA24" s="146"/>
      <c r="FB24" s="146"/>
      <c r="FC24" s="146"/>
      <c r="FD24" s="146"/>
      <c r="FE24" s="146"/>
      <c r="FF24" s="146"/>
      <c r="FG24" s="146"/>
      <c r="FH24" s="146"/>
      <c r="FI24" s="146"/>
      <c r="FJ24" s="146"/>
      <c r="FK24" s="146"/>
      <c r="FL24" s="146"/>
      <c r="FM24" s="146"/>
      <c r="FN24" s="146"/>
      <c r="FO24" s="146"/>
      <c r="FP24" s="146"/>
      <c r="FQ24" s="146"/>
      <c r="FR24" s="146"/>
      <c r="FS24" s="146"/>
      <c r="FT24" s="146"/>
      <c r="FU24" s="146"/>
      <c r="FV24" s="146"/>
      <c r="FW24" s="146"/>
      <c r="FX24" s="146"/>
      <c r="FY24" s="146"/>
      <c r="FZ24" s="146"/>
      <c r="GA24" s="146"/>
      <c r="GB24" s="146"/>
      <c r="GC24" s="146"/>
      <c r="GD24" s="146"/>
      <c r="GE24" s="146"/>
      <c r="GF24" s="146"/>
      <c r="GG24" s="146"/>
      <c r="GH24" s="146"/>
      <c r="GI24" s="146"/>
      <c r="GJ24" s="146"/>
      <c r="GK24" s="146"/>
      <c r="GL24" s="146"/>
      <c r="GM24" s="146"/>
      <c r="GN24" s="146"/>
      <c r="GO24" s="146"/>
      <c r="GP24" s="146"/>
      <c r="GQ24" s="146"/>
      <c r="GR24" s="146"/>
      <c r="GS24" s="146"/>
      <c r="GT24" s="146"/>
      <c r="GU24" s="146"/>
      <c r="GV24" s="146"/>
      <c r="GW24" s="146"/>
      <c r="GX24" s="146"/>
      <c r="GY24" s="146"/>
      <c r="GZ24" s="146"/>
      <c r="HA24" s="146"/>
      <c r="HB24" s="146"/>
      <c r="HC24" s="146"/>
      <c r="HD24" s="146"/>
      <c r="HE24" s="146"/>
      <c r="HF24" s="146"/>
      <c r="HG24" s="146"/>
      <c r="HH24" s="146"/>
      <c r="HI24" s="146"/>
      <c r="HJ24" s="146"/>
      <c r="HK24" s="146"/>
      <c r="HL24" s="146"/>
      <c r="HM24" s="146"/>
      <c r="HN24" s="146"/>
      <c r="HO24" s="146"/>
      <c r="HP24" s="146"/>
      <c r="HQ24" s="146"/>
      <c r="HR24" s="146"/>
      <c r="HS24" s="146"/>
      <c r="HT24" s="146"/>
      <c r="HU24" s="146"/>
      <c r="HV24" s="146"/>
      <c r="HW24" s="146"/>
      <c r="HX24" s="146"/>
      <c r="HY24" s="146"/>
      <c r="HZ24" s="146"/>
      <c r="IA24" s="146"/>
    </row>
    <row r="25" spans="1:235" s="159" customFormat="1" ht="57" x14ac:dyDescent="0.25">
      <c r="A25" s="197">
        <v>11300</v>
      </c>
      <c r="B25" s="194" t="s">
        <v>4</v>
      </c>
      <c r="C25" s="198" t="s">
        <v>160</v>
      </c>
      <c r="D25" s="194" t="s">
        <v>145</v>
      </c>
      <c r="E25" s="198" t="s">
        <v>161</v>
      </c>
      <c r="F25" s="194" t="s">
        <v>162</v>
      </c>
      <c r="G25" s="209" t="s">
        <v>123</v>
      </c>
      <c r="H25" s="216">
        <v>1</v>
      </c>
      <c r="I25" s="198" t="s">
        <v>305</v>
      </c>
      <c r="J25" s="194" t="s">
        <v>561</v>
      </c>
      <c r="K25" s="210">
        <v>1500000000</v>
      </c>
      <c r="L25" s="220">
        <v>3.5106648210048191E-5</v>
      </c>
      <c r="M25" s="194" t="s">
        <v>46</v>
      </c>
      <c r="N25" s="194" t="s">
        <v>68</v>
      </c>
      <c r="O25" s="194" t="s">
        <v>21</v>
      </c>
      <c r="P25" s="194" t="s">
        <v>36</v>
      </c>
      <c r="Q25" s="194" t="s">
        <v>213</v>
      </c>
      <c r="R25" s="194" t="s">
        <v>182</v>
      </c>
      <c r="S25" s="194" t="s">
        <v>99</v>
      </c>
      <c r="T25" s="211">
        <v>1</v>
      </c>
      <c r="U25" s="212" t="str">
        <f t="shared" si="13"/>
        <v>Prestaciones Económicas Regímenes Especiales de Excepción</v>
      </c>
      <c r="V25" s="213">
        <f t="shared" si="13"/>
        <v>1500000000</v>
      </c>
      <c r="W25" s="214" t="s">
        <v>116</v>
      </c>
      <c r="X25" s="281">
        <v>0.25</v>
      </c>
      <c r="Y25" s="282" t="s">
        <v>561</v>
      </c>
      <c r="Z25" s="283">
        <v>375000000</v>
      </c>
      <c r="AA25" s="279"/>
      <c r="AB25" s="279"/>
      <c r="AC25" s="280">
        <f t="shared" si="14"/>
        <v>0</v>
      </c>
      <c r="AD25" s="280">
        <f t="shared" si="15"/>
        <v>0</v>
      </c>
      <c r="AE25" s="280">
        <f t="shared" si="0"/>
        <v>0</v>
      </c>
      <c r="AF25" s="280">
        <f t="shared" si="1"/>
        <v>0</v>
      </c>
      <c r="AG25" s="281">
        <v>0.25</v>
      </c>
      <c r="AH25" s="282" t="s">
        <v>561</v>
      </c>
      <c r="AI25" s="283">
        <v>375000000</v>
      </c>
      <c r="AJ25" s="279"/>
      <c r="AK25" s="279"/>
      <c r="AL25" s="280">
        <f t="shared" si="16"/>
        <v>0</v>
      </c>
      <c r="AM25" s="280">
        <f t="shared" si="2"/>
        <v>0</v>
      </c>
      <c r="AN25" s="280">
        <f t="shared" si="3"/>
        <v>0</v>
      </c>
      <c r="AO25" s="280">
        <f t="shared" si="4"/>
        <v>0</v>
      </c>
      <c r="AP25" s="281">
        <v>0.25</v>
      </c>
      <c r="AQ25" s="282" t="s">
        <v>561</v>
      </c>
      <c r="AR25" s="283">
        <v>375000000</v>
      </c>
      <c r="AS25" s="279"/>
      <c r="AT25" s="279"/>
      <c r="AU25" s="280">
        <f t="shared" si="17"/>
        <v>0</v>
      </c>
      <c r="AV25" s="280">
        <f t="shared" si="18"/>
        <v>0</v>
      </c>
      <c r="AW25" s="280">
        <f t="shared" si="19"/>
        <v>0</v>
      </c>
      <c r="AX25" s="280">
        <f t="shared" si="20"/>
        <v>0</v>
      </c>
      <c r="AY25" s="281">
        <v>0.25</v>
      </c>
      <c r="AZ25" s="282" t="s">
        <v>561</v>
      </c>
      <c r="BA25" s="283">
        <v>375000000</v>
      </c>
      <c r="BB25" s="279"/>
      <c r="BC25" s="279"/>
      <c r="BD25" s="281">
        <f t="shared" si="21"/>
        <v>0</v>
      </c>
      <c r="BE25" s="281">
        <f t="shared" si="22"/>
        <v>0</v>
      </c>
      <c r="BF25" s="281">
        <f t="shared" si="23"/>
        <v>0</v>
      </c>
      <c r="BG25" s="281">
        <f t="shared" si="24"/>
        <v>0</v>
      </c>
      <c r="BH25" s="205">
        <f t="shared" si="5"/>
        <v>0</v>
      </c>
      <c r="BI25" s="205">
        <f t="shared" si="6"/>
        <v>0</v>
      </c>
      <c r="BJ25" s="205">
        <f t="shared" si="7"/>
        <v>0</v>
      </c>
      <c r="BK25" s="205">
        <f t="shared" si="8"/>
        <v>0</v>
      </c>
      <c r="BL25" s="205">
        <f t="shared" si="25"/>
        <v>0</v>
      </c>
      <c r="BM25" s="205">
        <f t="shared" si="26"/>
        <v>0</v>
      </c>
      <c r="BN25" s="205">
        <f t="shared" si="9"/>
        <v>0</v>
      </c>
      <c r="BO25" s="205">
        <f t="shared" si="10"/>
        <v>0</v>
      </c>
      <c r="BP25" s="206"/>
      <c r="BQ25" s="277">
        <v>1</v>
      </c>
      <c r="BR25" s="208">
        <f t="shared" si="12"/>
        <v>0.58333333333333337</v>
      </c>
      <c r="BS25" s="219" t="str">
        <f t="shared" si="27"/>
        <v>Prestaciones Económicas Regímenes Especiales de Excepción</v>
      </c>
      <c r="BT25" s="195">
        <f t="shared" si="11"/>
        <v>875000000</v>
      </c>
      <c r="BU25" s="196"/>
      <c r="BV25" s="196"/>
      <c r="BW25" s="196"/>
      <c r="BX25" s="196"/>
      <c r="BY25" s="196"/>
      <c r="BZ25" s="196"/>
      <c r="CA25" s="146"/>
      <c r="CB25" s="146"/>
      <c r="CC25" s="146"/>
      <c r="CD25" s="146"/>
      <c r="CE25" s="146"/>
      <c r="CF25" s="146"/>
      <c r="CG25" s="146"/>
      <c r="CH25" s="146"/>
      <c r="CI25" s="146"/>
      <c r="CJ25" s="146"/>
      <c r="CK25" s="146"/>
      <c r="CL25" s="146"/>
      <c r="CM25" s="146"/>
      <c r="CN25" s="146"/>
      <c r="CO25" s="146"/>
      <c r="CP25" s="146"/>
      <c r="CQ25" s="146"/>
      <c r="CR25" s="146"/>
      <c r="CS25" s="146"/>
      <c r="CT25" s="146"/>
      <c r="CU25" s="146"/>
      <c r="CV25" s="146"/>
      <c r="CW25" s="146"/>
      <c r="CX25" s="146"/>
      <c r="CY25" s="146"/>
      <c r="CZ25" s="146"/>
      <c r="DA25" s="146"/>
      <c r="DB25" s="146"/>
      <c r="DC25" s="146"/>
      <c r="DD25" s="146"/>
      <c r="DE25" s="146"/>
      <c r="DF25" s="146"/>
      <c r="DG25" s="146"/>
      <c r="DH25" s="146"/>
      <c r="DI25" s="146"/>
      <c r="DJ25" s="146"/>
      <c r="DK25" s="146"/>
      <c r="DL25" s="146"/>
      <c r="DM25" s="146"/>
      <c r="DN25" s="146"/>
      <c r="DO25" s="146"/>
      <c r="DP25" s="146"/>
      <c r="DQ25" s="146"/>
      <c r="DR25" s="146"/>
      <c r="DS25" s="146"/>
      <c r="DT25" s="146"/>
      <c r="DU25" s="146"/>
      <c r="DV25" s="146"/>
      <c r="DW25" s="146"/>
      <c r="DX25" s="146"/>
      <c r="DY25" s="146"/>
      <c r="DZ25" s="146"/>
      <c r="EA25" s="146"/>
      <c r="EB25" s="146"/>
      <c r="EC25" s="146"/>
      <c r="ED25" s="146"/>
      <c r="EE25" s="146"/>
      <c r="EF25" s="146"/>
      <c r="EG25" s="146"/>
      <c r="EH25" s="146"/>
      <c r="EI25" s="146"/>
      <c r="EJ25" s="146"/>
      <c r="EK25" s="146"/>
      <c r="EL25" s="146"/>
      <c r="EM25" s="146"/>
      <c r="EN25" s="146"/>
      <c r="EO25" s="146"/>
      <c r="EP25" s="146"/>
      <c r="EQ25" s="146"/>
      <c r="ER25" s="146"/>
      <c r="ES25" s="146"/>
      <c r="ET25" s="146"/>
      <c r="EU25" s="146"/>
      <c r="EV25" s="146"/>
      <c r="EW25" s="146"/>
      <c r="EX25" s="146"/>
      <c r="EY25" s="146"/>
      <c r="EZ25" s="146"/>
      <c r="FA25" s="146"/>
      <c r="FB25" s="146"/>
      <c r="FC25" s="146"/>
      <c r="FD25" s="146"/>
      <c r="FE25" s="146"/>
      <c r="FF25" s="146"/>
      <c r="FG25" s="146"/>
      <c r="FH25" s="146"/>
      <c r="FI25" s="146"/>
      <c r="FJ25" s="146"/>
      <c r="FK25" s="146"/>
      <c r="FL25" s="146"/>
      <c r="FM25" s="146"/>
      <c r="FN25" s="146"/>
      <c r="FO25" s="146"/>
      <c r="FP25" s="146"/>
      <c r="FQ25" s="146"/>
      <c r="FR25" s="146"/>
      <c r="FS25" s="146"/>
      <c r="FT25" s="146"/>
      <c r="FU25" s="146"/>
      <c r="FV25" s="146"/>
      <c r="FW25" s="146"/>
      <c r="FX25" s="146"/>
      <c r="FY25" s="146"/>
      <c r="FZ25" s="146"/>
      <c r="GA25" s="146"/>
      <c r="GB25" s="146"/>
      <c r="GC25" s="146"/>
      <c r="GD25" s="146"/>
      <c r="GE25" s="146"/>
      <c r="GF25" s="146"/>
      <c r="GG25" s="146"/>
      <c r="GH25" s="146"/>
      <c r="GI25" s="146"/>
      <c r="GJ25" s="146"/>
      <c r="GK25" s="146"/>
      <c r="GL25" s="146"/>
      <c r="GM25" s="146"/>
      <c r="GN25" s="146"/>
      <c r="GO25" s="146"/>
      <c r="GP25" s="146"/>
      <c r="GQ25" s="146"/>
      <c r="GR25" s="146"/>
      <c r="GS25" s="146"/>
      <c r="GT25" s="146"/>
      <c r="GU25" s="146"/>
      <c r="GV25" s="146"/>
      <c r="GW25" s="146"/>
      <c r="GX25" s="146"/>
      <c r="GY25" s="146"/>
      <c r="GZ25" s="146"/>
      <c r="HA25" s="146"/>
      <c r="HB25" s="146"/>
      <c r="HC25" s="146"/>
      <c r="HD25" s="146"/>
      <c r="HE25" s="146"/>
      <c r="HF25" s="146"/>
      <c r="HG25" s="146"/>
      <c r="HH25" s="146"/>
      <c r="HI25" s="146"/>
      <c r="HJ25" s="146"/>
      <c r="HK25" s="146"/>
      <c r="HL25" s="146"/>
      <c r="HM25" s="146"/>
      <c r="HN25" s="146"/>
      <c r="HO25" s="146"/>
      <c r="HP25" s="146"/>
      <c r="HQ25" s="146"/>
      <c r="HR25" s="146"/>
      <c r="HS25" s="146"/>
      <c r="HT25" s="146"/>
      <c r="HU25" s="146"/>
      <c r="HV25" s="146"/>
      <c r="HW25" s="146"/>
      <c r="HX25" s="146"/>
      <c r="HY25" s="146"/>
      <c r="HZ25" s="146"/>
      <c r="IA25" s="146"/>
    </row>
    <row r="26" spans="1:235" s="159" customFormat="1" ht="57" x14ac:dyDescent="0.25">
      <c r="A26" s="197">
        <v>11300</v>
      </c>
      <c r="B26" s="194" t="s">
        <v>4</v>
      </c>
      <c r="C26" s="198" t="s">
        <v>160</v>
      </c>
      <c r="D26" s="194" t="s">
        <v>145</v>
      </c>
      <c r="E26" s="198" t="s">
        <v>161</v>
      </c>
      <c r="F26" s="194" t="s">
        <v>162</v>
      </c>
      <c r="G26" s="209" t="s">
        <v>123</v>
      </c>
      <c r="H26" s="216">
        <v>1</v>
      </c>
      <c r="I26" s="198" t="s">
        <v>306</v>
      </c>
      <c r="J26" s="194" t="s">
        <v>170</v>
      </c>
      <c r="K26" s="210">
        <v>18712351563000</v>
      </c>
      <c r="L26" s="220">
        <v>0.43795196233665762</v>
      </c>
      <c r="M26" s="194" t="s">
        <v>46</v>
      </c>
      <c r="N26" s="194" t="s">
        <v>68</v>
      </c>
      <c r="O26" s="194" t="s">
        <v>21</v>
      </c>
      <c r="P26" s="194" t="s">
        <v>36</v>
      </c>
      <c r="Q26" s="194" t="s">
        <v>213</v>
      </c>
      <c r="R26" s="194" t="s">
        <v>182</v>
      </c>
      <c r="S26" s="194" t="s">
        <v>99</v>
      </c>
      <c r="T26" s="211">
        <v>1</v>
      </c>
      <c r="U26" s="212" t="str">
        <f t="shared" si="13"/>
        <v>Financiación UPC Régimen Subsidiado CSF</v>
      </c>
      <c r="V26" s="213">
        <f t="shared" si="13"/>
        <v>18712351563000</v>
      </c>
      <c r="W26" s="214" t="s">
        <v>116</v>
      </c>
      <c r="X26" s="281">
        <v>0.25</v>
      </c>
      <c r="Y26" s="282" t="s">
        <v>170</v>
      </c>
      <c r="Z26" s="283">
        <v>4678087890750</v>
      </c>
      <c r="AA26" s="279"/>
      <c r="AB26" s="279"/>
      <c r="AC26" s="280">
        <f t="shared" si="14"/>
        <v>0</v>
      </c>
      <c r="AD26" s="280">
        <f t="shared" si="15"/>
        <v>0</v>
      </c>
      <c r="AE26" s="280">
        <f t="shared" si="0"/>
        <v>0</v>
      </c>
      <c r="AF26" s="280">
        <f t="shared" si="1"/>
        <v>0</v>
      </c>
      <c r="AG26" s="281">
        <v>0.25</v>
      </c>
      <c r="AH26" s="282" t="s">
        <v>170</v>
      </c>
      <c r="AI26" s="283">
        <v>4678087890750</v>
      </c>
      <c r="AJ26" s="279"/>
      <c r="AK26" s="279"/>
      <c r="AL26" s="280">
        <f t="shared" si="16"/>
        <v>0</v>
      </c>
      <c r="AM26" s="280">
        <f t="shared" si="2"/>
        <v>0</v>
      </c>
      <c r="AN26" s="280">
        <f t="shared" si="3"/>
        <v>0</v>
      </c>
      <c r="AO26" s="280">
        <f t="shared" si="4"/>
        <v>0</v>
      </c>
      <c r="AP26" s="281">
        <v>0.25</v>
      </c>
      <c r="AQ26" s="282" t="s">
        <v>170</v>
      </c>
      <c r="AR26" s="283">
        <v>4678087890750</v>
      </c>
      <c r="AS26" s="279"/>
      <c r="AT26" s="279"/>
      <c r="AU26" s="280">
        <f t="shared" si="17"/>
        <v>0</v>
      </c>
      <c r="AV26" s="280">
        <f t="shared" si="18"/>
        <v>0</v>
      </c>
      <c r="AW26" s="280">
        <f t="shared" si="19"/>
        <v>0</v>
      </c>
      <c r="AX26" s="280">
        <f t="shared" si="20"/>
        <v>0</v>
      </c>
      <c r="AY26" s="281">
        <v>0.25</v>
      </c>
      <c r="AZ26" s="282" t="s">
        <v>170</v>
      </c>
      <c r="BA26" s="283">
        <v>4678087890750</v>
      </c>
      <c r="BB26" s="279"/>
      <c r="BC26" s="279"/>
      <c r="BD26" s="281">
        <f t="shared" si="21"/>
        <v>0</v>
      </c>
      <c r="BE26" s="281">
        <f t="shared" si="22"/>
        <v>0</v>
      </c>
      <c r="BF26" s="281">
        <f t="shared" si="23"/>
        <v>0</v>
      </c>
      <c r="BG26" s="281">
        <f t="shared" si="24"/>
        <v>0</v>
      </c>
      <c r="BH26" s="205">
        <f t="shared" si="5"/>
        <v>0</v>
      </c>
      <c r="BI26" s="205">
        <f t="shared" si="6"/>
        <v>0</v>
      </c>
      <c r="BJ26" s="205">
        <f t="shared" si="7"/>
        <v>0</v>
      </c>
      <c r="BK26" s="205">
        <f t="shared" si="8"/>
        <v>0</v>
      </c>
      <c r="BL26" s="205">
        <f t="shared" si="25"/>
        <v>0</v>
      </c>
      <c r="BM26" s="205">
        <f t="shared" si="26"/>
        <v>0</v>
      </c>
      <c r="BN26" s="205">
        <f t="shared" si="9"/>
        <v>0</v>
      </c>
      <c r="BO26" s="205">
        <f t="shared" si="10"/>
        <v>0</v>
      </c>
      <c r="BP26" s="206"/>
      <c r="BQ26" s="277">
        <v>1</v>
      </c>
      <c r="BR26" s="208">
        <f t="shared" si="12"/>
        <v>0.58333333333333337</v>
      </c>
      <c r="BS26" s="219" t="str">
        <f t="shared" si="27"/>
        <v>Financiación UPC Régimen Subsidiado CSF</v>
      </c>
      <c r="BT26" s="195">
        <f t="shared" si="11"/>
        <v>10915538411750</v>
      </c>
      <c r="BU26" s="196"/>
      <c r="BV26" s="196"/>
      <c r="BW26" s="196"/>
      <c r="BX26" s="196"/>
      <c r="BY26" s="196"/>
      <c r="BZ26" s="196"/>
      <c r="CA26" s="146"/>
      <c r="CB26" s="146"/>
      <c r="CC26" s="146"/>
      <c r="CD26" s="146"/>
      <c r="CE26" s="146"/>
      <c r="CF26" s="146"/>
      <c r="CG26" s="146"/>
      <c r="CH26" s="146"/>
      <c r="CI26" s="146"/>
      <c r="CJ26" s="146"/>
      <c r="CK26" s="146"/>
      <c r="CL26" s="146"/>
      <c r="CM26" s="146"/>
      <c r="CN26" s="146"/>
      <c r="CO26" s="146"/>
      <c r="CP26" s="146"/>
      <c r="CQ26" s="146"/>
      <c r="CR26" s="146"/>
      <c r="CS26" s="146"/>
      <c r="CT26" s="146"/>
      <c r="CU26" s="146"/>
      <c r="CV26" s="146"/>
      <c r="CW26" s="146"/>
      <c r="CX26" s="146"/>
      <c r="CY26" s="146"/>
      <c r="CZ26" s="146"/>
      <c r="DA26" s="146"/>
      <c r="DB26" s="146"/>
      <c r="DC26" s="146"/>
      <c r="DD26" s="146"/>
      <c r="DE26" s="146"/>
      <c r="DF26" s="146"/>
      <c r="DG26" s="146"/>
      <c r="DH26" s="146"/>
      <c r="DI26" s="146"/>
      <c r="DJ26" s="146"/>
      <c r="DK26" s="146"/>
      <c r="DL26" s="146"/>
      <c r="DM26" s="146"/>
      <c r="DN26" s="146"/>
      <c r="DO26" s="146"/>
      <c r="DP26" s="146"/>
      <c r="DQ26" s="146"/>
      <c r="DR26" s="146"/>
      <c r="DS26" s="146"/>
      <c r="DT26" s="146"/>
      <c r="DU26" s="146"/>
      <c r="DV26" s="146"/>
      <c r="DW26" s="146"/>
      <c r="DX26" s="146"/>
      <c r="DY26" s="146"/>
      <c r="DZ26" s="146"/>
      <c r="EA26" s="146"/>
      <c r="EB26" s="146"/>
      <c r="EC26" s="146"/>
      <c r="ED26" s="146"/>
      <c r="EE26" s="146"/>
      <c r="EF26" s="146"/>
      <c r="EG26" s="146"/>
      <c r="EH26" s="146"/>
      <c r="EI26" s="146"/>
      <c r="EJ26" s="146"/>
      <c r="EK26" s="146"/>
      <c r="EL26" s="146"/>
      <c r="EM26" s="146"/>
      <c r="EN26" s="146"/>
      <c r="EO26" s="146"/>
      <c r="EP26" s="146"/>
      <c r="EQ26" s="146"/>
      <c r="ER26" s="146"/>
      <c r="ES26" s="146"/>
      <c r="ET26" s="146"/>
      <c r="EU26" s="146"/>
      <c r="EV26" s="146"/>
      <c r="EW26" s="146"/>
      <c r="EX26" s="146"/>
      <c r="EY26" s="146"/>
      <c r="EZ26" s="146"/>
      <c r="FA26" s="146"/>
      <c r="FB26" s="146"/>
      <c r="FC26" s="146"/>
      <c r="FD26" s="146"/>
      <c r="FE26" s="146"/>
      <c r="FF26" s="146"/>
      <c r="FG26" s="146"/>
      <c r="FH26" s="146"/>
      <c r="FI26" s="146"/>
      <c r="FJ26" s="146"/>
      <c r="FK26" s="146"/>
      <c r="FL26" s="146"/>
      <c r="FM26" s="146"/>
      <c r="FN26" s="146"/>
      <c r="FO26" s="146"/>
      <c r="FP26" s="146"/>
      <c r="FQ26" s="146"/>
      <c r="FR26" s="146"/>
      <c r="FS26" s="146"/>
      <c r="FT26" s="146"/>
      <c r="FU26" s="146"/>
      <c r="FV26" s="146"/>
      <c r="FW26" s="146"/>
      <c r="FX26" s="146"/>
      <c r="FY26" s="146"/>
      <c r="FZ26" s="146"/>
      <c r="GA26" s="146"/>
      <c r="GB26" s="146"/>
      <c r="GC26" s="146"/>
      <c r="GD26" s="146"/>
      <c r="GE26" s="146"/>
      <c r="GF26" s="146"/>
      <c r="GG26" s="146"/>
      <c r="GH26" s="146"/>
      <c r="GI26" s="146"/>
      <c r="GJ26" s="146"/>
      <c r="GK26" s="146"/>
      <c r="GL26" s="146"/>
      <c r="GM26" s="146"/>
      <c r="GN26" s="146"/>
      <c r="GO26" s="146"/>
      <c r="GP26" s="146"/>
      <c r="GQ26" s="146"/>
      <c r="GR26" s="146"/>
      <c r="GS26" s="146"/>
      <c r="GT26" s="146"/>
      <c r="GU26" s="146"/>
      <c r="GV26" s="146"/>
      <c r="GW26" s="146"/>
      <c r="GX26" s="146"/>
      <c r="GY26" s="146"/>
      <c r="GZ26" s="146"/>
      <c r="HA26" s="146"/>
      <c r="HB26" s="146"/>
      <c r="HC26" s="146"/>
      <c r="HD26" s="146"/>
      <c r="HE26" s="146"/>
      <c r="HF26" s="146"/>
      <c r="HG26" s="146"/>
      <c r="HH26" s="146"/>
      <c r="HI26" s="146"/>
      <c r="HJ26" s="146"/>
      <c r="HK26" s="146"/>
      <c r="HL26" s="146"/>
      <c r="HM26" s="146"/>
      <c r="HN26" s="146"/>
      <c r="HO26" s="146"/>
      <c r="HP26" s="146"/>
      <c r="HQ26" s="146"/>
      <c r="HR26" s="146"/>
      <c r="HS26" s="146"/>
      <c r="HT26" s="146"/>
      <c r="HU26" s="146"/>
      <c r="HV26" s="146"/>
      <c r="HW26" s="146"/>
      <c r="HX26" s="146"/>
      <c r="HY26" s="146"/>
      <c r="HZ26" s="146"/>
      <c r="IA26" s="146"/>
    </row>
    <row r="27" spans="1:235" s="159" customFormat="1" ht="57" x14ac:dyDescent="0.25">
      <c r="A27" s="197">
        <v>11300</v>
      </c>
      <c r="B27" s="194" t="s">
        <v>4</v>
      </c>
      <c r="C27" s="198" t="s">
        <v>160</v>
      </c>
      <c r="D27" s="194" t="s">
        <v>145</v>
      </c>
      <c r="E27" s="198" t="s">
        <v>161</v>
      </c>
      <c r="F27" s="194" t="s">
        <v>162</v>
      </c>
      <c r="G27" s="209" t="s">
        <v>123</v>
      </c>
      <c r="H27" s="216">
        <v>1</v>
      </c>
      <c r="I27" s="198" t="s">
        <v>307</v>
      </c>
      <c r="J27" s="194" t="s">
        <v>171</v>
      </c>
      <c r="K27" s="210">
        <v>26475329000</v>
      </c>
      <c r="L27" s="220">
        <v>6.1964004096552467E-4</v>
      </c>
      <c r="M27" s="194" t="s">
        <v>46</v>
      </c>
      <c r="N27" s="194" t="s">
        <v>68</v>
      </c>
      <c r="O27" s="194" t="s">
        <v>21</v>
      </c>
      <c r="P27" s="194" t="s">
        <v>36</v>
      </c>
      <c r="Q27" s="194" t="s">
        <v>213</v>
      </c>
      <c r="R27" s="194" t="s">
        <v>182</v>
      </c>
      <c r="S27" s="194" t="s">
        <v>99</v>
      </c>
      <c r="T27" s="211">
        <v>1</v>
      </c>
      <c r="U27" s="212" t="str">
        <f t="shared" si="13"/>
        <v>Financiación UPC Régimen Subsidiado - CCF - SSF</v>
      </c>
      <c r="V27" s="213">
        <f t="shared" si="13"/>
        <v>26475329000</v>
      </c>
      <c r="W27" s="214" t="s">
        <v>116</v>
      </c>
      <c r="X27" s="281">
        <v>0.25</v>
      </c>
      <c r="Y27" s="282" t="s">
        <v>171</v>
      </c>
      <c r="Z27" s="283">
        <v>6618832250</v>
      </c>
      <c r="AA27" s="279"/>
      <c r="AB27" s="279"/>
      <c r="AC27" s="280">
        <f t="shared" si="14"/>
        <v>0</v>
      </c>
      <c r="AD27" s="280">
        <f t="shared" si="15"/>
        <v>0</v>
      </c>
      <c r="AE27" s="280">
        <f t="shared" si="0"/>
        <v>0</v>
      </c>
      <c r="AF27" s="280">
        <f t="shared" si="1"/>
        <v>0</v>
      </c>
      <c r="AG27" s="281">
        <v>0.25</v>
      </c>
      <c r="AH27" s="282" t="s">
        <v>171</v>
      </c>
      <c r="AI27" s="283">
        <v>6618832250</v>
      </c>
      <c r="AJ27" s="279"/>
      <c r="AK27" s="279"/>
      <c r="AL27" s="280">
        <f t="shared" si="16"/>
        <v>0</v>
      </c>
      <c r="AM27" s="280">
        <f t="shared" si="2"/>
        <v>0</v>
      </c>
      <c r="AN27" s="280">
        <f t="shared" si="3"/>
        <v>0</v>
      </c>
      <c r="AO27" s="280">
        <f t="shared" si="4"/>
        <v>0</v>
      </c>
      <c r="AP27" s="281">
        <v>0.25</v>
      </c>
      <c r="AQ27" s="282" t="s">
        <v>171</v>
      </c>
      <c r="AR27" s="283">
        <v>6618832250</v>
      </c>
      <c r="AS27" s="279"/>
      <c r="AT27" s="279"/>
      <c r="AU27" s="280">
        <f t="shared" si="17"/>
        <v>0</v>
      </c>
      <c r="AV27" s="280">
        <f t="shared" si="18"/>
        <v>0</v>
      </c>
      <c r="AW27" s="280">
        <f t="shared" si="19"/>
        <v>0</v>
      </c>
      <c r="AX27" s="280">
        <f t="shared" si="20"/>
        <v>0</v>
      </c>
      <c r="AY27" s="281">
        <v>0.25</v>
      </c>
      <c r="AZ27" s="282" t="s">
        <v>171</v>
      </c>
      <c r="BA27" s="283">
        <v>6618832250</v>
      </c>
      <c r="BB27" s="279"/>
      <c r="BC27" s="279"/>
      <c r="BD27" s="281">
        <f t="shared" si="21"/>
        <v>0</v>
      </c>
      <c r="BE27" s="281">
        <f t="shared" si="22"/>
        <v>0</v>
      </c>
      <c r="BF27" s="281">
        <f t="shared" si="23"/>
        <v>0</v>
      </c>
      <c r="BG27" s="281">
        <f t="shared" si="24"/>
        <v>0</v>
      </c>
      <c r="BH27" s="205">
        <f t="shared" si="5"/>
        <v>0</v>
      </c>
      <c r="BI27" s="205">
        <f t="shared" si="6"/>
        <v>0</v>
      </c>
      <c r="BJ27" s="205">
        <f t="shared" si="7"/>
        <v>0</v>
      </c>
      <c r="BK27" s="205">
        <f t="shared" si="8"/>
        <v>0</v>
      </c>
      <c r="BL27" s="205">
        <f t="shared" si="25"/>
        <v>0</v>
      </c>
      <c r="BM27" s="205">
        <f t="shared" si="26"/>
        <v>0</v>
      </c>
      <c r="BN27" s="205">
        <f t="shared" si="9"/>
        <v>0</v>
      </c>
      <c r="BO27" s="205">
        <f t="shared" si="10"/>
        <v>0</v>
      </c>
      <c r="BP27" s="206"/>
      <c r="BQ27" s="277">
        <v>1</v>
      </c>
      <c r="BR27" s="208">
        <f t="shared" si="12"/>
        <v>0.58333333333333337</v>
      </c>
      <c r="BS27" s="219" t="str">
        <f t="shared" si="27"/>
        <v>Financiación UPC Régimen Subsidiado - CCF - SSF</v>
      </c>
      <c r="BT27" s="195">
        <f t="shared" si="11"/>
        <v>15443941916.666666</v>
      </c>
      <c r="BU27" s="196"/>
      <c r="BV27" s="196"/>
      <c r="BW27" s="196"/>
      <c r="BX27" s="196"/>
      <c r="BY27" s="196"/>
      <c r="BZ27" s="196"/>
      <c r="CA27" s="146"/>
      <c r="CB27" s="146"/>
      <c r="CC27" s="146"/>
      <c r="CD27" s="146"/>
      <c r="CE27" s="146"/>
      <c r="CF27" s="146"/>
      <c r="CG27" s="146"/>
      <c r="CH27" s="146"/>
      <c r="CI27" s="146"/>
      <c r="CJ27" s="146"/>
      <c r="CK27" s="146"/>
      <c r="CL27" s="146"/>
      <c r="CM27" s="146"/>
      <c r="CN27" s="146"/>
      <c r="CO27" s="146"/>
      <c r="CP27" s="146"/>
      <c r="CQ27" s="146"/>
      <c r="CR27" s="146"/>
      <c r="CS27" s="146"/>
      <c r="CT27" s="146"/>
      <c r="CU27" s="146"/>
      <c r="CV27" s="146"/>
      <c r="CW27" s="146"/>
      <c r="CX27" s="146"/>
      <c r="CY27" s="146"/>
      <c r="CZ27" s="146"/>
      <c r="DA27" s="146"/>
      <c r="DB27" s="146"/>
      <c r="DC27" s="146"/>
      <c r="DD27" s="146"/>
      <c r="DE27" s="146"/>
      <c r="DF27" s="146"/>
      <c r="DG27" s="146"/>
      <c r="DH27" s="146"/>
      <c r="DI27" s="146"/>
      <c r="DJ27" s="146"/>
      <c r="DK27" s="146"/>
      <c r="DL27" s="146"/>
      <c r="DM27" s="146"/>
      <c r="DN27" s="146"/>
      <c r="DO27" s="146"/>
      <c r="DP27" s="146"/>
      <c r="DQ27" s="146"/>
      <c r="DR27" s="146"/>
      <c r="DS27" s="146"/>
      <c r="DT27" s="146"/>
      <c r="DU27" s="146"/>
      <c r="DV27" s="146"/>
      <c r="DW27" s="146"/>
      <c r="DX27" s="146"/>
      <c r="DY27" s="146"/>
      <c r="DZ27" s="146"/>
      <c r="EA27" s="146"/>
      <c r="EB27" s="146"/>
      <c r="EC27" s="146"/>
      <c r="ED27" s="146"/>
      <c r="EE27" s="146"/>
      <c r="EF27" s="146"/>
      <c r="EG27" s="146"/>
      <c r="EH27" s="146"/>
      <c r="EI27" s="146"/>
      <c r="EJ27" s="146"/>
      <c r="EK27" s="146"/>
      <c r="EL27" s="146"/>
      <c r="EM27" s="146"/>
      <c r="EN27" s="146"/>
      <c r="EO27" s="146"/>
      <c r="EP27" s="146"/>
      <c r="EQ27" s="146"/>
      <c r="ER27" s="146"/>
      <c r="ES27" s="146"/>
      <c r="ET27" s="146"/>
      <c r="EU27" s="146"/>
      <c r="EV27" s="146"/>
      <c r="EW27" s="146"/>
      <c r="EX27" s="146"/>
      <c r="EY27" s="146"/>
      <c r="EZ27" s="146"/>
      <c r="FA27" s="146"/>
      <c r="FB27" s="146"/>
      <c r="FC27" s="146"/>
      <c r="FD27" s="146"/>
      <c r="FE27" s="146"/>
      <c r="FF27" s="146"/>
      <c r="FG27" s="146"/>
      <c r="FH27" s="146"/>
      <c r="FI27" s="146"/>
      <c r="FJ27" s="146"/>
      <c r="FK27" s="146"/>
      <c r="FL27" s="146"/>
      <c r="FM27" s="146"/>
      <c r="FN27" s="146"/>
      <c r="FO27" s="146"/>
      <c r="FP27" s="146"/>
      <c r="FQ27" s="146"/>
      <c r="FR27" s="146"/>
      <c r="FS27" s="146"/>
      <c r="FT27" s="146"/>
      <c r="FU27" s="146"/>
      <c r="FV27" s="146"/>
      <c r="FW27" s="146"/>
      <c r="FX27" s="146"/>
      <c r="FY27" s="146"/>
      <c r="FZ27" s="146"/>
      <c r="GA27" s="146"/>
      <c r="GB27" s="146"/>
      <c r="GC27" s="146"/>
      <c r="GD27" s="146"/>
      <c r="GE27" s="146"/>
      <c r="GF27" s="146"/>
      <c r="GG27" s="146"/>
      <c r="GH27" s="146"/>
      <c r="GI27" s="146"/>
      <c r="GJ27" s="146"/>
      <c r="GK27" s="146"/>
      <c r="GL27" s="146"/>
      <c r="GM27" s="146"/>
      <c r="GN27" s="146"/>
      <c r="GO27" s="146"/>
      <c r="GP27" s="146"/>
      <c r="GQ27" s="146"/>
      <c r="GR27" s="146"/>
      <c r="GS27" s="146"/>
      <c r="GT27" s="146"/>
      <c r="GU27" s="146"/>
      <c r="GV27" s="146"/>
      <c r="GW27" s="146"/>
      <c r="GX27" s="146"/>
      <c r="GY27" s="146"/>
      <c r="GZ27" s="146"/>
      <c r="HA27" s="146"/>
      <c r="HB27" s="146"/>
      <c r="HC27" s="146"/>
      <c r="HD27" s="146"/>
      <c r="HE27" s="146"/>
      <c r="HF27" s="146"/>
      <c r="HG27" s="146"/>
      <c r="HH27" s="146"/>
      <c r="HI27" s="146"/>
      <c r="HJ27" s="146"/>
      <c r="HK27" s="146"/>
      <c r="HL27" s="146"/>
      <c r="HM27" s="146"/>
      <c r="HN27" s="146"/>
      <c r="HO27" s="146"/>
      <c r="HP27" s="146"/>
      <c r="HQ27" s="146"/>
      <c r="HR27" s="146"/>
      <c r="HS27" s="146"/>
      <c r="HT27" s="146"/>
      <c r="HU27" s="146"/>
      <c r="HV27" s="146"/>
      <c r="HW27" s="146"/>
      <c r="HX27" s="146"/>
      <c r="HY27" s="146"/>
      <c r="HZ27" s="146"/>
      <c r="IA27" s="146"/>
    </row>
    <row r="28" spans="1:235" s="159" customFormat="1" ht="57" x14ac:dyDescent="0.25">
      <c r="A28" s="197">
        <v>11300</v>
      </c>
      <c r="B28" s="194" t="s">
        <v>4</v>
      </c>
      <c r="C28" s="198" t="s">
        <v>160</v>
      </c>
      <c r="D28" s="194" t="s">
        <v>145</v>
      </c>
      <c r="E28" s="198" t="s">
        <v>161</v>
      </c>
      <c r="F28" s="194" t="s">
        <v>162</v>
      </c>
      <c r="G28" s="209" t="s">
        <v>123</v>
      </c>
      <c r="H28" s="216">
        <v>1</v>
      </c>
      <c r="I28" s="198" t="s">
        <v>308</v>
      </c>
      <c r="J28" s="194" t="s">
        <v>175</v>
      </c>
      <c r="K28" s="210">
        <v>210070791000</v>
      </c>
      <c r="L28" s="220">
        <v>4.9165875725623717E-3</v>
      </c>
      <c r="M28" s="194" t="s">
        <v>46</v>
      </c>
      <c r="N28" s="194" t="s">
        <v>68</v>
      </c>
      <c r="O28" s="194" t="s">
        <v>21</v>
      </c>
      <c r="P28" s="194" t="s">
        <v>36</v>
      </c>
      <c r="Q28" s="194" t="s">
        <v>213</v>
      </c>
      <c r="R28" s="194" t="s">
        <v>182</v>
      </c>
      <c r="S28" s="194" t="s">
        <v>99</v>
      </c>
      <c r="T28" s="211">
        <v>1</v>
      </c>
      <c r="U28" s="212" t="str">
        <f t="shared" si="13"/>
        <v>Prestaciones Excepcionales - Recobros</v>
      </c>
      <c r="V28" s="213">
        <f t="shared" si="13"/>
        <v>210070791000</v>
      </c>
      <c r="W28" s="214" t="s">
        <v>116</v>
      </c>
      <c r="X28" s="281">
        <v>0.25</v>
      </c>
      <c r="Y28" s="282" t="s">
        <v>175</v>
      </c>
      <c r="Z28" s="283">
        <v>52517697750</v>
      </c>
      <c r="AA28" s="279"/>
      <c r="AB28" s="279"/>
      <c r="AC28" s="280">
        <f t="shared" si="14"/>
        <v>0</v>
      </c>
      <c r="AD28" s="280">
        <f t="shared" si="15"/>
        <v>0</v>
      </c>
      <c r="AE28" s="280">
        <f t="shared" si="0"/>
        <v>0</v>
      </c>
      <c r="AF28" s="280">
        <f t="shared" si="1"/>
        <v>0</v>
      </c>
      <c r="AG28" s="281">
        <v>0.25</v>
      </c>
      <c r="AH28" s="282" t="s">
        <v>175</v>
      </c>
      <c r="AI28" s="283">
        <v>52517697750</v>
      </c>
      <c r="AJ28" s="279"/>
      <c r="AK28" s="279"/>
      <c r="AL28" s="280">
        <f t="shared" si="16"/>
        <v>0</v>
      </c>
      <c r="AM28" s="280">
        <f t="shared" si="2"/>
        <v>0</v>
      </c>
      <c r="AN28" s="280">
        <f t="shared" si="3"/>
        <v>0</v>
      </c>
      <c r="AO28" s="280">
        <f t="shared" si="4"/>
        <v>0</v>
      </c>
      <c r="AP28" s="281">
        <v>0.25</v>
      </c>
      <c r="AQ28" s="282" t="s">
        <v>175</v>
      </c>
      <c r="AR28" s="283">
        <v>52517697750</v>
      </c>
      <c r="AS28" s="279"/>
      <c r="AT28" s="279"/>
      <c r="AU28" s="280">
        <f t="shared" si="17"/>
        <v>0</v>
      </c>
      <c r="AV28" s="280">
        <f t="shared" si="18"/>
        <v>0</v>
      </c>
      <c r="AW28" s="280">
        <f t="shared" si="19"/>
        <v>0</v>
      </c>
      <c r="AX28" s="280">
        <f t="shared" si="20"/>
        <v>0</v>
      </c>
      <c r="AY28" s="281">
        <v>0.25</v>
      </c>
      <c r="AZ28" s="282" t="s">
        <v>175</v>
      </c>
      <c r="BA28" s="283">
        <v>52517697750</v>
      </c>
      <c r="BB28" s="279"/>
      <c r="BC28" s="279"/>
      <c r="BD28" s="281">
        <f t="shared" si="21"/>
        <v>0</v>
      </c>
      <c r="BE28" s="281">
        <f t="shared" si="22"/>
        <v>0</v>
      </c>
      <c r="BF28" s="281">
        <f t="shared" si="23"/>
        <v>0</v>
      </c>
      <c r="BG28" s="281">
        <f t="shared" si="24"/>
        <v>0</v>
      </c>
      <c r="BH28" s="205">
        <f t="shared" si="5"/>
        <v>0</v>
      </c>
      <c r="BI28" s="205">
        <f t="shared" si="6"/>
        <v>0</v>
      </c>
      <c r="BJ28" s="205">
        <f t="shared" si="7"/>
        <v>0</v>
      </c>
      <c r="BK28" s="205">
        <f t="shared" si="8"/>
        <v>0</v>
      </c>
      <c r="BL28" s="205">
        <f t="shared" si="25"/>
        <v>0</v>
      </c>
      <c r="BM28" s="205">
        <f t="shared" si="26"/>
        <v>0</v>
      </c>
      <c r="BN28" s="205">
        <f t="shared" si="9"/>
        <v>0</v>
      </c>
      <c r="BO28" s="205">
        <f t="shared" si="10"/>
        <v>0</v>
      </c>
      <c r="BP28" s="206"/>
      <c r="BQ28" s="277">
        <v>10</v>
      </c>
      <c r="BR28" s="208">
        <f t="shared" si="12"/>
        <v>0.58333333333333337</v>
      </c>
      <c r="BS28" s="219" t="str">
        <f t="shared" si="27"/>
        <v>Prestaciones Excepcionales - Recobros</v>
      </c>
      <c r="BT28" s="195">
        <f t="shared" si="11"/>
        <v>122541294750</v>
      </c>
      <c r="BU28" s="196"/>
      <c r="BV28" s="196"/>
      <c r="BW28" s="196"/>
      <c r="BX28" s="196"/>
      <c r="BY28" s="196"/>
      <c r="BZ28" s="196"/>
      <c r="CA28" s="146"/>
      <c r="CB28" s="146"/>
      <c r="CC28" s="146"/>
      <c r="CD28" s="146"/>
      <c r="CE28" s="146"/>
      <c r="CF28" s="146"/>
      <c r="CG28" s="146"/>
      <c r="CH28" s="146"/>
      <c r="CI28" s="146"/>
      <c r="CJ28" s="146"/>
      <c r="CK28" s="146"/>
      <c r="CL28" s="146"/>
      <c r="CM28" s="146"/>
      <c r="CN28" s="146"/>
      <c r="CO28" s="146"/>
      <c r="CP28" s="146"/>
      <c r="CQ28" s="146"/>
      <c r="CR28" s="146"/>
      <c r="CS28" s="146"/>
      <c r="CT28" s="146"/>
      <c r="CU28" s="146"/>
      <c r="CV28" s="146"/>
      <c r="CW28" s="146"/>
      <c r="CX28" s="146"/>
      <c r="CY28" s="146"/>
      <c r="CZ28" s="146"/>
      <c r="DA28" s="146"/>
      <c r="DB28" s="146"/>
      <c r="DC28" s="146"/>
      <c r="DD28" s="146"/>
      <c r="DE28" s="146"/>
      <c r="DF28" s="146"/>
      <c r="DG28" s="146"/>
      <c r="DH28" s="146"/>
      <c r="DI28" s="146"/>
      <c r="DJ28" s="146"/>
      <c r="DK28" s="146"/>
      <c r="DL28" s="146"/>
      <c r="DM28" s="146"/>
      <c r="DN28" s="146"/>
      <c r="DO28" s="146"/>
      <c r="DP28" s="146"/>
      <c r="DQ28" s="146"/>
      <c r="DR28" s="146"/>
      <c r="DS28" s="146"/>
      <c r="DT28" s="146"/>
      <c r="DU28" s="146"/>
      <c r="DV28" s="146"/>
      <c r="DW28" s="146"/>
      <c r="DX28" s="146"/>
      <c r="DY28" s="146"/>
      <c r="DZ28" s="146"/>
      <c r="EA28" s="146"/>
      <c r="EB28" s="146"/>
      <c r="EC28" s="146"/>
      <c r="ED28" s="146"/>
      <c r="EE28" s="146"/>
      <c r="EF28" s="146"/>
      <c r="EG28" s="146"/>
      <c r="EH28" s="146"/>
      <c r="EI28" s="146"/>
      <c r="EJ28" s="146"/>
      <c r="EK28" s="146"/>
      <c r="EL28" s="146"/>
      <c r="EM28" s="146"/>
      <c r="EN28" s="146"/>
      <c r="EO28" s="146"/>
      <c r="EP28" s="146"/>
      <c r="EQ28" s="146"/>
      <c r="ER28" s="146"/>
      <c r="ES28" s="146"/>
      <c r="ET28" s="146"/>
      <c r="EU28" s="146"/>
      <c r="EV28" s="146"/>
      <c r="EW28" s="146"/>
      <c r="EX28" s="146"/>
      <c r="EY28" s="146"/>
      <c r="EZ28" s="146"/>
      <c r="FA28" s="146"/>
      <c r="FB28" s="146"/>
      <c r="FC28" s="146"/>
      <c r="FD28" s="146"/>
      <c r="FE28" s="146"/>
      <c r="FF28" s="146"/>
      <c r="FG28" s="146"/>
      <c r="FH28" s="146"/>
      <c r="FI28" s="146"/>
      <c r="FJ28" s="146"/>
      <c r="FK28" s="146"/>
      <c r="FL28" s="146"/>
      <c r="FM28" s="146"/>
      <c r="FN28" s="146"/>
      <c r="FO28" s="146"/>
      <c r="FP28" s="146"/>
      <c r="FQ28" s="146"/>
      <c r="FR28" s="146"/>
      <c r="FS28" s="146"/>
      <c r="FT28" s="146"/>
      <c r="FU28" s="146"/>
      <c r="FV28" s="146"/>
      <c r="FW28" s="146"/>
      <c r="FX28" s="146"/>
      <c r="FY28" s="146"/>
      <c r="FZ28" s="146"/>
      <c r="GA28" s="146"/>
      <c r="GB28" s="146"/>
      <c r="GC28" s="146"/>
      <c r="GD28" s="146"/>
      <c r="GE28" s="146"/>
      <c r="GF28" s="146"/>
      <c r="GG28" s="146"/>
      <c r="GH28" s="146"/>
      <c r="GI28" s="146"/>
      <c r="GJ28" s="146"/>
      <c r="GK28" s="146"/>
      <c r="GL28" s="146"/>
      <c r="GM28" s="146"/>
      <c r="GN28" s="146"/>
      <c r="GO28" s="146"/>
      <c r="GP28" s="146"/>
      <c r="GQ28" s="146"/>
      <c r="GR28" s="146"/>
      <c r="GS28" s="146"/>
      <c r="GT28" s="146"/>
      <c r="GU28" s="146"/>
      <c r="GV28" s="146"/>
      <c r="GW28" s="146"/>
      <c r="GX28" s="146"/>
      <c r="GY28" s="146"/>
      <c r="GZ28" s="146"/>
      <c r="HA28" s="146"/>
      <c r="HB28" s="146"/>
      <c r="HC28" s="146"/>
      <c r="HD28" s="146"/>
      <c r="HE28" s="146"/>
      <c r="HF28" s="146"/>
      <c r="HG28" s="146"/>
      <c r="HH28" s="146"/>
      <c r="HI28" s="146"/>
      <c r="HJ28" s="146"/>
      <c r="HK28" s="146"/>
      <c r="HL28" s="146"/>
      <c r="HM28" s="146"/>
      <c r="HN28" s="146"/>
      <c r="HO28" s="146"/>
      <c r="HP28" s="146"/>
      <c r="HQ28" s="146"/>
      <c r="HR28" s="146"/>
      <c r="HS28" s="146"/>
      <c r="HT28" s="146"/>
      <c r="HU28" s="146"/>
      <c r="HV28" s="146"/>
      <c r="HW28" s="146"/>
      <c r="HX28" s="146"/>
      <c r="HY28" s="146"/>
      <c r="HZ28" s="146"/>
      <c r="IA28" s="146"/>
    </row>
    <row r="29" spans="1:235" s="159" customFormat="1" ht="57" x14ac:dyDescent="0.25">
      <c r="A29" s="197">
        <v>11300</v>
      </c>
      <c r="B29" s="194" t="s">
        <v>4</v>
      </c>
      <c r="C29" s="198" t="s">
        <v>160</v>
      </c>
      <c r="D29" s="194" t="s">
        <v>145</v>
      </c>
      <c r="E29" s="198" t="s">
        <v>161</v>
      </c>
      <c r="F29" s="194" t="s">
        <v>162</v>
      </c>
      <c r="G29" s="209" t="s">
        <v>123</v>
      </c>
      <c r="H29" s="216">
        <v>1</v>
      </c>
      <c r="I29" s="198" t="s">
        <v>309</v>
      </c>
      <c r="J29" s="194" t="s">
        <v>172</v>
      </c>
      <c r="K29" s="210">
        <v>165927919000</v>
      </c>
      <c r="L29" s="220">
        <v>3.8834487203722474E-3</v>
      </c>
      <c r="M29" s="194" t="s">
        <v>46</v>
      </c>
      <c r="N29" s="194" t="s">
        <v>68</v>
      </c>
      <c r="O29" s="194" t="s">
        <v>21</v>
      </c>
      <c r="P29" s="194" t="s">
        <v>36</v>
      </c>
      <c r="Q29" s="194" t="s">
        <v>213</v>
      </c>
      <c r="R29" s="194" t="s">
        <v>182</v>
      </c>
      <c r="S29" s="194" t="s">
        <v>99</v>
      </c>
      <c r="T29" s="211">
        <v>1</v>
      </c>
      <c r="U29" s="212" t="str">
        <f t="shared" si="13"/>
        <v>Atención en salud, transporte primario, indemnizaciones y auxilios funerarios víctimas</v>
      </c>
      <c r="V29" s="213">
        <f t="shared" si="13"/>
        <v>165927919000</v>
      </c>
      <c r="W29" s="214" t="s">
        <v>116</v>
      </c>
      <c r="X29" s="281">
        <v>0.25</v>
      </c>
      <c r="Y29" s="282" t="s">
        <v>172</v>
      </c>
      <c r="Z29" s="283">
        <v>41481979750</v>
      </c>
      <c r="AA29" s="279"/>
      <c r="AB29" s="279"/>
      <c r="AC29" s="280">
        <f t="shared" si="14"/>
        <v>0</v>
      </c>
      <c r="AD29" s="280">
        <f t="shared" si="15"/>
        <v>0</v>
      </c>
      <c r="AE29" s="280">
        <f t="shared" si="0"/>
        <v>0</v>
      </c>
      <c r="AF29" s="280">
        <f t="shared" si="1"/>
        <v>0</v>
      </c>
      <c r="AG29" s="281">
        <v>0.25</v>
      </c>
      <c r="AH29" s="282" t="s">
        <v>172</v>
      </c>
      <c r="AI29" s="283">
        <v>41481979750</v>
      </c>
      <c r="AJ29" s="279"/>
      <c r="AK29" s="279"/>
      <c r="AL29" s="280">
        <f t="shared" si="16"/>
        <v>0</v>
      </c>
      <c r="AM29" s="280">
        <f t="shared" si="2"/>
        <v>0</v>
      </c>
      <c r="AN29" s="280">
        <f t="shared" si="3"/>
        <v>0</v>
      </c>
      <c r="AO29" s="280">
        <f t="shared" si="4"/>
        <v>0</v>
      </c>
      <c r="AP29" s="281">
        <v>0.25</v>
      </c>
      <c r="AQ29" s="282" t="s">
        <v>172</v>
      </c>
      <c r="AR29" s="283">
        <v>41481979750</v>
      </c>
      <c r="AS29" s="279"/>
      <c r="AT29" s="279"/>
      <c r="AU29" s="280">
        <f t="shared" si="17"/>
        <v>0</v>
      </c>
      <c r="AV29" s="280">
        <f t="shared" si="18"/>
        <v>0</v>
      </c>
      <c r="AW29" s="280">
        <f t="shared" si="19"/>
        <v>0</v>
      </c>
      <c r="AX29" s="280">
        <f t="shared" si="20"/>
        <v>0</v>
      </c>
      <c r="AY29" s="281">
        <v>0.25</v>
      </c>
      <c r="AZ29" s="282" t="s">
        <v>172</v>
      </c>
      <c r="BA29" s="283">
        <v>41481979750</v>
      </c>
      <c r="BB29" s="279"/>
      <c r="BC29" s="279"/>
      <c r="BD29" s="281">
        <f t="shared" si="21"/>
        <v>0</v>
      </c>
      <c r="BE29" s="281">
        <f t="shared" si="22"/>
        <v>0</v>
      </c>
      <c r="BF29" s="281">
        <f t="shared" si="23"/>
        <v>0</v>
      </c>
      <c r="BG29" s="281">
        <f t="shared" si="24"/>
        <v>0</v>
      </c>
      <c r="BH29" s="205">
        <f t="shared" si="5"/>
        <v>0</v>
      </c>
      <c r="BI29" s="205">
        <f t="shared" si="6"/>
        <v>0</v>
      </c>
      <c r="BJ29" s="205">
        <f t="shared" si="7"/>
        <v>0</v>
      </c>
      <c r="BK29" s="205">
        <f t="shared" si="8"/>
        <v>0</v>
      </c>
      <c r="BL29" s="205">
        <f t="shared" si="25"/>
        <v>0</v>
      </c>
      <c r="BM29" s="205">
        <f t="shared" si="26"/>
        <v>0</v>
      </c>
      <c r="BN29" s="205">
        <f t="shared" si="9"/>
        <v>0</v>
      </c>
      <c r="BO29" s="205">
        <f t="shared" si="10"/>
        <v>0</v>
      </c>
      <c r="BP29" s="206"/>
      <c r="BQ29" s="277">
        <v>10</v>
      </c>
      <c r="BR29" s="208">
        <f t="shared" si="12"/>
        <v>0.58333333333333337</v>
      </c>
      <c r="BS29" s="219" t="str">
        <f t="shared" si="27"/>
        <v>Atención en salud, transporte primario, indemnizaciones y auxilios funerarios víctimas</v>
      </c>
      <c r="BT29" s="195">
        <f t="shared" si="11"/>
        <v>96791286083.333328</v>
      </c>
      <c r="BU29" s="196"/>
      <c r="BV29" s="196"/>
      <c r="BW29" s="196"/>
      <c r="BX29" s="196"/>
      <c r="BY29" s="196"/>
      <c r="BZ29" s="19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146"/>
      <c r="CX29" s="146"/>
      <c r="CY29" s="146"/>
      <c r="CZ29" s="146"/>
      <c r="DA29" s="146"/>
      <c r="DB29" s="146"/>
      <c r="DC29" s="146"/>
      <c r="DD29" s="146"/>
      <c r="DE29" s="146"/>
      <c r="DF29" s="146"/>
      <c r="DG29" s="146"/>
      <c r="DH29" s="146"/>
      <c r="DI29" s="146"/>
      <c r="DJ29" s="146"/>
      <c r="DK29" s="146"/>
      <c r="DL29" s="146"/>
      <c r="DM29" s="146"/>
      <c r="DN29" s="146"/>
      <c r="DO29" s="146"/>
      <c r="DP29" s="146"/>
      <c r="DQ29" s="146"/>
      <c r="DR29" s="146"/>
      <c r="DS29" s="146"/>
      <c r="DT29" s="146"/>
      <c r="DU29" s="146"/>
      <c r="DV29" s="146"/>
      <c r="DW29" s="146"/>
      <c r="DX29" s="146"/>
      <c r="DY29" s="146"/>
      <c r="DZ29" s="146"/>
      <c r="EA29" s="146"/>
      <c r="EB29" s="146"/>
      <c r="EC29" s="146"/>
      <c r="ED29" s="146"/>
      <c r="EE29" s="146"/>
      <c r="EF29" s="146"/>
      <c r="EG29" s="146"/>
      <c r="EH29" s="146"/>
      <c r="EI29" s="146"/>
      <c r="EJ29" s="146"/>
      <c r="EK29" s="146"/>
      <c r="EL29" s="146"/>
      <c r="EM29" s="146"/>
      <c r="EN29" s="146"/>
      <c r="EO29" s="146"/>
      <c r="EP29" s="146"/>
      <c r="EQ29" s="146"/>
      <c r="ER29" s="146"/>
      <c r="ES29" s="146"/>
      <c r="ET29" s="146"/>
      <c r="EU29" s="146"/>
      <c r="EV29" s="146"/>
      <c r="EW29" s="146"/>
      <c r="EX29" s="146"/>
      <c r="EY29" s="146"/>
      <c r="EZ29" s="146"/>
      <c r="FA29" s="146"/>
      <c r="FB29" s="146"/>
      <c r="FC29" s="146"/>
      <c r="FD29" s="146"/>
      <c r="FE29" s="146"/>
      <c r="FF29" s="146"/>
      <c r="FG29" s="146"/>
      <c r="FH29" s="146"/>
      <c r="FI29" s="146"/>
      <c r="FJ29" s="146"/>
      <c r="FK29" s="146"/>
      <c r="FL29" s="146"/>
      <c r="FM29" s="146"/>
      <c r="FN29" s="146"/>
      <c r="FO29" s="146"/>
      <c r="FP29" s="146"/>
      <c r="FQ29" s="146"/>
      <c r="FR29" s="146"/>
      <c r="FS29" s="146"/>
      <c r="FT29" s="146"/>
      <c r="FU29" s="146"/>
      <c r="FV29" s="146"/>
      <c r="FW29" s="146"/>
      <c r="FX29" s="146"/>
      <c r="FY29" s="146"/>
      <c r="FZ29" s="146"/>
      <c r="GA29" s="146"/>
      <c r="GB29" s="146"/>
      <c r="GC29" s="146"/>
      <c r="GD29" s="146"/>
      <c r="GE29" s="146"/>
      <c r="GF29" s="146"/>
      <c r="GG29" s="146"/>
      <c r="GH29" s="146"/>
      <c r="GI29" s="146"/>
      <c r="GJ29" s="146"/>
      <c r="GK29" s="146"/>
      <c r="GL29" s="146"/>
      <c r="GM29" s="146"/>
      <c r="GN29" s="146"/>
      <c r="GO29" s="146"/>
      <c r="GP29" s="146"/>
      <c r="GQ29" s="146"/>
      <c r="GR29" s="146"/>
      <c r="GS29" s="146"/>
      <c r="GT29" s="146"/>
      <c r="GU29" s="146"/>
      <c r="GV29" s="146"/>
      <c r="GW29" s="146"/>
      <c r="GX29" s="146"/>
      <c r="GY29" s="146"/>
      <c r="GZ29" s="146"/>
      <c r="HA29" s="146"/>
      <c r="HB29" s="146"/>
      <c r="HC29" s="146"/>
      <c r="HD29" s="146"/>
      <c r="HE29" s="146"/>
      <c r="HF29" s="146"/>
      <c r="HG29" s="146"/>
      <c r="HH29" s="146"/>
      <c r="HI29" s="146"/>
      <c r="HJ29" s="146"/>
      <c r="HK29" s="146"/>
      <c r="HL29" s="146"/>
      <c r="HM29" s="146"/>
      <c r="HN29" s="146"/>
      <c r="HO29" s="146"/>
      <c r="HP29" s="146"/>
      <c r="HQ29" s="146"/>
      <c r="HR29" s="146"/>
      <c r="HS29" s="146"/>
      <c r="HT29" s="146"/>
      <c r="HU29" s="146"/>
      <c r="HV29" s="146"/>
      <c r="HW29" s="146"/>
      <c r="HX29" s="146"/>
      <c r="HY29" s="146"/>
      <c r="HZ29" s="146"/>
      <c r="IA29" s="146"/>
    </row>
    <row r="30" spans="1:235" s="159" customFormat="1" ht="57" x14ac:dyDescent="0.25">
      <c r="A30" s="197">
        <v>11300</v>
      </c>
      <c r="B30" s="194" t="s">
        <v>4</v>
      </c>
      <c r="C30" s="198" t="s">
        <v>160</v>
      </c>
      <c r="D30" s="194" t="s">
        <v>145</v>
      </c>
      <c r="E30" s="198" t="s">
        <v>161</v>
      </c>
      <c r="F30" s="194" t="s">
        <v>162</v>
      </c>
      <c r="G30" s="209" t="s">
        <v>123</v>
      </c>
      <c r="H30" s="216">
        <v>1</v>
      </c>
      <c r="I30" s="198" t="s">
        <v>310</v>
      </c>
      <c r="J30" s="194" t="s">
        <v>176</v>
      </c>
      <c r="K30" s="210">
        <v>3872113000</v>
      </c>
      <c r="L30" s="220">
        <v>9.0624605947036218E-5</v>
      </c>
      <c r="M30" s="194" t="s">
        <v>46</v>
      </c>
      <c r="N30" s="194" t="s">
        <v>68</v>
      </c>
      <c r="O30" s="194" t="s">
        <v>21</v>
      </c>
      <c r="P30" s="194" t="s">
        <v>36</v>
      </c>
      <c r="Q30" s="194" t="s">
        <v>213</v>
      </c>
      <c r="R30" s="194" t="s">
        <v>182</v>
      </c>
      <c r="S30" s="194" t="s">
        <v>99</v>
      </c>
      <c r="T30" s="211">
        <v>1</v>
      </c>
      <c r="U30" s="212" t="str">
        <f t="shared" si="13"/>
        <v>Fortalecimiento red de urgencias nacional, emergencias sanitarias y eventos catastróficos</v>
      </c>
      <c r="V30" s="213">
        <f t="shared" si="13"/>
        <v>3872113000</v>
      </c>
      <c r="W30" s="214" t="s">
        <v>116</v>
      </c>
      <c r="X30" s="281">
        <v>0.25</v>
      </c>
      <c r="Y30" s="282" t="s">
        <v>176</v>
      </c>
      <c r="Z30" s="283">
        <v>968028250</v>
      </c>
      <c r="AA30" s="279"/>
      <c r="AB30" s="279"/>
      <c r="AC30" s="280">
        <f t="shared" si="14"/>
        <v>0</v>
      </c>
      <c r="AD30" s="280">
        <f t="shared" si="15"/>
        <v>0</v>
      </c>
      <c r="AE30" s="280">
        <f t="shared" si="0"/>
        <v>0</v>
      </c>
      <c r="AF30" s="280">
        <f t="shared" si="1"/>
        <v>0</v>
      </c>
      <c r="AG30" s="281">
        <v>0.25</v>
      </c>
      <c r="AH30" s="282" t="s">
        <v>176</v>
      </c>
      <c r="AI30" s="283">
        <v>968028250</v>
      </c>
      <c r="AJ30" s="279"/>
      <c r="AK30" s="279"/>
      <c r="AL30" s="280">
        <f t="shared" si="16"/>
        <v>0</v>
      </c>
      <c r="AM30" s="280">
        <f t="shared" si="2"/>
        <v>0</v>
      </c>
      <c r="AN30" s="280">
        <f t="shared" si="3"/>
        <v>0</v>
      </c>
      <c r="AO30" s="280">
        <f t="shared" si="4"/>
        <v>0</v>
      </c>
      <c r="AP30" s="281">
        <v>0.25</v>
      </c>
      <c r="AQ30" s="282" t="s">
        <v>176</v>
      </c>
      <c r="AR30" s="283">
        <v>968028250</v>
      </c>
      <c r="AS30" s="279"/>
      <c r="AT30" s="279"/>
      <c r="AU30" s="280">
        <f t="shared" si="17"/>
        <v>0</v>
      </c>
      <c r="AV30" s="280">
        <f t="shared" si="18"/>
        <v>0</v>
      </c>
      <c r="AW30" s="280">
        <f t="shared" si="19"/>
        <v>0</v>
      </c>
      <c r="AX30" s="280">
        <f t="shared" si="20"/>
        <v>0</v>
      </c>
      <c r="AY30" s="281">
        <v>0.25</v>
      </c>
      <c r="AZ30" s="282" t="s">
        <v>176</v>
      </c>
      <c r="BA30" s="283">
        <v>968028250</v>
      </c>
      <c r="BB30" s="279"/>
      <c r="BC30" s="279"/>
      <c r="BD30" s="281">
        <f t="shared" si="21"/>
        <v>0</v>
      </c>
      <c r="BE30" s="281">
        <f t="shared" si="22"/>
        <v>0</v>
      </c>
      <c r="BF30" s="281">
        <f t="shared" si="23"/>
        <v>0</v>
      </c>
      <c r="BG30" s="281">
        <f t="shared" si="24"/>
        <v>0</v>
      </c>
      <c r="BH30" s="205">
        <f t="shared" si="5"/>
        <v>0</v>
      </c>
      <c r="BI30" s="205">
        <f t="shared" si="6"/>
        <v>0</v>
      </c>
      <c r="BJ30" s="205">
        <f t="shared" si="7"/>
        <v>0</v>
      </c>
      <c r="BK30" s="205">
        <f t="shared" si="8"/>
        <v>0</v>
      </c>
      <c r="BL30" s="205">
        <f t="shared" si="25"/>
        <v>0</v>
      </c>
      <c r="BM30" s="205">
        <f t="shared" si="26"/>
        <v>0</v>
      </c>
      <c r="BN30" s="205">
        <f t="shared" si="9"/>
        <v>0</v>
      </c>
      <c r="BO30" s="205">
        <f t="shared" si="10"/>
        <v>0</v>
      </c>
      <c r="BP30" s="206"/>
      <c r="BQ30" s="277">
        <v>10</v>
      </c>
      <c r="BR30" s="208">
        <f t="shared" si="12"/>
        <v>0.58333333333333337</v>
      </c>
      <c r="BS30" s="219" t="str">
        <f t="shared" si="27"/>
        <v>Fortalecimiento red de urgencias nacional, emergencias sanitarias y eventos catastróficos</v>
      </c>
      <c r="BT30" s="195">
        <f t="shared" si="11"/>
        <v>2258732583.3333335</v>
      </c>
      <c r="BU30" s="196"/>
      <c r="BV30" s="196"/>
      <c r="BW30" s="196"/>
      <c r="BX30" s="196"/>
      <c r="BY30" s="196"/>
      <c r="BZ30" s="19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146"/>
      <c r="CX30" s="146"/>
      <c r="CY30" s="146"/>
      <c r="CZ30" s="146"/>
      <c r="DA30" s="146"/>
      <c r="DB30" s="146"/>
      <c r="DC30" s="146"/>
      <c r="DD30" s="146"/>
      <c r="DE30" s="146"/>
      <c r="DF30" s="146"/>
      <c r="DG30" s="146"/>
      <c r="DH30" s="146"/>
      <c r="DI30" s="146"/>
      <c r="DJ30" s="146"/>
      <c r="DK30" s="146"/>
      <c r="DL30" s="146"/>
      <c r="DM30" s="146"/>
      <c r="DN30" s="146"/>
      <c r="DO30" s="146"/>
      <c r="DP30" s="146"/>
      <c r="DQ30" s="146"/>
      <c r="DR30" s="146"/>
      <c r="DS30" s="146"/>
      <c r="DT30" s="146"/>
      <c r="DU30" s="146"/>
      <c r="DV30" s="146"/>
      <c r="DW30" s="146"/>
      <c r="DX30" s="146"/>
      <c r="DY30" s="146"/>
      <c r="DZ30" s="146"/>
      <c r="EA30" s="146"/>
      <c r="EB30" s="146"/>
      <c r="EC30" s="146"/>
      <c r="ED30" s="146"/>
      <c r="EE30" s="146"/>
      <c r="EF30" s="146"/>
      <c r="EG30" s="146"/>
      <c r="EH30" s="146"/>
      <c r="EI30" s="146"/>
      <c r="EJ30" s="146"/>
      <c r="EK30" s="146"/>
      <c r="EL30" s="146"/>
      <c r="EM30" s="146"/>
      <c r="EN30" s="146"/>
      <c r="EO30" s="146"/>
      <c r="EP30" s="146"/>
      <c r="EQ30" s="146"/>
      <c r="ER30" s="146"/>
      <c r="ES30" s="146"/>
      <c r="ET30" s="146"/>
      <c r="EU30" s="146"/>
      <c r="EV30" s="146"/>
      <c r="EW30" s="146"/>
      <c r="EX30" s="146"/>
      <c r="EY30" s="146"/>
      <c r="EZ30" s="146"/>
      <c r="FA30" s="146"/>
      <c r="FB30" s="146"/>
      <c r="FC30" s="146"/>
      <c r="FD30" s="146"/>
      <c r="FE30" s="146"/>
      <c r="FF30" s="146"/>
      <c r="FG30" s="146"/>
      <c r="FH30" s="146"/>
      <c r="FI30" s="146"/>
      <c r="FJ30" s="146"/>
      <c r="FK30" s="146"/>
      <c r="FL30" s="146"/>
      <c r="FM30" s="146"/>
      <c r="FN30" s="146"/>
      <c r="FO30" s="146"/>
      <c r="FP30" s="146"/>
      <c r="FQ30" s="146"/>
      <c r="FR30" s="146"/>
      <c r="FS30" s="146"/>
      <c r="FT30" s="146"/>
      <c r="FU30" s="146"/>
      <c r="FV30" s="146"/>
      <c r="FW30" s="146"/>
      <c r="FX30" s="146"/>
      <c r="FY30" s="146"/>
      <c r="FZ30" s="146"/>
      <c r="GA30" s="146"/>
      <c r="GB30" s="146"/>
      <c r="GC30" s="146"/>
      <c r="GD30" s="146"/>
      <c r="GE30" s="146"/>
      <c r="GF30" s="146"/>
      <c r="GG30" s="146"/>
      <c r="GH30" s="146"/>
      <c r="GI30" s="146"/>
      <c r="GJ30" s="146"/>
      <c r="GK30" s="146"/>
      <c r="GL30" s="146"/>
      <c r="GM30" s="146"/>
      <c r="GN30" s="146"/>
      <c r="GO30" s="146"/>
      <c r="GP30" s="146"/>
      <c r="GQ30" s="146"/>
      <c r="GR30" s="146"/>
      <c r="GS30" s="146"/>
      <c r="GT30" s="146"/>
      <c r="GU30" s="146"/>
      <c r="GV30" s="146"/>
      <c r="GW30" s="146"/>
      <c r="GX30" s="146"/>
      <c r="GY30" s="146"/>
      <c r="GZ30" s="146"/>
      <c r="HA30" s="146"/>
      <c r="HB30" s="146"/>
      <c r="HC30" s="146"/>
      <c r="HD30" s="146"/>
      <c r="HE30" s="146"/>
      <c r="HF30" s="146"/>
      <c r="HG30" s="146"/>
      <c r="HH30" s="146"/>
      <c r="HI30" s="146"/>
      <c r="HJ30" s="146"/>
      <c r="HK30" s="146"/>
      <c r="HL30" s="146"/>
      <c r="HM30" s="146"/>
      <c r="HN30" s="146"/>
      <c r="HO30" s="146"/>
      <c r="HP30" s="146"/>
      <c r="HQ30" s="146"/>
      <c r="HR30" s="146"/>
      <c r="HS30" s="146"/>
      <c r="HT30" s="146"/>
      <c r="HU30" s="146"/>
      <c r="HV30" s="146"/>
      <c r="HW30" s="146"/>
      <c r="HX30" s="146"/>
      <c r="HY30" s="146"/>
      <c r="HZ30" s="146"/>
      <c r="IA30" s="146"/>
    </row>
    <row r="31" spans="1:235" s="159" customFormat="1" ht="57" x14ac:dyDescent="0.25">
      <c r="A31" s="197">
        <v>11300</v>
      </c>
      <c r="B31" s="194" t="s">
        <v>4</v>
      </c>
      <c r="C31" s="198" t="s">
        <v>160</v>
      </c>
      <c r="D31" s="194" t="s">
        <v>145</v>
      </c>
      <c r="E31" s="198" t="s">
        <v>161</v>
      </c>
      <c r="F31" s="194" t="s">
        <v>162</v>
      </c>
      <c r="G31" s="209" t="s">
        <v>123</v>
      </c>
      <c r="H31" s="216">
        <v>1</v>
      </c>
      <c r="I31" s="198" t="s">
        <v>311</v>
      </c>
      <c r="J31" s="194" t="s">
        <v>177</v>
      </c>
      <c r="K31" s="210">
        <v>20994082000</v>
      </c>
      <c r="L31" s="220">
        <v>4.9135456751127002E-4</v>
      </c>
      <c r="M31" s="194" t="s">
        <v>46</v>
      </c>
      <c r="N31" s="194" t="s">
        <v>68</v>
      </c>
      <c r="O31" s="194" t="s">
        <v>21</v>
      </c>
      <c r="P31" s="194" t="s">
        <v>36</v>
      </c>
      <c r="Q31" s="194" t="s">
        <v>213</v>
      </c>
      <c r="R31" s="194" t="s">
        <v>182</v>
      </c>
      <c r="S31" s="194" t="s">
        <v>99</v>
      </c>
      <c r="T31" s="211">
        <v>1</v>
      </c>
      <c r="U31" s="212" t="str">
        <f t="shared" si="13"/>
        <v>Otros programas de salud promoción y prevención</v>
      </c>
      <c r="V31" s="213">
        <f t="shared" si="13"/>
        <v>20994082000</v>
      </c>
      <c r="W31" s="214" t="s">
        <v>116</v>
      </c>
      <c r="X31" s="281">
        <v>0.25</v>
      </c>
      <c r="Y31" s="282" t="s">
        <v>177</v>
      </c>
      <c r="Z31" s="283">
        <v>5248520500</v>
      </c>
      <c r="AA31" s="279"/>
      <c r="AB31" s="279"/>
      <c r="AC31" s="280">
        <f t="shared" si="14"/>
        <v>0</v>
      </c>
      <c r="AD31" s="280">
        <f t="shared" si="15"/>
        <v>0</v>
      </c>
      <c r="AE31" s="280">
        <f t="shared" si="0"/>
        <v>0</v>
      </c>
      <c r="AF31" s="280">
        <f t="shared" si="1"/>
        <v>0</v>
      </c>
      <c r="AG31" s="281">
        <v>0.25</v>
      </c>
      <c r="AH31" s="282" t="s">
        <v>177</v>
      </c>
      <c r="AI31" s="283">
        <v>5248520500</v>
      </c>
      <c r="AJ31" s="279"/>
      <c r="AK31" s="279"/>
      <c r="AL31" s="280">
        <f t="shared" si="16"/>
        <v>0</v>
      </c>
      <c r="AM31" s="280">
        <f t="shared" si="2"/>
        <v>0</v>
      </c>
      <c r="AN31" s="280">
        <f t="shared" si="3"/>
        <v>0</v>
      </c>
      <c r="AO31" s="280">
        <f t="shared" si="4"/>
        <v>0</v>
      </c>
      <c r="AP31" s="281">
        <v>0.25</v>
      </c>
      <c r="AQ31" s="282" t="s">
        <v>177</v>
      </c>
      <c r="AR31" s="283">
        <v>5248520500</v>
      </c>
      <c r="AS31" s="279"/>
      <c r="AT31" s="279"/>
      <c r="AU31" s="280">
        <f t="shared" si="17"/>
        <v>0</v>
      </c>
      <c r="AV31" s="280">
        <f t="shared" si="18"/>
        <v>0</v>
      </c>
      <c r="AW31" s="280">
        <f t="shared" si="19"/>
        <v>0</v>
      </c>
      <c r="AX31" s="280">
        <f t="shared" si="20"/>
        <v>0</v>
      </c>
      <c r="AY31" s="281">
        <v>0.25</v>
      </c>
      <c r="AZ31" s="282" t="s">
        <v>177</v>
      </c>
      <c r="BA31" s="283">
        <v>5248520500</v>
      </c>
      <c r="BB31" s="279"/>
      <c r="BC31" s="279"/>
      <c r="BD31" s="281">
        <f t="shared" si="21"/>
        <v>0</v>
      </c>
      <c r="BE31" s="281">
        <f t="shared" si="22"/>
        <v>0</v>
      </c>
      <c r="BF31" s="281">
        <f t="shared" si="23"/>
        <v>0</v>
      </c>
      <c r="BG31" s="281">
        <f t="shared" si="24"/>
        <v>0</v>
      </c>
      <c r="BH31" s="205">
        <f t="shared" si="5"/>
        <v>0</v>
      </c>
      <c r="BI31" s="205">
        <f t="shared" si="6"/>
        <v>0</v>
      </c>
      <c r="BJ31" s="205">
        <f t="shared" si="7"/>
        <v>0</v>
      </c>
      <c r="BK31" s="205">
        <f t="shared" si="8"/>
        <v>0</v>
      </c>
      <c r="BL31" s="205">
        <f t="shared" si="25"/>
        <v>0</v>
      </c>
      <c r="BM31" s="205">
        <f t="shared" si="26"/>
        <v>0</v>
      </c>
      <c r="BN31" s="205">
        <f t="shared" si="9"/>
        <v>0</v>
      </c>
      <c r="BO31" s="205">
        <f t="shared" si="10"/>
        <v>0</v>
      </c>
      <c r="BP31" s="206"/>
      <c r="BQ31" s="277">
        <v>1</v>
      </c>
      <c r="BR31" s="208">
        <f t="shared" si="12"/>
        <v>0.58333333333333337</v>
      </c>
      <c r="BS31" s="219" t="str">
        <f t="shared" si="27"/>
        <v>Otros programas de salud promoción y prevención</v>
      </c>
      <c r="BT31" s="195">
        <f t="shared" si="11"/>
        <v>12246547833.333334</v>
      </c>
      <c r="BU31" s="196"/>
      <c r="BV31" s="196"/>
      <c r="BW31" s="196"/>
      <c r="BX31" s="196"/>
      <c r="BY31" s="196"/>
      <c r="BZ31" s="196"/>
      <c r="CA31" s="146"/>
      <c r="CB31" s="146"/>
      <c r="CC31" s="146"/>
      <c r="CD31" s="146"/>
      <c r="CE31" s="146"/>
      <c r="CF31" s="146"/>
      <c r="CG31" s="146"/>
      <c r="CH31" s="146"/>
      <c r="CI31" s="146"/>
      <c r="CJ31" s="146"/>
      <c r="CK31" s="146"/>
      <c r="CL31" s="146"/>
      <c r="CM31" s="146"/>
      <c r="CN31" s="146"/>
      <c r="CO31" s="146"/>
      <c r="CP31" s="146"/>
      <c r="CQ31" s="146"/>
      <c r="CR31" s="146"/>
      <c r="CS31" s="146"/>
      <c r="CT31" s="146"/>
      <c r="CU31" s="146"/>
      <c r="CV31" s="146"/>
      <c r="CW31" s="146"/>
      <c r="CX31" s="146"/>
      <c r="CY31" s="146"/>
      <c r="CZ31" s="146"/>
      <c r="DA31" s="146"/>
      <c r="DB31" s="146"/>
      <c r="DC31" s="146"/>
      <c r="DD31" s="146"/>
      <c r="DE31" s="146"/>
      <c r="DF31" s="146"/>
      <c r="DG31" s="146"/>
      <c r="DH31" s="146"/>
      <c r="DI31" s="146"/>
      <c r="DJ31" s="146"/>
      <c r="DK31" s="146"/>
      <c r="DL31" s="146"/>
      <c r="DM31" s="146"/>
      <c r="DN31" s="146"/>
      <c r="DO31" s="146"/>
      <c r="DP31" s="146"/>
      <c r="DQ31" s="146"/>
      <c r="DR31" s="146"/>
      <c r="DS31" s="146"/>
      <c r="DT31" s="146"/>
      <c r="DU31" s="146"/>
      <c r="DV31" s="146"/>
      <c r="DW31" s="146"/>
      <c r="DX31" s="146"/>
      <c r="DY31" s="146"/>
      <c r="DZ31" s="146"/>
      <c r="EA31" s="146"/>
      <c r="EB31" s="146"/>
      <c r="EC31" s="146"/>
      <c r="ED31" s="146"/>
      <c r="EE31" s="146"/>
      <c r="EF31" s="146"/>
      <c r="EG31" s="146"/>
      <c r="EH31" s="146"/>
      <c r="EI31" s="146"/>
      <c r="EJ31" s="146"/>
      <c r="EK31" s="146"/>
      <c r="EL31" s="146"/>
      <c r="EM31" s="146"/>
      <c r="EN31" s="146"/>
      <c r="EO31" s="146"/>
      <c r="EP31" s="146"/>
      <c r="EQ31" s="146"/>
      <c r="ER31" s="146"/>
      <c r="ES31" s="146"/>
      <c r="ET31" s="146"/>
      <c r="EU31" s="146"/>
      <c r="EV31" s="146"/>
      <c r="EW31" s="146"/>
      <c r="EX31" s="146"/>
      <c r="EY31" s="146"/>
      <c r="EZ31" s="146"/>
      <c r="FA31" s="146"/>
      <c r="FB31" s="146"/>
      <c r="FC31" s="146"/>
      <c r="FD31" s="146"/>
      <c r="FE31" s="146"/>
      <c r="FF31" s="146"/>
      <c r="FG31" s="146"/>
      <c r="FH31" s="146"/>
      <c r="FI31" s="146"/>
      <c r="FJ31" s="146"/>
      <c r="FK31" s="146"/>
      <c r="FL31" s="146"/>
      <c r="FM31" s="146"/>
      <c r="FN31" s="146"/>
      <c r="FO31" s="146"/>
      <c r="FP31" s="146"/>
      <c r="FQ31" s="146"/>
      <c r="FR31" s="146"/>
      <c r="FS31" s="146"/>
      <c r="FT31" s="146"/>
      <c r="FU31" s="146"/>
      <c r="FV31" s="146"/>
      <c r="FW31" s="146"/>
      <c r="FX31" s="146"/>
      <c r="FY31" s="146"/>
      <c r="FZ31" s="146"/>
      <c r="GA31" s="146"/>
      <c r="GB31" s="146"/>
      <c r="GC31" s="146"/>
      <c r="GD31" s="146"/>
      <c r="GE31" s="146"/>
      <c r="GF31" s="146"/>
      <c r="GG31" s="146"/>
      <c r="GH31" s="146"/>
      <c r="GI31" s="146"/>
      <c r="GJ31" s="146"/>
      <c r="GK31" s="146"/>
      <c r="GL31" s="146"/>
      <c r="GM31" s="146"/>
      <c r="GN31" s="146"/>
      <c r="GO31" s="146"/>
      <c r="GP31" s="146"/>
      <c r="GQ31" s="146"/>
      <c r="GR31" s="146"/>
      <c r="GS31" s="146"/>
      <c r="GT31" s="146"/>
      <c r="GU31" s="146"/>
      <c r="GV31" s="146"/>
      <c r="GW31" s="146"/>
      <c r="GX31" s="146"/>
      <c r="GY31" s="146"/>
      <c r="GZ31" s="146"/>
      <c r="HA31" s="146"/>
      <c r="HB31" s="146"/>
      <c r="HC31" s="146"/>
      <c r="HD31" s="146"/>
      <c r="HE31" s="146"/>
      <c r="HF31" s="146"/>
      <c r="HG31" s="146"/>
      <c r="HH31" s="146"/>
      <c r="HI31" s="146"/>
      <c r="HJ31" s="146"/>
      <c r="HK31" s="146"/>
      <c r="HL31" s="146"/>
      <c r="HM31" s="146"/>
      <c r="HN31" s="146"/>
      <c r="HO31" s="146"/>
      <c r="HP31" s="146"/>
      <c r="HQ31" s="146"/>
      <c r="HR31" s="146"/>
      <c r="HS31" s="146"/>
      <c r="HT31" s="146"/>
      <c r="HU31" s="146"/>
      <c r="HV31" s="146"/>
      <c r="HW31" s="146"/>
      <c r="HX31" s="146"/>
      <c r="HY31" s="146"/>
      <c r="HZ31" s="146"/>
      <c r="IA31" s="146"/>
    </row>
    <row r="32" spans="1:235" s="159" customFormat="1" ht="57" x14ac:dyDescent="0.25">
      <c r="A32" s="197">
        <v>11300</v>
      </c>
      <c r="B32" s="194" t="s">
        <v>4</v>
      </c>
      <c r="C32" s="198" t="s">
        <v>160</v>
      </c>
      <c r="D32" s="194" t="s">
        <v>145</v>
      </c>
      <c r="E32" s="198" t="s">
        <v>161</v>
      </c>
      <c r="F32" s="194" t="s">
        <v>162</v>
      </c>
      <c r="G32" s="209" t="s">
        <v>123</v>
      </c>
      <c r="H32" s="216">
        <v>1</v>
      </c>
      <c r="I32" s="198" t="s">
        <v>312</v>
      </c>
      <c r="J32" s="194" t="s">
        <v>178</v>
      </c>
      <c r="K32" s="210">
        <v>161564182000</v>
      </c>
      <c r="L32" s="220">
        <v>3.7813179338788E-3</v>
      </c>
      <c r="M32" s="194" t="s">
        <v>46</v>
      </c>
      <c r="N32" s="194" t="s">
        <v>68</v>
      </c>
      <c r="O32" s="194" t="s">
        <v>21</v>
      </c>
      <c r="P32" s="194" t="s">
        <v>36</v>
      </c>
      <c r="Q32" s="194" t="s">
        <v>213</v>
      </c>
      <c r="R32" s="194" t="s">
        <v>182</v>
      </c>
      <c r="S32" s="194" t="s">
        <v>99</v>
      </c>
      <c r="T32" s="211">
        <v>1</v>
      </c>
      <c r="U32" s="212" t="str">
        <f t="shared" si="13"/>
        <v>Recursos con destinación especifica</v>
      </c>
      <c r="V32" s="213">
        <f t="shared" si="13"/>
        <v>161564182000</v>
      </c>
      <c r="W32" s="214" t="s">
        <v>116</v>
      </c>
      <c r="X32" s="281">
        <v>0.25</v>
      </c>
      <c r="Y32" s="282" t="s">
        <v>178</v>
      </c>
      <c r="Z32" s="283">
        <v>40391045500</v>
      </c>
      <c r="AA32" s="279"/>
      <c r="AB32" s="279"/>
      <c r="AC32" s="280">
        <f t="shared" si="14"/>
        <v>0</v>
      </c>
      <c r="AD32" s="280">
        <f t="shared" si="15"/>
        <v>0</v>
      </c>
      <c r="AE32" s="280">
        <f t="shared" si="0"/>
        <v>0</v>
      </c>
      <c r="AF32" s="280">
        <f t="shared" si="1"/>
        <v>0</v>
      </c>
      <c r="AG32" s="281">
        <v>0.25</v>
      </c>
      <c r="AH32" s="282" t="s">
        <v>178</v>
      </c>
      <c r="AI32" s="283">
        <v>40391045500</v>
      </c>
      <c r="AJ32" s="279"/>
      <c r="AK32" s="279"/>
      <c r="AL32" s="280">
        <f t="shared" si="16"/>
        <v>0</v>
      </c>
      <c r="AM32" s="280">
        <f t="shared" si="2"/>
        <v>0</v>
      </c>
      <c r="AN32" s="280">
        <f t="shared" si="3"/>
        <v>0</v>
      </c>
      <c r="AO32" s="280">
        <f t="shared" si="4"/>
        <v>0</v>
      </c>
      <c r="AP32" s="281">
        <v>0.25</v>
      </c>
      <c r="AQ32" s="282" t="s">
        <v>178</v>
      </c>
      <c r="AR32" s="283">
        <v>40391045500</v>
      </c>
      <c r="AS32" s="279"/>
      <c r="AT32" s="279"/>
      <c r="AU32" s="280">
        <f t="shared" si="17"/>
        <v>0</v>
      </c>
      <c r="AV32" s="280">
        <f t="shared" si="18"/>
        <v>0</v>
      </c>
      <c r="AW32" s="280">
        <f t="shared" si="19"/>
        <v>0</v>
      </c>
      <c r="AX32" s="280">
        <f t="shared" si="20"/>
        <v>0</v>
      </c>
      <c r="AY32" s="281">
        <v>0.25</v>
      </c>
      <c r="AZ32" s="282" t="s">
        <v>178</v>
      </c>
      <c r="BA32" s="283">
        <v>40391045500</v>
      </c>
      <c r="BB32" s="279"/>
      <c r="BC32" s="279"/>
      <c r="BD32" s="281">
        <f t="shared" si="21"/>
        <v>0</v>
      </c>
      <c r="BE32" s="281">
        <f t="shared" si="22"/>
        <v>0</v>
      </c>
      <c r="BF32" s="281">
        <f t="shared" si="23"/>
        <v>0</v>
      </c>
      <c r="BG32" s="281">
        <f t="shared" si="24"/>
        <v>0</v>
      </c>
      <c r="BH32" s="205">
        <f t="shared" si="5"/>
        <v>0</v>
      </c>
      <c r="BI32" s="205">
        <f t="shared" si="6"/>
        <v>0</v>
      </c>
      <c r="BJ32" s="205">
        <f t="shared" si="7"/>
        <v>0</v>
      </c>
      <c r="BK32" s="205">
        <f t="shared" si="8"/>
        <v>0</v>
      </c>
      <c r="BL32" s="205">
        <f t="shared" si="25"/>
        <v>0</v>
      </c>
      <c r="BM32" s="205">
        <f t="shared" si="26"/>
        <v>0</v>
      </c>
      <c r="BN32" s="205">
        <f t="shared" si="9"/>
        <v>0</v>
      </c>
      <c r="BO32" s="205">
        <f t="shared" si="10"/>
        <v>0</v>
      </c>
      <c r="BP32" s="206"/>
      <c r="BQ32" s="277">
        <v>1</v>
      </c>
      <c r="BR32" s="208">
        <f t="shared" si="12"/>
        <v>0.58333333333333337</v>
      </c>
      <c r="BS32" s="219" t="str">
        <f t="shared" si="27"/>
        <v>Recursos con destinación especifica</v>
      </c>
      <c r="BT32" s="195">
        <f t="shared" si="11"/>
        <v>94245772833.333328</v>
      </c>
      <c r="BU32" s="196"/>
      <c r="BV32" s="196"/>
      <c r="BW32" s="196"/>
      <c r="BX32" s="196"/>
      <c r="BY32" s="196"/>
      <c r="BZ32" s="196"/>
      <c r="CA32" s="146"/>
      <c r="CB32" s="146"/>
      <c r="CC32" s="146"/>
      <c r="CD32" s="146"/>
      <c r="CE32" s="146"/>
      <c r="CF32" s="146"/>
      <c r="CG32" s="146"/>
      <c r="CH32" s="146"/>
      <c r="CI32" s="146"/>
      <c r="CJ32" s="146"/>
      <c r="CK32" s="146"/>
      <c r="CL32" s="146"/>
      <c r="CM32" s="146"/>
      <c r="CN32" s="146"/>
      <c r="CO32" s="146"/>
      <c r="CP32" s="146"/>
      <c r="CQ32" s="146"/>
      <c r="CR32" s="146"/>
      <c r="CS32" s="146"/>
      <c r="CT32" s="146"/>
      <c r="CU32" s="146"/>
      <c r="CV32" s="146"/>
      <c r="CW32" s="146"/>
      <c r="CX32" s="146"/>
      <c r="CY32" s="146"/>
      <c r="CZ32" s="146"/>
      <c r="DA32" s="146"/>
      <c r="DB32" s="146"/>
      <c r="DC32" s="146"/>
      <c r="DD32" s="146"/>
      <c r="DE32" s="146"/>
      <c r="DF32" s="146"/>
      <c r="DG32" s="146"/>
      <c r="DH32" s="146"/>
      <c r="DI32" s="146"/>
      <c r="DJ32" s="146"/>
      <c r="DK32" s="146"/>
      <c r="DL32" s="146"/>
      <c r="DM32" s="146"/>
      <c r="DN32" s="146"/>
      <c r="DO32" s="146"/>
      <c r="DP32" s="146"/>
      <c r="DQ32" s="146"/>
      <c r="DR32" s="146"/>
      <c r="DS32" s="146"/>
      <c r="DT32" s="146"/>
      <c r="DU32" s="146"/>
      <c r="DV32" s="146"/>
      <c r="DW32" s="146"/>
      <c r="DX32" s="146"/>
      <c r="DY32" s="146"/>
      <c r="DZ32" s="146"/>
      <c r="EA32" s="146"/>
      <c r="EB32" s="146"/>
      <c r="EC32" s="146"/>
      <c r="ED32" s="146"/>
      <c r="EE32" s="146"/>
      <c r="EF32" s="146"/>
      <c r="EG32" s="146"/>
      <c r="EH32" s="146"/>
      <c r="EI32" s="146"/>
      <c r="EJ32" s="146"/>
      <c r="EK32" s="146"/>
      <c r="EL32" s="146"/>
      <c r="EM32" s="146"/>
      <c r="EN32" s="146"/>
      <c r="EO32" s="146"/>
      <c r="EP32" s="146"/>
      <c r="EQ32" s="146"/>
      <c r="ER32" s="146"/>
      <c r="ES32" s="146"/>
      <c r="ET32" s="146"/>
      <c r="EU32" s="146"/>
      <c r="EV32" s="146"/>
      <c r="EW32" s="146"/>
      <c r="EX32" s="146"/>
      <c r="EY32" s="146"/>
      <c r="EZ32" s="146"/>
      <c r="FA32" s="146"/>
      <c r="FB32" s="146"/>
      <c r="FC32" s="146"/>
      <c r="FD32" s="146"/>
      <c r="FE32" s="146"/>
      <c r="FF32" s="146"/>
      <c r="FG32" s="146"/>
      <c r="FH32" s="146"/>
      <c r="FI32" s="146"/>
      <c r="FJ32" s="146"/>
      <c r="FK32" s="146"/>
      <c r="FL32" s="146"/>
      <c r="FM32" s="146"/>
      <c r="FN32" s="146"/>
      <c r="FO32" s="146"/>
      <c r="FP32" s="146"/>
      <c r="FQ32" s="146"/>
      <c r="FR32" s="146"/>
      <c r="FS32" s="146"/>
      <c r="FT32" s="146"/>
      <c r="FU32" s="146"/>
      <c r="FV32" s="146"/>
      <c r="FW32" s="146"/>
      <c r="FX32" s="146"/>
      <c r="FY32" s="146"/>
      <c r="FZ32" s="146"/>
      <c r="GA32" s="146"/>
      <c r="GB32" s="146"/>
      <c r="GC32" s="146"/>
      <c r="GD32" s="146"/>
      <c r="GE32" s="146"/>
      <c r="GF32" s="146"/>
      <c r="GG32" s="146"/>
      <c r="GH32" s="146"/>
      <c r="GI32" s="146"/>
      <c r="GJ32" s="146"/>
      <c r="GK32" s="146"/>
      <c r="GL32" s="146"/>
      <c r="GM32" s="146"/>
      <c r="GN32" s="146"/>
      <c r="GO32" s="146"/>
      <c r="GP32" s="146"/>
      <c r="GQ32" s="146"/>
      <c r="GR32" s="146"/>
      <c r="GS32" s="146"/>
      <c r="GT32" s="146"/>
      <c r="GU32" s="146"/>
      <c r="GV32" s="146"/>
      <c r="GW32" s="146"/>
      <c r="GX32" s="146"/>
      <c r="GY32" s="146"/>
      <c r="GZ32" s="146"/>
      <c r="HA32" s="146"/>
      <c r="HB32" s="146"/>
      <c r="HC32" s="146"/>
      <c r="HD32" s="146"/>
      <c r="HE32" s="146"/>
      <c r="HF32" s="146"/>
      <c r="HG32" s="146"/>
      <c r="HH32" s="146"/>
      <c r="HI32" s="146"/>
      <c r="HJ32" s="146"/>
      <c r="HK32" s="146"/>
      <c r="HL32" s="146"/>
      <c r="HM32" s="146"/>
      <c r="HN32" s="146"/>
      <c r="HO32" s="146"/>
      <c r="HP32" s="146"/>
      <c r="HQ32" s="146"/>
      <c r="HR32" s="146"/>
      <c r="HS32" s="146"/>
      <c r="HT32" s="146"/>
      <c r="HU32" s="146"/>
      <c r="HV32" s="146"/>
      <c r="HW32" s="146"/>
      <c r="HX32" s="146"/>
      <c r="HY32" s="146"/>
      <c r="HZ32" s="146"/>
      <c r="IA32" s="146"/>
    </row>
    <row r="33" spans="1:235" s="159" customFormat="1" ht="57" x14ac:dyDescent="0.25">
      <c r="A33" s="197">
        <v>11300</v>
      </c>
      <c r="B33" s="194" t="s">
        <v>4</v>
      </c>
      <c r="C33" s="198" t="s">
        <v>160</v>
      </c>
      <c r="D33" s="194" t="s">
        <v>145</v>
      </c>
      <c r="E33" s="198" t="s">
        <v>161</v>
      </c>
      <c r="F33" s="194" t="s">
        <v>162</v>
      </c>
      <c r="G33" s="209" t="s">
        <v>123</v>
      </c>
      <c r="H33" s="216">
        <v>1</v>
      </c>
      <c r="I33" s="198" t="s">
        <v>313</v>
      </c>
      <c r="J33" s="194" t="s">
        <v>179</v>
      </c>
      <c r="K33" s="210">
        <v>51737471000</v>
      </c>
      <c r="L33" s="220">
        <v>1.2108861291163801E-3</v>
      </c>
      <c r="M33" s="194" t="s">
        <v>46</v>
      </c>
      <c r="N33" s="194" t="s">
        <v>68</v>
      </c>
      <c r="O33" s="194" t="s">
        <v>21</v>
      </c>
      <c r="P33" s="194" t="s">
        <v>36</v>
      </c>
      <c r="Q33" s="194" t="s">
        <v>213</v>
      </c>
      <c r="R33" s="194" t="s">
        <v>182</v>
      </c>
      <c r="S33" s="194" t="s">
        <v>99</v>
      </c>
      <c r="T33" s="211">
        <v>1</v>
      </c>
      <c r="U33" s="212" t="str">
        <f t="shared" si="13"/>
        <v>FONSAET</v>
      </c>
      <c r="V33" s="213">
        <f t="shared" si="13"/>
        <v>51737471000</v>
      </c>
      <c r="W33" s="214" t="s">
        <v>116</v>
      </c>
      <c r="X33" s="281">
        <v>0.25</v>
      </c>
      <c r="Y33" s="282" t="s">
        <v>179</v>
      </c>
      <c r="Z33" s="283">
        <v>12934367750</v>
      </c>
      <c r="AA33" s="279"/>
      <c r="AB33" s="279"/>
      <c r="AC33" s="280">
        <f t="shared" si="14"/>
        <v>0</v>
      </c>
      <c r="AD33" s="280">
        <f t="shared" si="15"/>
        <v>0</v>
      </c>
      <c r="AE33" s="280">
        <f t="shared" si="0"/>
        <v>0</v>
      </c>
      <c r="AF33" s="280">
        <f t="shared" si="1"/>
        <v>0</v>
      </c>
      <c r="AG33" s="281">
        <v>0.25</v>
      </c>
      <c r="AH33" s="282" t="s">
        <v>179</v>
      </c>
      <c r="AI33" s="283">
        <v>12934367750</v>
      </c>
      <c r="AJ33" s="279"/>
      <c r="AK33" s="279"/>
      <c r="AL33" s="280">
        <f>+(AJ33/AG33)</f>
        <v>0</v>
      </c>
      <c r="AM33" s="280">
        <f>+(AK33/AI33)</f>
        <v>0</v>
      </c>
      <c r="AN33" s="280">
        <f>+(AJ33+AA33)/T33</f>
        <v>0</v>
      </c>
      <c r="AO33" s="280">
        <f>+(AK33+AB33)/V33</f>
        <v>0</v>
      </c>
      <c r="AP33" s="281">
        <v>0.25</v>
      </c>
      <c r="AQ33" s="282" t="s">
        <v>179</v>
      </c>
      <c r="AR33" s="283">
        <v>12934367750</v>
      </c>
      <c r="AS33" s="279"/>
      <c r="AT33" s="279"/>
      <c r="AU33" s="280">
        <f t="shared" si="17"/>
        <v>0</v>
      </c>
      <c r="AV33" s="280">
        <f t="shared" si="18"/>
        <v>0</v>
      </c>
      <c r="AW33" s="280">
        <f t="shared" si="19"/>
        <v>0</v>
      </c>
      <c r="AX33" s="280">
        <f t="shared" si="20"/>
        <v>0</v>
      </c>
      <c r="AY33" s="281">
        <v>0.25</v>
      </c>
      <c r="AZ33" s="282" t="s">
        <v>179</v>
      </c>
      <c r="BA33" s="283">
        <v>12934367750</v>
      </c>
      <c r="BB33" s="279"/>
      <c r="BC33" s="279"/>
      <c r="BD33" s="281">
        <f t="shared" si="21"/>
        <v>0</v>
      </c>
      <c r="BE33" s="281">
        <f t="shared" si="22"/>
        <v>0</v>
      </c>
      <c r="BF33" s="281">
        <f>+(AJ33+AA33+AS33+BB33)/T33</f>
        <v>0</v>
      </c>
      <c r="BG33" s="281">
        <f>+(AK33+AB33+AT33+BC33)/V33</f>
        <v>0</v>
      </c>
      <c r="BH33" s="205">
        <f>IF(AND(X33=0,AA33=0),"No Prog ni Ejec",IF(X33=0,CONCATENATE("No Prog, Ejec=  ",AA33),AA33/X33))</f>
        <v>0</v>
      </c>
      <c r="BI33" s="205">
        <f>IF(AND(Z33=0,AB33=0),"No Prog ni Ejec",IF(Z33=0,CONCATENATE("No Prog, Ejec=  ",AB33),AB33/Z33))</f>
        <v>0</v>
      </c>
      <c r="BJ33" s="205">
        <f>IF(AND(AG33=0,AJ33=0),"No Prog ni Ejec",IF(AG33=0,CONCATENATE("No Prog, Ejec=  ",AJ33),AJ33/AG33))</f>
        <v>0</v>
      </c>
      <c r="BK33" s="205">
        <f>IF(AND(AI33=0,AK33=0),"No Prog ni Ejec",IF(AI33=0,CONCATENATE("No Prog, Ejec=  ",AK33),AK33/AI33))</f>
        <v>0</v>
      </c>
      <c r="BL33" s="205">
        <f>IF(AND(AP33=0,AS33=0),"No Prog ni Ejec",IF(AP33=0,CONCATENATE("No Prog, Ejec=  ",AS33),AS33/AP33))</f>
        <v>0</v>
      </c>
      <c r="BM33" s="205">
        <f t="shared" si="26"/>
        <v>0</v>
      </c>
      <c r="BN33" s="205">
        <f>IF(AND(AY33=0,BB33=0),"No Prog ni Ejec",IF(AY33=0,CONCATENATE("No Prog, Ejec=  ",BB33),BB33/AY33))</f>
        <v>0</v>
      </c>
      <c r="BO33" s="205">
        <f>IF(AND(BA33=0,BC33=0),"No Prog ni Ejec",IF(BA33=0,CONCATENATE("No Prog, Ejec=  ",BC33),BC33/BA33))</f>
        <v>0</v>
      </c>
      <c r="BP33" s="206"/>
      <c r="BQ33" s="277">
        <v>1</v>
      </c>
      <c r="BR33" s="208">
        <f t="shared" si="12"/>
        <v>0.58333333333333337</v>
      </c>
      <c r="BS33" s="219" t="str">
        <f t="shared" si="27"/>
        <v>FONSAET</v>
      </c>
      <c r="BT33" s="195">
        <f t="shared" si="11"/>
        <v>30180191416.666668</v>
      </c>
      <c r="BU33" s="196"/>
      <c r="BV33" s="196"/>
      <c r="BW33" s="196"/>
      <c r="BX33" s="196"/>
      <c r="BY33" s="196"/>
      <c r="BZ33" s="196"/>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c r="FN33" s="146"/>
      <c r="FO33" s="146"/>
      <c r="FP33" s="146"/>
      <c r="FQ33" s="146"/>
      <c r="FR33" s="146"/>
      <c r="FS33" s="146"/>
      <c r="FT33" s="146"/>
      <c r="FU33" s="146"/>
      <c r="FV33" s="146"/>
      <c r="FW33" s="146"/>
      <c r="FX33" s="146"/>
      <c r="FY33" s="146"/>
      <c r="FZ33" s="146"/>
      <c r="GA33" s="146"/>
      <c r="GB33" s="146"/>
      <c r="GC33" s="146"/>
      <c r="GD33" s="146"/>
      <c r="GE33" s="146"/>
      <c r="GF33" s="146"/>
      <c r="GG33" s="146"/>
      <c r="GH33" s="146"/>
      <c r="GI33" s="146"/>
      <c r="GJ33" s="146"/>
      <c r="GK33" s="146"/>
      <c r="GL33" s="146"/>
      <c r="GM33" s="146"/>
      <c r="GN33" s="146"/>
      <c r="GO33" s="146"/>
      <c r="GP33" s="146"/>
      <c r="GQ33" s="146"/>
      <c r="GR33" s="146"/>
      <c r="GS33" s="146"/>
      <c r="GT33" s="146"/>
      <c r="GU33" s="146"/>
      <c r="GV33" s="146"/>
      <c r="GW33" s="146"/>
      <c r="GX33" s="146"/>
      <c r="GY33" s="146"/>
      <c r="GZ33" s="146"/>
      <c r="HA33" s="146"/>
      <c r="HB33" s="146"/>
      <c r="HC33" s="146"/>
      <c r="HD33" s="146"/>
      <c r="HE33" s="146"/>
      <c r="HF33" s="146"/>
      <c r="HG33" s="146"/>
      <c r="HH33" s="146"/>
      <c r="HI33" s="146"/>
      <c r="HJ33" s="146"/>
      <c r="HK33" s="146"/>
      <c r="HL33" s="146"/>
      <c r="HM33" s="146"/>
      <c r="HN33" s="146"/>
      <c r="HO33" s="146"/>
      <c r="HP33" s="146"/>
      <c r="HQ33" s="146"/>
      <c r="HR33" s="146"/>
      <c r="HS33" s="146"/>
      <c r="HT33" s="146"/>
      <c r="HU33" s="146"/>
      <c r="HV33" s="146"/>
      <c r="HW33" s="146"/>
      <c r="HX33" s="146"/>
      <c r="HY33" s="146"/>
      <c r="HZ33" s="146"/>
      <c r="IA33" s="146"/>
    </row>
    <row r="34" spans="1:235" s="159" customFormat="1" ht="57" x14ac:dyDescent="0.25">
      <c r="A34" s="197">
        <v>11300</v>
      </c>
      <c r="B34" s="194" t="s">
        <v>4</v>
      </c>
      <c r="C34" s="198" t="s">
        <v>160</v>
      </c>
      <c r="D34" s="194" t="s">
        <v>145</v>
      </c>
      <c r="E34" s="198" t="s">
        <v>161</v>
      </c>
      <c r="F34" s="194" t="s">
        <v>162</v>
      </c>
      <c r="G34" s="209" t="s">
        <v>123</v>
      </c>
      <c r="H34" s="216">
        <v>1</v>
      </c>
      <c r="I34" s="198" t="s">
        <v>314</v>
      </c>
      <c r="J34" s="194" t="s">
        <v>180</v>
      </c>
      <c r="K34" s="210">
        <v>4936416000</v>
      </c>
      <c r="L34" s="220">
        <v>1.1553401328696884E-4</v>
      </c>
      <c r="M34" s="194" t="s">
        <v>46</v>
      </c>
      <c r="N34" s="194" t="s">
        <v>68</v>
      </c>
      <c r="O34" s="194" t="s">
        <v>21</v>
      </c>
      <c r="P34" s="194" t="s">
        <v>36</v>
      </c>
      <c r="Q34" s="194" t="s">
        <v>213</v>
      </c>
      <c r="R34" s="194" t="s">
        <v>182</v>
      </c>
      <c r="S34" s="194" t="s">
        <v>99</v>
      </c>
      <c r="T34" s="211">
        <v>1</v>
      </c>
      <c r="U34" s="212" t="str">
        <f t="shared" si="13"/>
        <v>Rendimientos Financieros cuentas de recaudo EPS - SSF</v>
      </c>
      <c r="V34" s="213">
        <f t="shared" si="13"/>
        <v>4936416000</v>
      </c>
      <c r="W34" s="214" t="s">
        <v>116</v>
      </c>
      <c r="X34" s="281">
        <v>0.25</v>
      </c>
      <c r="Y34" s="282" t="s">
        <v>180</v>
      </c>
      <c r="Z34" s="283">
        <v>1234104000</v>
      </c>
      <c r="AA34" s="279"/>
      <c r="AB34" s="279"/>
      <c r="AC34" s="280">
        <f t="shared" si="14"/>
        <v>0</v>
      </c>
      <c r="AD34" s="280">
        <f t="shared" si="15"/>
        <v>0</v>
      </c>
      <c r="AE34" s="280">
        <f t="shared" si="0"/>
        <v>0</v>
      </c>
      <c r="AF34" s="280">
        <f t="shared" si="1"/>
        <v>0</v>
      </c>
      <c r="AG34" s="281">
        <v>0.25</v>
      </c>
      <c r="AH34" s="282" t="s">
        <v>180</v>
      </c>
      <c r="AI34" s="283">
        <v>1234104000</v>
      </c>
      <c r="AJ34" s="279"/>
      <c r="AK34" s="279"/>
      <c r="AL34" s="280">
        <f t="shared" si="16"/>
        <v>0</v>
      </c>
      <c r="AM34" s="280">
        <f t="shared" si="2"/>
        <v>0</v>
      </c>
      <c r="AN34" s="280">
        <f t="shared" si="3"/>
        <v>0</v>
      </c>
      <c r="AO34" s="280">
        <f t="shared" si="4"/>
        <v>0</v>
      </c>
      <c r="AP34" s="281">
        <v>0.25</v>
      </c>
      <c r="AQ34" s="282" t="s">
        <v>180</v>
      </c>
      <c r="AR34" s="283">
        <v>1234104000</v>
      </c>
      <c r="AS34" s="279"/>
      <c r="AT34" s="279"/>
      <c r="AU34" s="280">
        <f t="shared" si="17"/>
        <v>0</v>
      </c>
      <c r="AV34" s="280">
        <f t="shared" si="18"/>
        <v>0</v>
      </c>
      <c r="AW34" s="280">
        <f t="shared" si="19"/>
        <v>0</v>
      </c>
      <c r="AX34" s="280">
        <f t="shared" si="20"/>
        <v>0</v>
      </c>
      <c r="AY34" s="281">
        <v>0.25</v>
      </c>
      <c r="AZ34" s="282" t="s">
        <v>180</v>
      </c>
      <c r="BA34" s="283">
        <v>1234104000</v>
      </c>
      <c r="BB34" s="279"/>
      <c r="BC34" s="279"/>
      <c r="BD34" s="281">
        <f t="shared" si="21"/>
        <v>0</v>
      </c>
      <c r="BE34" s="281">
        <f t="shared" si="22"/>
        <v>0</v>
      </c>
      <c r="BF34" s="281">
        <f t="shared" si="23"/>
        <v>0</v>
      </c>
      <c r="BG34" s="281">
        <f t="shared" si="24"/>
        <v>0</v>
      </c>
      <c r="BH34" s="205">
        <f t="shared" si="5"/>
        <v>0</v>
      </c>
      <c r="BI34" s="205">
        <f t="shared" si="6"/>
        <v>0</v>
      </c>
      <c r="BJ34" s="205">
        <f t="shared" si="7"/>
        <v>0</v>
      </c>
      <c r="BK34" s="205">
        <f t="shared" si="8"/>
        <v>0</v>
      </c>
      <c r="BL34" s="205">
        <f t="shared" si="25"/>
        <v>0</v>
      </c>
      <c r="BM34" s="205">
        <f t="shared" si="26"/>
        <v>0</v>
      </c>
      <c r="BN34" s="205">
        <f t="shared" si="9"/>
        <v>0</v>
      </c>
      <c r="BO34" s="205">
        <f t="shared" si="10"/>
        <v>0</v>
      </c>
      <c r="BP34" s="206"/>
      <c r="BQ34" s="277">
        <v>1</v>
      </c>
      <c r="BR34" s="208">
        <f t="shared" si="12"/>
        <v>0.58333333333333337</v>
      </c>
      <c r="BS34" s="219" t="str">
        <f t="shared" si="27"/>
        <v>Rendimientos Financieros cuentas de recaudo EPS - SSF</v>
      </c>
      <c r="BT34" s="195">
        <f t="shared" si="11"/>
        <v>2879576000</v>
      </c>
      <c r="BU34" s="196"/>
      <c r="BV34" s="196"/>
      <c r="BW34" s="196"/>
      <c r="BX34" s="196"/>
      <c r="BY34" s="196"/>
      <c r="BZ34" s="196"/>
      <c r="CA34" s="146"/>
      <c r="CB34" s="146"/>
      <c r="CC34" s="146"/>
      <c r="CD34" s="146"/>
      <c r="CE34" s="146"/>
      <c r="CF34" s="146"/>
      <c r="CG34" s="146"/>
      <c r="CH34" s="146"/>
      <c r="CI34" s="146"/>
      <c r="CJ34" s="146"/>
      <c r="CK34" s="146"/>
      <c r="CL34" s="146"/>
      <c r="CM34" s="146"/>
      <c r="CN34" s="146"/>
      <c r="CO34" s="146"/>
      <c r="CP34" s="146"/>
      <c r="CQ34" s="146"/>
      <c r="CR34" s="146"/>
      <c r="CS34" s="146"/>
      <c r="CT34" s="146"/>
      <c r="CU34" s="146"/>
      <c r="CV34" s="146"/>
      <c r="CW34" s="146"/>
      <c r="CX34" s="146"/>
      <c r="CY34" s="146"/>
      <c r="CZ34" s="146"/>
      <c r="DA34" s="146"/>
      <c r="DB34" s="146"/>
      <c r="DC34" s="146"/>
      <c r="DD34" s="146"/>
      <c r="DE34" s="146"/>
      <c r="DF34" s="146"/>
      <c r="DG34" s="146"/>
      <c r="DH34" s="146"/>
      <c r="DI34" s="146"/>
      <c r="DJ34" s="146"/>
      <c r="DK34" s="146"/>
      <c r="DL34" s="146"/>
      <c r="DM34" s="146"/>
      <c r="DN34" s="146"/>
      <c r="DO34" s="146"/>
      <c r="DP34" s="146"/>
      <c r="DQ34" s="146"/>
      <c r="DR34" s="146"/>
      <c r="DS34" s="146"/>
      <c r="DT34" s="146"/>
      <c r="DU34" s="146"/>
      <c r="DV34" s="146"/>
      <c r="DW34" s="146"/>
      <c r="DX34" s="146"/>
      <c r="DY34" s="146"/>
      <c r="DZ34" s="146"/>
      <c r="EA34" s="146"/>
      <c r="EB34" s="146"/>
      <c r="EC34" s="146"/>
      <c r="ED34" s="146"/>
      <c r="EE34" s="146"/>
      <c r="EF34" s="146"/>
      <c r="EG34" s="146"/>
      <c r="EH34" s="146"/>
      <c r="EI34" s="146"/>
      <c r="EJ34" s="146"/>
      <c r="EK34" s="146"/>
      <c r="EL34" s="146"/>
      <c r="EM34" s="146"/>
      <c r="EN34" s="146"/>
      <c r="EO34" s="146"/>
      <c r="EP34" s="146"/>
      <c r="EQ34" s="146"/>
      <c r="ER34" s="146"/>
      <c r="ES34" s="146"/>
      <c r="ET34" s="146"/>
      <c r="EU34" s="146"/>
      <c r="EV34" s="146"/>
      <c r="EW34" s="146"/>
      <c r="EX34" s="146"/>
      <c r="EY34" s="146"/>
      <c r="EZ34" s="146"/>
      <c r="FA34" s="146"/>
      <c r="FB34" s="146"/>
      <c r="FC34" s="146"/>
      <c r="FD34" s="146"/>
      <c r="FE34" s="146"/>
      <c r="FF34" s="146"/>
      <c r="FG34" s="146"/>
      <c r="FH34" s="146"/>
      <c r="FI34" s="146"/>
      <c r="FJ34" s="146"/>
      <c r="FK34" s="146"/>
      <c r="FL34" s="146"/>
      <c r="FM34" s="146"/>
      <c r="FN34" s="146"/>
      <c r="FO34" s="146"/>
      <c r="FP34" s="146"/>
      <c r="FQ34" s="146"/>
      <c r="FR34" s="146"/>
      <c r="FS34" s="146"/>
      <c r="FT34" s="146"/>
      <c r="FU34" s="146"/>
      <c r="FV34" s="146"/>
      <c r="FW34" s="146"/>
      <c r="FX34" s="146"/>
      <c r="FY34" s="146"/>
      <c r="FZ34" s="146"/>
      <c r="GA34" s="146"/>
      <c r="GB34" s="146"/>
      <c r="GC34" s="146"/>
      <c r="GD34" s="146"/>
      <c r="GE34" s="146"/>
      <c r="GF34" s="146"/>
      <c r="GG34" s="146"/>
      <c r="GH34" s="146"/>
      <c r="GI34" s="146"/>
      <c r="GJ34" s="146"/>
      <c r="GK34" s="146"/>
      <c r="GL34" s="146"/>
      <c r="GM34" s="146"/>
      <c r="GN34" s="146"/>
      <c r="GO34" s="146"/>
      <c r="GP34" s="146"/>
      <c r="GQ34" s="146"/>
      <c r="GR34" s="146"/>
      <c r="GS34" s="146"/>
      <c r="GT34" s="146"/>
      <c r="GU34" s="146"/>
      <c r="GV34" s="146"/>
      <c r="GW34" s="146"/>
      <c r="GX34" s="146"/>
      <c r="GY34" s="146"/>
      <c r="GZ34" s="146"/>
      <c r="HA34" s="146"/>
      <c r="HB34" s="146"/>
      <c r="HC34" s="146"/>
      <c r="HD34" s="146"/>
      <c r="HE34" s="146"/>
      <c r="HF34" s="146"/>
      <c r="HG34" s="146"/>
      <c r="HH34" s="146"/>
      <c r="HI34" s="146"/>
      <c r="HJ34" s="146"/>
      <c r="HK34" s="146"/>
      <c r="HL34" s="146"/>
      <c r="HM34" s="146"/>
      <c r="HN34" s="146"/>
      <c r="HO34" s="146"/>
      <c r="HP34" s="146"/>
      <c r="HQ34" s="146"/>
      <c r="HR34" s="146"/>
      <c r="HS34" s="146"/>
      <c r="HT34" s="146"/>
      <c r="HU34" s="146"/>
      <c r="HV34" s="146"/>
      <c r="HW34" s="146"/>
      <c r="HX34" s="146"/>
      <c r="HY34" s="146"/>
      <c r="HZ34" s="146"/>
      <c r="IA34" s="146"/>
    </row>
    <row r="35" spans="1:235" s="159" customFormat="1" ht="57" x14ac:dyDescent="0.25">
      <c r="A35" s="197">
        <v>11300</v>
      </c>
      <c r="B35" s="194" t="s">
        <v>4</v>
      </c>
      <c r="C35" s="198" t="s">
        <v>160</v>
      </c>
      <c r="D35" s="194" t="s">
        <v>145</v>
      </c>
      <c r="E35" s="198" t="s">
        <v>161</v>
      </c>
      <c r="F35" s="194" t="s">
        <v>162</v>
      </c>
      <c r="G35" s="209" t="s">
        <v>123</v>
      </c>
      <c r="H35" s="216">
        <v>1</v>
      </c>
      <c r="I35" s="198" t="s">
        <v>315</v>
      </c>
      <c r="J35" s="194" t="s">
        <v>181</v>
      </c>
      <c r="K35" s="210">
        <v>50000000000</v>
      </c>
      <c r="L35" s="220">
        <v>1.1702216070016065E-3</v>
      </c>
      <c r="M35" s="194" t="s">
        <v>46</v>
      </c>
      <c r="N35" s="194" t="s">
        <v>68</v>
      </c>
      <c r="O35" s="194" t="s">
        <v>21</v>
      </c>
      <c r="P35" s="194" t="s">
        <v>36</v>
      </c>
      <c r="Q35" s="194" t="s">
        <v>213</v>
      </c>
      <c r="R35" s="194" t="s">
        <v>182</v>
      </c>
      <c r="S35" s="194" t="s">
        <v>99</v>
      </c>
      <c r="T35" s="211">
        <v>1</v>
      </c>
      <c r="U35" s="212" t="str">
        <f t="shared" si="13"/>
        <v>Fortalecimientos Patrimonial a las Entidades del Sector salud</v>
      </c>
      <c r="V35" s="213">
        <f t="shared" si="13"/>
        <v>50000000000</v>
      </c>
      <c r="W35" s="214" t="s">
        <v>116</v>
      </c>
      <c r="X35" s="281">
        <v>0.25</v>
      </c>
      <c r="Y35" s="282" t="s">
        <v>181</v>
      </c>
      <c r="Z35" s="283">
        <v>12500000000</v>
      </c>
      <c r="AA35" s="279"/>
      <c r="AB35" s="279"/>
      <c r="AC35" s="280">
        <f t="shared" si="14"/>
        <v>0</v>
      </c>
      <c r="AD35" s="280">
        <f t="shared" si="15"/>
        <v>0</v>
      </c>
      <c r="AE35" s="280">
        <f t="shared" si="0"/>
        <v>0</v>
      </c>
      <c r="AF35" s="280">
        <f t="shared" si="1"/>
        <v>0</v>
      </c>
      <c r="AG35" s="281">
        <v>0.25</v>
      </c>
      <c r="AH35" s="282" t="s">
        <v>181</v>
      </c>
      <c r="AI35" s="283">
        <v>12500000000</v>
      </c>
      <c r="AJ35" s="279"/>
      <c r="AK35" s="279"/>
      <c r="AL35" s="280">
        <f t="shared" si="16"/>
        <v>0</v>
      </c>
      <c r="AM35" s="280">
        <f t="shared" si="2"/>
        <v>0</v>
      </c>
      <c r="AN35" s="280">
        <f t="shared" si="3"/>
        <v>0</v>
      </c>
      <c r="AO35" s="280">
        <f t="shared" si="4"/>
        <v>0</v>
      </c>
      <c r="AP35" s="281">
        <v>0.25</v>
      </c>
      <c r="AQ35" s="282" t="s">
        <v>181</v>
      </c>
      <c r="AR35" s="283">
        <v>12500000000</v>
      </c>
      <c r="AS35" s="279"/>
      <c r="AT35" s="279"/>
      <c r="AU35" s="280">
        <f t="shared" si="17"/>
        <v>0</v>
      </c>
      <c r="AV35" s="280">
        <f t="shared" si="18"/>
        <v>0</v>
      </c>
      <c r="AW35" s="280">
        <f t="shared" si="19"/>
        <v>0</v>
      </c>
      <c r="AX35" s="280">
        <f t="shared" si="20"/>
        <v>0</v>
      </c>
      <c r="AY35" s="281">
        <v>0.25</v>
      </c>
      <c r="AZ35" s="282" t="s">
        <v>181</v>
      </c>
      <c r="BA35" s="283">
        <v>12500000000</v>
      </c>
      <c r="BB35" s="279"/>
      <c r="BC35" s="279"/>
      <c r="BD35" s="281">
        <f t="shared" si="21"/>
        <v>0</v>
      </c>
      <c r="BE35" s="281">
        <f t="shared" si="22"/>
        <v>0</v>
      </c>
      <c r="BF35" s="281">
        <f t="shared" si="23"/>
        <v>0</v>
      </c>
      <c r="BG35" s="281">
        <f t="shared" si="24"/>
        <v>0</v>
      </c>
      <c r="BH35" s="205">
        <f t="shared" si="5"/>
        <v>0</v>
      </c>
      <c r="BI35" s="205">
        <f t="shared" si="6"/>
        <v>0</v>
      </c>
      <c r="BJ35" s="205">
        <f t="shared" si="7"/>
        <v>0</v>
      </c>
      <c r="BK35" s="205">
        <f t="shared" si="8"/>
        <v>0</v>
      </c>
      <c r="BL35" s="205">
        <f t="shared" si="25"/>
        <v>0</v>
      </c>
      <c r="BM35" s="205">
        <f t="shared" si="26"/>
        <v>0</v>
      </c>
      <c r="BN35" s="205">
        <f t="shared" si="9"/>
        <v>0</v>
      </c>
      <c r="BO35" s="205">
        <f t="shared" si="10"/>
        <v>0</v>
      </c>
      <c r="BP35" s="206"/>
      <c r="BQ35" s="277">
        <v>1</v>
      </c>
      <c r="BR35" s="208">
        <f t="shared" si="12"/>
        <v>0.58333333333333337</v>
      </c>
      <c r="BS35" s="219" t="str">
        <f t="shared" si="27"/>
        <v>Fortalecimientos Patrimonial a las Entidades del Sector salud</v>
      </c>
      <c r="BT35" s="195">
        <f t="shared" si="11"/>
        <v>29166666666.666668</v>
      </c>
      <c r="BU35" s="196"/>
      <c r="BV35" s="196"/>
      <c r="BW35" s="196"/>
      <c r="BX35" s="196"/>
      <c r="BY35" s="196"/>
      <c r="BZ35" s="196"/>
      <c r="CA35" s="146"/>
      <c r="CB35" s="146"/>
      <c r="CC35" s="146"/>
      <c r="CD35" s="146"/>
      <c r="CE35" s="146"/>
      <c r="CF35" s="146"/>
      <c r="CG35" s="146"/>
      <c r="CH35" s="146"/>
      <c r="CI35" s="146"/>
      <c r="CJ35" s="146"/>
      <c r="CK35" s="146"/>
      <c r="CL35" s="146"/>
      <c r="CM35" s="146"/>
      <c r="CN35" s="146"/>
      <c r="CO35" s="146"/>
      <c r="CP35" s="146"/>
      <c r="CQ35" s="146"/>
      <c r="CR35" s="146"/>
      <c r="CS35" s="146"/>
      <c r="CT35" s="146"/>
      <c r="CU35" s="146"/>
      <c r="CV35" s="146"/>
      <c r="CW35" s="146"/>
      <c r="CX35" s="146"/>
      <c r="CY35" s="146"/>
      <c r="CZ35" s="146"/>
      <c r="DA35" s="146"/>
      <c r="DB35" s="146"/>
      <c r="DC35" s="146"/>
      <c r="DD35" s="146"/>
      <c r="DE35" s="146"/>
      <c r="DF35" s="146"/>
      <c r="DG35" s="146"/>
      <c r="DH35" s="146"/>
      <c r="DI35" s="146"/>
      <c r="DJ35" s="146"/>
      <c r="DK35" s="146"/>
      <c r="DL35" s="146"/>
      <c r="DM35" s="146"/>
      <c r="DN35" s="146"/>
      <c r="DO35" s="146"/>
      <c r="DP35" s="146"/>
      <c r="DQ35" s="146"/>
      <c r="DR35" s="146"/>
      <c r="DS35" s="146"/>
      <c r="DT35" s="146"/>
      <c r="DU35" s="146"/>
      <c r="DV35" s="146"/>
      <c r="DW35" s="146"/>
      <c r="DX35" s="146"/>
      <c r="DY35" s="146"/>
      <c r="DZ35" s="146"/>
      <c r="EA35" s="146"/>
      <c r="EB35" s="146"/>
      <c r="EC35" s="146"/>
      <c r="ED35" s="146"/>
      <c r="EE35" s="146"/>
      <c r="EF35" s="146"/>
      <c r="EG35" s="146"/>
      <c r="EH35" s="146"/>
      <c r="EI35" s="146"/>
      <c r="EJ35" s="146"/>
      <c r="EK35" s="146"/>
      <c r="EL35" s="146"/>
      <c r="EM35" s="146"/>
      <c r="EN35" s="146"/>
      <c r="EO35" s="146"/>
      <c r="EP35" s="146"/>
      <c r="EQ35" s="146"/>
      <c r="ER35" s="146"/>
      <c r="ES35" s="146"/>
      <c r="ET35" s="146"/>
      <c r="EU35" s="146"/>
      <c r="EV35" s="146"/>
      <c r="EW35" s="146"/>
      <c r="EX35" s="146"/>
      <c r="EY35" s="146"/>
      <c r="EZ35" s="146"/>
      <c r="FA35" s="146"/>
      <c r="FB35" s="146"/>
      <c r="FC35" s="146"/>
      <c r="FD35" s="146"/>
      <c r="FE35" s="146"/>
      <c r="FF35" s="146"/>
      <c r="FG35" s="146"/>
      <c r="FH35" s="146"/>
      <c r="FI35" s="146"/>
      <c r="FJ35" s="146"/>
      <c r="FK35" s="146"/>
      <c r="FL35" s="146"/>
      <c r="FM35" s="146"/>
      <c r="FN35" s="146"/>
      <c r="FO35" s="146"/>
      <c r="FP35" s="146"/>
      <c r="FQ35" s="146"/>
      <c r="FR35" s="146"/>
      <c r="FS35" s="146"/>
      <c r="FT35" s="146"/>
      <c r="FU35" s="146"/>
      <c r="FV35" s="146"/>
      <c r="FW35" s="146"/>
      <c r="FX35" s="146"/>
      <c r="FY35" s="146"/>
      <c r="FZ35" s="146"/>
      <c r="GA35" s="146"/>
      <c r="GB35" s="146"/>
      <c r="GC35" s="146"/>
      <c r="GD35" s="146"/>
      <c r="GE35" s="146"/>
      <c r="GF35" s="146"/>
      <c r="GG35" s="146"/>
      <c r="GH35" s="146"/>
      <c r="GI35" s="146"/>
      <c r="GJ35" s="146"/>
      <c r="GK35" s="146"/>
      <c r="GL35" s="146"/>
      <c r="GM35" s="146"/>
      <c r="GN35" s="146"/>
      <c r="GO35" s="146"/>
      <c r="GP35" s="146"/>
      <c r="GQ35" s="146"/>
      <c r="GR35" s="146"/>
      <c r="GS35" s="146"/>
      <c r="GT35" s="146"/>
      <c r="GU35" s="146"/>
      <c r="GV35" s="146"/>
      <c r="GW35" s="146"/>
      <c r="GX35" s="146"/>
      <c r="GY35" s="146"/>
      <c r="GZ35" s="146"/>
      <c r="HA35" s="146"/>
      <c r="HB35" s="146"/>
      <c r="HC35" s="146"/>
      <c r="HD35" s="146"/>
      <c r="HE35" s="146"/>
      <c r="HF35" s="146"/>
      <c r="HG35" s="146"/>
      <c r="HH35" s="146"/>
      <c r="HI35" s="146"/>
      <c r="HJ35" s="146"/>
      <c r="HK35" s="146"/>
      <c r="HL35" s="146"/>
      <c r="HM35" s="146"/>
      <c r="HN35" s="146"/>
      <c r="HO35" s="146"/>
      <c r="HP35" s="146"/>
      <c r="HQ35" s="146"/>
      <c r="HR35" s="146"/>
      <c r="HS35" s="146"/>
      <c r="HT35" s="146"/>
      <c r="HU35" s="146"/>
      <c r="HV35" s="146"/>
      <c r="HW35" s="146"/>
      <c r="HX35" s="146"/>
      <c r="HY35" s="146"/>
      <c r="HZ35" s="146"/>
      <c r="IA35" s="146"/>
    </row>
    <row r="36" spans="1:235" s="156" customFormat="1" ht="57" x14ac:dyDescent="0.25">
      <c r="A36" s="197">
        <v>11300</v>
      </c>
      <c r="B36" s="194" t="s">
        <v>4</v>
      </c>
      <c r="C36" s="198" t="s">
        <v>160</v>
      </c>
      <c r="D36" s="194" t="s">
        <v>145</v>
      </c>
      <c r="E36" s="198" t="s">
        <v>578</v>
      </c>
      <c r="F36" s="194" t="s">
        <v>574</v>
      </c>
      <c r="G36" s="209" t="s">
        <v>124</v>
      </c>
      <c r="H36" s="198">
        <v>12</v>
      </c>
      <c r="I36" s="198" t="s">
        <v>579</v>
      </c>
      <c r="J36" s="194" t="s">
        <v>245</v>
      </c>
      <c r="K36" s="210">
        <v>53187356</v>
      </c>
      <c r="L36" s="211">
        <v>1</v>
      </c>
      <c r="M36" s="194" t="s">
        <v>46</v>
      </c>
      <c r="N36" s="194" t="s">
        <v>68</v>
      </c>
      <c r="O36" s="194" t="s">
        <v>21</v>
      </c>
      <c r="P36" s="194" t="s">
        <v>36</v>
      </c>
      <c r="Q36" s="194" t="s">
        <v>213</v>
      </c>
      <c r="R36" s="194" t="s">
        <v>626</v>
      </c>
      <c r="S36" s="194" t="s">
        <v>99</v>
      </c>
      <c r="T36" s="221">
        <v>12</v>
      </c>
      <c r="U36" s="212" t="str">
        <f t="shared" si="13"/>
        <v>Realizar Informes de Ejecución Presupuestal</v>
      </c>
      <c r="V36" s="213">
        <f t="shared" si="13"/>
        <v>53187356</v>
      </c>
      <c r="W36" s="222" t="s">
        <v>114</v>
      </c>
      <c r="X36" s="215">
        <v>3</v>
      </c>
      <c r="Y36" s="214" t="s">
        <v>245</v>
      </c>
      <c r="Z36" s="210">
        <v>12240000</v>
      </c>
      <c r="AA36" s="196"/>
      <c r="AB36" s="196"/>
      <c r="AC36" s="204">
        <f t="shared" si="14"/>
        <v>0</v>
      </c>
      <c r="AD36" s="204">
        <f t="shared" si="15"/>
        <v>0</v>
      </c>
      <c r="AE36" s="204">
        <f t="shared" si="0"/>
        <v>0</v>
      </c>
      <c r="AF36" s="204">
        <f t="shared" si="1"/>
        <v>0</v>
      </c>
      <c r="AG36" s="215">
        <v>3</v>
      </c>
      <c r="AH36" s="214" t="s">
        <v>245</v>
      </c>
      <c r="AI36" s="210">
        <v>12240000</v>
      </c>
      <c r="AJ36" s="196"/>
      <c r="AK36" s="196"/>
      <c r="AL36" s="204">
        <f t="shared" si="16"/>
        <v>0</v>
      </c>
      <c r="AM36" s="204">
        <f t="shared" si="2"/>
        <v>0</v>
      </c>
      <c r="AN36" s="204">
        <f t="shared" si="3"/>
        <v>0</v>
      </c>
      <c r="AO36" s="204">
        <f t="shared" si="4"/>
        <v>0</v>
      </c>
      <c r="AP36" s="215">
        <v>3</v>
      </c>
      <c r="AQ36" s="214" t="s">
        <v>245</v>
      </c>
      <c r="AR36" s="210">
        <v>13296839</v>
      </c>
      <c r="AS36" s="196"/>
      <c r="AT36" s="196"/>
      <c r="AU36" s="204">
        <f t="shared" si="17"/>
        <v>0</v>
      </c>
      <c r="AV36" s="204">
        <f t="shared" si="18"/>
        <v>0</v>
      </c>
      <c r="AW36" s="204">
        <f t="shared" si="19"/>
        <v>0</v>
      </c>
      <c r="AX36" s="204">
        <f t="shared" si="20"/>
        <v>0</v>
      </c>
      <c r="AY36" s="215">
        <v>3</v>
      </c>
      <c r="AZ36" s="214" t="s">
        <v>245</v>
      </c>
      <c r="BA36" s="210">
        <v>15410517</v>
      </c>
      <c r="BB36" s="196"/>
      <c r="BC36" s="196"/>
      <c r="BD36" s="216">
        <f t="shared" si="21"/>
        <v>0</v>
      </c>
      <c r="BE36" s="216">
        <f t="shared" si="22"/>
        <v>0</v>
      </c>
      <c r="BF36" s="216">
        <f t="shared" si="23"/>
        <v>0</v>
      </c>
      <c r="BG36" s="216">
        <f t="shared" si="24"/>
        <v>0</v>
      </c>
      <c r="BH36" s="223">
        <f t="shared" si="5"/>
        <v>0</v>
      </c>
      <c r="BI36" s="223">
        <f t="shared" si="6"/>
        <v>0</v>
      </c>
      <c r="BJ36" s="223">
        <f t="shared" si="7"/>
        <v>0</v>
      </c>
      <c r="BK36" s="223">
        <f t="shared" si="8"/>
        <v>0</v>
      </c>
      <c r="BL36" s="223">
        <f t="shared" si="25"/>
        <v>0</v>
      </c>
      <c r="BM36" s="223">
        <f t="shared" si="26"/>
        <v>0</v>
      </c>
      <c r="BN36" s="223">
        <f t="shared" si="9"/>
        <v>0</v>
      </c>
      <c r="BO36" s="223">
        <f t="shared" si="10"/>
        <v>0</v>
      </c>
      <c r="BP36" s="206"/>
      <c r="BQ36" s="277">
        <v>1</v>
      </c>
      <c r="BR36" s="218">
        <f t="shared" si="12"/>
        <v>7</v>
      </c>
      <c r="BS36" s="219" t="str">
        <f t="shared" si="27"/>
        <v>Realizar Informes de Ejecución Presupuestal</v>
      </c>
      <c r="BT36" s="195">
        <f t="shared" si="11"/>
        <v>28912279.666666668</v>
      </c>
      <c r="BU36" s="196"/>
      <c r="BV36" s="196"/>
      <c r="BW36" s="196"/>
      <c r="BX36" s="196"/>
      <c r="BY36" s="196"/>
      <c r="BZ36" s="196"/>
      <c r="CA36" s="146"/>
      <c r="CB36" s="146"/>
      <c r="CC36" s="146"/>
      <c r="CD36" s="146"/>
      <c r="CE36" s="146"/>
      <c r="CF36" s="146"/>
      <c r="CG36" s="146"/>
      <c r="CH36" s="146"/>
      <c r="CI36" s="146"/>
      <c r="CJ36" s="146"/>
      <c r="CK36" s="146"/>
      <c r="CL36" s="146"/>
      <c r="CM36" s="146"/>
      <c r="CN36" s="146"/>
      <c r="CO36" s="146"/>
      <c r="CP36" s="146"/>
      <c r="CQ36" s="146"/>
      <c r="CR36" s="146"/>
      <c r="CS36" s="146"/>
      <c r="CT36" s="146"/>
      <c r="CU36" s="146"/>
      <c r="CV36" s="146"/>
      <c r="CW36" s="146"/>
      <c r="CX36" s="146"/>
      <c r="CY36" s="146"/>
      <c r="CZ36" s="146"/>
      <c r="DA36" s="146"/>
      <c r="DB36" s="146"/>
      <c r="DC36" s="146"/>
      <c r="DD36" s="146"/>
      <c r="DE36" s="146"/>
      <c r="DF36" s="146"/>
      <c r="DG36" s="146"/>
      <c r="DH36" s="146"/>
      <c r="DI36" s="146"/>
      <c r="DJ36" s="146"/>
      <c r="DK36" s="146"/>
      <c r="DL36" s="146"/>
      <c r="DM36" s="146"/>
      <c r="DN36" s="146"/>
      <c r="DO36" s="146"/>
      <c r="DP36" s="146"/>
      <c r="DQ36" s="146"/>
      <c r="DR36" s="146"/>
      <c r="DS36" s="146"/>
      <c r="DT36" s="146"/>
      <c r="DU36" s="146"/>
      <c r="DV36" s="146"/>
      <c r="DW36" s="146"/>
      <c r="DX36" s="146"/>
      <c r="DY36" s="146"/>
      <c r="DZ36" s="146"/>
      <c r="EA36" s="146"/>
      <c r="EB36" s="146"/>
      <c r="EC36" s="146"/>
      <c r="ED36" s="146"/>
      <c r="EE36" s="146"/>
      <c r="EF36" s="146"/>
      <c r="EG36" s="146"/>
      <c r="EH36" s="146"/>
      <c r="EI36" s="146"/>
      <c r="EJ36" s="146"/>
      <c r="EK36" s="146"/>
      <c r="EL36" s="146"/>
      <c r="EM36" s="146"/>
      <c r="EN36" s="146"/>
      <c r="EO36" s="146"/>
      <c r="EP36" s="146"/>
      <c r="EQ36" s="146"/>
      <c r="ER36" s="146"/>
      <c r="ES36" s="146"/>
      <c r="ET36" s="146"/>
      <c r="EU36" s="146"/>
      <c r="EV36" s="146"/>
      <c r="EW36" s="146"/>
      <c r="EX36" s="146"/>
      <c r="EY36" s="146"/>
      <c r="EZ36" s="146"/>
      <c r="FA36" s="146"/>
      <c r="FB36" s="146"/>
      <c r="FC36" s="146"/>
      <c r="FD36" s="146"/>
      <c r="FE36" s="146"/>
      <c r="FF36" s="146"/>
      <c r="FG36" s="146"/>
      <c r="FH36" s="146"/>
      <c r="FI36" s="146"/>
      <c r="FJ36" s="146"/>
      <c r="FK36" s="146"/>
      <c r="FL36" s="146"/>
      <c r="FM36" s="146"/>
      <c r="FN36" s="146"/>
      <c r="FO36" s="146"/>
      <c r="FP36" s="146"/>
      <c r="FQ36" s="146"/>
      <c r="FR36" s="146"/>
      <c r="FS36" s="146"/>
      <c r="FT36" s="146"/>
      <c r="FU36" s="146"/>
      <c r="FV36" s="146"/>
      <c r="FW36" s="146"/>
      <c r="FX36" s="146"/>
      <c r="FY36" s="146"/>
      <c r="FZ36" s="146"/>
      <c r="GA36" s="146"/>
      <c r="GB36" s="146"/>
      <c r="GC36" s="146"/>
      <c r="GD36" s="146"/>
      <c r="GE36" s="146"/>
      <c r="GF36" s="146"/>
      <c r="GG36" s="146"/>
      <c r="GH36" s="146"/>
      <c r="GI36" s="146"/>
      <c r="GJ36" s="146"/>
      <c r="GK36" s="146"/>
      <c r="GL36" s="146"/>
      <c r="GM36" s="146"/>
      <c r="GN36" s="146"/>
      <c r="GO36" s="146"/>
      <c r="GP36" s="146"/>
      <c r="GQ36" s="146"/>
      <c r="GR36" s="146"/>
      <c r="GS36" s="146"/>
      <c r="GT36" s="146"/>
      <c r="GU36" s="146"/>
      <c r="GV36" s="146"/>
      <c r="GW36" s="146"/>
      <c r="GX36" s="146"/>
      <c r="GY36" s="146"/>
      <c r="GZ36" s="146"/>
      <c r="HA36" s="146"/>
      <c r="HB36" s="146"/>
      <c r="HC36" s="146"/>
      <c r="HD36" s="146"/>
      <c r="HE36" s="146"/>
      <c r="HF36" s="146"/>
      <c r="HG36" s="146"/>
      <c r="HH36" s="146"/>
      <c r="HI36" s="146"/>
      <c r="HJ36" s="146"/>
      <c r="HK36" s="146"/>
      <c r="HL36" s="146"/>
      <c r="HM36" s="146"/>
      <c r="HN36" s="146"/>
      <c r="HO36" s="146"/>
      <c r="HP36" s="146"/>
      <c r="HQ36" s="146"/>
      <c r="HR36" s="146"/>
      <c r="HS36" s="146"/>
      <c r="HT36" s="146"/>
      <c r="HU36" s="146"/>
      <c r="HV36" s="146"/>
      <c r="HW36" s="146"/>
      <c r="HX36" s="146"/>
      <c r="HY36" s="146"/>
      <c r="HZ36" s="146"/>
      <c r="IA36" s="146"/>
    </row>
    <row r="37" spans="1:235" s="159" customFormat="1" ht="57" x14ac:dyDescent="0.25">
      <c r="A37" s="197">
        <v>11300</v>
      </c>
      <c r="B37" s="194" t="s">
        <v>4</v>
      </c>
      <c r="C37" s="198" t="s">
        <v>160</v>
      </c>
      <c r="D37" s="194" t="s">
        <v>145</v>
      </c>
      <c r="E37" s="198" t="s">
        <v>580</v>
      </c>
      <c r="F37" s="194" t="s">
        <v>246</v>
      </c>
      <c r="G37" s="209" t="s">
        <v>123</v>
      </c>
      <c r="H37" s="211">
        <v>1</v>
      </c>
      <c r="I37" s="198" t="s">
        <v>581</v>
      </c>
      <c r="J37" s="194" t="s">
        <v>247</v>
      </c>
      <c r="K37" s="210">
        <v>243106560</v>
      </c>
      <c r="L37" s="211">
        <v>1</v>
      </c>
      <c r="M37" s="194" t="s">
        <v>46</v>
      </c>
      <c r="N37" s="194" t="s">
        <v>68</v>
      </c>
      <c r="O37" s="194" t="s">
        <v>21</v>
      </c>
      <c r="P37" s="194" t="s">
        <v>36</v>
      </c>
      <c r="Q37" s="194" t="s">
        <v>214</v>
      </c>
      <c r="R37" s="194" t="s">
        <v>594</v>
      </c>
      <c r="S37" s="194" t="s">
        <v>99</v>
      </c>
      <c r="T37" s="211">
        <v>1</v>
      </c>
      <c r="U37" s="212" t="str">
        <f t="shared" si="13"/>
        <v>Seguimiento e identificación del Recaudo</v>
      </c>
      <c r="V37" s="213">
        <f t="shared" si="13"/>
        <v>243106560</v>
      </c>
      <c r="W37" s="222" t="s">
        <v>114</v>
      </c>
      <c r="X37" s="281">
        <v>0.25</v>
      </c>
      <c r="Y37" s="282" t="s">
        <v>247</v>
      </c>
      <c r="Z37" s="283">
        <v>60776640</v>
      </c>
      <c r="AA37" s="279"/>
      <c r="AB37" s="279"/>
      <c r="AC37" s="280">
        <f t="shared" si="14"/>
        <v>0</v>
      </c>
      <c r="AD37" s="280">
        <f t="shared" si="15"/>
        <v>0</v>
      </c>
      <c r="AE37" s="280">
        <f t="shared" si="0"/>
        <v>0</v>
      </c>
      <c r="AF37" s="280">
        <f t="shared" si="1"/>
        <v>0</v>
      </c>
      <c r="AG37" s="281">
        <v>0.25</v>
      </c>
      <c r="AH37" s="282" t="s">
        <v>247</v>
      </c>
      <c r="AI37" s="283">
        <v>60776640</v>
      </c>
      <c r="AJ37" s="279"/>
      <c r="AK37" s="279"/>
      <c r="AL37" s="280">
        <f t="shared" si="16"/>
        <v>0</v>
      </c>
      <c r="AM37" s="280">
        <f t="shared" si="2"/>
        <v>0</v>
      </c>
      <c r="AN37" s="280">
        <f t="shared" si="3"/>
        <v>0</v>
      </c>
      <c r="AO37" s="280">
        <f t="shared" si="4"/>
        <v>0</v>
      </c>
      <c r="AP37" s="281">
        <v>0.25</v>
      </c>
      <c r="AQ37" s="282" t="s">
        <v>247</v>
      </c>
      <c r="AR37" s="283">
        <v>60776640</v>
      </c>
      <c r="AS37" s="279"/>
      <c r="AT37" s="279"/>
      <c r="AU37" s="280">
        <f t="shared" si="17"/>
        <v>0</v>
      </c>
      <c r="AV37" s="280">
        <f t="shared" si="18"/>
        <v>0</v>
      </c>
      <c r="AW37" s="280">
        <f t="shared" si="19"/>
        <v>0</v>
      </c>
      <c r="AX37" s="280">
        <f t="shared" si="20"/>
        <v>0</v>
      </c>
      <c r="AY37" s="281">
        <v>0.25</v>
      </c>
      <c r="AZ37" s="282" t="s">
        <v>247</v>
      </c>
      <c r="BA37" s="283">
        <v>60776640</v>
      </c>
      <c r="BB37" s="279"/>
      <c r="BC37" s="279"/>
      <c r="BD37" s="281">
        <f t="shared" si="21"/>
        <v>0</v>
      </c>
      <c r="BE37" s="281">
        <f t="shared" si="22"/>
        <v>0</v>
      </c>
      <c r="BF37" s="281">
        <f t="shared" si="23"/>
        <v>0</v>
      </c>
      <c r="BG37" s="281">
        <f t="shared" si="24"/>
        <v>0</v>
      </c>
      <c r="BH37" s="205">
        <f t="shared" si="5"/>
        <v>0</v>
      </c>
      <c r="BI37" s="205">
        <f t="shared" si="6"/>
        <v>0</v>
      </c>
      <c r="BJ37" s="205">
        <f t="shared" si="7"/>
        <v>0</v>
      </c>
      <c r="BK37" s="205">
        <f t="shared" si="8"/>
        <v>0</v>
      </c>
      <c r="BL37" s="205">
        <f t="shared" si="25"/>
        <v>0</v>
      </c>
      <c r="BM37" s="205">
        <f t="shared" si="26"/>
        <v>0</v>
      </c>
      <c r="BN37" s="205">
        <f t="shared" si="9"/>
        <v>0</v>
      </c>
      <c r="BO37" s="205">
        <f t="shared" si="10"/>
        <v>0</v>
      </c>
      <c r="BP37" s="206"/>
      <c r="BQ37" s="277">
        <v>1</v>
      </c>
      <c r="BR37" s="208">
        <f t="shared" si="12"/>
        <v>0.58333333333333337</v>
      </c>
      <c r="BS37" s="219" t="str">
        <f t="shared" si="27"/>
        <v>Seguimiento e identificación del Recaudo</v>
      </c>
      <c r="BT37" s="195">
        <f t="shared" si="11"/>
        <v>141812160</v>
      </c>
      <c r="BU37" s="196"/>
      <c r="BV37" s="196"/>
      <c r="BW37" s="196"/>
      <c r="BX37" s="196"/>
      <c r="BY37" s="196"/>
      <c r="BZ37" s="196"/>
      <c r="CA37" s="146"/>
      <c r="CB37" s="146"/>
      <c r="CC37" s="146"/>
      <c r="CD37" s="146"/>
      <c r="CE37" s="146"/>
      <c r="CF37" s="146"/>
      <c r="CG37" s="146"/>
      <c r="CH37" s="146"/>
      <c r="CI37" s="146"/>
      <c r="CJ37" s="146"/>
      <c r="CK37" s="146"/>
      <c r="CL37" s="146"/>
      <c r="CM37" s="146"/>
      <c r="CN37" s="146"/>
      <c r="CO37" s="146"/>
      <c r="CP37" s="146"/>
      <c r="CQ37" s="146"/>
      <c r="CR37" s="146"/>
      <c r="CS37" s="146"/>
      <c r="CT37" s="146"/>
      <c r="CU37" s="146"/>
      <c r="CV37" s="146"/>
      <c r="CW37" s="146"/>
      <c r="CX37" s="146"/>
      <c r="CY37" s="146"/>
      <c r="CZ37" s="146"/>
      <c r="DA37" s="146"/>
      <c r="DB37" s="146"/>
      <c r="DC37" s="146"/>
      <c r="DD37" s="146"/>
      <c r="DE37" s="146"/>
      <c r="DF37" s="146"/>
      <c r="DG37" s="146"/>
      <c r="DH37" s="146"/>
      <c r="DI37" s="146"/>
      <c r="DJ37" s="146"/>
      <c r="DK37" s="146"/>
      <c r="DL37" s="146"/>
      <c r="DM37" s="146"/>
      <c r="DN37" s="146"/>
      <c r="DO37" s="146"/>
      <c r="DP37" s="146"/>
      <c r="DQ37" s="146"/>
      <c r="DR37" s="146"/>
      <c r="DS37" s="146"/>
      <c r="DT37" s="146"/>
      <c r="DU37" s="146"/>
      <c r="DV37" s="146"/>
      <c r="DW37" s="146"/>
      <c r="DX37" s="146"/>
      <c r="DY37" s="146"/>
      <c r="DZ37" s="146"/>
      <c r="EA37" s="146"/>
      <c r="EB37" s="146"/>
      <c r="EC37" s="146"/>
      <c r="ED37" s="146"/>
      <c r="EE37" s="146"/>
      <c r="EF37" s="146"/>
      <c r="EG37" s="146"/>
      <c r="EH37" s="146"/>
      <c r="EI37" s="146"/>
      <c r="EJ37" s="146"/>
      <c r="EK37" s="146"/>
      <c r="EL37" s="146"/>
      <c r="EM37" s="146"/>
      <c r="EN37" s="146"/>
      <c r="EO37" s="146"/>
      <c r="EP37" s="146"/>
      <c r="EQ37" s="146"/>
      <c r="ER37" s="146"/>
      <c r="ES37" s="146"/>
      <c r="ET37" s="146"/>
      <c r="EU37" s="146"/>
      <c r="EV37" s="146"/>
      <c r="EW37" s="146"/>
      <c r="EX37" s="146"/>
      <c r="EY37" s="146"/>
      <c r="EZ37" s="146"/>
      <c r="FA37" s="146"/>
      <c r="FB37" s="146"/>
      <c r="FC37" s="146"/>
      <c r="FD37" s="146"/>
      <c r="FE37" s="146"/>
      <c r="FF37" s="146"/>
      <c r="FG37" s="146"/>
      <c r="FH37" s="146"/>
      <c r="FI37" s="146"/>
      <c r="FJ37" s="146"/>
      <c r="FK37" s="146"/>
      <c r="FL37" s="146"/>
      <c r="FM37" s="146"/>
      <c r="FN37" s="146"/>
      <c r="FO37" s="146"/>
      <c r="FP37" s="146"/>
      <c r="FQ37" s="146"/>
      <c r="FR37" s="146"/>
      <c r="FS37" s="146"/>
      <c r="FT37" s="146"/>
      <c r="FU37" s="146"/>
      <c r="FV37" s="146"/>
      <c r="FW37" s="146"/>
      <c r="FX37" s="146"/>
      <c r="FY37" s="146"/>
      <c r="FZ37" s="146"/>
      <c r="GA37" s="146"/>
      <c r="GB37" s="146"/>
      <c r="GC37" s="146"/>
      <c r="GD37" s="146"/>
      <c r="GE37" s="146"/>
      <c r="GF37" s="146"/>
      <c r="GG37" s="146"/>
      <c r="GH37" s="146"/>
      <c r="GI37" s="146"/>
      <c r="GJ37" s="146"/>
      <c r="GK37" s="146"/>
      <c r="GL37" s="146"/>
      <c r="GM37" s="146"/>
      <c r="GN37" s="146"/>
      <c r="GO37" s="146"/>
      <c r="GP37" s="146"/>
      <c r="GQ37" s="146"/>
      <c r="GR37" s="146"/>
      <c r="GS37" s="146"/>
      <c r="GT37" s="146"/>
      <c r="GU37" s="146"/>
      <c r="GV37" s="146"/>
      <c r="GW37" s="146"/>
      <c r="GX37" s="146"/>
      <c r="GY37" s="146"/>
      <c r="GZ37" s="146"/>
      <c r="HA37" s="146"/>
      <c r="HB37" s="146"/>
      <c r="HC37" s="146"/>
      <c r="HD37" s="146"/>
      <c r="HE37" s="146"/>
      <c r="HF37" s="146"/>
      <c r="HG37" s="146"/>
      <c r="HH37" s="146"/>
      <c r="HI37" s="146"/>
      <c r="HJ37" s="146"/>
      <c r="HK37" s="146"/>
      <c r="HL37" s="146"/>
      <c r="HM37" s="146"/>
      <c r="HN37" s="146"/>
      <c r="HO37" s="146"/>
      <c r="HP37" s="146"/>
      <c r="HQ37" s="146"/>
      <c r="HR37" s="146"/>
      <c r="HS37" s="146"/>
      <c r="HT37" s="146"/>
      <c r="HU37" s="146"/>
      <c r="HV37" s="146"/>
      <c r="HW37" s="146"/>
      <c r="HX37" s="146"/>
      <c r="HY37" s="146"/>
      <c r="HZ37" s="146"/>
      <c r="IA37" s="146"/>
    </row>
    <row r="38" spans="1:235" s="153" customFormat="1" ht="57" x14ac:dyDescent="0.25">
      <c r="A38" s="197">
        <v>11300</v>
      </c>
      <c r="B38" s="194" t="s">
        <v>4</v>
      </c>
      <c r="C38" s="198" t="s">
        <v>160</v>
      </c>
      <c r="D38" s="194" t="s">
        <v>145</v>
      </c>
      <c r="E38" s="198" t="s">
        <v>580</v>
      </c>
      <c r="F38" s="194" t="s">
        <v>246</v>
      </c>
      <c r="G38" s="199" t="s">
        <v>124</v>
      </c>
      <c r="H38" s="224">
        <v>12</v>
      </c>
      <c r="I38" s="198" t="s">
        <v>582</v>
      </c>
      <c r="J38" s="194" t="s">
        <v>575</v>
      </c>
      <c r="K38" s="210">
        <v>0</v>
      </c>
      <c r="L38" s="225">
        <v>1</v>
      </c>
      <c r="M38" s="194" t="s">
        <v>46</v>
      </c>
      <c r="N38" s="194" t="s">
        <v>68</v>
      </c>
      <c r="O38" s="194" t="s">
        <v>21</v>
      </c>
      <c r="P38" s="194" t="s">
        <v>36</v>
      </c>
      <c r="Q38" s="194" t="s">
        <v>214</v>
      </c>
      <c r="R38" s="194" t="s">
        <v>631</v>
      </c>
      <c r="S38" s="194" t="s">
        <v>99</v>
      </c>
      <c r="T38" s="221">
        <v>12</v>
      </c>
      <c r="U38" s="212" t="str">
        <f t="shared" si="13"/>
        <v>Informe Mensual de Recaudo Efectivo</v>
      </c>
      <c r="V38" s="213">
        <f t="shared" si="13"/>
        <v>0</v>
      </c>
      <c r="W38" s="214" t="s">
        <v>117</v>
      </c>
      <c r="X38" s="215">
        <v>3</v>
      </c>
      <c r="Y38" s="214" t="s">
        <v>575</v>
      </c>
      <c r="Z38" s="210">
        <v>0</v>
      </c>
      <c r="AA38" s="196"/>
      <c r="AB38" s="196"/>
      <c r="AC38" s="204">
        <f t="shared" si="14"/>
        <v>0</v>
      </c>
      <c r="AD38" s="204" t="e">
        <f t="shared" si="15"/>
        <v>#DIV/0!</v>
      </c>
      <c r="AE38" s="204">
        <f t="shared" si="0"/>
        <v>0</v>
      </c>
      <c r="AF38" s="204" t="e">
        <f t="shared" si="1"/>
        <v>#DIV/0!</v>
      </c>
      <c r="AG38" s="215">
        <v>3</v>
      </c>
      <c r="AH38" s="214" t="s">
        <v>575</v>
      </c>
      <c r="AI38" s="210">
        <v>0</v>
      </c>
      <c r="AJ38" s="196"/>
      <c r="AK38" s="196"/>
      <c r="AL38" s="204">
        <f t="shared" si="16"/>
        <v>0</v>
      </c>
      <c r="AM38" s="204" t="e">
        <f t="shared" si="2"/>
        <v>#DIV/0!</v>
      </c>
      <c r="AN38" s="204">
        <f t="shared" si="3"/>
        <v>0</v>
      </c>
      <c r="AO38" s="204" t="e">
        <f t="shared" si="4"/>
        <v>#DIV/0!</v>
      </c>
      <c r="AP38" s="215">
        <v>3</v>
      </c>
      <c r="AQ38" s="214" t="s">
        <v>575</v>
      </c>
      <c r="AR38" s="210">
        <v>0</v>
      </c>
      <c r="AS38" s="196"/>
      <c r="AT38" s="196"/>
      <c r="AU38" s="204">
        <f t="shared" si="17"/>
        <v>0</v>
      </c>
      <c r="AV38" s="204" t="e">
        <f t="shared" si="18"/>
        <v>#DIV/0!</v>
      </c>
      <c r="AW38" s="204">
        <f t="shared" si="19"/>
        <v>0</v>
      </c>
      <c r="AX38" s="204" t="e">
        <f t="shared" si="20"/>
        <v>#DIV/0!</v>
      </c>
      <c r="AY38" s="215">
        <v>3</v>
      </c>
      <c r="AZ38" s="214" t="s">
        <v>575</v>
      </c>
      <c r="BA38" s="210">
        <v>0</v>
      </c>
      <c r="BB38" s="196"/>
      <c r="BC38" s="196"/>
      <c r="BD38" s="216">
        <f t="shared" si="21"/>
        <v>0</v>
      </c>
      <c r="BE38" s="216" t="e">
        <f t="shared" si="22"/>
        <v>#DIV/0!</v>
      </c>
      <c r="BF38" s="216">
        <f t="shared" si="23"/>
        <v>0</v>
      </c>
      <c r="BG38" s="216" t="e">
        <f t="shared" si="24"/>
        <v>#DIV/0!</v>
      </c>
      <c r="BH38" s="217">
        <f t="shared" si="5"/>
        <v>0</v>
      </c>
      <c r="BI38" s="217" t="str">
        <f t="shared" si="6"/>
        <v>No Prog ni Ejec</v>
      </c>
      <c r="BJ38" s="217">
        <f t="shared" si="7"/>
        <v>0</v>
      </c>
      <c r="BK38" s="217" t="str">
        <f t="shared" si="8"/>
        <v>No Prog ni Ejec</v>
      </c>
      <c r="BL38" s="217">
        <f t="shared" si="25"/>
        <v>0</v>
      </c>
      <c r="BM38" s="217" t="str">
        <f t="shared" si="26"/>
        <v>No Prog ni Ejec</v>
      </c>
      <c r="BN38" s="217">
        <f t="shared" si="9"/>
        <v>0</v>
      </c>
      <c r="BO38" s="217" t="str">
        <f t="shared" si="10"/>
        <v>No Prog ni Ejec</v>
      </c>
      <c r="BP38" s="206"/>
      <c r="BQ38" s="277">
        <v>1</v>
      </c>
      <c r="BR38" s="218">
        <f t="shared" si="12"/>
        <v>7</v>
      </c>
      <c r="BS38" s="219" t="str">
        <f t="shared" si="27"/>
        <v>Informe Mensual de Recaudo Efectivo</v>
      </c>
      <c r="BT38" s="195">
        <f t="shared" si="11"/>
        <v>0</v>
      </c>
      <c r="BU38" s="196"/>
      <c r="BV38" s="196"/>
      <c r="BW38" s="196"/>
      <c r="BX38" s="196"/>
      <c r="BY38" s="196"/>
      <c r="BZ38" s="196"/>
      <c r="CA38" s="146"/>
      <c r="CB38" s="146"/>
      <c r="CC38" s="146"/>
      <c r="CD38" s="146"/>
      <c r="CE38" s="146"/>
      <c r="CF38" s="146"/>
      <c r="CG38" s="146"/>
      <c r="CH38" s="146"/>
      <c r="CI38" s="146"/>
      <c r="CJ38" s="146"/>
      <c r="CK38" s="146"/>
      <c r="CL38" s="146"/>
      <c r="CM38" s="146"/>
      <c r="CN38" s="146"/>
      <c r="CO38" s="146"/>
      <c r="CP38" s="146"/>
      <c r="CQ38" s="146"/>
      <c r="CR38" s="146"/>
      <c r="CS38" s="146"/>
      <c r="CT38" s="146"/>
      <c r="CU38" s="146"/>
      <c r="CV38" s="146"/>
      <c r="CW38" s="146"/>
      <c r="CX38" s="146"/>
      <c r="CY38" s="146"/>
      <c r="CZ38" s="146"/>
      <c r="DA38" s="146"/>
      <c r="DB38" s="146"/>
      <c r="DC38" s="146"/>
      <c r="DD38" s="146"/>
      <c r="DE38" s="146"/>
      <c r="DF38" s="146"/>
      <c r="DG38" s="146"/>
      <c r="DH38" s="146"/>
      <c r="DI38" s="146"/>
      <c r="DJ38" s="146"/>
      <c r="DK38" s="146"/>
      <c r="DL38" s="146"/>
      <c r="DM38" s="146"/>
      <c r="DN38" s="146"/>
      <c r="DO38" s="146"/>
      <c r="DP38" s="146"/>
      <c r="DQ38" s="146"/>
      <c r="DR38" s="146"/>
      <c r="DS38" s="146"/>
      <c r="DT38" s="146"/>
      <c r="DU38" s="146"/>
      <c r="DV38" s="146"/>
      <c r="DW38" s="146"/>
      <c r="DX38" s="146"/>
      <c r="DY38" s="146"/>
      <c r="DZ38" s="146"/>
      <c r="EA38" s="146"/>
      <c r="EB38" s="146"/>
      <c r="EC38" s="146"/>
      <c r="ED38" s="146"/>
      <c r="EE38" s="146"/>
      <c r="EF38" s="146"/>
      <c r="EG38" s="146"/>
      <c r="EH38" s="146"/>
      <c r="EI38" s="146"/>
      <c r="EJ38" s="146"/>
      <c r="EK38" s="146"/>
      <c r="EL38" s="146"/>
      <c r="EM38" s="146"/>
      <c r="EN38" s="146"/>
      <c r="EO38" s="146"/>
      <c r="EP38" s="146"/>
      <c r="EQ38" s="146"/>
      <c r="ER38" s="146"/>
      <c r="ES38" s="146"/>
      <c r="ET38" s="146"/>
      <c r="EU38" s="146"/>
      <c r="EV38" s="146"/>
      <c r="EW38" s="146"/>
      <c r="EX38" s="146"/>
      <c r="EY38" s="146"/>
      <c r="EZ38" s="146"/>
      <c r="FA38" s="146"/>
      <c r="FB38" s="146"/>
      <c r="FC38" s="146"/>
      <c r="FD38" s="146"/>
      <c r="FE38" s="146"/>
      <c r="FF38" s="146"/>
      <c r="FG38" s="146"/>
      <c r="FH38" s="146"/>
      <c r="FI38" s="146"/>
      <c r="FJ38" s="146"/>
      <c r="FK38" s="146"/>
      <c r="FL38" s="146"/>
      <c r="FM38" s="146"/>
      <c r="FN38" s="146"/>
      <c r="FO38" s="146"/>
      <c r="FP38" s="146"/>
      <c r="FQ38" s="146"/>
      <c r="FR38" s="146"/>
      <c r="FS38" s="146"/>
      <c r="FT38" s="146"/>
      <c r="FU38" s="146"/>
      <c r="FV38" s="146"/>
      <c r="FW38" s="146"/>
      <c r="FX38" s="146"/>
      <c r="FY38" s="146"/>
      <c r="FZ38" s="146"/>
      <c r="GA38" s="146"/>
      <c r="GB38" s="146"/>
      <c r="GC38" s="146"/>
      <c r="GD38" s="146"/>
      <c r="GE38" s="146"/>
      <c r="GF38" s="146"/>
      <c r="GG38" s="146"/>
      <c r="GH38" s="146"/>
      <c r="GI38" s="146"/>
      <c r="GJ38" s="146"/>
      <c r="GK38" s="146"/>
      <c r="GL38" s="146"/>
      <c r="GM38" s="146"/>
      <c r="GN38" s="146"/>
      <c r="GO38" s="146"/>
      <c r="GP38" s="146"/>
      <c r="GQ38" s="146"/>
      <c r="GR38" s="146"/>
      <c r="GS38" s="146"/>
      <c r="GT38" s="146"/>
      <c r="GU38" s="146"/>
      <c r="GV38" s="146"/>
      <c r="GW38" s="146"/>
      <c r="GX38" s="146"/>
      <c r="GY38" s="146"/>
      <c r="GZ38" s="146"/>
      <c r="HA38" s="146"/>
      <c r="HB38" s="146"/>
      <c r="HC38" s="146"/>
      <c r="HD38" s="146"/>
      <c r="HE38" s="146"/>
      <c r="HF38" s="146"/>
      <c r="HG38" s="146"/>
      <c r="HH38" s="146"/>
      <c r="HI38" s="146"/>
      <c r="HJ38" s="146"/>
      <c r="HK38" s="146"/>
      <c r="HL38" s="146"/>
      <c r="HM38" s="146"/>
      <c r="HN38" s="146"/>
      <c r="HO38" s="146"/>
      <c r="HP38" s="146"/>
      <c r="HQ38" s="146"/>
      <c r="HR38" s="146"/>
      <c r="HS38" s="146"/>
      <c r="HT38" s="146"/>
      <c r="HU38" s="146"/>
      <c r="HV38" s="146"/>
      <c r="HW38" s="146"/>
      <c r="HX38" s="146"/>
      <c r="HY38" s="146"/>
      <c r="HZ38" s="146"/>
      <c r="IA38" s="146"/>
    </row>
    <row r="39" spans="1:235" s="153" customFormat="1" ht="57" x14ac:dyDescent="0.25">
      <c r="A39" s="197">
        <v>11300</v>
      </c>
      <c r="B39" s="194" t="s">
        <v>4</v>
      </c>
      <c r="C39" s="198" t="s">
        <v>160</v>
      </c>
      <c r="D39" s="194" t="s">
        <v>145</v>
      </c>
      <c r="E39" s="198" t="s">
        <v>580</v>
      </c>
      <c r="F39" s="194" t="s">
        <v>246</v>
      </c>
      <c r="G39" s="209" t="s">
        <v>123</v>
      </c>
      <c r="H39" s="211">
        <v>1</v>
      </c>
      <c r="I39" s="198" t="s">
        <v>583</v>
      </c>
      <c r="J39" s="194" t="s">
        <v>248</v>
      </c>
      <c r="K39" s="210">
        <v>0</v>
      </c>
      <c r="L39" s="211">
        <v>1</v>
      </c>
      <c r="M39" s="194" t="s">
        <v>46</v>
      </c>
      <c r="N39" s="194" t="s">
        <v>68</v>
      </c>
      <c r="O39" s="194" t="s">
        <v>21</v>
      </c>
      <c r="P39" s="194" t="s">
        <v>36</v>
      </c>
      <c r="Q39" s="194" t="s">
        <v>214</v>
      </c>
      <c r="R39" s="194" t="s">
        <v>249</v>
      </c>
      <c r="S39" s="194" t="s">
        <v>99</v>
      </c>
      <c r="T39" s="211">
        <v>1</v>
      </c>
      <c r="U39" s="212" t="str">
        <f t="shared" si="13"/>
        <v>Seguimiento a Partidas Sin Identificar</v>
      </c>
      <c r="V39" s="213">
        <f t="shared" si="13"/>
        <v>0</v>
      </c>
      <c r="W39" s="214" t="s">
        <v>117</v>
      </c>
      <c r="X39" s="216">
        <v>0.25</v>
      </c>
      <c r="Y39" s="214" t="s">
        <v>248</v>
      </c>
      <c r="Z39" s="210">
        <v>0</v>
      </c>
      <c r="AA39" s="196"/>
      <c r="AB39" s="196"/>
      <c r="AC39" s="204">
        <f t="shared" si="14"/>
        <v>0</v>
      </c>
      <c r="AD39" s="204" t="e">
        <f t="shared" si="15"/>
        <v>#DIV/0!</v>
      </c>
      <c r="AE39" s="204">
        <f t="shared" si="0"/>
        <v>0</v>
      </c>
      <c r="AF39" s="204" t="e">
        <f t="shared" si="1"/>
        <v>#DIV/0!</v>
      </c>
      <c r="AG39" s="216">
        <v>0.25</v>
      </c>
      <c r="AH39" s="214" t="s">
        <v>248</v>
      </c>
      <c r="AI39" s="210">
        <v>0</v>
      </c>
      <c r="AJ39" s="196"/>
      <c r="AK39" s="196"/>
      <c r="AL39" s="204">
        <f t="shared" si="16"/>
        <v>0</v>
      </c>
      <c r="AM39" s="204" t="e">
        <f t="shared" si="2"/>
        <v>#DIV/0!</v>
      </c>
      <c r="AN39" s="204">
        <f t="shared" si="3"/>
        <v>0</v>
      </c>
      <c r="AO39" s="204" t="e">
        <f t="shared" si="4"/>
        <v>#DIV/0!</v>
      </c>
      <c r="AP39" s="216">
        <v>0.25</v>
      </c>
      <c r="AQ39" s="214" t="s">
        <v>248</v>
      </c>
      <c r="AR39" s="210">
        <v>0</v>
      </c>
      <c r="AS39" s="196"/>
      <c r="AT39" s="196"/>
      <c r="AU39" s="204">
        <f t="shared" si="17"/>
        <v>0</v>
      </c>
      <c r="AV39" s="204" t="e">
        <f t="shared" si="18"/>
        <v>#DIV/0!</v>
      </c>
      <c r="AW39" s="204">
        <f t="shared" si="19"/>
        <v>0</v>
      </c>
      <c r="AX39" s="204" t="e">
        <f t="shared" si="20"/>
        <v>#DIV/0!</v>
      </c>
      <c r="AY39" s="216">
        <v>0.25</v>
      </c>
      <c r="AZ39" s="214" t="s">
        <v>248</v>
      </c>
      <c r="BA39" s="210">
        <v>0</v>
      </c>
      <c r="BB39" s="196"/>
      <c r="BC39" s="196"/>
      <c r="BD39" s="216">
        <f t="shared" si="21"/>
        <v>0</v>
      </c>
      <c r="BE39" s="216" t="e">
        <f t="shared" si="22"/>
        <v>#DIV/0!</v>
      </c>
      <c r="BF39" s="216">
        <f t="shared" si="23"/>
        <v>0</v>
      </c>
      <c r="BG39" s="216" t="e">
        <f t="shared" si="24"/>
        <v>#DIV/0!</v>
      </c>
      <c r="BH39" s="217">
        <f t="shared" si="5"/>
        <v>0</v>
      </c>
      <c r="BI39" s="217" t="str">
        <f t="shared" si="6"/>
        <v>No Prog ni Ejec</v>
      </c>
      <c r="BJ39" s="217">
        <f t="shared" si="7"/>
        <v>0</v>
      </c>
      <c r="BK39" s="217" t="str">
        <f t="shared" si="8"/>
        <v>No Prog ni Ejec</v>
      </c>
      <c r="BL39" s="217">
        <f t="shared" si="25"/>
        <v>0</v>
      </c>
      <c r="BM39" s="217" t="str">
        <f t="shared" si="26"/>
        <v>No Prog ni Ejec</v>
      </c>
      <c r="BN39" s="217">
        <f t="shared" si="9"/>
        <v>0</v>
      </c>
      <c r="BO39" s="217" t="str">
        <f t="shared" si="10"/>
        <v>No Prog ni Ejec</v>
      </c>
      <c r="BP39" s="206"/>
      <c r="BQ39" s="277">
        <v>1</v>
      </c>
      <c r="BR39" s="208">
        <f t="shared" si="12"/>
        <v>0.58333333333333337</v>
      </c>
      <c r="BS39" s="219" t="str">
        <f t="shared" si="27"/>
        <v>Seguimiento a Partidas Sin Identificar</v>
      </c>
      <c r="BT39" s="195">
        <f t="shared" si="11"/>
        <v>0</v>
      </c>
      <c r="BU39" s="196"/>
      <c r="BV39" s="196"/>
      <c r="BW39" s="196"/>
      <c r="BX39" s="196"/>
      <c r="BY39" s="196"/>
      <c r="BZ39" s="196"/>
      <c r="CA39" s="146"/>
      <c r="CB39" s="146"/>
      <c r="CC39" s="146"/>
      <c r="CD39" s="146"/>
      <c r="CE39" s="146"/>
      <c r="CF39" s="146"/>
      <c r="CG39" s="146"/>
      <c r="CH39" s="146"/>
      <c r="CI39" s="146"/>
      <c r="CJ39" s="146"/>
      <c r="CK39" s="146"/>
      <c r="CL39" s="146"/>
      <c r="CM39" s="146"/>
      <c r="CN39" s="146"/>
      <c r="CO39" s="146"/>
      <c r="CP39" s="146"/>
      <c r="CQ39" s="146"/>
      <c r="CR39" s="146"/>
      <c r="CS39" s="146"/>
      <c r="CT39" s="146"/>
      <c r="CU39" s="146"/>
      <c r="CV39" s="146"/>
      <c r="CW39" s="146"/>
      <c r="CX39" s="146"/>
      <c r="CY39" s="146"/>
      <c r="CZ39" s="146"/>
      <c r="DA39" s="146"/>
      <c r="DB39" s="146"/>
      <c r="DC39" s="146"/>
      <c r="DD39" s="146"/>
      <c r="DE39" s="146"/>
      <c r="DF39" s="146"/>
      <c r="DG39" s="146"/>
      <c r="DH39" s="146"/>
      <c r="DI39" s="146"/>
      <c r="DJ39" s="146"/>
      <c r="DK39" s="146"/>
      <c r="DL39" s="146"/>
      <c r="DM39" s="146"/>
      <c r="DN39" s="146"/>
      <c r="DO39" s="146"/>
      <c r="DP39" s="146"/>
      <c r="DQ39" s="146"/>
      <c r="DR39" s="146"/>
      <c r="DS39" s="146"/>
      <c r="DT39" s="146"/>
      <c r="DU39" s="146"/>
      <c r="DV39" s="146"/>
      <c r="DW39" s="146"/>
      <c r="DX39" s="146"/>
      <c r="DY39" s="146"/>
      <c r="DZ39" s="146"/>
      <c r="EA39" s="146"/>
      <c r="EB39" s="146"/>
      <c r="EC39" s="146"/>
      <c r="ED39" s="146"/>
      <c r="EE39" s="146"/>
      <c r="EF39" s="146"/>
      <c r="EG39" s="146"/>
      <c r="EH39" s="146"/>
      <c r="EI39" s="146"/>
      <c r="EJ39" s="146"/>
      <c r="EK39" s="146"/>
      <c r="EL39" s="146"/>
      <c r="EM39" s="146"/>
      <c r="EN39" s="146"/>
      <c r="EO39" s="146"/>
      <c r="EP39" s="146"/>
      <c r="EQ39" s="146"/>
      <c r="ER39" s="146"/>
      <c r="ES39" s="146"/>
      <c r="ET39" s="146"/>
      <c r="EU39" s="146"/>
      <c r="EV39" s="146"/>
      <c r="EW39" s="146"/>
      <c r="EX39" s="146"/>
      <c r="EY39" s="146"/>
      <c r="EZ39" s="146"/>
      <c r="FA39" s="146"/>
      <c r="FB39" s="146"/>
      <c r="FC39" s="146"/>
      <c r="FD39" s="146"/>
      <c r="FE39" s="146"/>
      <c r="FF39" s="146"/>
      <c r="FG39" s="146"/>
      <c r="FH39" s="146"/>
      <c r="FI39" s="146"/>
      <c r="FJ39" s="146"/>
      <c r="FK39" s="146"/>
      <c r="FL39" s="146"/>
      <c r="FM39" s="146"/>
      <c r="FN39" s="146"/>
      <c r="FO39" s="146"/>
      <c r="FP39" s="146"/>
      <c r="FQ39" s="146"/>
      <c r="FR39" s="146"/>
      <c r="FS39" s="146"/>
      <c r="FT39" s="146"/>
      <c r="FU39" s="146"/>
      <c r="FV39" s="146"/>
      <c r="FW39" s="146"/>
      <c r="FX39" s="146"/>
      <c r="FY39" s="146"/>
      <c r="FZ39" s="146"/>
      <c r="GA39" s="146"/>
      <c r="GB39" s="146"/>
      <c r="GC39" s="146"/>
      <c r="GD39" s="146"/>
      <c r="GE39" s="146"/>
      <c r="GF39" s="146"/>
      <c r="GG39" s="146"/>
      <c r="GH39" s="146"/>
      <c r="GI39" s="146"/>
      <c r="GJ39" s="146"/>
      <c r="GK39" s="146"/>
      <c r="GL39" s="146"/>
      <c r="GM39" s="146"/>
      <c r="GN39" s="146"/>
      <c r="GO39" s="146"/>
      <c r="GP39" s="146"/>
      <c r="GQ39" s="146"/>
      <c r="GR39" s="146"/>
      <c r="GS39" s="146"/>
      <c r="GT39" s="146"/>
      <c r="GU39" s="146"/>
      <c r="GV39" s="146"/>
      <c r="GW39" s="146"/>
      <c r="GX39" s="146"/>
      <c r="GY39" s="146"/>
      <c r="GZ39" s="146"/>
      <c r="HA39" s="146"/>
      <c r="HB39" s="146"/>
      <c r="HC39" s="146"/>
      <c r="HD39" s="146"/>
      <c r="HE39" s="146"/>
      <c r="HF39" s="146"/>
      <c r="HG39" s="146"/>
      <c r="HH39" s="146"/>
      <c r="HI39" s="146"/>
      <c r="HJ39" s="146"/>
      <c r="HK39" s="146"/>
      <c r="HL39" s="146"/>
      <c r="HM39" s="146"/>
      <c r="HN39" s="146"/>
      <c r="HO39" s="146"/>
      <c r="HP39" s="146"/>
      <c r="HQ39" s="146"/>
      <c r="HR39" s="146"/>
      <c r="HS39" s="146"/>
      <c r="HT39" s="146"/>
      <c r="HU39" s="146"/>
      <c r="HV39" s="146"/>
      <c r="HW39" s="146"/>
      <c r="HX39" s="146"/>
      <c r="HY39" s="146"/>
      <c r="HZ39" s="146"/>
      <c r="IA39" s="146"/>
    </row>
    <row r="40" spans="1:235" s="159" customFormat="1" ht="57" x14ac:dyDescent="0.25">
      <c r="A40" s="197">
        <v>11300</v>
      </c>
      <c r="B40" s="194" t="s">
        <v>4</v>
      </c>
      <c r="C40" s="198" t="s">
        <v>160</v>
      </c>
      <c r="D40" s="194" t="s">
        <v>145</v>
      </c>
      <c r="E40" s="198" t="s">
        <v>584</v>
      </c>
      <c r="F40" s="194" t="s">
        <v>251</v>
      </c>
      <c r="G40" s="209" t="s">
        <v>123</v>
      </c>
      <c r="H40" s="211">
        <v>1</v>
      </c>
      <c r="I40" s="198" t="s">
        <v>585</v>
      </c>
      <c r="J40" s="194" t="s">
        <v>250</v>
      </c>
      <c r="K40" s="210">
        <v>292066560</v>
      </c>
      <c r="L40" s="211">
        <v>1</v>
      </c>
      <c r="M40" s="194" t="s">
        <v>46</v>
      </c>
      <c r="N40" s="194" t="s">
        <v>68</v>
      </c>
      <c r="O40" s="194" t="s">
        <v>21</v>
      </c>
      <c r="P40" s="194" t="s">
        <v>36</v>
      </c>
      <c r="Q40" s="194" t="s">
        <v>215</v>
      </c>
      <c r="R40" s="194" t="s">
        <v>595</v>
      </c>
      <c r="S40" s="194" t="s">
        <v>99</v>
      </c>
      <c r="T40" s="216">
        <v>1</v>
      </c>
      <c r="U40" s="212" t="str">
        <f t="shared" si="13"/>
        <v>Ordenes de Giros tramitadas</v>
      </c>
      <c r="V40" s="213">
        <f t="shared" si="13"/>
        <v>292066560</v>
      </c>
      <c r="W40" s="222" t="s">
        <v>114</v>
      </c>
      <c r="X40" s="281">
        <v>0.25</v>
      </c>
      <c r="Y40" s="282" t="s">
        <v>250</v>
      </c>
      <c r="Z40" s="283">
        <v>73016640</v>
      </c>
      <c r="AA40" s="279"/>
      <c r="AB40" s="279"/>
      <c r="AC40" s="280">
        <f t="shared" si="14"/>
        <v>0</v>
      </c>
      <c r="AD40" s="280">
        <f t="shared" si="15"/>
        <v>0</v>
      </c>
      <c r="AE40" s="280">
        <f t="shared" si="0"/>
        <v>0</v>
      </c>
      <c r="AF40" s="280">
        <f t="shared" si="1"/>
        <v>0</v>
      </c>
      <c r="AG40" s="281">
        <v>0.25</v>
      </c>
      <c r="AH40" s="282" t="s">
        <v>250</v>
      </c>
      <c r="AI40" s="283">
        <v>73016640</v>
      </c>
      <c r="AJ40" s="279"/>
      <c r="AK40" s="279"/>
      <c r="AL40" s="280">
        <f t="shared" si="16"/>
        <v>0</v>
      </c>
      <c r="AM40" s="280">
        <f t="shared" si="2"/>
        <v>0</v>
      </c>
      <c r="AN40" s="280">
        <f t="shared" si="3"/>
        <v>0</v>
      </c>
      <c r="AO40" s="280">
        <f t="shared" si="4"/>
        <v>0</v>
      </c>
      <c r="AP40" s="281">
        <v>0.25</v>
      </c>
      <c r="AQ40" s="282" t="s">
        <v>250</v>
      </c>
      <c r="AR40" s="283">
        <v>73016640</v>
      </c>
      <c r="AS40" s="279"/>
      <c r="AT40" s="279"/>
      <c r="AU40" s="280">
        <f t="shared" si="17"/>
        <v>0</v>
      </c>
      <c r="AV40" s="280">
        <f t="shared" si="18"/>
        <v>0</v>
      </c>
      <c r="AW40" s="280">
        <f t="shared" si="19"/>
        <v>0</v>
      </c>
      <c r="AX40" s="280">
        <f t="shared" si="20"/>
        <v>0</v>
      </c>
      <c r="AY40" s="281">
        <v>0.25</v>
      </c>
      <c r="AZ40" s="282" t="s">
        <v>250</v>
      </c>
      <c r="BA40" s="283">
        <v>73016640</v>
      </c>
      <c r="BB40" s="279"/>
      <c r="BC40" s="279"/>
      <c r="BD40" s="281">
        <f t="shared" si="21"/>
        <v>0</v>
      </c>
      <c r="BE40" s="281">
        <f t="shared" si="22"/>
        <v>0</v>
      </c>
      <c r="BF40" s="281">
        <f t="shared" si="23"/>
        <v>0</v>
      </c>
      <c r="BG40" s="281">
        <f t="shared" si="24"/>
        <v>0</v>
      </c>
      <c r="BH40" s="205">
        <f t="shared" si="5"/>
        <v>0</v>
      </c>
      <c r="BI40" s="205">
        <f t="shared" si="6"/>
        <v>0</v>
      </c>
      <c r="BJ40" s="205">
        <f t="shared" si="7"/>
        <v>0</v>
      </c>
      <c r="BK40" s="205">
        <f t="shared" si="8"/>
        <v>0</v>
      </c>
      <c r="BL40" s="205">
        <f t="shared" si="25"/>
        <v>0</v>
      </c>
      <c r="BM40" s="205">
        <f t="shared" si="26"/>
        <v>0</v>
      </c>
      <c r="BN40" s="205">
        <f t="shared" si="9"/>
        <v>0</v>
      </c>
      <c r="BO40" s="205">
        <f t="shared" si="10"/>
        <v>0</v>
      </c>
      <c r="BP40" s="206"/>
      <c r="BQ40" s="277">
        <v>1</v>
      </c>
      <c r="BR40" s="208">
        <f t="shared" si="12"/>
        <v>0.58333333333333337</v>
      </c>
      <c r="BS40" s="219" t="str">
        <f t="shared" si="27"/>
        <v>Ordenes de Giros tramitadas</v>
      </c>
      <c r="BT40" s="195">
        <f t="shared" si="11"/>
        <v>170372160</v>
      </c>
      <c r="BU40" s="196"/>
      <c r="BV40" s="196"/>
      <c r="BW40" s="196"/>
      <c r="BX40" s="196"/>
      <c r="BY40" s="196"/>
      <c r="BZ40" s="196"/>
      <c r="CA40" s="146"/>
      <c r="CB40" s="146"/>
      <c r="CC40" s="146"/>
      <c r="CD40" s="146"/>
      <c r="CE40" s="146"/>
      <c r="CF40" s="146"/>
      <c r="CG40" s="146"/>
      <c r="CH40" s="146"/>
      <c r="CI40" s="146"/>
      <c r="CJ40" s="146"/>
      <c r="CK40" s="146"/>
      <c r="CL40" s="146"/>
      <c r="CM40" s="146"/>
      <c r="CN40" s="146"/>
      <c r="CO40" s="146"/>
      <c r="CP40" s="146"/>
      <c r="CQ40" s="146"/>
      <c r="CR40" s="146"/>
      <c r="CS40" s="146"/>
      <c r="CT40" s="146"/>
      <c r="CU40" s="146"/>
      <c r="CV40" s="146"/>
      <c r="CW40" s="146"/>
      <c r="CX40" s="146"/>
      <c r="CY40" s="146"/>
      <c r="CZ40" s="146"/>
      <c r="DA40" s="146"/>
      <c r="DB40" s="146"/>
      <c r="DC40" s="146"/>
      <c r="DD40" s="146"/>
      <c r="DE40" s="146"/>
      <c r="DF40" s="146"/>
      <c r="DG40" s="146"/>
      <c r="DH40" s="146"/>
      <c r="DI40" s="146"/>
      <c r="DJ40" s="146"/>
      <c r="DK40" s="146"/>
      <c r="DL40" s="146"/>
      <c r="DM40" s="146"/>
      <c r="DN40" s="146"/>
      <c r="DO40" s="146"/>
      <c r="DP40" s="146"/>
      <c r="DQ40" s="146"/>
      <c r="DR40" s="146"/>
      <c r="DS40" s="146"/>
      <c r="DT40" s="146"/>
      <c r="DU40" s="146"/>
      <c r="DV40" s="146"/>
      <c r="DW40" s="146"/>
      <c r="DX40" s="146"/>
      <c r="DY40" s="146"/>
      <c r="DZ40" s="146"/>
      <c r="EA40" s="146"/>
      <c r="EB40" s="146"/>
      <c r="EC40" s="146"/>
      <c r="ED40" s="146"/>
      <c r="EE40" s="146"/>
      <c r="EF40" s="146"/>
      <c r="EG40" s="146"/>
      <c r="EH40" s="146"/>
      <c r="EI40" s="146"/>
      <c r="EJ40" s="146"/>
      <c r="EK40" s="146"/>
      <c r="EL40" s="146"/>
      <c r="EM40" s="146"/>
      <c r="EN40" s="146"/>
      <c r="EO40" s="146"/>
      <c r="EP40" s="146"/>
      <c r="EQ40" s="146"/>
      <c r="ER40" s="146"/>
      <c r="ES40" s="146"/>
      <c r="ET40" s="146"/>
      <c r="EU40" s="146"/>
      <c r="EV40" s="146"/>
      <c r="EW40" s="146"/>
      <c r="EX40" s="146"/>
      <c r="EY40" s="146"/>
      <c r="EZ40" s="146"/>
      <c r="FA40" s="146"/>
      <c r="FB40" s="146"/>
      <c r="FC40" s="146"/>
      <c r="FD40" s="146"/>
      <c r="FE40" s="146"/>
      <c r="FF40" s="146"/>
      <c r="FG40" s="146"/>
      <c r="FH40" s="146"/>
      <c r="FI40" s="146"/>
      <c r="FJ40" s="146"/>
      <c r="FK40" s="146"/>
      <c r="FL40" s="146"/>
      <c r="FM40" s="146"/>
      <c r="FN40" s="146"/>
      <c r="FO40" s="146"/>
      <c r="FP40" s="146"/>
      <c r="FQ40" s="146"/>
      <c r="FR40" s="146"/>
      <c r="FS40" s="146"/>
      <c r="FT40" s="146"/>
      <c r="FU40" s="146"/>
      <c r="FV40" s="146"/>
      <c r="FW40" s="146"/>
      <c r="FX40" s="146"/>
      <c r="FY40" s="146"/>
      <c r="FZ40" s="146"/>
      <c r="GA40" s="146"/>
      <c r="GB40" s="146"/>
      <c r="GC40" s="146"/>
      <c r="GD40" s="146"/>
      <c r="GE40" s="146"/>
      <c r="GF40" s="146"/>
      <c r="GG40" s="146"/>
      <c r="GH40" s="146"/>
      <c r="GI40" s="146"/>
      <c r="GJ40" s="146"/>
      <c r="GK40" s="146"/>
      <c r="GL40" s="146"/>
      <c r="GM40" s="146"/>
      <c r="GN40" s="146"/>
      <c r="GO40" s="146"/>
      <c r="GP40" s="146"/>
      <c r="GQ40" s="146"/>
      <c r="GR40" s="146"/>
      <c r="GS40" s="146"/>
      <c r="GT40" s="146"/>
      <c r="GU40" s="146"/>
      <c r="GV40" s="146"/>
      <c r="GW40" s="146"/>
      <c r="GX40" s="146"/>
      <c r="GY40" s="146"/>
      <c r="GZ40" s="146"/>
      <c r="HA40" s="146"/>
      <c r="HB40" s="146"/>
      <c r="HC40" s="146"/>
      <c r="HD40" s="146"/>
      <c r="HE40" s="146"/>
      <c r="HF40" s="146"/>
      <c r="HG40" s="146"/>
      <c r="HH40" s="146"/>
      <c r="HI40" s="146"/>
      <c r="HJ40" s="146"/>
      <c r="HK40" s="146"/>
      <c r="HL40" s="146"/>
      <c r="HM40" s="146"/>
      <c r="HN40" s="146"/>
      <c r="HO40" s="146"/>
      <c r="HP40" s="146"/>
      <c r="HQ40" s="146"/>
      <c r="HR40" s="146"/>
      <c r="HS40" s="146"/>
      <c r="HT40" s="146"/>
      <c r="HU40" s="146"/>
      <c r="HV40" s="146"/>
      <c r="HW40" s="146"/>
      <c r="HX40" s="146"/>
      <c r="HY40" s="146"/>
      <c r="HZ40" s="146"/>
      <c r="IA40" s="146"/>
    </row>
    <row r="41" spans="1:235" s="156" customFormat="1" ht="57" x14ac:dyDescent="0.25">
      <c r="A41" s="197">
        <v>11300</v>
      </c>
      <c r="B41" s="194" t="s">
        <v>4</v>
      </c>
      <c r="C41" s="198" t="s">
        <v>160</v>
      </c>
      <c r="D41" s="194" t="s">
        <v>145</v>
      </c>
      <c r="E41" s="198" t="s">
        <v>586</v>
      </c>
      <c r="F41" s="194" t="s">
        <v>252</v>
      </c>
      <c r="G41" s="209" t="s">
        <v>123</v>
      </c>
      <c r="H41" s="211">
        <v>1</v>
      </c>
      <c r="I41" s="198" t="s">
        <v>587</v>
      </c>
      <c r="J41" s="194" t="s">
        <v>253</v>
      </c>
      <c r="K41" s="210">
        <v>48960000</v>
      </c>
      <c r="L41" s="211">
        <v>1</v>
      </c>
      <c r="M41" s="194" t="s">
        <v>46</v>
      </c>
      <c r="N41" s="194" t="s">
        <v>68</v>
      </c>
      <c r="O41" s="194" t="s">
        <v>21</v>
      </c>
      <c r="P41" s="194" t="s">
        <v>36</v>
      </c>
      <c r="Q41" s="194" t="s">
        <v>215</v>
      </c>
      <c r="R41" s="194" t="s">
        <v>596</v>
      </c>
      <c r="S41" s="194" t="s">
        <v>99</v>
      </c>
      <c r="T41" s="216">
        <v>1</v>
      </c>
      <c r="U41" s="212" t="str">
        <f t="shared" si="13"/>
        <v>Boletines</v>
      </c>
      <c r="V41" s="213">
        <f t="shared" si="13"/>
        <v>48960000</v>
      </c>
      <c r="W41" s="222" t="s">
        <v>114</v>
      </c>
      <c r="X41" s="216">
        <v>0.25</v>
      </c>
      <c r="Y41" s="214" t="s">
        <v>253</v>
      </c>
      <c r="Z41" s="210">
        <v>12240000</v>
      </c>
      <c r="AA41" s="196"/>
      <c r="AB41" s="196"/>
      <c r="AC41" s="204">
        <f t="shared" si="14"/>
        <v>0</v>
      </c>
      <c r="AD41" s="204">
        <f t="shared" si="15"/>
        <v>0</v>
      </c>
      <c r="AE41" s="204">
        <f t="shared" si="0"/>
        <v>0</v>
      </c>
      <c r="AF41" s="204">
        <f t="shared" si="1"/>
        <v>0</v>
      </c>
      <c r="AG41" s="216">
        <v>0.25</v>
      </c>
      <c r="AH41" s="214" t="s">
        <v>253</v>
      </c>
      <c r="AI41" s="210">
        <v>12240000</v>
      </c>
      <c r="AJ41" s="196"/>
      <c r="AK41" s="196"/>
      <c r="AL41" s="204">
        <f t="shared" si="16"/>
        <v>0</v>
      </c>
      <c r="AM41" s="204">
        <f t="shared" si="2"/>
        <v>0</v>
      </c>
      <c r="AN41" s="204">
        <f t="shared" si="3"/>
        <v>0</v>
      </c>
      <c r="AO41" s="204">
        <f t="shared" si="4"/>
        <v>0</v>
      </c>
      <c r="AP41" s="216">
        <v>0.25</v>
      </c>
      <c r="AQ41" s="214" t="s">
        <v>253</v>
      </c>
      <c r="AR41" s="210">
        <v>12240000</v>
      </c>
      <c r="AS41" s="196"/>
      <c r="AT41" s="196"/>
      <c r="AU41" s="204">
        <f t="shared" si="17"/>
        <v>0</v>
      </c>
      <c r="AV41" s="204">
        <f t="shared" si="18"/>
        <v>0</v>
      </c>
      <c r="AW41" s="204">
        <f t="shared" si="19"/>
        <v>0</v>
      </c>
      <c r="AX41" s="204">
        <f t="shared" si="20"/>
        <v>0</v>
      </c>
      <c r="AY41" s="216">
        <v>0.25</v>
      </c>
      <c r="AZ41" s="214" t="s">
        <v>253</v>
      </c>
      <c r="BA41" s="210">
        <v>12240000</v>
      </c>
      <c r="BB41" s="196"/>
      <c r="BC41" s="196"/>
      <c r="BD41" s="216">
        <f t="shared" si="21"/>
        <v>0</v>
      </c>
      <c r="BE41" s="216">
        <f t="shared" si="22"/>
        <v>0</v>
      </c>
      <c r="BF41" s="216">
        <f t="shared" si="23"/>
        <v>0</v>
      </c>
      <c r="BG41" s="216">
        <f t="shared" si="24"/>
        <v>0</v>
      </c>
      <c r="BH41" s="223">
        <f t="shared" si="5"/>
        <v>0</v>
      </c>
      <c r="BI41" s="223">
        <f t="shared" si="6"/>
        <v>0</v>
      </c>
      <c r="BJ41" s="223">
        <f t="shared" si="7"/>
        <v>0</v>
      </c>
      <c r="BK41" s="223">
        <f t="shared" si="8"/>
        <v>0</v>
      </c>
      <c r="BL41" s="223">
        <f t="shared" si="25"/>
        <v>0</v>
      </c>
      <c r="BM41" s="223">
        <f t="shared" si="26"/>
        <v>0</v>
      </c>
      <c r="BN41" s="223">
        <f t="shared" si="9"/>
        <v>0</v>
      </c>
      <c r="BO41" s="223">
        <f t="shared" si="10"/>
        <v>0</v>
      </c>
      <c r="BP41" s="206"/>
      <c r="BQ41" s="277">
        <v>1</v>
      </c>
      <c r="BR41" s="208">
        <f t="shared" si="12"/>
        <v>0.58333333333333337</v>
      </c>
      <c r="BS41" s="219" t="str">
        <f t="shared" si="27"/>
        <v>Boletines</v>
      </c>
      <c r="BT41" s="195">
        <f t="shared" si="11"/>
        <v>28560000</v>
      </c>
      <c r="BU41" s="196"/>
      <c r="BV41" s="196"/>
      <c r="BW41" s="196"/>
      <c r="BX41" s="196"/>
      <c r="BY41" s="196"/>
      <c r="BZ41" s="196"/>
      <c r="CA41" s="146"/>
      <c r="CB41" s="146"/>
      <c r="CC41" s="146"/>
      <c r="CD41" s="146"/>
      <c r="CE41" s="146"/>
      <c r="CF41" s="146"/>
      <c r="CG41" s="146"/>
      <c r="CH41" s="146"/>
      <c r="CI41" s="146"/>
      <c r="CJ41" s="146"/>
      <c r="CK41" s="146"/>
      <c r="CL41" s="146"/>
      <c r="CM41" s="146"/>
      <c r="CN41" s="146"/>
      <c r="CO41" s="146"/>
      <c r="CP41" s="146"/>
      <c r="CQ41" s="146"/>
      <c r="CR41" s="146"/>
      <c r="CS41" s="146"/>
      <c r="CT41" s="146"/>
      <c r="CU41" s="146"/>
      <c r="CV41" s="146"/>
      <c r="CW41" s="146"/>
      <c r="CX41" s="146"/>
      <c r="CY41" s="146"/>
      <c r="CZ41" s="146"/>
      <c r="DA41" s="146"/>
      <c r="DB41" s="146"/>
      <c r="DC41" s="146"/>
      <c r="DD41" s="146"/>
      <c r="DE41" s="146"/>
      <c r="DF41" s="146"/>
      <c r="DG41" s="146"/>
      <c r="DH41" s="146"/>
      <c r="DI41" s="146"/>
      <c r="DJ41" s="146"/>
      <c r="DK41" s="146"/>
      <c r="DL41" s="146"/>
      <c r="DM41" s="146"/>
      <c r="DN41" s="146"/>
      <c r="DO41" s="146"/>
      <c r="DP41" s="146"/>
      <c r="DQ41" s="146"/>
      <c r="DR41" s="146"/>
      <c r="DS41" s="146"/>
      <c r="DT41" s="146"/>
      <c r="DU41" s="146"/>
      <c r="DV41" s="146"/>
      <c r="DW41" s="146"/>
      <c r="DX41" s="146"/>
      <c r="DY41" s="146"/>
      <c r="DZ41" s="146"/>
      <c r="EA41" s="146"/>
      <c r="EB41" s="146"/>
      <c r="EC41" s="146"/>
      <c r="ED41" s="146"/>
      <c r="EE41" s="146"/>
      <c r="EF41" s="146"/>
      <c r="EG41" s="146"/>
      <c r="EH41" s="146"/>
      <c r="EI41" s="146"/>
      <c r="EJ41" s="146"/>
      <c r="EK41" s="146"/>
      <c r="EL41" s="146"/>
      <c r="EM41" s="146"/>
      <c r="EN41" s="146"/>
      <c r="EO41" s="146"/>
      <c r="EP41" s="146"/>
      <c r="EQ41" s="146"/>
      <c r="ER41" s="146"/>
      <c r="ES41" s="146"/>
      <c r="ET41" s="146"/>
      <c r="EU41" s="146"/>
      <c r="EV41" s="146"/>
      <c r="EW41" s="146"/>
      <c r="EX41" s="146"/>
      <c r="EY41" s="146"/>
      <c r="EZ41" s="146"/>
      <c r="FA41" s="146"/>
      <c r="FB41" s="146"/>
      <c r="FC41" s="146"/>
      <c r="FD41" s="146"/>
      <c r="FE41" s="146"/>
      <c r="FF41" s="146"/>
      <c r="FG41" s="146"/>
      <c r="FH41" s="146"/>
      <c r="FI41" s="146"/>
      <c r="FJ41" s="146"/>
      <c r="FK41" s="146"/>
      <c r="FL41" s="146"/>
      <c r="FM41" s="146"/>
      <c r="FN41" s="146"/>
      <c r="FO41" s="146"/>
      <c r="FP41" s="146"/>
      <c r="FQ41" s="146"/>
      <c r="FR41" s="146"/>
      <c r="FS41" s="146"/>
      <c r="FT41" s="146"/>
      <c r="FU41" s="146"/>
      <c r="FV41" s="146"/>
      <c r="FW41" s="146"/>
      <c r="FX41" s="146"/>
      <c r="FY41" s="146"/>
      <c r="FZ41" s="146"/>
      <c r="GA41" s="146"/>
      <c r="GB41" s="146"/>
      <c r="GC41" s="146"/>
      <c r="GD41" s="146"/>
      <c r="GE41" s="146"/>
      <c r="GF41" s="146"/>
      <c r="GG41" s="146"/>
      <c r="GH41" s="146"/>
      <c r="GI41" s="146"/>
      <c r="GJ41" s="146"/>
      <c r="GK41" s="146"/>
      <c r="GL41" s="146"/>
      <c r="GM41" s="146"/>
      <c r="GN41" s="146"/>
      <c r="GO41" s="146"/>
      <c r="GP41" s="146"/>
      <c r="GQ41" s="146"/>
      <c r="GR41" s="146"/>
      <c r="GS41" s="146"/>
      <c r="GT41" s="146"/>
      <c r="GU41" s="146"/>
      <c r="GV41" s="146"/>
      <c r="GW41" s="146"/>
      <c r="GX41" s="146"/>
      <c r="GY41" s="146"/>
      <c r="GZ41" s="146"/>
      <c r="HA41" s="146"/>
      <c r="HB41" s="146"/>
      <c r="HC41" s="146"/>
      <c r="HD41" s="146"/>
      <c r="HE41" s="146"/>
      <c r="HF41" s="146"/>
      <c r="HG41" s="146"/>
      <c r="HH41" s="146"/>
      <c r="HI41" s="146"/>
      <c r="HJ41" s="146"/>
      <c r="HK41" s="146"/>
      <c r="HL41" s="146"/>
      <c r="HM41" s="146"/>
      <c r="HN41" s="146"/>
      <c r="HO41" s="146"/>
      <c r="HP41" s="146"/>
      <c r="HQ41" s="146"/>
      <c r="HR41" s="146"/>
      <c r="HS41" s="146"/>
      <c r="HT41" s="146"/>
      <c r="HU41" s="146"/>
      <c r="HV41" s="146"/>
      <c r="HW41" s="146"/>
      <c r="HX41" s="146"/>
      <c r="HY41" s="146"/>
      <c r="HZ41" s="146"/>
      <c r="IA41" s="146"/>
    </row>
    <row r="42" spans="1:235" s="156" customFormat="1" ht="57" x14ac:dyDescent="0.25">
      <c r="A42" s="197">
        <v>11300</v>
      </c>
      <c r="B42" s="194" t="s">
        <v>4</v>
      </c>
      <c r="C42" s="198" t="s">
        <v>160</v>
      </c>
      <c r="D42" s="194" t="s">
        <v>145</v>
      </c>
      <c r="E42" s="198" t="s">
        <v>588</v>
      </c>
      <c r="F42" s="194" t="s">
        <v>254</v>
      </c>
      <c r="G42" s="209" t="s">
        <v>124</v>
      </c>
      <c r="H42" s="198">
        <v>4</v>
      </c>
      <c r="I42" s="198" t="s">
        <v>589</v>
      </c>
      <c r="J42" s="194" t="s">
        <v>254</v>
      </c>
      <c r="K42" s="210">
        <v>272680404</v>
      </c>
      <c r="L42" s="211">
        <v>1</v>
      </c>
      <c r="M42" s="194" t="s">
        <v>46</v>
      </c>
      <c r="N42" s="194" t="s">
        <v>68</v>
      </c>
      <c r="O42" s="194" t="s">
        <v>21</v>
      </c>
      <c r="P42" s="194" t="s">
        <v>36</v>
      </c>
      <c r="Q42" s="194" t="s">
        <v>215</v>
      </c>
      <c r="R42" s="194" t="s">
        <v>255</v>
      </c>
      <c r="S42" s="194" t="s">
        <v>99</v>
      </c>
      <c r="T42" s="221">
        <v>4</v>
      </c>
      <c r="U42" s="212" t="str">
        <f t="shared" si="13"/>
        <v>Estados Financieros</v>
      </c>
      <c r="V42" s="213">
        <f t="shared" si="13"/>
        <v>272680404</v>
      </c>
      <c r="W42" s="222" t="s">
        <v>114</v>
      </c>
      <c r="X42" s="215">
        <v>1</v>
      </c>
      <c r="Y42" s="214" t="s">
        <v>254</v>
      </c>
      <c r="Z42" s="210">
        <v>68170101</v>
      </c>
      <c r="AA42" s="196"/>
      <c r="AB42" s="196"/>
      <c r="AC42" s="204">
        <f t="shared" si="14"/>
        <v>0</v>
      </c>
      <c r="AD42" s="204">
        <f t="shared" si="15"/>
        <v>0</v>
      </c>
      <c r="AE42" s="204">
        <f t="shared" si="0"/>
        <v>0</v>
      </c>
      <c r="AF42" s="204">
        <f t="shared" si="1"/>
        <v>0</v>
      </c>
      <c r="AG42" s="215">
        <v>1</v>
      </c>
      <c r="AH42" s="214" t="s">
        <v>254</v>
      </c>
      <c r="AI42" s="210">
        <v>68170101</v>
      </c>
      <c r="AJ42" s="196"/>
      <c r="AK42" s="196"/>
      <c r="AL42" s="204">
        <f t="shared" si="16"/>
        <v>0</v>
      </c>
      <c r="AM42" s="204">
        <f t="shared" si="2"/>
        <v>0</v>
      </c>
      <c r="AN42" s="204">
        <f t="shared" si="3"/>
        <v>0</v>
      </c>
      <c r="AO42" s="204">
        <f t="shared" si="4"/>
        <v>0</v>
      </c>
      <c r="AP42" s="215">
        <v>1</v>
      </c>
      <c r="AQ42" s="214" t="s">
        <v>254</v>
      </c>
      <c r="AR42" s="210">
        <v>68170101</v>
      </c>
      <c r="AS42" s="196"/>
      <c r="AT42" s="196"/>
      <c r="AU42" s="204">
        <f t="shared" si="17"/>
        <v>0</v>
      </c>
      <c r="AV42" s="204">
        <f t="shared" si="18"/>
        <v>0</v>
      </c>
      <c r="AW42" s="204">
        <f t="shared" si="19"/>
        <v>0</v>
      </c>
      <c r="AX42" s="204">
        <f t="shared" si="20"/>
        <v>0</v>
      </c>
      <c r="AY42" s="215">
        <v>1</v>
      </c>
      <c r="AZ42" s="214" t="s">
        <v>254</v>
      </c>
      <c r="BA42" s="210">
        <v>68170101</v>
      </c>
      <c r="BB42" s="196"/>
      <c r="BC42" s="196"/>
      <c r="BD42" s="216">
        <f t="shared" si="21"/>
        <v>0</v>
      </c>
      <c r="BE42" s="216">
        <f t="shared" si="22"/>
        <v>0</v>
      </c>
      <c r="BF42" s="216">
        <f t="shared" si="23"/>
        <v>0</v>
      </c>
      <c r="BG42" s="216">
        <f t="shared" si="24"/>
        <v>0</v>
      </c>
      <c r="BH42" s="223">
        <f t="shared" si="5"/>
        <v>0</v>
      </c>
      <c r="BI42" s="223">
        <f t="shared" si="6"/>
        <v>0</v>
      </c>
      <c r="BJ42" s="223">
        <f t="shared" si="7"/>
        <v>0</v>
      </c>
      <c r="BK42" s="223">
        <f t="shared" si="8"/>
        <v>0</v>
      </c>
      <c r="BL42" s="223">
        <f t="shared" si="25"/>
        <v>0</v>
      </c>
      <c r="BM42" s="223">
        <f t="shared" si="26"/>
        <v>0</v>
      </c>
      <c r="BN42" s="223">
        <f t="shared" si="9"/>
        <v>0</v>
      </c>
      <c r="BO42" s="223">
        <f t="shared" si="10"/>
        <v>0</v>
      </c>
      <c r="BP42" s="206"/>
      <c r="BQ42" s="277">
        <v>1</v>
      </c>
      <c r="BR42" s="218">
        <f t="shared" si="12"/>
        <v>2.3333333333333335</v>
      </c>
      <c r="BS42" s="219" t="str">
        <f t="shared" si="27"/>
        <v>Estados Financieros</v>
      </c>
      <c r="BT42" s="195">
        <f t="shared" si="11"/>
        <v>159063569</v>
      </c>
      <c r="BU42" s="196"/>
      <c r="BV42" s="196"/>
      <c r="BW42" s="196"/>
      <c r="BX42" s="196"/>
      <c r="BY42" s="196"/>
      <c r="BZ42" s="196"/>
      <c r="CA42" s="146"/>
      <c r="CB42" s="146"/>
      <c r="CC42" s="146"/>
      <c r="CD42" s="146"/>
      <c r="CE42" s="146"/>
      <c r="CF42" s="146"/>
      <c r="CG42" s="146"/>
      <c r="CH42" s="146"/>
      <c r="CI42" s="146"/>
      <c r="CJ42" s="146"/>
      <c r="CK42" s="146"/>
      <c r="CL42" s="146"/>
      <c r="CM42" s="146"/>
      <c r="CN42" s="146"/>
      <c r="CO42" s="146"/>
      <c r="CP42" s="146"/>
      <c r="CQ42" s="146"/>
      <c r="CR42" s="146"/>
      <c r="CS42" s="146"/>
      <c r="CT42" s="146"/>
      <c r="CU42" s="146"/>
      <c r="CV42" s="146"/>
      <c r="CW42" s="146"/>
      <c r="CX42" s="146"/>
      <c r="CY42" s="146"/>
      <c r="CZ42" s="146"/>
      <c r="DA42" s="146"/>
      <c r="DB42" s="146"/>
      <c r="DC42" s="146"/>
      <c r="DD42" s="146"/>
      <c r="DE42" s="146"/>
      <c r="DF42" s="146"/>
      <c r="DG42" s="146"/>
      <c r="DH42" s="146"/>
      <c r="DI42" s="146"/>
      <c r="DJ42" s="146"/>
      <c r="DK42" s="146"/>
      <c r="DL42" s="146"/>
      <c r="DM42" s="146"/>
      <c r="DN42" s="146"/>
      <c r="DO42" s="146"/>
      <c r="DP42" s="146"/>
      <c r="DQ42" s="146"/>
      <c r="DR42" s="146"/>
      <c r="DS42" s="146"/>
      <c r="DT42" s="146"/>
      <c r="DU42" s="146"/>
      <c r="DV42" s="146"/>
      <c r="DW42" s="146"/>
      <c r="DX42" s="146"/>
      <c r="DY42" s="146"/>
      <c r="DZ42" s="146"/>
      <c r="EA42" s="146"/>
      <c r="EB42" s="146"/>
      <c r="EC42" s="146"/>
      <c r="ED42" s="146"/>
      <c r="EE42" s="146"/>
      <c r="EF42" s="146"/>
      <c r="EG42" s="146"/>
      <c r="EH42" s="146"/>
      <c r="EI42" s="146"/>
      <c r="EJ42" s="146"/>
      <c r="EK42" s="146"/>
      <c r="EL42" s="146"/>
      <c r="EM42" s="146"/>
      <c r="EN42" s="146"/>
      <c r="EO42" s="146"/>
      <c r="EP42" s="146"/>
      <c r="EQ42" s="146"/>
      <c r="ER42" s="146"/>
      <c r="ES42" s="146"/>
      <c r="ET42" s="146"/>
      <c r="EU42" s="146"/>
      <c r="EV42" s="146"/>
      <c r="EW42" s="146"/>
      <c r="EX42" s="146"/>
      <c r="EY42" s="146"/>
      <c r="EZ42" s="146"/>
      <c r="FA42" s="146"/>
      <c r="FB42" s="146"/>
      <c r="FC42" s="146"/>
      <c r="FD42" s="146"/>
      <c r="FE42" s="146"/>
      <c r="FF42" s="146"/>
      <c r="FG42" s="146"/>
      <c r="FH42" s="146"/>
      <c r="FI42" s="146"/>
      <c r="FJ42" s="146"/>
      <c r="FK42" s="146"/>
      <c r="FL42" s="146"/>
      <c r="FM42" s="146"/>
      <c r="FN42" s="146"/>
      <c r="FO42" s="146"/>
      <c r="FP42" s="146"/>
      <c r="FQ42" s="146"/>
      <c r="FR42" s="146"/>
      <c r="FS42" s="146"/>
      <c r="FT42" s="146"/>
      <c r="FU42" s="146"/>
      <c r="FV42" s="146"/>
      <c r="FW42" s="146"/>
      <c r="FX42" s="146"/>
      <c r="FY42" s="146"/>
      <c r="FZ42" s="146"/>
      <c r="GA42" s="146"/>
      <c r="GB42" s="146"/>
      <c r="GC42" s="146"/>
      <c r="GD42" s="146"/>
      <c r="GE42" s="146"/>
      <c r="GF42" s="146"/>
      <c r="GG42" s="146"/>
      <c r="GH42" s="146"/>
      <c r="GI42" s="146"/>
      <c r="GJ42" s="146"/>
      <c r="GK42" s="146"/>
      <c r="GL42" s="146"/>
      <c r="GM42" s="146"/>
      <c r="GN42" s="146"/>
      <c r="GO42" s="146"/>
      <c r="GP42" s="146"/>
      <c r="GQ42" s="146"/>
      <c r="GR42" s="146"/>
      <c r="GS42" s="146"/>
      <c r="GT42" s="146"/>
      <c r="GU42" s="146"/>
      <c r="GV42" s="146"/>
      <c r="GW42" s="146"/>
      <c r="GX42" s="146"/>
      <c r="GY42" s="146"/>
      <c r="GZ42" s="146"/>
      <c r="HA42" s="146"/>
      <c r="HB42" s="146"/>
      <c r="HC42" s="146"/>
      <c r="HD42" s="146"/>
      <c r="HE42" s="146"/>
      <c r="HF42" s="146"/>
      <c r="HG42" s="146"/>
      <c r="HH42" s="146"/>
      <c r="HI42" s="146"/>
      <c r="HJ42" s="146"/>
      <c r="HK42" s="146"/>
      <c r="HL42" s="146"/>
      <c r="HM42" s="146"/>
      <c r="HN42" s="146"/>
      <c r="HO42" s="146"/>
      <c r="HP42" s="146"/>
      <c r="HQ42" s="146"/>
      <c r="HR42" s="146"/>
      <c r="HS42" s="146"/>
      <c r="HT42" s="146"/>
      <c r="HU42" s="146"/>
      <c r="HV42" s="146"/>
      <c r="HW42" s="146"/>
      <c r="HX42" s="146"/>
      <c r="HY42" s="146"/>
      <c r="HZ42" s="146"/>
      <c r="IA42" s="146"/>
    </row>
    <row r="43" spans="1:235" s="153" customFormat="1" ht="57" x14ac:dyDescent="0.25">
      <c r="A43" s="197">
        <v>11300</v>
      </c>
      <c r="B43" s="194" t="s">
        <v>4</v>
      </c>
      <c r="C43" s="198" t="s">
        <v>160</v>
      </c>
      <c r="D43" s="194" t="s">
        <v>145</v>
      </c>
      <c r="E43" s="198" t="s">
        <v>590</v>
      </c>
      <c r="F43" s="194" t="s">
        <v>257</v>
      </c>
      <c r="G43" s="209" t="s">
        <v>124</v>
      </c>
      <c r="H43" s="198">
        <v>4</v>
      </c>
      <c r="I43" s="198" t="s">
        <v>591</v>
      </c>
      <c r="J43" s="194" t="s">
        <v>258</v>
      </c>
      <c r="K43" s="210">
        <v>0</v>
      </c>
      <c r="L43" s="211">
        <v>1</v>
      </c>
      <c r="M43" s="194" t="s">
        <v>46</v>
      </c>
      <c r="N43" s="194" t="s">
        <v>68</v>
      </c>
      <c r="O43" s="194" t="s">
        <v>21</v>
      </c>
      <c r="P43" s="194" t="s">
        <v>36</v>
      </c>
      <c r="Q43" s="194" t="s">
        <v>212</v>
      </c>
      <c r="R43" s="194" t="s">
        <v>137</v>
      </c>
      <c r="S43" s="194" t="s">
        <v>99</v>
      </c>
      <c r="T43" s="221">
        <v>4</v>
      </c>
      <c r="U43" s="212" t="str">
        <f t="shared" si="13"/>
        <v>Informe</v>
      </c>
      <c r="V43" s="213">
        <f t="shared" si="13"/>
        <v>0</v>
      </c>
      <c r="W43" s="222" t="s">
        <v>114</v>
      </c>
      <c r="X43" s="215">
        <v>1</v>
      </c>
      <c r="Y43" s="214" t="s">
        <v>258</v>
      </c>
      <c r="Z43" s="210">
        <v>0</v>
      </c>
      <c r="AA43" s="196"/>
      <c r="AB43" s="196"/>
      <c r="AC43" s="204">
        <f t="shared" si="14"/>
        <v>0</v>
      </c>
      <c r="AD43" s="204" t="e">
        <f t="shared" si="15"/>
        <v>#DIV/0!</v>
      </c>
      <c r="AE43" s="204">
        <f t="shared" si="0"/>
        <v>0</v>
      </c>
      <c r="AF43" s="204" t="e">
        <f t="shared" si="1"/>
        <v>#DIV/0!</v>
      </c>
      <c r="AG43" s="215">
        <v>1</v>
      </c>
      <c r="AH43" s="214" t="s">
        <v>258</v>
      </c>
      <c r="AI43" s="210">
        <v>0</v>
      </c>
      <c r="AJ43" s="196"/>
      <c r="AK43" s="196"/>
      <c r="AL43" s="204">
        <f t="shared" si="16"/>
        <v>0</v>
      </c>
      <c r="AM43" s="204" t="e">
        <f t="shared" si="2"/>
        <v>#DIV/0!</v>
      </c>
      <c r="AN43" s="204">
        <f t="shared" si="3"/>
        <v>0</v>
      </c>
      <c r="AO43" s="204" t="e">
        <f t="shared" si="4"/>
        <v>#DIV/0!</v>
      </c>
      <c r="AP43" s="215">
        <v>1</v>
      </c>
      <c r="AQ43" s="214" t="s">
        <v>258</v>
      </c>
      <c r="AR43" s="210">
        <v>0</v>
      </c>
      <c r="AS43" s="196"/>
      <c r="AT43" s="196"/>
      <c r="AU43" s="204">
        <f t="shared" si="17"/>
        <v>0</v>
      </c>
      <c r="AV43" s="204" t="e">
        <f t="shared" si="18"/>
        <v>#DIV/0!</v>
      </c>
      <c r="AW43" s="204">
        <f t="shared" si="19"/>
        <v>0</v>
      </c>
      <c r="AX43" s="204" t="e">
        <f t="shared" si="20"/>
        <v>#DIV/0!</v>
      </c>
      <c r="AY43" s="215">
        <v>1</v>
      </c>
      <c r="AZ43" s="214" t="s">
        <v>258</v>
      </c>
      <c r="BA43" s="210">
        <v>0</v>
      </c>
      <c r="BB43" s="196"/>
      <c r="BC43" s="196"/>
      <c r="BD43" s="216">
        <f t="shared" si="21"/>
        <v>0</v>
      </c>
      <c r="BE43" s="216" t="e">
        <f t="shared" si="22"/>
        <v>#DIV/0!</v>
      </c>
      <c r="BF43" s="216">
        <f t="shared" si="23"/>
        <v>0</v>
      </c>
      <c r="BG43" s="216" t="e">
        <f t="shared" si="24"/>
        <v>#DIV/0!</v>
      </c>
      <c r="BH43" s="217">
        <f t="shared" si="5"/>
        <v>0</v>
      </c>
      <c r="BI43" s="217" t="str">
        <f t="shared" si="6"/>
        <v>No Prog ni Ejec</v>
      </c>
      <c r="BJ43" s="217">
        <f t="shared" si="7"/>
        <v>0</v>
      </c>
      <c r="BK43" s="217" t="str">
        <f t="shared" si="8"/>
        <v>No Prog ni Ejec</v>
      </c>
      <c r="BL43" s="217">
        <f t="shared" si="25"/>
        <v>0</v>
      </c>
      <c r="BM43" s="217" t="str">
        <f t="shared" si="26"/>
        <v>No Prog ni Ejec</v>
      </c>
      <c r="BN43" s="217">
        <f t="shared" si="9"/>
        <v>0</v>
      </c>
      <c r="BO43" s="217" t="str">
        <f t="shared" si="10"/>
        <v>No Prog ni Ejec</v>
      </c>
      <c r="BP43" s="206"/>
      <c r="BQ43" s="277">
        <v>1</v>
      </c>
      <c r="BR43" s="218">
        <f t="shared" si="12"/>
        <v>2.3333333333333335</v>
      </c>
      <c r="BS43" s="219" t="str">
        <f t="shared" si="27"/>
        <v>Informe</v>
      </c>
      <c r="BT43" s="195">
        <f t="shared" si="11"/>
        <v>0</v>
      </c>
      <c r="BU43" s="196"/>
      <c r="BV43" s="196"/>
      <c r="BW43" s="196"/>
      <c r="BX43" s="196"/>
      <c r="BY43" s="196"/>
      <c r="BZ43" s="196"/>
      <c r="CA43" s="146"/>
      <c r="CB43" s="146"/>
      <c r="CC43" s="146"/>
      <c r="CD43" s="146"/>
      <c r="CE43" s="146"/>
      <c r="CF43" s="146"/>
      <c r="CG43" s="146"/>
      <c r="CH43" s="146"/>
      <c r="CI43" s="146"/>
      <c r="CJ43" s="146"/>
      <c r="CK43" s="146"/>
      <c r="CL43" s="146"/>
      <c r="CM43" s="146"/>
      <c r="CN43" s="146"/>
      <c r="CO43" s="146"/>
      <c r="CP43" s="146"/>
      <c r="CQ43" s="146"/>
      <c r="CR43" s="146"/>
      <c r="CS43" s="146"/>
      <c r="CT43" s="146"/>
      <c r="CU43" s="146"/>
      <c r="CV43" s="146"/>
      <c r="CW43" s="146"/>
      <c r="CX43" s="146"/>
      <c r="CY43" s="146"/>
      <c r="CZ43" s="146"/>
      <c r="DA43" s="146"/>
      <c r="DB43" s="146"/>
      <c r="DC43" s="146"/>
      <c r="DD43" s="146"/>
      <c r="DE43" s="146"/>
      <c r="DF43" s="146"/>
      <c r="DG43" s="146"/>
      <c r="DH43" s="146"/>
      <c r="DI43" s="146"/>
      <c r="DJ43" s="146"/>
      <c r="DK43" s="146"/>
      <c r="DL43" s="146"/>
      <c r="DM43" s="146"/>
      <c r="DN43" s="146"/>
      <c r="DO43" s="146"/>
      <c r="DP43" s="146"/>
      <c r="DQ43" s="146"/>
      <c r="DR43" s="146"/>
      <c r="DS43" s="146"/>
      <c r="DT43" s="146"/>
      <c r="DU43" s="146"/>
      <c r="DV43" s="146"/>
      <c r="DW43" s="146"/>
      <c r="DX43" s="146"/>
      <c r="DY43" s="146"/>
      <c r="DZ43" s="146"/>
      <c r="EA43" s="146"/>
      <c r="EB43" s="146"/>
      <c r="EC43" s="146"/>
      <c r="ED43" s="146"/>
      <c r="EE43" s="146"/>
      <c r="EF43" s="146"/>
      <c r="EG43" s="146"/>
      <c r="EH43" s="146"/>
      <c r="EI43" s="146"/>
      <c r="EJ43" s="146"/>
      <c r="EK43" s="146"/>
      <c r="EL43" s="146"/>
      <c r="EM43" s="146"/>
      <c r="EN43" s="146"/>
      <c r="EO43" s="146"/>
      <c r="EP43" s="146"/>
      <c r="EQ43" s="146"/>
      <c r="ER43" s="146"/>
      <c r="ES43" s="146"/>
      <c r="ET43" s="146"/>
      <c r="EU43" s="146"/>
      <c r="EV43" s="146"/>
      <c r="EW43" s="146"/>
      <c r="EX43" s="146"/>
      <c r="EY43" s="146"/>
      <c r="EZ43" s="146"/>
      <c r="FA43" s="146"/>
      <c r="FB43" s="146"/>
      <c r="FC43" s="146"/>
      <c r="FD43" s="146"/>
      <c r="FE43" s="146"/>
      <c r="FF43" s="146"/>
      <c r="FG43" s="146"/>
      <c r="FH43" s="146"/>
      <c r="FI43" s="146"/>
      <c r="FJ43" s="146"/>
      <c r="FK43" s="146"/>
      <c r="FL43" s="146"/>
      <c r="FM43" s="146"/>
      <c r="FN43" s="146"/>
      <c r="FO43" s="146"/>
      <c r="FP43" s="146"/>
      <c r="FQ43" s="146"/>
      <c r="FR43" s="146"/>
      <c r="FS43" s="146"/>
      <c r="FT43" s="146"/>
      <c r="FU43" s="146"/>
      <c r="FV43" s="146"/>
      <c r="FW43" s="146"/>
      <c r="FX43" s="146"/>
      <c r="FY43" s="146"/>
      <c r="FZ43" s="146"/>
      <c r="GA43" s="146"/>
      <c r="GB43" s="146"/>
      <c r="GC43" s="146"/>
      <c r="GD43" s="146"/>
      <c r="GE43" s="146"/>
      <c r="GF43" s="146"/>
      <c r="GG43" s="146"/>
      <c r="GH43" s="146"/>
      <c r="GI43" s="146"/>
      <c r="GJ43" s="146"/>
      <c r="GK43" s="146"/>
      <c r="GL43" s="146"/>
      <c r="GM43" s="146"/>
      <c r="GN43" s="146"/>
      <c r="GO43" s="146"/>
      <c r="GP43" s="146"/>
      <c r="GQ43" s="146"/>
      <c r="GR43" s="146"/>
      <c r="GS43" s="146"/>
      <c r="GT43" s="146"/>
      <c r="GU43" s="146"/>
      <c r="GV43" s="146"/>
      <c r="GW43" s="146"/>
      <c r="GX43" s="146"/>
      <c r="GY43" s="146"/>
      <c r="GZ43" s="146"/>
      <c r="HA43" s="146"/>
      <c r="HB43" s="146"/>
      <c r="HC43" s="146"/>
      <c r="HD43" s="146"/>
      <c r="HE43" s="146"/>
      <c r="HF43" s="146"/>
      <c r="HG43" s="146"/>
      <c r="HH43" s="146"/>
      <c r="HI43" s="146"/>
      <c r="HJ43" s="146"/>
      <c r="HK43" s="146"/>
      <c r="HL43" s="146"/>
      <c r="HM43" s="146"/>
      <c r="HN43" s="146"/>
      <c r="HO43" s="146"/>
      <c r="HP43" s="146"/>
      <c r="HQ43" s="146"/>
      <c r="HR43" s="146"/>
      <c r="HS43" s="146"/>
      <c r="HT43" s="146"/>
      <c r="HU43" s="146"/>
      <c r="HV43" s="146"/>
      <c r="HW43" s="146"/>
      <c r="HX43" s="146"/>
      <c r="HY43" s="146"/>
      <c r="HZ43" s="146"/>
      <c r="IA43" s="146"/>
    </row>
    <row r="44" spans="1:235" s="159" customFormat="1" ht="57" x14ac:dyDescent="0.25">
      <c r="A44" s="197">
        <v>11300</v>
      </c>
      <c r="B44" s="194" t="s">
        <v>4</v>
      </c>
      <c r="C44" s="198" t="s">
        <v>160</v>
      </c>
      <c r="D44" s="194" t="s">
        <v>145</v>
      </c>
      <c r="E44" s="198" t="s">
        <v>592</v>
      </c>
      <c r="F44" s="194" t="s">
        <v>571</v>
      </c>
      <c r="G44" s="209" t="s">
        <v>123</v>
      </c>
      <c r="H44" s="226">
        <v>1</v>
      </c>
      <c r="I44" s="198" t="s">
        <v>593</v>
      </c>
      <c r="J44" s="194" t="s">
        <v>571</v>
      </c>
      <c r="K44" s="210">
        <v>580945500</v>
      </c>
      <c r="L44" s="211">
        <v>1</v>
      </c>
      <c r="M44" s="194" t="s">
        <v>46</v>
      </c>
      <c r="N44" s="194" t="s">
        <v>68</v>
      </c>
      <c r="O44" s="194" t="s">
        <v>21</v>
      </c>
      <c r="P44" s="194" t="s">
        <v>36</v>
      </c>
      <c r="Q44" s="194" t="s">
        <v>212</v>
      </c>
      <c r="R44" s="194" t="s">
        <v>379</v>
      </c>
      <c r="S44" s="194" t="s">
        <v>99</v>
      </c>
      <c r="T44" s="211">
        <v>1</v>
      </c>
      <c r="U44" s="212" t="str">
        <f t="shared" si="13"/>
        <v>Administración y Custodia del Portafolio de Inversión</v>
      </c>
      <c r="V44" s="213">
        <f t="shared" si="13"/>
        <v>580945500</v>
      </c>
      <c r="W44" s="222" t="s">
        <v>114</v>
      </c>
      <c r="X44" s="281">
        <v>0.25</v>
      </c>
      <c r="Y44" s="282" t="s">
        <v>571</v>
      </c>
      <c r="Z44" s="283">
        <v>0</v>
      </c>
      <c r="AA44" s="279"/>
      <c r="AB44" s="279"/>
      <c r="AC44" s="280">
        <f t="shared" si="14"/>
        <v>0</v>
      </c>
      <c r="AD44" s="280" t="e">
        <f t="shared" si="15"/>
        <v>#DIV/0!</v>
      </c>
      <c r="AE44" s="280">
        <f t="shared" si="0"/>
        <v>0</v>
      </c>
      <c r="AF44" s="280">
        <f t="shared" si="1"/>
        <v>0</v>
      </c>
      <c r="AG44" s="281">
        <v>0.25</v>
      </c>
      <c r="AH44" s="282" t="s">
        <v>571</v>
      </c>
      <c r="AI44" s="283">
        <v>193648499.99999997</v>
      </c>
      <c r="AJ44" s="279"/>
      <c r="AK44" s="279"/>
      <c r="AL44" s="280">
        <f t="shared" si="16"/>
        <v>0</v>
      </c>
      <c r="AM44" s="280">
        <f t="shared" si="2"/>
        <v>0</v>
      </c>
      <c r="AN44" s="280">
        <f t="shared" si="3"/>
        <v>0</v>
      </c>
      <c r="AO44" s="280">
        <f t="shared" si="4"/>
        <v>0</v>
      </c>
      <c r="AP44" s="281">
        <v>0.25</v>
      </c>
      <c r="AQ44" s="282" t="s">
        <v>571</v>
      </c>
      <c r="AR44" s="283">
        <v>193648499.99999997</v>
      </c>
      <c r="AS44" s="279"/>
      <c r="AT44" s="279"/>
      <c r="AU44" s="280">
        <f t="shared" si="17"/>
        <v>0</v>
      </c>
      <c r="AV44" s="280">
        <f t="shared" si="18"/>
        <v>0</v>
      </c>
      <c r="AW44" s="280">
        <f t="shared" si="19"/>
        <v>0</v>
      </c>
      <c r="AX44" s="280">
        <f t="shared" si="20"/>
        <v>0</v>
      </c>
      <c r="AY44" s="281">
        <v>0.25</v>
      </c>
      <c r="AZ44" s="282" t="s">
        <v>571</v>
      </c>
      <c r="BA44" s="283">
        <v>193648499.99999997</v>
      </c>
      <c r="BB44" s="279"/>
      <c r="BC44" s="279"/>
      <c r="BD44" s="281">
        <f t="shared" si="21"/>
        <v>0</v>
      </c>
      <c r="BE44" s="281">
        <f t="shared" si="22"/>
        <v>0</v>
      </c>
      <c r="BF44" s="281">
        <f t="shared" si="23"/>
        <v>0</v>
      </c>
      <c r="BG44" s="281">
        <f t="shared" si="24"/>
        <v>0</v>
      </c>
      <c r="BH44" s="205">
        <f t="shared" si="5"/>
        <v>0</v>
      </c>
      <c r="BI44" s="205" t="str">
        <f t="shared" si="6"/>
        <v>No Prog ni Ejec</v>
      </c>
      <c r="BJ44" s="205">
        <f t="shared" si="7"/>
        <v>0</v>
      </c>
      <c r="BK44" s="205">
        <f t="shared" si="8"/>
        <v>0</v>
      </c>
      <c r="BL44" s="205">
        <f t="shared" si="25"/>
        <v>0</v>
      </c>
      <c r="BM44" s="205">
        <f t="shared" si="26"/>
        <v>0</v>
      </c>
      <c r="BN44" s="205">
        <f t="shared" si="9"/>
        <v>0</v>
      </c>
      <c r="BO44" s="205">
        <f t="shared" si="10"/>
        <v>0</v>
      </c>
      <c r="BP44" s="206"/>
      <c r="BQ44" s="277">
        <v>2</v>
      </c>
      <c r="BR44" s="208">
        <f t="shared" si="12"/>
        <v>0.58333333333333337</v>
      </c>
      <c r="BS44" s="219" t="str">
        <f t="shared" si="27"/>
        <v>Administración y Custodia del Portafolio de Inversión</v>
      </c>
      <c r="BT44" s="195">
        <f t="shared" si="11"/>
        <v>258197999.99999997</v>
      </c>
      <c r="BU44" s="196"/>
      <c r="BV44" s="196"/>
      <c r="BW44" s="196"/>
      <c r="BX44" s="196"/>
      <c r="BY44" s="196"/>
      <c r="BZ44" s="19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146"/>
      <c r="CX44" s="146"/>
      <c r="CY44" s="146"/>
      <c r="CZ44" s="146"/>
      <c r="DA44" s="146"/>
      <c r="DB44" s="146"/>
      <c r="DC44" s="146"/>
      <c r="DD44" s="146"/>
      <c r="DE44" s="146"/>
      <c r="DF44" s="146"/>
      <c r="DG44" s="146"/>
      <c r="DH44" s="146"/>
      <c r="DI44" s="146"/>
      <c r="DJ44" s="146"/>
      <c r="DK44" s="146"/>
      <c r="DL44" s="146"/>
      <c r="DM44" s="146"/>
      <c r="DN44" s="146"/>
      <c r="DO44" s="146"/>
      <c r="DP44" s="146"/>
      <c r="DQ44" s="146"/>
      <c r="DR44" s="146"/>
      <c r="DS44" s="146"/>
      <c r="DT44" s="146"/>
      <c r="DU44" s="146"/>
      <c r="DV44" s="146"/>
      <c r="DW44" s="146"/>
      <c r="DX44" s="146"/>
      <c r="DY44" s="146"/>
      <c r="DZ44" s="146"/>
      <c r="EA44" s="146"/>
      <c r="EB44" s="146"/>
      <c r="EC44" s="146"/>
      <c r="ED44" s="146"/>
      <c r="EE44" s="146"/>
      <c r="EF44" s="146"/>
      <c r="EG44" s="146"/>
      <c r="EH44" s="146"/>
      <c r="EI44" s="146"/>
      <c r="EJ44" s="146"/>
      <c r="EK44" s="146"/>
      <c r="EL44" s="146"/>
      <c r="EM44" s="146"/>
      <c r="EN44" s="146"/>
      <c r="EO44" s="146"/>
      <c r="EP44" s="146"/>
      <c r="EQ44" s="146"/>
      <c r="ER44" s="146"/>
      <c r="ES44" s="146"/>
      <c r="ET44" s="146"/>
      <c r="EU44" s="146"/>
      <c r="EV44" s="146"/>
      <c r="EW44" s="146"/>
      <c r="EX44" s="146"/>
      <c r="EY44" s="146"/>
      <c r="EZ44" s="146"/>
      <c r="FA44" s="146"/>
      <c r="FB44" s="146"/>
      <c r="FC44" s="146"/>
      <c r="FD44" s="146"/>
      <c r="FE44" s="146"/>
      <c r="FF44" s="146"/>
      <c r="FG44" s="146"/>
      <c r="FH44" s="146"/>
      <c r="FI44" s="146"/>
      <c r="FJ44" s="146"/>
      <c r="FK44" s="146"/>
      <c r="FL44" s="146"/>
      <c r="FM44" s="146"/>
      <c r="FN44" s="146"/>
      <c r="FO44" s="146"/>
      <c r="FP44" s="146"/>
      <c r="FQ44" s="146"/>
      <c r="FR44" s="146"/>
      <c r="FS44" s="146"/>
      <c r="FT44" s="146"/>
      <c r="FU44" s="146"/>
      <c r="FV44" s="146"/>
      <c r="FW44" s="146"/>
      <c r="FX44" s="146"/>
      <c r="FY44" s="146"/>
      <c r="FZ44" s="146"/>
      <c r="GA44" s="146"/>
      <c r="GB44" s="146"/>
      <c r="GC44" s="146"/>
      <c r="GD44" s="146"/>
      <c r="GE44" s="146"/>
      <c r="GF44" s="146"/>
      <c r="GG44" s="146"/>
      <c r="GH44" s="146"/>
      <c r="GI44" s="146"/>
      <c r="GJ44" s="146"/>
      <c r="GK44" s="146"/>
      <c r="GL44" s="146"/>
      <c r="GM44" s="146"/>
      <c r="GN44" s="146"/>
      <c r="GO44" s="146"/>
      <c r="GP44" s="146"/>
      <c r="GQ44" s="146"/>
      <c r="GR44" s="146"/>
      <c r="GS44" s="146"/>
      <c r="GT44" s="146"/>
      <c r="GU44" s="146"/>
      <c r="GV44" s="146"/>
      <c r="GW44" s="146"/>
      <c r="GX44" s="146"/>
      <c r="GY44" s="146"/>
      <c r="GZ44" s="146"/>
      <c r="HA44" s="146"/>
      <c r="HB44" s="146"/>
      <c r="HC44" s="146"/>
      <c r="HD44" s="146"/>
      <c r="HE44" s="146"/>
      <c r="HF44" s="146"/>
      <c r="HG44" s="146"/>
      <c r="HH44" s="146"/>
      <c r="HI44" s="146"/>
      <c r="HJ44" s="146"/>
      <c r="HK44" s="146"/>
      <c r="HL44" s="146"/>
      <c r="HM44" s="146"/>
      <c r="HN44" s="146"/>
      <c r="HO44" s="146"/>
      <c r="HP44" s="146"/>
      <c r="HQ44" s="146"/>
      <c r="HR44" s="146"/>
      <c r="HS44" s="146"/>
      <c r="HT44" s="146"/>
      <c r="HU44" s="146"/>
      <c r="HV44" s="146"/>
      <c r="HW44" s="146"/>
      <c r="HX44" s="146"/>
      <c r="HY44" s="146"/>
      <c r="HZ44" s="146"/>
      <c r="IA44" s="146"/>
    </row>
    <row r="45" spans="1:235" s="153" customFormat="1" ht="57" x14ac:dyDescent="0.25">
      <c r="A45" s="197">
        <v>11400</v>
      </c>
      <c r="B45" s="194" t="s">
        <v>26</v>
      </c>
      <c r="C45" s="198" t="s">
        <v>183</v>
      </c>
      <c r="D45" s="194" t="s">
        <v>153</v>
      </c>
      <c r="E45" s="198" t="s">
        <v>185</v>
      </c>
      <c r="F45" s="194" t="s">
        <v>133</v>
      </c>
      <c r="G45" s="209" t="s">
        <v>124</v>
      </c>
      <c r="H45" s="198">
        <v>4</v>
      </c>
      <c r="I45" s="198" t="s">
        <v>316</v>
      </c>
      <c r="J45" s="194" t="s">
        <v>24</v>
      </c>
      <c r="K45" s="210">
        <v>0</v>
      </c>
      <c r="L45" s="211">
        <v>1</v>
      </c>
      <c r="M45" s="194" t="s">
        <v>51</v>
      </c>
      <c r="N45" s="194" t="s">
        <v>68</v>
      </c>
      <c r="O45" s="194" t="s">
        <v>21</v>
      </c>
      <c r="P45" s="194" t="s">
        <v>36</v>
      </c>
      <c r="Q45" s="194" t="s">
        <v>75</v>
      </c>
      <c r="R45" s="194" t="s">
        <v>631</v>
      </c>
      <c r="S45" s="194" t="s">
        <v>98</v>
      </c>
      <c r="T45" s="198">
        <v>4</v>
      </c>
      <c r="U45" s="212" t="str">
        <f t="shared" si="13"/>
        <v>Reportar el cumplimiento del Plan de Acción de la Dependencia</v>
      </c>
      <c r="V45" s="213">
        <f t="shared" si="13"/>
        <v>0</v>
      </c>
      <c r="W45" s="214" t="s">
        <v>117</v>
      </c>
      <c r="X45" s="215">
        <v>1</v>
      </c>
      <c r="Y45" s="214" t="s">
        <v>24</v>
      </c>
      <c r="Z45" s="210">
        <v>0</v>
      </c>
      <c r="AA45" s="196"/>
      <c r="AB45" s="196"/>
      <c r="AC45" s="204">
        <f t="shared" si="14"/>
        <v>0</v>
      </c>
      <c r="AD45" s="204" t="e">
        <f t="shared" si="15"/>
        <v>#DIV/0!</v>
      </c>
      <c r="AE45" s="204">
        <f t="shared" si="0"/>
        <v>0</v>
      </c>
      <c r="AF45" s="204" t="e">
        <f t="shared" si="1"/>
        <v>#DIV/0!</v>
      </c>
      <c r="AG45" s="215">
        <v>1</v>
      </c>
      <c r="AH45" s="214" t="s">
        <v>24</v>
      </c>
      <c r="AI45" s="210">
        <v>0</v>
      </c>
      <c r="AJ45" s="196"/>
      <c r="AK45" s="196"/>
      <c r="AL45" s="204">
        <f t="shared" si="16"/>
        <v>0</v>
      </c>
      <c r="AM45" s="204" t="e">
        <f t="shared" si="2"/>
        <v>#DIV/0!</v>
      </c>
      <c r="AN45" s="204">
        <f t="shared" si="3"/>
        <v>0</v>
      </c>
      <c r="AO45" s="204" t="e">
        <f t="shared" si="4"/>
        <v>#DIV/0!</v>
      </c>
      <c r="AP45" s="215">
        <v>1</v>
      </c>
      <c r="AQ45" s="214" t="s">
        <v>24</v>
      </c>
      <c r="AR45" s="210">
        <v>0</v>
      </c>
      <c r="AS45" s="196"/>
      <c r="AT45" s="196"/>
      <c r="AU45" s="204">
        <f t="shared" si="17"/>
        <v>0</v>
      </c>
      <c r="AV45" s="204" t="e">
        <f t="shared" si="18"/>
        <v>#DIV/0!</v>
      </c>
      <c r="AW45" s="204">
        <f t="shared" si="19"/>
        <v>0</v>
      </c>
      <c r="AX45" s="204" t="e">
        <f t="shared" si="20"/>
        <v>#DIV/0!</v>
      </c>
      <c r="AY45" s="215">
        <v>1</v>
      </c>
      <c r="AZ45" s="214" t="s">
        <v>24</v>
      </c>
      <c r="BA45" s="210">
        <v>0</v>
      </c>
      <c r="BB45" s="196"/>
      <c r="BC45" s="196"/>
      <c r="BD45" s="216">
        <f t="shared" si="21"/>
        <v>0</v>
      </c>
      <c r="BE45" s="216" t="e">
        <f t="shared" si="22"/>
        <v>#DIV/0!</v>
      </c>
      <c r="BF45" s="216">
        <f t="shared" si="23"/>
        <v>0</v>
      </c>
      <c r="BG45" s="216" t="e">
        <f t="shared" si="24"/>
        <v>#DIV/0!</v>
      </c>
      <c r="BH45" s="217">
        <f t="shared" si="5"/>
        <v>0</v>
      </c>
      <c r="BI45" s="217" t="str">
        <f t="shared" si="6"/>
        <v>No Prog ni Ejec</v>
      </c>
      <c r="BJ45" s="217">
        <f t="shared" si="7"/>
        <v>0</v>
      </c>
      <c r="BK45" s="217" t="str">
        <f t="shared" si="8"/>
        <v>No Prog ni Ejec</v>
      </c>
      <c r="BL45" s="217">
        <f t="shared" si="25"/>
        <v>0</v>
      </c>
      <c r="BM45" s="217" t="str">
        <f t="shared" si="26"/>
        <v>No Prog ni Ejec</v>
      </c>
      <c r="BN45" s="217">
        <f t="shared" si="9"/>
        <v>0</v>
      </c>
      <c r="BO45" s="217" t="str">
        <f t="shared" si="10"/>
        <v>No Prog ni Ejec</v>
      </c>
      <c r="BP45" s="206"/>
      <c r="BQ45" s="277">
        <v>5</v>
      </c>
      <c r="BR45" s="218">
        <f t="shared" si="12"/>
        <v>2.3333333333333335</v>
      </c>
      <c r="BS45" s="219" t="str">
        <f t="shared" si="27"/>
        <v>Reportar el cumplimiento del Plan de Acción de la Dependencia</v>
      </c>
      <c r="BT45" s="195">
        <f t="shared" si="11"/>
        <v>0</v>
      </c>
      <c r="BU45" s="196"/>
      <c r="BV45" s="196"/>
      <c r="BW45" s="196"/>
      <c r="BX45" s="196"/>
      <c r="BY45" s="196"/>
      <c r="BZ45" s="19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146"/>
      <c r="CX45" s="146"/>
      <c r="CY45" s="146"/>
      <c r="CZ45" s="146"/>
      <c r="DA45" s="146"/>
      <c r="DB45" s="146"/>
      <c r="DC45" s="146"/>
      <c r="DD45" s="146"/>
      <c r="DE45" s="146"/>
      <c r="DF45" s="146"/>
      <c r="DG45" s="146"/>
      <c r="DH45" s="146"/>
      <c r="DI45" s="146"/>
      <c r="DJ45" s="146"/>
      <c r="DK45" s="146"/>
      <c r="DL45" s="146"/>
      <c r="DM45" s="146"/>
      <c r="DN45" s="146"/>
      <c r="DO45" s="146"/>
      <c r="DP45" s="146"/>
      <c r="DQ45" s="146"/>
      <c r="DR45" s="146"/>
      <c r="DS45" s="146"/>
      <c r="DT45" s="146"/>
      <c r="DU45" s="146"/>
      <c r="DV45" s="146"/>
      <c r="DW45" s="146"/>
      <c r="DX45" s="146"/>
      <c r="DY45" s="146"/>
      <c r="DZ45" s="146"/>
      <c r="EA45" s="146"/>
      <c r="EB45" s="146"/>
      <c r="EC45" s="146"/>
      <c r="ED45" s="146"/>
      <c r="EE45" s="146"/>
      <c r="EF45" s="146"/>
      <c r="EG45" s="146"/>
      <c r="EH45" s="146"/>
      <c r="EI45" s="146"/>
      <c r="EJ45" s="146"/>
      <c r="EK45" s="146"/>
      <c r="EL45" s="146"/>
      <c r="EM45" s="146"/>
      <c r="EN45" s="146"/>
      <c r="EO45" s="146"/>
      <c r="EP45" s="146"/>
      <c r="EQ45" s="146"/>
      <c r="ER45" s="146"/>
      <c r="ES45" s="146"/>
      <c r="ET45" s="146"/>
      <c r="EU45" s="146"/>
      <c r="EV45" s="146"/>
      <c r="EW45" s="146"/>
      <c r="EX45" s="146"/>
      <c r="EY45" s="146"/>
      <c r="EZ45" s="146"/>
      <c r="FA45" s="146"/>
      <c r="FB45" s="146"/>
      <c r="FC45" s="146"/>
      <c r="FD45" s="146"/>
      <c r="FE45" s="146"/>
      <c r="FF45" s="146"/>
      <c r="FG45" s="146"/>
      <c r="FH45" s="146"/>
      <c r="FI45" s="146"/>
      <c r="FJ45" s="146"/>
      <c r="FK45" s="146"/>
      <c r="FL45" s="146"/>
      <c r="FM45" s="146"/>
      <c r="FN45" s="146"/>
      <c r="FO45" s="146"/>
      <c r="FP45" s="146"/>
      <c r="FQ45" s="146"/>
      <c r="FR45" s="146"/>
      <c r="FS45" s="146"/>
      <c r="FT45" s="146"/>
      <c r="FU45" s="146"/>
      <c r="FV45" s="146"/>
      <c r="FW45" s="146"/>
      <c r="FX45" s="146"/>
      <c r="FY45" s="146"/>
      <c r="FZ45" s="146"/>
      <c r="GA45" s="146"/>
      <c r="GB45" s="146"/>
      <c r="GC45" s="146"/>
      <c r="GD45" s="146"/>
      <c r="GE45" s="146"/>
      <c r="GF45" s="146"/>
      <c r="GG45" s="146"/>
      <c r="GH45" s="146"/>
      <c r="GI45" s="146"/>
      <c r="GJ45" s="146"/>
      <c r="GK45" s="146"/>
      <c r="GL45" s="146"/>
      <c r="GM45" s="146"/>
      <c r="GN45" s="146"/>
      <c r="GO45" s="146"/>
      <c r="GP45" s="146"/>
      <c r="GQ45" s="146"/>
      <c r="GR45" s="146"/>
      <c r="GS45" s="146"/>
      <c r="GT45" s="146"/>
      <c r="GU45" s="146"/>
      <c r="GV45" s="146"/>
      <c r="GW45" s="146"/>
      <c r="GX45" s="146"/>
      <c r="GY45" s="146"/>
      <c r="GZ45" s="146"/>
      <c r="HA45" s="146"/>
      <c r="HB45" s="146"/>
      <c r="HC45" s="146"/>
      <c r="HD45" s="146"/>
      <c r="HE45" s="146"/>
      <c r="HF45" s="146"/>
      <c r="HG45" s="146"/>
      <c r="HH45" s="146"/>
      <c r="HI45" s="146"/>
      <c r="HJ45" s="146"/>
      <c r="HK45" s="146"/>
      <c r="HL45" s="146"/>
      <c r="HM45" s="146"/>
      <c r="HN45" s="146"/>
      <c r="HO45" s="146"/>
      <c r="HP45" s="146"/>
      <c r="HQ45" s="146"/>
      <c r="HR45" s="146"/>
      <c r="HS45" s="146"/>
      <c r="HT45" s="146"/>
      <c r="HU45" s="146"/>
      <c r="HV45" s="146"/>
      <c r="HW45" s="146"/>
      <c r="HX45" s="146"/>
      <c r="HY45" s="146"/>
      <c r="HZ45" s="146"/>
      <c r="IA45" s="146"/>
    </row>
    <row r="46" spans="1:235" s="153" customFormat="1" ht="99.75" x14ac:dyDescent="0.25">
      <c r="A46" s="197">
        <v>11400</v>
      </c>
      <c r="B46" s="194" t="s">
        <v>26</v>
      </c>
      <c r="C46" s="198" t="s">
        <v>184</v>
      </c>
      <c r="D46" s="194" t="s">
        <v>256</v>
      </c>
      <c r="E46" s="198" t="s">
        <v>186</v>
      </c>
      <c r="F46" s="194" t="s">
        <v>159</v>
      </c>
      <c r="G46" s="209" t="s">
        <v>123</v>
      </c>
      <c r="H46" s="216">
        <v>1</v>
      </c>
      <c r="I46" s="198" t="s">
        <v>317</v>
      </c>
      <c r="J46" s="194" t="s">
        <v>156</v>
      </c>
      <c r="K46" s="210">
        <v>0</v>
      </c>
      <c r="L46" s="211">
        <v>1</v>
      </c>
      <c r="M46" s="194" t="s">
        <v>51</v>
      </c>
      <c r="N46" s="194" t="s">
        <v>68</v>
      </c>
      <c r="O46" s="194" t="s">
        <v>21</v>
      </c>
      <c r="P46" s="194" t="s">
        <v>36</v>
      </c>
      <c r="Q46" s="194" t="s">
        <v>75</v>
      </c>
      <c r="R46" s="194" t="s">
        <v>672</v>
      </c>
      <c r="S46" s="194" t="s">
        <v>98</v>
      </c>
      <c r="T46" s="211">
        <v>1</v>
      </c>
      <c r="U46" s="212" t="str">
        <f t="shared" si="13"/>
        <v>Formular los proceso y procedimientos en el marco del MIPG</v>
      </c>
      <c r="V46" s="213">
        <f t="shared" si="13"/>
        <v>0</v>
      </c>
      <c r="W46" s="214" t="s">
        <v>117</v>
      </c>
      <c r="X46" s="216">
        <v>0.25</v>
      </c>
      <c r="Y46" s="214" t="s">
        <v>156</v>
      </c>
      <c r="Z46" s="210">
        <v>0</v>
      </c>
      <c r="AA46" s="196"/>
      <c r="AB46" s="196"/>
      <c r="AC46" s="204">
        <f t="shared" si="14"/>
        <v>0</v>
      </c>
      <c r="AD46" s="204" t="e">
        <f t="shared" si="15"/>
        <v>#DIV/0!</v>
      </c>
      <c r="AE46" s="204">
        <f t="shared" si="0"/>
        <v>0</v>
      </c>
      <c r="AF46" s="204" t="e">
        <f t="shared" si="1"/>
        <v>#DIV/0!</v>
      </c>
      <c r="AG46" s="216">
        <v>0.25</v>
      </c>
      <c r="AH46" s="214" t="s">
        <v>156</v>
      </c>
      <c r="AI46" s="210">
        <v>0</v>
      </c>
      <c r="AJ46" s="196"/>
      <c r="AK46" s="196"/>
      <c r="AL46" s="204">
        <f t="shared" si="16"/>
        <v>0</v>
      </c>
      <c r="AM46" s="204" t="e">
        <f t="shared" si="2"/>
        <v>#DIV/0!</v>
      </c>
      <c r="AN46" s="204">
        <f t="shared" si="3"/>
        <v>0</v>
      </c>
      <c r="AO46" s="204" t="e">
        <f t="shared" si="4"/>
        <v>#DIV/0!</v>
      </c>
      <c r="AP46" s="216">
        <v>0.25</v>
      </c>
      <c r="AQ46" s="214" t="s">
        <v>156</v>
      </c>
      <c r="AR46" s="210">
        <v>0</v>
      </c>
      <c r="AS46" s="196"/>
      <c r="AT46" s="196"/>
      <c r="AU46" s="204">
        <f t="shared" si="17"/>
        <v>0</v>
      </c>
      <c r="AV46" s="204" t="e">
        <f t="shared" si="18"/>
        <v>#DIV/0!</v>
      </c>
      <c r="AW46" s="204">
        <f t="shared" si="19"/>
        <v>0</v>
      </c>
      <c r="AX46" s="204" t="e">
        <f t="shared" si="20"/>
        <v>#DIV/0!</v>
      </c>
      <c r="AY46" s="216">
        <v>0.25</v>
      </c>
      <c r="AZ46" s="214" t="s">
        <v>156</v>
      </c>
      <c r="BA46" s="210">
        <v>0</v>
      </c>
      <c r="BB46" s="196"/>
      <c r="BC46" s="196"/>
      <c r="BD46" s="216">
        <f t="shared" si="21"/>
        <v>0</v>
      </c>
      <c r="BE46" s="216" t="e">
        <f t="shared" si="22"/>
        <v>#DIV/0!</v>
      </c>
      <c r="BF46" s="216">
        <f t="shared" si="23"/>
        <v>0</v>
      </c>
      <c r="BG46" s="216" t="e">
        <f t="shared" si="24"/>
        <v>#DIV/0!</v>
      </c>
      <c r="BH46" s="217">
        <f t="shared" si="5"/>
        <v>0</v>
      </c>
      <c r="BI46" s="217" t="str">
        <f t="shared" si="6"/>
        <v>No Prog ni Ejec</v>
      </c>
      <c r="BJ46" s="217">
        <f t="shared" si="7"/>
        <v>0</v>
      </c>
      <c r="BK46" s="217" t="str">
        <f t="shared" si="8"/>
        <v>No Prog ni Ejec</v>
      </c>
      <c r="BL46" s="217">
        <f t="shared" si="25"/>
        <v>0</v>
      </c>
      <c r="BM46" s="217" t="str">
        <f t="shared" si="26"/>
        <v>No Prog ni Ejec</v>
      </c>
      <c r="BN46" s="217">
        <f t="shared" si="9"/>
        <v>0</v>
      </c>
      <c r="BO46" s="217" t="str">
        <f t="shared" si="10"/>
        <v>No Prog ni Ejec</v>
      </c>
      <c r="BP46" s="206"/>
      <c r="BQ46" s="277">
        <v>5</v>
      </c>
      <c r="BR46" s="208">
        <f t="shared" si="12"/>
        <v>0.58333333333333337</v>
      </c>
      <c r="BS46" s="219" t="str">
        <f t="shared" si="27"/>
        <v>Formular los proceso y procedimientos en el marco del MIPG</v>
      </c>
      <c r="BT46" s="195">
        <f t="shared" si="11"/>
        <v>0</v>
      </c>
      <c r="BU46" s="196"/>
      <c r="BV46" s="196"/>
      <c r="BW46" s="196"/>
      <c r="BX46" s="196"/>
      <c r="BY46" s="196"/>
      <c r="BZ46" s="196"/>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c r="ER46" s="146"/>
      <c r="ES46" s="146"/>
      <c r="ET46" s="146"/>
      <c r="EU46" s="146"/>
      <c r="EV46" s="146"/>
      <c r="EW46" s="146"/>
      <c r="EX46" s="146"/>
      <c r="EY46" s="146"/>
      <c r="EZ46" s="146"/>
      <c r="FA46" s="146"/>
      <c r="FB46" s="146"/>
      <c r="FC46" s="146"/>
      <c r="FD46" s="146"/>
      <c r="FE46" s="146"/>
      <c r="FF46" s="146"/>
      <c r="FG46" s="146"/>
      <c r="FH46" s="146"/>
      <c r="FI46" s="146"/>
      <c r="FJ46" s="146"/>
      <c r="FK46" s="146"/>
      <c r="FL46" s="146"/>
      <c r="FM46" s="146"/>
      <c r="FN46" s="146"/>
      <c r="FO46" s="146"/>
      <c r="FP46" s="146"/>
      <c r="FQ46" s="146"/>
      <c r="FR46" s="146"/>
      <c r="FS46" s="146"/>
      <c r="FT46" s="146"/>
      <c r="FU46" s="146"/>
      <c r="FV46" s="146"/>
      <c r="FW46" s="146"/>
      <c r="FX46" s="146"/>
      <c r="FY46" s="146"/>
      <c r="FZ46" s="146"/>
      <c r="GA46" s="146"/>
      <c r="GB46" s="146"/>
      <c r="GC46" s="146"/>
      <c r="GD46" s="146"/>
      <c r="GE46" s="146"/>
      <c r="GF46" s="146"/>
      <c r="GG46" s="146"/>
      <c r="GH46" s="146"/>
      <c r="GI46" s="146"/>
      <c r="GJ46" s="146"/>
      <c r="GK46" s="146"/>
      <c r="GL46" s="146"/>
      <c r="GM46" s="146"/>
      <c r="GN46" s="146"/>
      <c r="GO46" s="146"/>
      <c r="GP46" s="146"/>
      <c r="GQ46" s="146"/>
      <c r="GR46" s="146"/>
      <c r="GS46" s="146"/>
      <c r="GT46" s="146"/>
      <c r="GU46" s="146"/>
      <c r="GV46" s="146"/>
      <c r="GW46" s="146"/>
      <c r="GX46" s="146"/>
      <c r="GY46" s="146"/>
      <c r="GZ46" s="146"/>
      <c r="HA46" s="146"/>
      <c r="HB46" s="146"/>
      <c r="HC46" s="146"/>
      <c r="HD46" s="146"/>
      <c r="HE46" s="146"/>
      <c r="HF46" s="146"/>
      <c r="HG46" s="146"/>
      <c r="HH46" s="146"/>
      <c r="HI46" s="146"/>
      <c r="HJ46" s="146"/>
      <c r="HK46" s="146"/>
      <c r="HL46" s="146"/>
      <c r="HM46" s="146"/>
      <c r="HN46" s="146"/>
      <c r="HO46" s="146"/>
      <c r="HP46" s="146"/>
      <c r="HQ46" s="146"/>
      <c r="HR46" s="146"/>
      <c r="HS46" s="146"/>
      <c r="HT46" s="146"/>
      <c r="HU46" s="146"/>
      <c r="HV46" s="146"/>
      <c r="HW46" s="146"/>
      <c r="HX46" s="146"/>
      <c r="HY46" s="146"/>
      <c r="HZ46" s="146"/>
      <c r="IA46" s="146"/>
    </row>
    <row r="47" spans="1:235" s="153" customFormat="1" ht="99.75" x14ac:dyDescent="0.25">
      <c r="A47" s="197">
        <v>11400</v>
      </c>
      <c r="B47" s="194" t="s">
        <v>26</v>
      </c>
      <c r="C47" s="198" t="s">
        <v>184</v>
      </c>
      <c r="D47" s="194" t="s">
        <v>256</v>
      </c>
      <c r="E47" s="198" t="s">
        <v>187</v>
      </c>
      <c r="F47" s="194" t="s">
        <v>127</v>
      </c>
      <c r="G47" s="199" t="s">
        <v>123</v>
      </c>
      <c r="H47" s="226">
        <v>1</v>
      </c>
      <c r="I47" s="198" t="s">
        <v>318</v>
      </c>
      <c r="J47" s="194" t="s">
        <v>128</v>
      </c>
      <c r="K47" s="210">
        <v>0</v>
      </c>
      <c r="L47" s="211">
        <v>1</v>
      </c>
      <c r="M47" s="194" t="s">
        <v>51</v>
      </c>
      <c r="N47" s="194" t="s">
        <v>68</v>
      </c>
      <c r="O47" s="194" t="s">
        <v>21</v>
      </c>
      <c r="P47" s="194" t="s">
        <v>36</v>
      </c>
      <c r="Q47" s="194" t="s">
        <v>75</v>
      </c>
      <c r="R47" s="194" t="s">
        <v>570</v>
      </c>
      <c r="S47" s="194" t="s">
        <v>98</v>
      </c>
      <c r="T47" s="211">
        <v>1</v>
      </c>
      <c r="U47" s="212" t="str">
        <f t="shared" si="13"/>
        <v>Remitir informes trimestrales de los indicadores formulados y las acciones de mejoras</v>
      </c>
      <c r="V47" s="213">
        <f t="shared" si="13"/>
        <v>0</v>
      </c>
      <c r="W47" s="214" t="s">
        <v>117</v>
      </c>
      <c r="X47" s="216">
        <v>0</v>
      </c>
      <c r="Y47" s="214" t="s">
        <v>128</v>
      </c>
      <c r="Z47" s="210">
        <v>0</v>
      </c>
      <c r="AA47" s="196"/>
      <c r="AB47" s="196"/>
      <c r="AC47" s="204" t="e">
        <f t="shared" si="14"/>
        <v>#DIV/0!</v>
      </c>
      <c r="AD47" s="204" t="e">
        <f t="shared" si="15"/>
        <v>#DIV/0!</v>
      </c>
      <c r="AE47" s="204">
        <f t="shared" si="0"/>
        <v>0</v>
      </c>
      <c r="AF47" s="204" t="e">
        <f t="shared" si="1"/>
        <v>#DIV/0!</v>
      </c>
      <c r="AG47" s="216">
        <v>0</v>
      </c>
      <c r="AH47" s="214" t="s">
        <v>128</v>
      </c>
      <c r="AI47" s="210">
        <v>0</v>
      </c>
      <c r="AJ47" s="196"/>
      <c r="AK47" s="196"/>
      <c r="AL47" s="204" t="e">
        <f t="shared" si="16"/>
        <v>#DIV/0!</v>
      </c>
      <c r="AM47" s="204" t="e">
        <f t="shared" si="2"/>
        <v>#DIV/0!</v>
      </c>
      <c r="AN47" s="204">
        <f t="shared" si="3"/>
        <v>0</v>
      </c>
      <c r="AO47" s="204" t="e">
        <f t="shared" si="4"/>
        <v>#DIV/0!</v>
      </c>
      <c r="AP47" s="216">
        <v>0</v>
      </c>
      <c r="AQ47" s="214" t="s">
        <v>128</v>
      </c>
      <c r="AR47" s="210">
        <v>0</v>
      </c>
      <c r="AS47" s="196"/>
      <c r="AT47" s="196"/>
      <c r="AU47" s="204" t="e">
        <f t="shared" si="17"/>
        <v>#DIV/0!</v>
      </c>
      <c r="AV47" s="204" t="e">
        <f t="shared" si="18"/>
        <v>#DIV/0!</v>
      </c>
      <c r="AW47" s="204">
        <f t="shared" si="19"/>
        <v>0</v>
      </c>
      <c r="AX47" s="204" t="e">
        <f t="shared" si="20"/>
        <v>#DIV/0!</v>
      </c>
      <c r="AY47" s="216">
        <v>1</v>
      </c>
      <c r="AZ47" s="214" t="s">
        <v>128</v>
      </c>
      <c r="BA47" s="210">
        <v>0</v>
      </c>
      <c r="BB47" s="196"/>
      <c r="BC47" s="196"/>
      <c r="BD47" s="216">
        <f t="shared" si="21"/>
        <v>0</v>
      </c>
      <c r="BE47" s="216" t="e">
        <f t="shared" si="22"/>
        <v>#DIV/0!</v>
      </c>
      <c r="BF47" s="216">
        <f t="shared" si="23"/>
        <v>0</v>
      </c>
      <c r="BG47" s="216" t="e">
        <f t="shared" si="24"/>
        <v>#DIV/0!</v>
      </c>
      <c r="BH47" s="217" t="str">
        <f t="shared" si="5"/>
        <v>No Prog ni Ejec</v>
      </c>
      <c r="BI47" s="217" t="str">
        <f t="shared" si="6"/>
        <v>No Prog ni Ejec</v>
      </c>
      <c r="BJ47" s="217" t="str">
        <f t="shared" si="7"/>
        <v>No Prog ni Ejec</v>
      </c>
      <c r="BK47" s="217" t="str">
        <f t="shared" si="8"/>
        <v>No Prog ni Ejec</v>
      </c>
      <c r="BL47" s="217" t="str">
        <f t="shared" si="25"/>
        <v>No Prog ni Ejec</v>
      </c>
      <c r="BM47" s="217" t="str">
        <f t="shared" si="26"/>
        <v>No Prog ni Ejec</v>
      </c>
      <c r="BN47" s="217">
        <f t="shared" si="9"/>
        <v>0</v>
      </c>
      <c r="BO47" s="217" t="str">
        <f t="shared" si="10"/>
        <v>No Prog ni Ejec</v>
      </c>
      <c r="BP47" s="206"/>
      <c r="BQ47" s="277">
        <v>5</v>
      </c>
      <c r="BR47" s="208">
        <f t="shared" si="12"/>
        <v>0</v>
      </c>
      <c r="BS47" s="219" t="str">
        <f t="shared" si="27"/>
        <v>Remitir informes trimestrales de los indicadores formulados y las acciones de mejoras</v>
      </c>
      <c r="BT47" s="195">
        <f t="shared" si="11"/>
        <v>0</v>
      </c>
      <c r="BU47" s="196"/>
      <c r="BV47" s="196"/>
      <c r="BW47" s="196"/>
      <c r="BX47" s="196"/>
      <c r="BY47" s="196"/>
      <c r="BZ47" s="19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CZ47" s="146"/>
      <c r="DA47" s="146"/>
      <c r="DB47" s="146"/>
      <c r="DC47" s="146"/>
      <c r="DD47" s="146"/>
      <c r="DE47" s="146"/>
      <c r="DF47" s="146"/>
      <c r="DG47" s="146"/>
      <c r="DH47" s="146"/>
      <c r="DI47" s="146"/>
      <c r="DJ47" s="146"/>
      <c r="DK47" s="146"/>
      <c r="DL47" s="146"/>
      <c r="DM47" s="146"/>
      <c r="DN47" s="146"/>
      <c r="DO47" s="146"/>
      <c r="DP47" s="146"/>
      <c r="DQ47" s="146"/>
      <c r="DR47" s="146"/>
      <c r="DS47" s="146"/>
      <c r="DT47" s="146"/>
      <c r="DU47" s="146"/>
      <c r="DV47" s="146"/>
      <c r="DW47" s="146"/>
      <c r="DX47" s="146"/>
      <c r="DY47" s="146"/>
      <c r="DZ47" s="146"/>
      <c r="EA47" s="146"/>
      <c r="EB47" s="146"/>
      <c r="EC47" s="146"/>
      <c r="ED47" s="146"/>
      <c r="EE47" s="146"/>
      <c r="EF47" s="146"/>
      <c r="EG47" s="146"/>
      <c r="EH47" s="146"/>
      <c r="EI47" s="146"/>
      <c r="EJ47" s="146"/>
      <c r="EK47" s="146"/>
      <c r="EL47" s="146"/>
      <c r="EM47" s="146"/>
      <c r="EN47" s="146"/>
      <c r="EO47" s="146"/>
      <c r="EP47" s="146"/>
      <c r="EQ47" s="146"/>
      <c r="ER47" s="146"/>
      <c r="ES47" s="146"/>
      <c r="ET47" s="146"/>
      <c r="EU47" s="146"/>
      <c r="EV47" s="146"/>
      <c r="EW47" s="146"/>
      <c r="EX47" s="146"/>
      <c r="EY47" s="146"/>
      <c r="EZ47" s="146"/>
      <c r="FA47" s="146"/>
      <c r="FB47" s="146"/>
      <c r="FC47" s="146"/>
      <c r="FD47" s="146"/>
      <c r="FE47" s="146"/>
      <c r="FF47" s="146"/>
      <c r="FG47" s="146"/>
      <c r="FH47" s="146"/>
      <c r="FI47" s="146"/>
      <c r="FJ47" s="146"/>
      <c r="FK47" s="146"/>
      <c r="FL47" s="146"/>
      <c r="FM47" s="146"/>
      <c r="FN47" s="146"/>
      <c r="FO47" s="146"/>
      <c r="FP47" s="146"/>
      <c r="FQ47" s="146"/>
      <c r="FR47" s="146"/>
      <c r="FS47" s="146"/>
      <c r="FT47" s="146"/>
      <c r="FU47" s="146"/>
      <c r="FV47" s="146"/>
      <c r="FW47" s="146"/>
      <c r="FX47" s="146"/>
      <c r="FY47" s="146"/>
      <c r="FZ47" s="146"/>
      <c r="GA47" s="146"/>
      <c r="GB47" s="146"/>
      <c r="GC47" s="146"/>
      <c r="GD47" s="146"/>
      <c r="GE47" s="146"/>
      <c r="GF47" s="146"/>
      <c r="GG47" s="146"/>
      <c r="GH47" s="146"/>
      <c r="GI47" s="146"/>
      <c r="GJ47" s="146"/>
      <c r="GK47" s="146"/>
      <c r="GL47" s="146"/>
      <c r="GM47" s="146"/>
      <c r="GN47" s="146"/>
      <c r="GO47" s="146"/>
      <c r="GP47" s="146"/>
      <c r="GQ47" s="146"/>
      <c r="GR47" s="146"/>
      <c r="GS47" s="146"/>
      <c r="GT47" s="146"/>
      <c r="GU47" s="146"/>
      <c r="GV47" s="146"/>
      <c r="GW47" s="146"/>
      <c r="GX47" s="146"/>
      <c r="GY47" s="146"/>
      <c r="GZ47" s="146"/>
      <c r="HA47" s="146"/>
      <c r="HB47" s="146"/>
      <c r="HC47" s="146"/>
      <c r="HD47" s="146"/>
      <c r="HE47" s="146"/>
      <c r="HF47" s="146"/>
      <c r="HG47" s="146"/>
      <c r="HH47" s="146"/>
      <c r="HI47" s="146"/>
      <c r="HJ47" s="146"/>
      <c r="HK47" s="146"/>
      <c r="HL47" s="146"/>
      <c r="HM47" s="146"/>
      <c r="HN47" s="146"/>
      <c r="HO47" s="146"/>
      <c r="HP47" s="146"/>
      <c r="HQ47" s="146"/>
      <c r="HR47" s="146"/>
      <c r="HS47" s="146"/>
      <c r="HT47" s="146"/>
      <c r="HU47" s="146"/>
      <c r="HV47" s="146"/>
      <c r="HW47" s="146"/>
      <c r="HX47" s="146"/>
      <c r="HY47" s="146"/>
      <c r="HZ47" s="146"/>
      <c r="IA47" s="146"/>
    </row>
    <row r="48" spans="1:235" s="159" customFormat="1" ht="71.25" x14ac:dyDescent="0.25">
      <c r="A48" s="197">
        <v>11400</v>
      </c>
      <c r="B48" s="194" t="s">
        <v>26</v>
      </c>
      <c r="C48" s="198" t="s">
        <v>188</v>
      </c>
      <c r="D48" s="194" t="s">
        <v>144</v>
      </c>
      <c r="E48" s="198" t="s">
        <v>192</v>
      </c>
      <c r="F48" s="194" t="s">
        <v>189</v>
      </c>
      <c r="G48" s="209" t="s">
        <v>124</v>
      </c>
      <c r="H48" s="227">
        <v>48</v>
      </c>
      <c r="I48" s="198" t="s">
        <v>237</v>
      </c>
      <c r="J48" s="194" t="s">
        <v>190</v>
      </c>
      <c r="K48" s="210">
        <v>100516376</v>
      </c>
      <c r="L48" s="211">
        <v>1</v>
      </c>
      <c r="M48" s="194" t="s">
        <v>46</v>
      </c>
      <c r="N48" s="194" t="s">
        <v>68</v>
      </c>
      <c r="O48" s="194" t="s">
        <v>21</v>
      </c>
      <c r="P48" s="194" t="s">
        <v>36</v>
      </c>
      <c r="Q48" s="194" t="s">
        <v>216</v>
      </c>
      <c r="R48" s="194" t="s">
        <v>209</v>
      </c>
      <c r="S48" s="194" t="s">
        <v>99</v>
      </c>
      <c r="T48" s="215">
        <v>48</v>
      </c>
      <c r="U48" s="212" t="str">
        <f t="shared" si="13"/>
        <v>No. de Procesos de Compensación Ejecutados</v>
      </c>
      <c r="V48" s="213">
        <f t="shared" si="13"/>
        <v>100516376</v>
      </c>
      <c r="W48" s="222" t="s">
        <v>114</v>
      </c>
      <c r="X48" s="284">
        <v>12</v>
      </c>
      <c r="Y48" s="282" t="s">
        <v>190</v>
      </c>
      <c r="Z48" s="283">
        <v>43249020</v>
      </c>
      <c r="AA48" s="279"/>
      <c r="AB48" s="279"/>
      <c r="AC48" s="280">
        <f t="shared" si="14"/>
        <v>0</v>
      </c>
      <c r="AD48" s="280">
        <f t="shared" si="15"/>
        <v>0</v>
      </c>
      <c r="AE48" s="280">
        <f t="shared" si="0"/>
        <v>0</v>
      </c>
      <c r="AF48" s="280">
        <f t="shared" si="1"/>
        <v>0</v>
      </c>
      <c r="AG48" s="284">
        <v>12</v>
      </c>
      <c r="AH48" s="282" t="s">
        <v>190</v>
      </c>
      <c r="AI48" s="283">
        <v>12240000</v>
      </c>
      <c r="AJ48" s="279"/>
      <c r="AK48" s="279"/>
      <c r="AL48" s="280">
        <f t="shared" si="16"/>
        <v>0</v>
      </c>
      <c r="AM48" s="280">
        <f t="shared" si="2"/>
        <v>0</v>
      </c>
      <c r="AN48" s="280">
        <f t="shared" si="3"/>
        <v>0</v>
      </c>
      <c r="AO48" s="280">
        <f t="shared" si="4"/>
        <v>0</v>
      </c>
      <c r="AP48" s="284">
        <v>12</v>
      </c>
      <c r="AQ48" s="282" t="s">
        <v>190</v>
      </c>
      <c r="AR48" s="283">
        <v>17376839</v>
      </c>
      <c r="AS48" s="279"/>
      <c r="AT48" s="279"/>
      <c r="AU48" s="280">
        <f t="shared" si="17"/>
        <v>0</v>
      </c>
      <c r="AV48" s="280">
        <f t="shared" si="18"/>
        <v>0</v>
      </c>
      <c r="AW48" s="280">
        <f t="shared" si="19"/>
        <v>0</v>
      </c>
      <c r="AX48" s="280">
        <f t="shared" si="20"/>
        <v>0</v>
      </c>
      <c r="AY48" s="284">
        <v>12</v>
      </c>
      <c r="AZ48" s="282" t="s">
        <v>190</v>
      </c>
      <c r="BA48" s="283">
        <v>27650517</v>
      </c>
      <c r="BB48" s="279"/>
      <c r="BC48" s="279"/>
      <c r="BD48" s="281">
        <f t="shared" si="21"/>
        <v>0</v>
      </c>
      <c r="BE48" s="281">
        <f t="shared" si="22"/>
        <v>0</v>
      </c>
      <c r="BF48" s="281">
        <f t="shared" si="23"/>
        <v>0</v>
      </c>
      <c r="BG48" s="281">
        <f t="shared" si="24"/>
        <v>0</v>
      </c>
      <c r="BH48" s="205">
        <f t="shared" si="5"/>
        <v>0</v>
      </c>
      <c r="BI48" s="205">
        <f t="shared" si="6"/>
        <v>0</v>
      </c>
      <c r="BJ48" s="205">
        <f t="shared" si="7"/>
        <v>0</v>
      </c>
      <c r="BK48" s="205">
        <f t="shared" si="8"/>
        <v>0</v>
      </c>
      <c r="BL48" s="205">
        <f t="shared" si="25"/>
        <v>0</v>
      </c>
      <c r="BM48" s="205">
        <f t="shared" si="26"/>
        <v>0</v>
      </c>
      <c r="BN48" s="205">
        <f t="shared" si="9"/>
        <v>0</v>
      </c>
      <c r="BO48" s="205">
        <f t="shared" si="10"/>
        <v>0</v>
      </c>
      <c r="BP48" s="206"/>
      <c r="BQ48" s="277">
        <v>1</v>
      </c>
      <c r="BR48" s="218">
        <f t="shared" si="12"/>
        <v>28</v>
      </c>
      <c r="BS48" s="219" t="str">
        <f t="shared" si="27"/>
        <v>No. de Procesos de Compensación Ejecutados</v>
      </c>
      <c r="BT48" s="195">
        <f t="shared" si="11"/>
        <v>61281299.666666664</v>
      </c>
      <c r="BU48" s="196"/>
      <c r="BV48" s="196"/>
      <c r="BW48" s="196"/>
      <c r="BX48" s="196"/>
      <c r="BY48" s="196"/>
      <c r="BZ48" s="196"/>
      <c r="CA48" s="146"/>
      <c r="CB48" s="146"/>
      <c r="CC48" s="146"/>
      <c r="CD48" s="14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46"/>
      <c r="EA48" s="146"/>
      <c r="EB48" s="146"/>
      <c r="EC48" s="146"/>
      <c r="ED48" s="146"/>
      <c r="EE48" s="146"/>
      <c r="EF48" s="146"/>
      <c r="EG48" s="146"/>
      <c r="EH48" s="146"/>
      <c r="EI48" s="146"/>
      <c r="EJ48" s="146"/>
      <c r="EK48" s="146"/>
      <c r="EL48" s="146"/>
      <c r="EM48" s="146"/>
      <c r="EN48" s="146"/>
      <c r="EO48" s="146"/>
      <c r="EP48" s="146"/>
      <c r="EQ48" s="146"/>
      <c r="ER48" s="146"/>
      <c r="ES48" s="146"/>
      <c r="ET48" s="146"/>
      <c r="EU48" s="146"/>
      <c r="EV48" s="146"/>
      <c r="EW48" s="146"/>
      <c r="EX48" s="146"/>
      <c r="EY48" s="146"/>
      <c r="EZ48" s="146"/>
      <c r="FA48" s="146"/>
      <c r="FB48" s="146"/>
      <c r="FC48" s="146"/>
      <c r="FD48" s="146"/>
      <c r="FE48" s="146"/>
      <c r="FF48" s="146"/>
      <c r="FG48" s="146"/>
      <c r="FH48" s="146"/>
      <c r="FI48" s="146"/>
      <c r="FJ48" s="146"/>
      <c r="FK48" s="146"/>
      <c r="FL48" s="146"/>
      <c r="FM48" s="146"/>
      <c r="FN48" s="146"/>
      <c r="FO48" s="146"/>
      <c r="FP48" s="146"/>
      <c r="FQ48" s="146"/>
      <c r="FR48" s="146"/>
      <c r="FS48" s="146"/>
      <c r="FT48" s="146"/>
      <c r="FU48" s="146"/>
      <c r="FV48" s="146"/>
      <c r="FW48" s="146"/>
      <c r="FX48" s="146"/>
      <c r="FY48" s="146"/>
      <c r="FZ48" s="146"/>
      <c r="GA48" s="146"/>
      <c r="GB48" s="146"/>
      <c r="GC48" s="146"/>
      <c r="GD48" s="146"/>
      <c r="GE48" s="146"/>
      <c r="GF48" s="146"/>
      <c r="GG48" s="146"/>
      <c r="GH48" s="146"/>
      <c r="GI48" s="146"/>
      <c r="GJ48" s="146"/>
      <c r="GK48" s="146"/>
      <c r="GL48" s="146"/>
      <c r="GM48" s="146"/>
      <c r="GN48" s="146"/>
      <c r="GO48" s="146"/>
      <c r="GP48" s="146"/>
      <c r="GQ48" s="146"/>
      <c r="GR48" s="146"/>
      <c r="GS48" s="146"/>
      <c r="GT48" s="146"/>
      <c r="GU48" s="146"/>
      <c r="GV48" s="146"/>
      <c r="GW48" s="146"/>
      <c r="GX48" s="146"/>
      <c r="GY48" s="146"/>
      <c r="GZ48" s="146"/>
      <c r="HA48" s="146"/>
      <c r="HB48" s="146"/>
      <c r="HC48" s="146"/>
      <c r="HD48" s="146"/>
      <c r="HE48" s="146"/>
      <c r="HF48" s="146"/>
      <c r="HG48" s="146"/>
      <c r="HH48" s="146"/>
      <c r="HI48" s="146"/>
      <c r="HJ48" s="146"/>
      <c r="HK48" s="146"/>
      <c r="HL48" s="146"/>
      <c r="HM48" s="146"/>
      <c r="HN48" s="146"/>
      <c r="HO48" s="146"/>
      <c r="HP48" s="146"/>
      <c r="HQ48" s="146"/>
      <c r="HR48" s="146"/>
      <c r="HS48" s="146"/>
      <c r="HT48" s="146"/>
      <c r="HU48" s="146"/>
      <c r="HV48" s="146"/>
      <c r="HW48" s="146"/>
      <c r="HX48" s="146"/>
      <c r="HY48" s="146"/>
      <c r="HZ48" s="146"/>
      <c r="IA48" s="146"/>
    </row>
    <row r="49" spans="1:235" s="159" customFormat="1" ht="71.25" x14ac:dyDescent="0.25">
      <c r="A49" s="197">
        <v>11400</v>
      </c>
      <c r="B49" s="194" t="s">
        <v>26</v>
      </c>
      <c r="C49" s="198" t="s">
        <v>188</v>
      </c>
      <c r="D49" s="194" t="s">
        <v>144</v>
      </c>
      <c r="E49" s="198" t="s">
        <v>479</v>
      </c>
      <c r="F49" s="194" t="s">
        <v>191</v>
      </c>
      <c r="G49" s="209" t="s">
        <v>124</v>
      </c>
      <c r="H49" s="198">
        <v>12</v>
      </c>
      <c r="I49" s="198" t="s">
        <v>480</v>
      </c>
      <c r="J49" s="194" t="s">
        <v>597</v>
      </c>
      <c r="K49" s="210">
        <v>0</v>
      </c>
      <c r="L49" s="211">
        <v>1</v>
      </c>
      <c r="M49" s="194" t="s">
        <v>46</v>
      </c>
      <c r="N49" s="194" t="s">
        <v>68</v>
      </c>
      <c r="O49" s="194" t="s">
        <v>21</v>
      </c>
      <c r="P49" s="194" t="s">
        <v>36</v>
      </c>
      <c r="Q49" s="194" t="s">
        <v>223</v>
      </c>
      <c r="R49" s="194" t="s">
        <v>231</v>
      </c>
      <c r="S49" s="194" t="s">
        <v>99</v>
      </c>
      <c r="T49" s="215">
        <v>12</v>
      </c>
      <c r="U49" s="212" t="str">
        <f t="shared" si="13"/>
        <v>No. de Procesos de LMA Ejecutados</v>
      </c>
      <c r="V49" s="213">
        <f t="shared" si="13"/>
        <v>0</v>
      </c>
      <c r="W49" s="214" t="s">
        <v>117</v>
      </c>
      <c r="X49" s="284">
        <v>3</v>
      </c>
      <c r="Y49" s="282" t="s">
        <v>597</v>
      </c>
      <c r="Z49" s="283">
        <v>0</v>
      </c>
      <c r="AA49" s="279"/>
      <c r="AB49" s="279"/>
      <c r="AC49" s="280">
        <f t="shared" si="14"/>
        <v>0</v>
      </c>
      <c r="AD49" s="280" t="e">
        <f t="shared" si="15"/>
        <v>#DIV/0!</v>
      </c>
      <c r="AE49" s="280">
        <f t="shared" si="0"/>
        <v>0</v>
      </c>
      <c r="AF49" s="280" t="e">
        <f t="shared" si="1"/>
        <v>#DIV/0!</v>
      </c>
      <c r="AG49" s="284">
        <v>3</v>
      </c>
      <c r="AH49" s="282" t="s">
        <v>597</v>
      </c>
      <c r="AI49" s="283">
        <v>0</v>
      </c>
      <c r="AJ49" s="279"/>
      <c r="AK49" s="279"/>
      <c r="AL49" s="280">
        <f t="shared" si="16"/>
        <v>0</v>
      </c>
      <c r="AM49" s="280" t="e">
        <f t="shared" si="2"/>
        <v>#DIV/0!</v>
      </c>
      <c r="AN49" s="280">
        <f t="shared" si="3"/>
        <v>0</v>
      </c>
      <c r="AO49" s="280" t="e">
        <f t="shared" si="4"/>
        <v>#DIV/0!</v>
      </c>
      <c r="AP49" s="284">
        <v>3</v>
      </c>
      <c r="AQ49" s="282" t="s">
        <v>597</v>
      </c>
      <c r="AR49" s="283">
        <v>0</v>
      </c>
      <c r="AS49" s="279"/>
      <c r="AT49" s="279"/>
      <c r="AU49" s="280">
        <f t="shared" si="17"/>
        <v>0</v>
      </c>
      <c r="AV49" s="280" t="e">
        <f t="shared" si="18"/>
        <v>#DIV/0!</v>
      </c>
      <c r="AW49" s="280">
        <f t="shared" si="19"/>
        <v>0</v>
      </c>
      <c r="AX49" s="280" t="e">
        <f t="shared" si="20"/>
        <v>#DIV/0!</v>
      </c>
      <c r="AY49" s="284">
        <v>3</v>
      </c>
      <c r="AZ49" s="282" t="s">
        <v>597</v>
      </c>
      <c r="BA49" s="283">
        <v>0</v>
      </c>
      <c r="BB49" s="279"/>
      <c r="BC49" s="279"/>
      <c r="BD49" s="281">
        <f t="shared" si="21"/>
        <v>0</v>
      </c>
      <c r="BE49" s="281" t="e">
        <f t="shared" si="22"/>
        <v>#DIV/0!</v>
      </c>
      <c r="BF49" s="281">
        <f t="shared" si="23"/>
        <v>0</v>
      </c>
      <c r="BG49" s="281" t="e">
        <f t="shared" si="24"/>
        <v>#DIV/0!</v>
      </c>
      <c r="BH49" s="205">
        <f t="shared" si="5"/>
        <v>0</v>
      </c>
      <c r="BI49" s="205" t="str">
        <f t="shared" si="6"/>
        <v>No Prog ni Ejec</v>
      </c>
      <c r="BJ49" s="205">
        <f t="shared" si="7"/>
        <v>0</v>
      </c>
      <c r="BK49" s="205" t="str">
        <f t="shared" si="8"/>
        <v>No Prog ni Ejec</v>
      </c>
      <c r="BL49" s="205">
        <f t="shared" si="25"/>
        <v>0</v>
      </c>
      <c r="BM49" s="205" t="str">
        <f t="shared" si="26"/>
        <v>No Prog ni Ejec</v>
      </c>
      <c r="BN49" s="205">
        <f t="shared" si="9"/>
        <v>0</v>
      </c>
      <c r="BO49" s="205" t="str">
        <f t="shared" si="10"/>
        <v>No Prog ni Ejec</v>
      </c>
      <c r="BP49" s="206"/>
      <c r="BQ49" s="277">
        <v>1</v>
      </c>
      <c r="BR49" s="218">
        <f t="shared" si="12"/>
        <v>7</v>
      </c>
      <c r="BS49" s="219" t="str">
        <f t="shared" si="27"/>
        <v>No. de Procesos de LMA Ejecutados</v>
      </c>
      <c r="BT49" s="195">
        <f t="shared" si="11"/>
        <v>0</v>
      </c>
      <c r="BU49" s="196"/>
      <c r="BV49" s="196"/>
      <c r="BW49" s="196"/>
      <c r="BX49" s="196"/>
      <c r="BY49" s="196"/>
      <c r="BZ49" s="19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c r="EU49" s="146"/>
      <c r="EV49" s="146"/>
      <c r="EW49" s="146"/>
      <c r="EX49" s="146"/>
      <c r="EY49" s="146"/>
      <c r="EZ49" s="146"/>
      <c r="FA49" s="146"/>
      <c r="FB49" s="146"/>
      <c r="FC49" s="146"/>
      <c r="FD49" s="146"/>
      <c r="FE49" s="146"/>
      <c r="FF49" s="146"/>
      <c r="FG49" s="146"/>
      <c r="FH49" s="146"/>
      <c r="FI49" s="146"/>
      <c r="FJ49" s="146"/>
      <c r="FK49" s="146"/>
      <c r="FL49" s="146"/>
      <c r="FM49" s="146"/>
      <c r="FN49" s="146"/>
      <c r="FO49" s="146"/>
      <c r="FP49" s="146"/>
      <c r="FQ49" s="146"/>
      <c r="FR49" s="146"/>
      <c r="FS49" s="146"/>
      <c r="FT49" s="146"/>
      <c r="FU49" s="146"/>
      <c r="FV49" s="146"/>
      <c r="FW49" s="146"/>
      <c r="FX49" s="146"/>
      <c r="FY49" s="146"/>
      <c r="FZ49" s="146"/>
      <c r="GA49" s="146"/>
      <c r="GB49" s="146"/>
      <c r="GC49" s="146"/>
      <c r="GD49" s="146"/>
      <c r="GE49" s="146"/>
      <c r="GF49" s="146"/>
      <c r="GG49" s="146"/>
      <c r="GH49" s="146"/>
      <c r="GI49" s="146"/>
      <c r="GJ49" s="146"/>
      <c r="GK49" s="146"/>
      <c r="GL49" s="146"/>
      <c r="GM49" s="146"/>
      <c r="GN49" s="146"/>
      <c r="GO49" s="146"/>
      <c r="GP49" s="146"/>
      <c r="GQ49" s="146"/>
      <c r="GR49" s="146"/>
      <c r="GS49" s="146"/>
      <c r="GT49" s="146"/>
      <c r="GU49" s="146"/>
      <c r="GV49" s="146"/>
      <c r="GW49" s="146"/>
      <c r="GX49" s="146"/>
      <c r="GY49" s="146"/>
      <c r="GZ49" s="146"/>
      <c r="HA49" s="146"/>
      <c r="HB49" s="146"/>
      <c r="HC49" s="146"/>
      <c r="HD49" s="146"/>
      <c r="HE49" s="146"/>
      <c r="HF49" s="146"/>
      <c r="HG49" s="146"/>
      <c r="HH49" s="146"/>
      <c r="HI49" s="146"/>
      <c r="HJ49" s="146"/>
      <c r="HK49" s="146"/>
      <c r="HL49" s="146"/>
      <c r="HM49" s="146"/>
      <c r="HN49" s="146"/>
      <c r="HO49" s="146"/>
      <c r="HP49" s="146"/>
      <c r="HQ49" s="146"/>
      <c r="HR49" s="146"/>
      <c r="HS49" s="146"/>
      <c r="HT49" s="146"/>
      <c r="HU49" s="146"/>
      <c r="HV49" s="146"/>
      <c r="HW49" s="146"/>
      <c r="HX49" s="146"/>
      <c r="HY49" s="146"/>
      <c r="HZ49" s="146"/>
      <c r="IA49" s="146"/>
    </row>
    <row r="50" spans="1:235" s="159" customFormat="1" ht="71.25" x14ac:dyDescent="0.25">
      <c r="A50" s="197">
        <v>11400</v>
      </c>
      <c r="B50" s="194" t="s">
        <v>26</v>
      </c>
      <c r="C50" s="198" t="s">
        <v>188</v>
      </c>
      <c r="D50" s="194" t="s">
        <v>144</v>
      </c>
      <c r="E50" s="198" t="s">
        <v>481</v>
      </c>
      <c r="F50" s="194" t="s">
        <v>233</v>
      </c>
      <c r="G50" s="209" t="s">
        <v>124</v>
      </c>
      <c r="H50" s="227">
        <v>48</v>
      </c>
      <c r="I50" s="198" t="s">
        <v>482</v>
      </c>
      <c r="J50" s="194" t="s">
        <v>193</v>
      </c>
      <c r="K50" s="210">
        <v>0</v>
      </c>
      <c r="L50" s="211">
        <v>1</v>
      </c>
      <c r="M50" s="194" t="s">
        <v>46</v>
      </c>
      <c r="N50" s="194" t="s">
        <v>68</v>
      </c>
      <c r="O50" s="194" t="s">
        <v>21</v>
      </c>
      <c r="P50" s="194" t="s">
        <v>36</v>
      </c>
      <c r="Q50" s="194" t="s">
        <v>216</v>
      </c>
      <c r="R50" s="194" t="s">
        <v>232</v>
      </c>
      <c r="S50" s="194" t="s">
        <v>99</v>
      </c>
      <c r="T50" s="215">
        <v>48</v>
      </c>
      <c r="U50" s="212" t="str">
        <f t="shared" si="13"/>
        <v>Publicación Giro Directo Régimen Contributivo</v>
      </c>
      <c r="V50" s="213">
        <f t="shared" si="13"/>
        <v>0</v>
      </c>
      <c r="W50" s="214" t="s">
        <v>117</v>
      </c>
      <c r="X50" s="284">
        <v>12</v>
      </c>
      <c r="Y50" s="282" t="s">
        <v>193</v>
      </c>
      <c r="Z50" s="283">
        <v>0</v>
      </c>
      <c r="AA50" s="279"/>
      <c r="AB50" s="279"/>
      <c r="AC50" s="280">
        <f t="shared" si="14"/>
        <v>0</v>
      </c>
      <c r="AD50" s="280" t="e">
        <f t="shared" si="15"/>
        <v>#DIV/0!</v>
      </c>
      <c r="AE50" s="280">
        <f t="shared" si="0"/>
        <v>0</v>
      </c>
      <c r="AF50" s="280" t="e">
        <f t="shared" si="1"/>
        <v>#DIV/0!</v>
      </c>
      <c r="AG50" s="284">
        <v>12</v>
      </c>
      <c r="AH50" s="282" t="s">
        <v>193</v>
      </c>
      <c r="AI50" s="283">
        <v>0</v>
      </c>
      <c r="AJ50" s="279"/>
      <c r="AK50" s="279"/>
      <c r="AL50" s="280">
        <f t="shared" si="16"/>
        <v>0</v>
      </c>
      <c r="AM50" s="280" t="e">
        <f t="shared" si="2"/>
        <v>#DIV/0!</v>
      </c>
      <c r="AN50" s="280">
        <f t="shared" si="3"/>
        <v>0</v>
      </c>
      <c r="AO50" s="280" t="e">
        <f t="shared" si="4"/>
        <v>#DIV/0!</v>
      </c>
      <c r="AP50" s="284">
        <v>12</v>
      </c>
      <c r="AQ50" s="282" t="s">
        <v>193</v>
      </c>
      <c r="AR50" s="283">
        <v>0</v>
      </c>
      <c r="AS50" s="279"/>
      <c r="AT50" s="279"/>
      <c r="AU50" s="280">
        <f t="shared" si="17"/>
        <v>0</v>
      </c>
      <c r="AV50" s="280" t="e">
        <f t="shared" si="18"/>
        <v>#DIV/0!</v>
      </c>
      <c r="AW50" s="280">
        <f t="shared" si="19"/>
        <v>0</v>
      </c>
      <c r="AX50" s="280" t="e">
        <f t="shared" si="20"/>
        <v>#DIV/0!</v>
      </c>
      <c r="AY50" s="284">
        <v>12</v>
      </c>
      <c r="AZ50" s="282" t="s">
        <v>193</v>
      </c>
      <c r="BA50" s="283">
        <v>0</v>
      </c>
      <c r="BB50" s="279"/>
      <c r="BC50" s="279"/>
      <c r="BD50" s="281">
        <f t="shared" si="21"/>
        <v>0</v>
      </c>
      <c r="BE50" s="281" t="e">
        <f t="shared" si="22"/>
        <v>#DIV/0!</v>
      </c>
      <c r="BF50" s="281">
        <f t="shared" si="23"/>
        <v>0</v>
      </c>
      <c r="BG50" s="281" t="e">
        <f t="shared" si="24"/>
        <v>#DIV/0!</v>
      </c>
      <c r="BH50" s="205">
        <f t="shared" si="5"/>
        <v>0</v>
      </c>
      <c r="BI50" s="205" t="str">
        <f t="shared" si="6"/>
        <v>No Prog ni Ejec</v>
      </c>
      <c r="BJ50" s="205">
        <f t="shared" si="7"/>
        <v>0</v>
      </c>
      <c r="BK50" s="205" t="str">
        <f t="shared" si="8"/>
        <v>No Prog ni Ejec</v>
      </c>
      <c r="BL50" s="205">
        <f t="shared" si="25"/>
        <v>0</v>
      </c>
      <c r="BM50" s="205" t="str">
        <f t="shared" si="26"/>
        <v>No Prog ni Ejec</v>
      </c>
      <c r="BN50" s="205">
        <f t="shared" si="9"/>
        <v>0</v>
      </c>
      <c r="BO50" s="205" t="str">
        <f t="shared" si="10"/>
        <v>No Prog ni Ejec</v>
      </c>
      <c r="BP50" s="206"/>
      <c r="BQ50" s="277">
        <v>1</v>
      </c>
      <c r="BR50" s="218">
        <f t="shared" si="12"/>
        <v>28</v>
      </c>
      <c r="BS50" s="219" t="str">
        <f t="shared" si="27"/>
        <v>Publicación Giro Directo Régimen Contributivo</v>
      </c>
      <c r="BT50" s="195">
        <f t="shared" si="11"/>
        <v>0</v>
      </c>
      <c r="BU50" s="196"/>
      <c r="BV50" s="196"/>
      <c r="BW50" s="196"/>
      <c r="BX50" s="196"/>
      <c r="BY50" s="196"/>
      <c r="BZ50" s="19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c r="EU50" s="146"/>
      <c r="EV50" s="146"/>
      <c r="EW50" s="146"/>
      <c r="EX50" s="146"/>
      <c r="EY50" s="146"/>
      <c r="EZ50" s="146"/>
      <c r="FA50" s="146"/>
      <c r="FB50" s="146"/>
      <c r="FC50" s="146"/>
      <c r="FD50" s="146"/>
      <c r="FE50" s="146"/>
      <c r="FF50" s="146"/>
      <c r="FG50" s="146"/>
      <c r="FH50" s="146"/>
      <c r="FI50" s="146"/>
      <c r="FJ50" s="146"/>
      <c r="FK50" s="146"/>
      <c r="FL50" s="146"/>
      <c r="FM50" s="146"/>
      <c r="FN50" s="146"/>
      <c r="FO50" s="146"/>
      <c r="FP50" s="146"/>
      <c r="FQ50" s="146"/>
      <c r="FR50" s="146"/>
      <c r="FS50" s="146"/>
      <c r="FT50" s="146"/>
      <c r="FU50" s="146"/>
      <c r="FV50" s="146"/>
      <c r="FW50" s="146"/>
      <c r="FX50" s="146"/>
      <c r="FY50" s="146"/>
      <c r="FZ50" s="146"/>
      <c r="GA50" s="146"/>
      <c r="GB50" s="146"/>
      <c r="GC50" s="146"/>
      <c r="GD50" s="146"/>
      <c r="GE50" s="146"/>
      <c r="GF50" s="146"/>
      <c r="GG50" s="146"/>
      <c r="GH50" s="146"/>
      <c r="GI50" s="146"/>
      <c r="GJ50" s="146"/>
      <c r="GK50" s="146"/>
      <c r="GL50" s="146"/>
      <c r="GM50" s="146"/>
      <c r="GN50" s="146"/>
      <c r="GO50" s="146"/>
      <c r="GP50" s="146"/>
      <c r="GQ50" s="146"/>
      <c r="GR50" s="146"/>
      <c r="GS50" s="146"/>
      <c r="GT50" s="146"/>
      <c r="GU50" s="146"/>
      <c r="GV50" s="146"/>
      <c r="GW50" s="146"/>
      <c r="GX50" s="146"/>
      <c r="GY50" s="146"/>
      <c r="GZ50" s="146"/>
      <c r="HA50" s="146"/>
      <c r="HB50" s="146"/>
      <c r="HC50" s="146"/>
      <c r="HD50" s="146"/>
      <c r="HE50" s="146"/>
      <c r="HF50" s="146"/>
      <c r="HG50" s="146"/>
      <c r="HH50" s="146"/>
      <c r="HI50" s="146"/>
      <c r="HJ50" s="146"/>
      <c r="HK50" s="146"/>
      <c r="HL50" s="146"/>
      <c r="HM50" s="146"/>
      <c r="HN50" s="146"/>
      <c r="HO50" s="146"/>
      <c r="HP50" s="146"/>
      <c r="HQ50" s="146"/>
      <c r="HR50" s="146"/>
      <c r="HS50" s="146"/>
      <c r="HT50" s="146"/>
      <c r="HU50" s="146"/>
      <c r="HV50" s="146"/>
      <c r="HW50" s="146"/>
      <c r="HX50" s="146"/>
      <c r="HY50" s="146"/>
      <c r="HZ50" s="146"/>
      <c r="IA50" s="146"/>
    </row>
    <row r="51" spans="1:235" s="159" customFormat="1" ht="71.25" x14ac:dyDescent="0.25">
      <c r="A51" s="197">
        <v>11400</v>
      </c>
      <c r="B51" s="194" t="s">
        <v>26</v>
      </c>
      <c r="C51" s="198" t="s">
        <v>188</v>
      </c>
      <c r="D51" s="194" t="s">
        <v>144</v>
      </c>
      <c r="E51" s="198" t="s">
        <v>481</v>
      </c>
      <c r="F51" s="194" t="s">
        <v>234</v>
      </c>
      <c r="G51" s="209" t="s">
        <v>124</v>
      </c>
      <c r="H51" s="198">
        <v>12</v>
      </c>
      <c r="I51" s="198" t="s">
        <v>483</v>
      </c>
      <c r="J51" s="194" t="s">
        <v>194</v>
      </c>
      <c r="K51" s="210">
        <v>0</v>
      </c>
      <c r="L51" s="211">
        <v>1</v>
      </c>
      <c r="M51" s="194" t="s">
        <v>46</v>
      </c>
      <c r="N51" s="194" t="s">
        <v>68</v>
      </c>
      <c r="O51" s="194" t="s">
        <v>21</v>
      </c>
      <c r="P51" s="194" t="s">
        <v>36</v>
      </c>
      <c r="Q51" s="194" t="s">
        <v>223</v>
      </c>
      <c r="R51" s="194" t="s">
        <v>232</v>
      </c>
      <c r="S51" s="194" t="s">
        <v>99</v>
      </c>
      <c r="T51" s="215">
        <v>12</v>
      </c>
      <c r="U51" s="212" t="str">
        <f t="shared" si="13"/>
        <v>Publicación Giro Directo Régimen Subsidiado</v>
      </c>
      <c r="V51" s="213">
        <f t="shared" si="13"/>
        <v>0</v>
      </c>
      <c r="W51" s="214" t="s">
        <v>117</v>
      </c>
      <c r="X51" s="284">
        <v>3</v>
      </c>
      <c r="Y51" s="282" t="s">
        <v>194</v>
      </c>
      <c r="Z51" s="283">
        <v>0</v>
      </c>
      <c r="AA51" s="279"/>
      <c r="AB51" s="279"/>
      <c r="AC51" s="280">
        <f t="shared" si="14"/>
        <v>0</v>
      </c>
      <c r="AD51" s="280" t="e">
        <f t="shared" si="15"/>
        <v>#DIV/0!</v>
      </c>
      <c r="AE51" s="280">
        <f t="shared" si="0"/>
        <v>0</v>
      </c>
      <c r="AF51" s="280" t="e">
        <f t="shared" si="1"/>
        <v>#DIV/0!</v>
      </c>
      <c r="AG51" s="284">
        <v>3</v>
      </c>
      <c r="AH51" s="282" t="s">
        <v>194</v>
      </c>
      <c r="AI51" s="283">
        <v>0</v>
      </c>
      <c r="AJ51" s="279"/>
      <c r="AK51" s="279"/>
      <c r="AL51" s="280">
        <f t="shared" si="16"/>
        <v>0</v>
      </c>
      <c r="AM51" s="280" t="e">
        <f t="shared" si="2"/>
        <v>#DIV/0!</v>
      </c>
      <c r="AN51" s="280">
        <f t="shared" si="3"/>
        <v>0</v>
      </c>
      <c r="AO51" s="280" t="e">
        <f t="shared" si="4"/>
        <v>#DIV/0!</v>
      </c>
      <c r="AP51" s="284">
        <v>3</v>
      </c>
      <c r="AQ51" s="282" t="s">
        <v>194</v>
      </c>
      <c r="AR51" s="283">
        <v>0</v>
      </c>
      <c r="AS51" s="279"/>
      <c r="AT51" s="279"/>
      <c r="AU51" s="280">
        <f t="shared" si="17"/>
        <v>0</v>
      </c>
      <c r="AV51" s="280" t="e">
        <f t="shared" si="18"/>
        <v>#DIV/0!</v>
      </c>
      <c r="AW51" s="280">
        <f t="shared" si="19"/>
        <v>0</v>
      </c>
      <c r="AX51" s="280" t="e">
        <f t="shared" si="20"/>
        <v>#DIV/0!</v>
      </c>
      <c r="AY51" s="284">
        <v>3</v>
      </c>
      <c r="AZ51" s="282" t="s">
        <v>194</v>
      </c>
      <c r="BA51" s="283">
        <v>0</v>
      </c>
      <c r="BB51" s="279"/>
      <c r="BC51" s="279"/>
      <c r="BD51" s="281">
        <f t="shared" si="21"/>
        <v>0</v>
      </c>
      <c r="BE51" s="281" t="e">
        <f t="shared" si="22"/>
        <v>#DIV/0!</v>
      </c>
      <c r="BF51" s="281">
        <f t="shared" si="23"/>
        <v>0</v>
      </c>
      <c r="BG51" s="281" t="e">
        <f t="shared" si="24"/>
        <v>#DIV/0!</v>
      </c>
      <c r="BH51" s="205">
        <f t="shared" si="5"/>
        <v>0</v>
      </c>
      <c r="BI51" s="205" t="str">
        <f t="shared" si="6"/>
        <v>No Prog ni Ejec</v>
      </c>
      <c r="BJ51" s="205">
        <f t="shared" si="7"/>
        <v>0</v>
      </c>
      <c r="BK51" s="205" t="str">
        <f t="shared" si="8"/>
        <v>No Prog ni Ejec</v>
      </c>
      <c r="BL51" s="205">
        <f t="shared" si="25"/>
        <v>0</v>
      </c>
      <c r="BM51" s="205" t="str">
        <f t="shared" si="26"/>
        <v>No Prog ni Ejec</v>
      </c>
      <c r="BN51" s="205">
        <f t="shared" si="9"/>
        <v>0</v>
      </c>
      <c r="BO51" s="205" t="str">
        <f t="shared" si="10"/>
        <v>No Prog ni Ejec</v>
      </c>
      <c r="BP51" s="206"/>
      <c r="BQ51" s="277">
        <v>1</v>
      </c>
      <c r="BR51" s="218">
        <f t="shared" si="12"/>
        <v>7</v>
      </c>
      <c r="BS51" s="219" t="str">
        <f t="shared" si="27"/>
        <v>Publicación Giro Directo Régimen Subsidiado</v>
      </c>
      <c r="BT51" s="195">
        <f t="shared" si="11"/>
        <v>0</v>
      </c>
      <c r="BU51" s="196"/>
      <c r="BV51" s="196"/>
      <c r="BW51" s="196"/>
      <c r="BX51" s="196"/>
      <c r="BY51" s="196"/>
      <c r="BZ51" s="19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c r="EU51" s="146"/>
      <c r="EV51" s="146"/>
      <c r="EW51" s="146"/>
      <c r="EX51" s="146"/>
      <c r="EY51" s="146"/>
      <c r="EZ51" s="146"/>
      <c r="FA51" s="146"/>
      <c r="FB51" s="146"/>
      <c r="FC51" s="146"/>
      <c r="FD51" s="146"/>
      <c r="FE51" s="146"/>
      <c r="FF51" s="146"/>
      <c r="FG51" s="146"/>
      <c r="FH51" s="146"/>
      <c r="FI51" s="146"/>
      <c r="FJ51" s="146"/>
      <c r="FK51" s="146"/>
      <c r="FL51" s="146"/>
      <c r="FM51" s="146"/>
      <c r="FN51" s="146"/>
      <c r="FO51" s="146"/>
      <c r="FP51" s="146"/>
      <c r="FQ51" s="146"/>
      <c r="FR51" s="146"/>
      <c r="FS51" s="146"/>
      <c r="FT51" s="146"/>
      <c r="FU51" s="146"/>
      <c r="FV51" s="146"/>
      <c r="FW51" s="146"/>
      <c r="FX51" s="146"/>
      <c r="FY51" s="146"/>
      <c r="FZ51" s="146"/>
      <c r="GA51" s="146"/>
      <c r="GB51" s="146"/>
      <c r="GC51" s="146"/>
      <c r="GD51" s="146"/>
      <c r="GE51" s="146"/>
      <c r="GF51" s="146"/>
      <c r="GG51" s="146"/>
      <c r="GH51" s="146"/>
      <c r="GI51" s="146"/>
      <c r="GJ51" s="146"/>
      <c r="GK51" s="146"/>
      <c r="GL51" s="146"/>
      <c r="GM51" s="146"/>
      <c r="GN51" s="146"/>
      <c r="GO51" s="146"/>
      <c r="GP51" s="146"/>
      <c r="GQ51" s="146"/>
      <c r="GR51" s="146"/>
      <c r="GS51" s="146"/>
      <c r="GT51" s="146"/>
      <c r="GU51" s="146"/>
      <c r="GV51" s="146"/>
      <c r="GW51" s="146"/>
      <c r="GX51" s="146"/>
      <c r="GY51" s="146"/>
      <c r="GZ51" s="146"/>
      <c r="HA51" s="146"/>
      <c r="HB51" s="146"/>
      <c r="HC51" s="146"/>
      <c r="HD51" s="146"/>
      <c r="HE51" s="146"/>
      <c r="HF51" s="146"/>
      <c r="HG51" s="146"/>
      <c r="HH51" s="146"/>
      <c r="HI51" s="146"/>
      <c r="HJ51" s="146"/>
      <c r="HK51" s="146"/>
      <c r="HL51" s="146"/>
      <c r="HM51" s="146"/>
      <c r="HN51" s="146"/>
      <c r="HO51" s="146"/>
      <c r="HP51" s="146"/>
      <c r="HQ51" s="146"/>
      <c r="HR51" s="146"/>
      <c r="HS51" s="146"/>
      <c r="HT51" s="146"/>
      <c r="HU51" s="146"/>
      <c r="HV51" s="146"/>
      <c r="HW51" s="146"/>
      <c r="HX51" s="146"/>
      <c r="HY51" s="146"/>
      <c r="HZ51" s="146"/>
      <c r="IA51" s="146"/>
    </row>
    <row r="52" spans="1:235" s="159" customFormat="1" ht="71.25" x14ac:dyDescent="0.25">
      <c r="A52" s="197">
        <v>11400</v>
      </c>
      <c r="B52" s="194" t="s">
        <v>26</v>
      </c>
      <c r="C52" s="198" t="s">
        <v>188</v>
      </c>
      <c r="D52" s="194" t="s">
        <v>144</v>
      </c>
      <c r="E52" s="198" t="s">
        <v>484</v>
      </c>
      <c r="F52" s="194" t="s">
        <v>195</v>
      </c>
      <c r="G52" s="209" t="s">
        <v>123</v>
      </c>
      <c r="H52" s="216">
        <v>1</v>
      </c>
      <c r="I52" s="198" t="s">
        <v>485</v>
      </c>
      <c r="J52" s="194" t="s">
        <v>196</v>
      </c>
      <c r="K52" s="210">
        <v>0</v>
      </c>
      <c r="L52" s="211">
        <v>1</v>
      </c>
      <c r="M52" s="194" t="s">
        <v>46</v>
      </c>
      <c r="N52" s="194" t="s">
        <v>68</v>
      </c>
      <c r="O52" s="194" t="s">
        <v>21</v>
      </c>
      <c r="P52" s="194" t="s">
        <v>36</v>
      </c>
      <c r="Q52" s="194" t="s">
        <v>216</v>
      </c>
      <c r="R52" s="194" t="s">
        <v>235</v>
      </c>
      <c r="S52" s="194" t="s">
        <v>99</v>
      </c>
      <c r="T52" s="211">
        <v>1</v>
      </c>
      <c r="U52" s="212" t="str">
        <f t="shared" si="13"/>
        <v>Trámite de prestaciones económicas REX</v>
      </c>
      <c r="V52" s="213">
        <f t="shared" si="13"/>
        <v>0</v>
      </c>
      <c r="W52" s="214" t="s">
        <v>117</v>
      </c>
      <c r="X52" s="281">
        <v>1</v>
      </c>
      <c r="Y52" s="282" t="s">
        <v>196</v>
      </c>
      <c r="Z52" s="283">
        <v>0</v>
      </c>
      <c r="AA52" s="279"/>
      <c r="AB52" s="279"/>
      <c r="AC52" s="280">
        <f t="shared" si="14"/>
        <v>0</v>
      </c>
      <c r="AD52" s="280" t="e">
        <f t="shared" si="15"/>
        <v>#DIV/0!</v>
      </c>
      <c r="AE52" s="280">
        <f t="shared" si="0"/>
        <v>0</v>
      </c>
      <c r="AF52" s="280" t="e">
        <f t="shared" si="1"/>
        <v>#DIV/0!</v>
      </c>
      <c r="AG52" s="281">
        <v>1</v>
      </c>
      <c r="AH52" s="282" t="s">
        <v>196</v>
      </c>
      <c r="AI52" s="283">
        <v>0</v>
      </c>
      <c r="AJ52" s="279"/>
      <c r="AK52" s="279"/>
      <c r="AL52" s="280">
        <f t="shared" si="16"/>
        <v>0</v>
      </c>
      <c r="AM52" s="280" t="e">
        <f t="shared" si="2"/>
        <v>#DIV/0!</v>
      </c>
      <c r="AN52" s="280">
        <f t="shared" si="3"/>
        <v>0</v>
      </c>
      <c r="AO52" s="280" t="e">
        <f t="shared" si="4"/>
        <v>#DIV/0!</v>
      </c>
      <c r="AP52" s="281">
        <v>1</v>
      </c>
      <c r="AQ52" s="282" t="s">
        <v>196</v>
      </c>
      <c r="AR52" s="283">
        <v>0</v>
      </c>
      <c r="AS52" s="279"/>
      <c r="AT52" s="279"/>
      <c r="AU52" s="280">
        <f t="shared" si="17"/>
        <v>0</v>
      </c>
      <c r="AV52" s="280" t="e">
        <f t="shared" si="18"/>
        <v>#DIV/0!</v>
      </c>
      <c r="AW52" s="280">
        <f t="shared" si="19"/>
        <v>0</v>
      </c>
      <c r="AX52" s="280" t="e">
        <f t="shared" si="20"/>
        <v>#DIV/0!</v>
      </c>
      <c r="AY52" s="281">
        <v>1</v>
      </c>
      <c r="AZ52" s="282" t="s">
        <v>196</v>
      </c>
      <c r="BA52" s="283">
        <v>0</v>
      </c>
      <c r="BB52" s="279"/>
      <c r="BC52" s="279"/>
      <c r="BD52" s="281">
        <f t="shared" si="21"/>
        <v>0</v>
      </c>
      <c r="BE52" s="281" t="e">
        <f t="shared" si="22"/>
        <v>#DIV/0!</v>
      </c>
      <c r="BF52" s="281">
        <f t="shared" si="23"/>
        <v>0</v>
      </c>
      <c r="BG52" s="281" t="e">
        <f t="shared" si="24"/>
        <v>#DIV/0!</v>
      </c>
      <c r="BH52" s="205">
        <f t="shared" si="5"/>
        <v>0</v>
      </c>
      <c r="BI52" s="205" t="str">
        <f t="shared" si="6"/>
        <v>No Prog ni Ejec</v>
      </c>
      <c r="BJ52" s="205">
        <f t="shared" si="7"/>
        <v>0</v>
      </c>
      <c r="BK52" s="205" t="str">
        <f t="shared" si="8"/>
        <v>No Prog ni Ejec</v>
      </c>
      <c r="BL52" s="205">
        <f t="shared" si="25"/>
        <v>0</v>
      </c>
      <c r="BM52" s="205" t="str">
        <f t="shared" si="26"/>
        <v>No Prog ni Ejec</v>
      </c>
      <c r="BN52" s="205">
        <f t="shared" si="9"/>
        <v>0</v>
      </c>
      <c r="BO52" s="205" t="str">
        <f t="shared" si="10"/>
        <v>No Prog ni Ejec</v>
      </c>
      <c r="BP52" s="206"/>
      <c r="BQ52" s="277">
        <v>1</v>
      </c>
      <c r="BR52" s="208">
        <f t="shared" si="12"/>
        <v>2.3333333333333335</v>
      </c>
      <c r="BS52" s="219" t="str">
        <f t="shared" si="27"/>
        <v>Trámite de prestaciones económicas REX</v>
      </c>
      <c r="BT52" s="195">
        <f t="shared" si="11"/>
        <v>0</v>
      </c>
      <c r="BU52" s="196"/>
      <c r="BV52" s="196"/>
      <c r="BW52" s="196"/>
      <c r="BX52" s="196"/>
      <c r="BY52" s="196"/>
      <c r="BZ52" s="196"/>
      <c r="CA52" s="146"/>
      <c r="CB52" s="146"/>
      <c r="CC52" s="146"/>
      <c r="CD52" s="14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c r="ER52" s="146"/>
      <c r="ES52" s="146"/>
      <c r="ET52" s="146"/>
      <c r="EU52" s="146"/>
      <c r="EV52" s="146"/>
      <c r="EW52" s="146"/>
      <c r="EX52" s="146"/>
      <c r="EY52" s="146"/>
      <c r="EZ52" s="146"/>
      <c r="FA52" s="146"/>
      <c r="FB52" s="146"/>
      <c r="FC52" s="146"/>
      <c r="FD52" s="146"/>
      <c r="FE52" s="146"/>
      <c r="FF52" s="146"/>
      <c r="FG52" s="146"/>
      <c r="FH52" s="146"/>
      <c r="FI52" s="146"/>
      <c r="FJ52" s="146"/>
      <c r="FK52" s="146"/>
      <c r="FL52" s="146"/>
      <c r="FM52" s="146"/>
      <c r="FN52" s="146"/>
      <c r="FO52" s="146"/>
      <c r="FP52" s="146"/>
      <c r="FQ52" s="146"/>
      <c r="FR52" s="146"/>
      <c r="FS52" s="146"/>
      <c r="FT52" s="146"/>
      <c r="FU52" s="146"/>
      <c r="FV52" s="146"/>
      <c r="FW52" s="146"/>
      <c r="FX52" s="146"/>
      <c r="FY52" s="146"/>
      <c r="FZ52" s="146"/>
      <c r="GA52" s="146"/>
      <c r="GB52" s="146"/>
      <c r="GC52" s="146"/>
      <c r="GD52" s="146"/>
      <c r="GE52" s="146"/>
      <c r="GF52" s="146"/>
      <c r="GG52" s="146"/>
      <c r="GH52" s="146"/>
      <c r="GI52" s="146"/>
      <c r="GJ52" s="146"/>
      <c r="GK52" s="146"/>
      <c r="GL52" s="146"/>
      <c r="GM52" s="146"/>
      <c r="GN52" s="146"/>
      <c r="GO52" s="146"/>
      <c r="GP52" s="146"/>
      <c r="GQ52" s="146"/>
      <c r="GR52" s="146"/>
      <c r="GS52" s="146"/>
      <c r="GT52" s="146"/>
      <c r="GU52" s="146"/>
      <c r="GV52" s="146"/>
      <c r="GW52" s="146"/>
      <c r="GX52" s="146"/>
      <c r="GY52" s="146"/>
      <c r="GZ52" s="146"/>
      <c r="HA52" s="146"/>
      <c r="HB52" s="146"/>
      <c r="HC52" s="146"/>
      <c r="HD52" s="146"/>
      <c r="HE52" s="146"/>
      <c r="HF52" s="146"/>
      <c r="HG52" s="146"/>
      <c r="HH52" s="146"/>
      <c r="HI52" s="146"/>
      <c r="HJ52" s="146"/>
      <c r="HK52" s="146"/>
      <c r="HL52" s="146"/>
      <c r="HM52" s="146"/>
      <c r="HN52" s="146"/>
      <c r="HO52" s="146"/>
      <c r="HP52" s="146"/>
      <c r="HQ52" s="146"/>
      <c r="HR52" s="146"/>
      <c r="HS52" s="146"/>
      <c r="HT52" s="146"/>
      <c r="HU52" s="146"/>
      <c r="HV52" s="146"/>
      <c r="HW52" s="146"/>
      <c r="HX52" s="146"/>
      <c r="HY52" s="146"/>
      <c r="HZ52" s="146"/>
      <c r="IA52" s="146"/>
    </row>
    <row r="53" spans="1:235" s="155" customFormat="1" ht="71.25" x14ac:dyDescent="0.25">
      <c r="A53" s="197">
        <v>11400</v>
      </c>
      <c r="B53" s="194" t="s">
        <v>26</v>
      </c>
      <c r="C53" s="198" t="s">
        <v>188</v>
      </c>
      <c r="D53" s="194" t="s">
        <v>144</v>
      </c>
      <c r="E53" s="198" t="s">
        <v>484</v>
      </c>
      <c r="F53" s="194" t="s">
        <v>195</v>
      </c>
      <c r="G53" s="209" t="s">
        <v>123</v>
      </c>
      <c r="H53" s="216">
        <v>1</v>
      </c>
      <c r="I53" s="198" t="s">
        <v>486</v>
      </c>
      <c r="J53" s="194" t="s">
        <v>197</v>
      </c>
      <c r="K53" s="210">
        <v>48960000</v>
      </c>
      <c r="L53" s="211">
        <v>1</v>
      </c>
      <c r="M53" s="194" t="s">
        <v>46</v>
      </c>
      <c r="N53" s="194" t="s">
        <v>68</v>
      </c>
      <c r="O53" s="194" t="s">
        <v>21</v>
      </c>
      <c r="P53" s="194" t="s">
        <v>36</v>
      </c>
      <c r="Q53" s="194" t="s">
        <v>216</v>
      </c>
      <c r="R53" s="194" t="s">
        <v>236</v>
      </c>
      <c r="S53" s="194" t="s">
        <v>99</v>
      </c>
      <c r="T53" s="211">
        <v>1</v>
      </c>
      <c r="U53" s="212" t="str">
        <f t="shared" si="13"/>
        <v>Trámite de devolución de aportes REX</v>
      </c>
      <c r="V53" s="213">
        <f t="shared" si="13"/>
        <v>48960000</v>
      </c>
      <c r="W53" s="222" t="s">
        <v>114</v>
      </c>
      <c r="X53" s="216">
        <v>1</v>
      </c>
      <c r="Y53" s="214" t="s">
        <v>197</v>
      </c>
      <c r="Z53" s="210">
        <v>12240000</v>
      </c>
      <c r="AA53" s="196"/>
      <c r="AB53" s="196"/>
      <c r="AC53" s="204">
        <f t="shared" si="14"/>
        <v>0</v>
      </c>
      <c r="AD53" s="204">
        <f t="shared" si="15"/>
        <v>0</v>
      </c>
      <c r="AE53" s="204">
        <f t="shared" si="0"/>
        <v>0</v>
      </c>
      <c r="AF53" s="204">
        <f t="shared" si="1"/>
        <v>0</v>
      </c>
      <c r="AG53" s="216">
        <v>1</v>
      </c>
      <c r="AH53" s="214" t="s">
        <v>197</v>
      </c>
      <c r="AI53" s="210">
        <v>12240000</v>
      </c>
      <c r="AJ53" s="196"/>
      <c r="AK53" s="196"/>
      <c r="AL53" s="204">
        <f t="shared" si="16"/>
        <v>0</v>
      </c>
      <c r="AM53" s="204">
        <f t="shared" si="2"/>
        <v>0</v>
      </c>
      <c r="AN53" s="204">
        <f t="shared" si="3"/>
        <v>0</v>
      </c>
      <c r="AO53" s="204">
        <f t="shared" si="4"/>
        <v>0</v>
      </c>
      <c r="AP53" s="216">
        <v>1</v>
      </c>
      <c r="AQ53" s="214" t="s">
        <v>197</v>
      </c>
      <c r="AR53" s="210">
        <v>12240000</v>
      </c>
      <c r="AS53" s="196"/>
      <c r="AT53" s="196"/>
      <c r="AU53" s="204">
        <f t="shared" si="17"/>
        <v>0</v>
      </c>
      <c r="AV53" s="204">
        <f t="shared" si="18"/>
        <v>0</v>
      </c>
      <c r="AW53" s="204">
        <f t="shared" si="19"/>
        <v>0</v>
      </c>
      <c r="AX53" s="204">
        <f t="shared" si="20"/>
        <v>0</v>
      </c>
      <c r="AY53" s="216">
        <v>1</v>
      </c>
      <c r="AZ53" s="214" t="s">
        <v>197</v>
      </c>
      <c r="BA53" s="210">
        <v>12240000</v>
      </c>
      <c r="BB53" s="196"/>
      <c r="BC53" s="196"/>
      <c r="BD53" s="216">
        <f t="shared" si="21"/>
        <v>0</v>
      </c>
      <c r="BE53" s="216">
        <f t="shared" si="22"/>
        <v>0</v>
      </c>
      <c r="BF53" s="216">
        <f t="shared" si="23"/>
        <v>0</v>
      </c>
      <c r="BG53" s="216">
        <f t="shared" si="24"/>
        <v>0</v>
      </c>
      <c r="BH53" s="228">
        <f t="shared" si="5"/>
        <v>0</v>
      </c>
      <c r="BI53" s="228">
        <f t="shared" si="6"/>
        <v>0</v>
      </c>
      <c r="BJ53" s="228">
        <f t="shared" si="7"/>
        <v>0</v>
      </c>
      <c r="BK53" s="228">
        <f t="shared" si="8"/>
        <v>0</v>
      </c>
      <c r="BL53" s="228">
        <f t="shared" si="25"/>
        <v>0</v>
      </c>
      <c r="BM53" s="228">
        <f t="shared" si="26"/>
        <v>0</v>
      </c>
      <c r="BN53" s="228">
        <f t="shared" si="9"/>
        <v>0</v>
      </c>
      <c r="BO53" s="228">
        <f t="shared" si="10"/>
        <v>0</v>
      </c>
      <c r="BP53" s="206"/>
      <c r="BQ53" s="277">
        <v>1</v>
      </c>
      <c r="BR53" s="208">
        <f t="shared" si="12"/>
        <v>2.3333333333333335</v>
      </c>
      <c r="BS53" s="219" t="str">
        <f t="shared" si="27"/>
        <v>Trámite de devolución de aportes REX</v>
      </c>
      <c r="BT53" s="195">
        <f t="shared" si="11"/>
        <v>28560000</v>
      </c>
      <c r="BU53" s="196"/>
      <c r="BV53" s="196"/>
      <c r="BW53" s="196"/>
      <c r="BX53" s="196"/>
      <c r="BY53" s="196"/>
      <c r="BZ53" s="19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c r="FN53" s="146"/>
      <c r="FO53" s="146"/>
      <c r="FP53" s="146"/>
      <c r="FQ53" s="146"/>
      <c r="FR53" s="146"/>
      <c r="FS53" s="146"/>
      <c r="FT53" s="146"/>
      <c r="FU53" s="146"/>
      <c r="FV53" s="146"/>
      <c r="FW53" s="146"/>
      <c r="FX53" s="146"/>
      <c r="FY53" s="146"/>
      <c r="FZ53" s="146"/>
      <c r="GA53" s="146"/>
      <c r="GB53" s="146"/>
      <c r="GC53" s="146"/>
      <c r="GD53" s="146"/>
      <c r="GE53" s="146"/>
      <c r="GF53" s="146"/>
      <c r="GG53" s="146"/>
      <c r="GH53" s="146"/>
      <c r="GI53" s="146"/>
      <c r="GJ53" s="146"/>
      <c r="GK53" s="146"/>
      <c r="GL53" s="146"/>
      <c r="GM53" s="146"/>
      <c r="GN53" s="146"/>
      <c r="GO53" s="146"/>
      <c r="GP53" s="146"/>
      <c r="GQ53" s="146"/>
      <c r="GR53" s="146"/>
      <c r="GS53" s="146"/>
      <c r="GT53" s="146"/>
      <c r="GU53" s="146"/>
      <c r="GV53" s="146"/>
      <c r="GW53" s="146"/>
      <c r="GX53" s="146"/>
      <c r="GY53" s="146"/>
      <c r="GZ53" s="146"/>
      <c r="HA53" s="146"/>
      <c r="HB53" s="146"/>
      <c r="HC53" s="146"/>
      <c r="HD53" s="146"/>
      <c r="HE53" s="146"/>
      <c r="HF53" s="146"/>
      <c r="HG53" s="146"/>
      <c r="HH53" s="146"/>
      <c r="HI53" s="146"/>
      <c r="HJ53" s="146"/>
      <c r="HK53" s="146"/>
      <c r="HL53" s="146"/>
      <c r="HM53" s="146"/>
      <c r="HN53" s="146"/>
      <c r="HO53" s="146"/>
      <c r="HP53" s="146"/>
      <c r="HQ53" s="146"/>
      <c r="HR53" s="146"/>
      <c r="HS53" s="146"/>
      <c r="HT53" s="146"/>
      <c r="HU53" s="146"/>
      <c r="HV53" s="146"/>
      <c r="HW53" s="146"/>
      <c r="HX53" s="146"/>
      <c r="HY53" s="146"/>
      <c r="HZ53" s="146"/>
      <c r="IA53" s="146"/>
    </row>
    <row r="54" spans="1:235" s="155" customFormat="1" ht="71.25" x14ac:dyDescent="0.25">
      <c r="A54" s="197">
        <v>11400</v>
      </c>
      <c r="B54" s="194" t="s">
        <v>26</v>
      </c>
      <c r="C54" s="198" t="s">
        <v>188</v>
      </c>
      <c r="D54" s="194" t="s">
        <v>144</v>
      </c>
      <c r="E54" s="198" t="s">
        <v>487</v>
      </c>
      <c r="F54" s="194" t="s">
        <v>476</v>
      </c>
      <c r="G54" s="209" t="s">
        <v>123</v>
      </c>
      <c r="H54" s="216">
        <v>1</v>
      </c>
      <c r="I54" s="198" t="s">
        <v>488</v>
      </c>
      <c r="J54" s="194" t="s">
        <v>473</v>
      </c>
      <c r="K54" s="210">
        <v>164378848</v>
      </c>
      <c r="L54" s="211">
        <v>1</v>
      </c>
      <c r="M54" s="194" t="s">
        <v>46</v>
      </c>
      <c r="N54" s="194" t="s">
        <v>68</v>
      </c>
      <c r="O54" s="194" t="s">
        <v>21</v>
      </c>
      <c r="P54" s="194" t="s">
        <v>36</v>
      </c>
      <c r="Q54" s="194" t="s">
        <v>216</v>
      </c>
      <c r="R54" s="194" t="s">
        <v>474</v>
      </c>
      <c r="S54" s="194" t="s">
        <v>99</v>
      </c>
      <c r="T54" s="211">
        <v>1</v>
      </c>
      <c r="U54" s="212" t="str">
        <f t="shared" si="13"/>
        <v>Elaboración de solicitudes de aclaración sobre apropiaciones sin justa causa</v>
      </c>
      <c r="V54" s="213">
        <f t="shared" si="13"/>
        <v>164378848</v>
      </c>
      <c r="W54" s="222" t="s">
        <v>114</v>
      </c>
      <c r="X54" s="216">
        <v>1</v>
      </c>
      <c r="Y54" s="214" t="s">
        <v>473</v>
      </c>
      <c r="Z54" s="210">
        <v>46231551</v>
      </c>
      <c r="AA54" s="196"/>
      <c r="AB54" s="196"/>
      <c r="AC54" s="204">
        <f t="shared" si="14"/>
        <v>0</v>
      </c>
      <c r="AD54" s="204">
        <f t="shared" si="15"/>
        <v>0</v>
      </c>
      <c r="AE54" s="204">
        <f t="shared" si="0"/>
        <v>0</v>
      </c>
      <c r="AF54" s="204">
        <f t="shared" si="1"/>
        <v>0</v>
      </c>
      <c r="AG54" s="216">
        <v>1</v>
      </c>
      <c r="AH54" s="214" t="s">
        <v>473</v>
      </c>
      <c r="AI54" s="210">
        <v>46231551</v>
      </c>
      <c r="AJ54" s="196"/>
      <c r="AK54" s="196"/>
      <c r="AL54" s="204">
        <f t="shared" si="16"/>
        <v>0</v>
      </c>
      <c r="AM54" s="204">
        <f t="shared" si="2"/>
        <v>0</v>
      </c>
      <c r="AN54" s="204">
        <f t="shared" si="3"/>
        <v>0</v>
      </c>
      <c r="AO54" s="204">
        <f t="shared" si="4"/>
        <v>0</v>
      </c>
      <c r="AP54" s="216">
        <v>1</v>
      </c>
      <c r="AQ54" s="214" t="s">
        <v>473</v>
      </c>
      <c r="AR54" s="210">
        <v>41094712</v>
      </c>
      <c r="AS54" s="196"/>
      <c r="AT54" s="196"/>
      <c r="AU54" s="204">
        <f t="shared" si="17"/>
        <v>0</v>
      </c>
      <c r="AV54" s="204">
        <f t="shared" si="18"/>
        <v>0</v>
      </c>
      <c r="AW54" s="204">
        <f t="shared" si="19"/>
        <v>0</v>
      </c>
      <c r="AX54" s="204">
        <f t="shared" si="20"/>
        <v>0</v>
      </c>
      <c r="AY54" s="216">
        <v>1</v>
      </c>
      <c r="AZ54" s="214" t="s">
        <v>473</v>
      </c>
      <c r="BA54" s="210">
        <v>30821034</v>
      </c>
      <c r="BB54" s="196"/>
      <c r="BC54" s="196"/>
      <c r="BD54" s="216">
        <f t="shared" si="21"/>
        <v>0</v>
      </c>
      <c r="BE54" s="216">
        <f t="shared" si="22"/>
        <v>0</v>
      </c>
      <c r="BF54" s="216">
        <f t="shared" si="23"/>
        <v>0</v>
      </c>
      <c r="BG54" s="216">
        <f t="shared" si="24"/>
        <v>0</v>
      </c>
      <c r="BH54" s="228">
        <f t="shared" si="5"/>
        <v>0</v>
      </c>
      <c r="BI54" s="228">
        <f t="shared" si="6"/>
        <v>0</v>
      </c>
      <c r="BJ54" s="228">
        <f t="shared" si="7"/>
        <v>0</v>
      </c>
      <c r="BK54" s="228">
        <f t="shared" si="8"/>
        <v>0</v>
      </c>
      <c r="BL54" s="228">
        <f t="shared" si="25"/>
        <v>0</v>
      </c>
      <c r="BM54" s="228">
        <f t="shared" si="26"/>
        <v>0</v>
      </c>
      <c r="BN54" s="228">
        <f t="shared" si="9"/>
        <v>0</v>
      </c>
      <c r="BO54" s="228">
        <f t="shared" si="10"/>
        <v>0</v>
      </c>
      <c r="BP54" s="206"/>
      <c r="BQ54" s="277">
        <v>1</v>
      </c>
      <c r="BR54" s="208">
        <f t="shared" si="12"/>
        <v>2.3333333333333335</v>
      </c>
      <c r="BS54" s="219" t="str">
        <f t="shared" si="27"/>
        <v>Elaboración de solicitudes de aclaración sobre apropiaciones sin justa causa</v>
      </c>
      <c r="BT54" s="195">
        <f t="shared" si="11"/>
        <v>106161339.33333333</v>
      </c>
      <c r="BU54" s="196"/>
      <c r="BV54" s="196"/>
      <c r="BW54" s="196"/>
      <c r="BX54" s="196"/>
      <c r="BY54" s="196"/>
      <c r="BZ54" s="196"/>
      <c r="CA54" s="146"/>
      <c r="CB54" s="146"/>
      <c r="CC54" s="146"/>
      <c r="CD54" s="146"/>
      <c r="CE54" s="146"/>
      <c r="CF54" s="146"/>
      <c r="CG54" s="146"/>
      <c r="CH54" s="146"/>
      <c r="CI54" s="146"/>
      <c r="CJ54" s="146"/>
      <c r="CK54" s="146"/>
      <c r="CL54" s="146"/>
      <c r="CM54" s="146"/>
      <c r="CN54" s="146"/>
      <c r="CO54" s="146"/>
      <c r="CP54" s="146"/>
      <c r="CQ54" s="146"/>
      <c r="CR54" s="146"/>
      <c r="CS54" s="146"/>
      <c r="CT54" s="146"/>
      <c r="CU54" s="146"/>
      <c r="CV54" s="146"/>
      <c r="CW54" s="146"/>
      <c r="CX54" s="146"/>
      <c r="CY54" s="146"/>
      <c r="CZ54" s="146"/>
      <c r="DA54" s="146"/>
      <c r="DB54" s="146"/>
      <c r="DC54" s="146"/>
      <c r="DD54" s="146"/>
      <c r="DE54" s="146"/>
      <c r="DF54" s="146"/>
      <c r="DG54" s="146"/>
      <c r="DH54" s="146"/>
      <c r="DI54" s="146"/>
      <c r="DJ54" s="146"/>
      <c r="DK54" s="146"/>
      <c r="DL54" s="146"/>
      <c r="DM54" s="146"/>
      <c r="DN54" s="146"/>
      <c r="DO54" s="146"/>
      <c r="DP54" s="146"/>
      <c r="DQ54" s="146"/>
      <c r="DR54" s="146"/>
      <c r="DS54" s="146"/>
      <c r="DT54" s="146"/>
      <c r="DU54" s="146"/>
      <c r="DV54" s="146"/>
      <c r="DW54" s="146"/>
      <c r="DX54" s="146"/>
      <c r="DY54" s="146"/>
      <c r="DZ54" s="146"/>
      <c r="EA54" s="146"/>
      <c r="EB54" s="146"/>
      <c r="EC54" s="146"/>
      <c r="ED54" s="146"/>
      <c r="EE54" s="146"/>
      <c r="EF54" s="146"/>
      <c r="EG54" s="146"/>
      <c r="EH54" s="146"/>
      <c r="EI54" s="146"/>
      <c r="EJ54" s="146"/>
      <c r="EK54" s="146"/>
      <c r="EL54" s="146"/>
      <c r="EM54" s="146"/>
      <c r="EN54" s="146"/>
      <c r="EO54" s="146"/>
      <c r="EP54" s="146"/>
      <c r="EQ54" s="146"/>
      <c r="ER54" s="146"/>
      <c r="ES54" s="146"/>
      <c r="ET54" s="146"/>
      <c r="EU54" s="146"/>
      <c r="EV54" s="146"/>
      <c r="EW54" s="146"/>
      <c r="EX54" s="146"/>
      <c r="EY54" s="146"/>
      <c r="EZ54" s="146"/>
      <c r="FA54" s="146"/>
      <c r="FB54" s="146"/>
      <c r="FC54" s="146"/>
      <c r="FD54" s="146"/>
      <c r="FE54" s="146"/>
      <c r="FF54" s="146"/>
      <c r="FG54" s="146"/>
      <c r="FH54" s="146"/>
      <c r="FI54" s="146"/>
      <c r="FJ54" s="146"/>
      <c r="FK54" s="146"/>
      <c r="FL54" s="146"/>
      <c r="FM54" s="146"/>
      <c r="FN54" s="146"/>
      <c r="FO54" s="146"/>
      <c r="FP54" s="146"/>
      <c r="FQ54" s="146"/>
      <c r="FR54" s="146"/>
      <c r="FS54" s="146"/>
      <c r="FT54" s="146"/>
      <c r="FU54" s="146"/>
      <c r="FV54" s="146"/>
      <c r="FW54" s="146"/>
      <c r="FX54" s="146"/>
      <c r="FY54" s="146"/>
      <c r="FZ54" s="146"/>
      <c r="GA54" s="146"/>
      <c r="GB54" s="146"/>
      <c r="GC54" s="146"/>
      <c r="GD54" s="146"/>
      <c r="GE54" s="146"/>
      <c r="GF54" s="146"/>
      <c r="GG54" s="146"/>
      <c r="GH54" s="146"/>
      <c r="GI54" s="146"/>
      <c r="GJ54" s="146"/>
      <c r="GK54" s="146"/>
      <c r="GL54" s="146"/>
      <c r="GM54" s="146"/>
      <c r="GN54" s="146"/>
      <c r="GO54" s="146"/>
      <c r="GP54" s="146"/>
      <c r="GQ54" s="146"/>
      <c r="GR54" s="146"/>
      <c r="GS54" s="146"/>
      <c r="GT54" s="146"/>
      <c r="GU54" s="146"/>
      <c r="GV54" s="146"/>
      <c r="GW54" s="146"/>
      <c r="GX54" s="146"/>
      <c r="GY54" s="146"/>
      <c r="GZ54" s="146"/>
      <c r="HA54" s="146"/>
      <c r="HB54" s="146"/>
      <c r="HC54" s="146"/>
      <c r="HD54" s="146"/>
      <c r="HE54" s="146"/>
      <c r="HF54" s="146"/>
      <c r="HG54" s="146"/>
      <c r="HH54" s="146"/>
      <c r="HI54" s="146"/>
      <c r="HJ54" s="146"/>
      <c r="HK54" s="146"/>
      <c r="HL54" s="146"/>
      <c r="HM54" s="146"/>
      <c r="HN54" s="146"/>
      <c r="HO54" s="146"/>
      <c r="HP54" s="146"/>
      <c r="HQ54" s="146"/>
      <c r="HR54" s="146"/>
      <c r="HS54" s="146"/>
      <c r="HT54" s="146"/>
      <c r="HU54" s="146"/>
      <c r="HV54" s="146"/>
      <c r="HW54" s="146"/>
      <c r="HX54" s="146"/>
      <c r="HY54" s="146"/>
      <c r="HZ54" s="146"/>
      <c r="IA54" s="146"/>
    </row>
    <row r="55" spans="1:235" s="159" customFormat="1" ht="71.25" x14ac:dyDescent="0.25">
      <c r="A55" s="197">
        <v>11400</v>
      </c>
      <c r="B55" s="194" t="s">
        <v>26</v>
      </c>
      <c r="C55" s="198" t="s">
        <v>188</v>
      </c>
      <c r="D55" s="194" t="s">
        <v>144</v>
      </c>
      <c r="E55" s="198" t="s">
        <v>489</v>
      </c>
      <c r="F55" s="194" t="s">
        <v>198</v>
      </c>
      <c r="G55" s="209" t="s">
        <v>123</v>
      </c>
      <c r="H55" s="216">
        <v>1</v>
      </c>
      <c r="I55" s="198" t="s">
        <v>490</v>
      </c>
      <c r="J55" s="194" t="s">
        <v>199</v>
      </c>
      <c r="K55" s="210">
        <v>0</v>
      </c>
      <c r="L55" s="211">
        <v>1</v>
      </c>
      <c r="M55" s="194" t="s">
        <v>46</v>
      </c>
      <c r="N55" s="194" t="s">
        <v>68</v>
      </c>
      <c r="O55" s="194" t="s">
        <v>21</v>
      </c>
      <c r="P55" s="194" t="s">
        <v>36</v>
      </c>
      <c r="Q55" s="194" t="s">
        <v>223</v>
      </c>
      <c r="R55" s="194" t="s">
        <v>475</v>
      </c>
      <c r="S55" s="194" t="s">
        <v>99</v>
      </c>
      <c r="T55" s="211">
        <v>1</v>
      </c>
      <c r="U55" s="212" t="str">
        <f t="shared" si="13"/>
        <v>Elaboración de Informes de auditoría de reintegro de recursos</v>
      </c>
      <c r="V55" s="213">
        <f t="shared" si="13"/>
        <v>0</v>
      </c>
      <c r="W55" s="214" t="s">
        <v>117</v>
      </c>
      <c r="X55" s="281">
        <v>1</v>
      </c>
      <c r="Y55" s="282" t="s">
        <v>199</v>
      </c>
      <c r="Z55" s="283">
        <v>0</v>
      </c>
      <c r="AA55" s="279"/>
      <c r="AB55" s="279"/>
      <c r="AC55" s="280">
        <f t="shared" si="14"/>
        <v>0</v>
      </c>
      <c r="AD55" s="280" t="e">
        <f t="shared" si="15"/>
        <v>#DIV/0!</v>
      </c>
      <c r="AE55" s="280">
        <f t="shared" si="0"/>
        <v>0</v>
      </c>
      <c r="AF55" s="280" t="e">
        <f t="shared" si="1"/>
        <v>#DIV/0!</v>
      </c>
      <c r="AG55" s="281">
        <v>1</v>
      </c>
      <c r="AH55" s="282" t="s">
        <v>199</v>
      </c>
      <c r="AI55" s="283">
        <v>0</v>
      </c>
      <c r="AJ55" s="279"/>
      <c r="AK55" s="279"/>
      <c r="AL55" s="280">
        <f t="shared" si="16"/>
        <v>0</v>
      </c>
      <c r="AM55" s="280" t="e">
        <f t="shared" si="2"/>
        <v>#DIV/0!</v>
      </c>
      <c r="AN55" s="280">
        <f t="shared" si="3"/>
        <v>0</v>
      </c>
      <c r="AO55" s="280" t="e">
        <f t="shared" si="4"/>
        <v>#DIV/0!</v>
      </c>
      <c r="AP55" s="281">
        <v>1</v>
      </c>
      <c r="AQ55" s="282" t="s">
        <v>199</v>
      </c>
      <c r="AR55" s="283">
        <v>0</v>
      </c>
      <c r="AS55" s="279"/>
      <c r="AT55" s="279"/>
      <c r="AU55" s="280">
        <f t="shared" si="17"/>
        <v>0</v>
      </c>
      <c r="AV55" s="280" t="e">
        <f t="shared" si="18"/>
        <v>#DIV/0!</v>
      </c>
      <c r="AW55" s="280">
        <f t="shared" si="19"/>
        <v>0</v>
      </c>
      <c r="AX55" s="280" t="e">
        <f t="shared" si="20"/>
        <v>#DIV/0!</v>
      </c>
      <c r="AY55" s="281">
        <v>1</v>
      </c>
      <c r="AZ55" s="282" t="s">
        <v>199</v>
      </c>
      <c r="BA55" s="283">
        <v>0</v>
      </c>
      <c r="BB55" s="279"/>
      <c r="BC55" s="279"/>
      <c r="BD55" s="281">
        <f t="shared" si="21"/>
        <v>0</v>
      </c>
      <c r="BE55" s="281" t="e">
        <f t="shared" si="22"/>
        <v>#DIV/0!</v>
      </c>
      <c r="BF55" s="281">
        <f t="shared" si="23"/>
        <v>0</v>
      </c>
      <c r="BG55" s="281" t="e">
        <f t="shared" si="24"/>
        <v>#DIV/0!</v>
      </c>
      <c r="BH55" s="205">
        <f t="shared" si="5"/>
        <v>0</v>
      </c>
      <c r="BI55" s="205" t="str">
        <f t="shared" si="6"/>
        <v>No Prog ni Ejec</v>
      </c>
      <c r="BJ55" s="205">
        <f t="shared" si="7"/>
        <v>0</v>
      </c>
      <c r="BK55" s="205" t="str">
        <f t="shared" si="8"/>
        <v>No Prog ni Ejec</v>
      </c>
      <c r="BL55" s="205">
        <f t="shared" si="25"/>
        <v>0</v>
      </c>
      <c r="BM55" s="205" t="str">
        <f t="shared" si="26"/>
        <v>No Prog ni Ejec</v>
      </c>
      <c r="BN55" s="205">
        <f t="shared" si="9"/>
        <v>0</v>
      </c>
      <c r="BO55" s="205" t="str">
        <f t="shared" si="10"/>
        <v>No Prog ni Ejec</v>
      </c>
      <c r="BP55" s="206"/>
      <c r="BQ55" s="277">
        <v>1</v>
      </c>
      <c r="BR55" s="208">
        <f t="shared" si="12"/>
        <v>2.3333333333333335</v>
      </c>
      <c r="BS55" s="219" t="str">
        <f t="shared" si="27"/>
        <v>Elaboración de Informes de auditoría de reintegro de recursos</v>
      </c>
      <c r="BT55" s="195">
        <f t="shared" si="11"/>
        <v>0</v>
      </c>
      <c r="BU55" s="196"/>
      <c r="BV55" s="196"/>
      <c r="BW55" s="196"/>
      <c r="BX55" s="196"/>
      <c r="BY55" s="196"/>
      <c r="BZ55" s="196"/>
      <c r="CA55" s="146"/>
      <c r="CB55" s="146"/>
      <c r="CC55" s="146"/>
      <c r="CD55" s="146"/>
      <c r="CE55" s="146"/>
      <c r="CF55" s="146"/>
      <c r="CG55" s="146"/>
      <c r="CH55" s="146"/>
      <c r="CI55" s="146"/>
      <c r="CJ55" s="146"/>
      <c r="CK55" s="146"/>
      <c r="CL55" s="146"/>
      <c r="CM55" s="146"/>
      <c r="CN55" s="146"/>
      <c r="CO55" s="146"/>
      <c r="CP55" s="146"/>
      <c r="CQ55" s="146"/>
      <c r="CR55" s="146"/>
      <c r="CS55" s="146"/>
      <c r="CT55" s="146"/>
      <c r="CU55" s="146"/>
      <c r="CV55" s="146"/>
      <c r="CW55" s="146"/>
      <c r="CX55" s="146"/>
      <c r="CY55" s="146"/>
      <c r="CZ55" s="146"/>
      <c r="DA55" s="146"/>
      <c r="DB55" s="146"/>
      <c r="DC55" s="146"/>
      <c r="DD55" s="146"/>
      <c r="DE55" s="146"/>
      <c r="DF55" s="146"/>
      <c r="DG55" s="146"/>
      <c r="DH55" s="146"/>
      <c r="DI55" s="146"/>
      <c r="DJ55" s="146"/>
      <c r="DK55" s="146"/>
      <c r="DL55" s="146"/>
      <c r="DM55" s="146"/>
      <c r="DN55" s="146"/>
      <c r="DO55" s="146"/>
      <c r="DP55" s="146"/>
      <c r="DQ55" s="146"/>
      <c r="DR55" s="146"/>
      <c r="DS55" s="146"/>
      <c r="DT55" s="146"/>
      <c r="DU55" s="146"/>
      <c r="DV55" s="146"/>
      <c r="DW55" s="146"/>
      <c r="DX55" s="146"/>
      <c r="DY55" s="146"/>
      <c r="DZ55" s="146"/>
      <c r="EA55" s="146"/>
      <c r="EB55" s="146"/>
      <c r="EC55" s="146"/>
      <c r="ED55" s="146"/>
      <c r="EE55" s="146"/>
      <c r="EF55" s="146"/>
      <c r="EG55" s="146"/>
      <c r="EH55" s="146"/>
      <c r="EI55" s="146"/>
      <c r="EJ55" s="146"/>
      <c r="EK55" s="146"/>
      <c r="EL55" s="146"/>
      <c r="EM55" s="146"/>
      <c r="EN55" s="146"/>
      <c r="EO55" s="146"/>
      <c r="EP55" s="146"/>
      <c r="EQ55" s="146"/>
      <c r="ER55" s="146"/>
      <c r="ES55" s="146"/>
      <c r="ET55" s="146"/>
      <c r="EU55" s="146"/>
      <c r="EV55" s="146"/>
      <c r="EW55" s="146"/>
      <c r="EX55" s="146"/>
      <c r="EY55" s="146"/>
      <c r="EZ55" s="146"/>
      <c r="FA55" s="146"/>
      <c r="FB55" s="146"/>
      <c r="FC55" s="146"/>
      <c r="FD55" s="146"/>
      <c r="FE55" s="146"/>
      <c r="FF55" s="146"/>
      <c r="FG55" s="146"/>
      <c r="FH55" s="146"/>
      <c r="FI55" s="146"/>
      <c r="FJ55" s="146"/>
      <c r="FK55" s="146"/>
      <c r="FL55" s="146"/>
      <c r="FM55" s="146"/>
      <c r="FN55" s="146"/>
      <c r="FO55" s="146"/>
      <c r="FP55" s="146"/>
      <c r="FQ55" s="146"/>
      <c r="FR55" s="146"/>
      <c r="FS55" s="146"/>
      <c r="FT55" s="146"/>
      <c r="FU55" s="146"/>
      <c r="FV55" s="146"/>
      <c r="FW55" s="146"/>
      <c r="FX55" s="146"/>
      <c r="FY55" s="146"/>
      <c r="FZ55" s="146"/>
      <c r="GA55" s="146"/>
      <c r="GB55" s="146"/>
      <c r="GC55" s="146"/>
      <c r="GD55" s="146"/>
      <c r="GE55" s="146"/>
      <c r="GF55" s="146"/>
      <c r="GG55" s="146"/>
      <c r="GH55" s="146"/>
      <c r="GI55" s="146"/>
      <c r="GJ55" s="146"/>
      <c r="GK55" s="146"/>
      <c r="GL55" s="146"/>
      <c r="GM55" s="146"/>
      <c r="GN55" s="146"/>
      <c r="GO55" s="146"/>
      <c r="GP55" s="146"/>
      <c r="GQ55" s="146"/>
      <c r="GR55" s="146"/>
      <c r="GS55" s="146"/>
      <c r="GT55" s="146"/>
      <c r="GU55" s="146"/>
      <c r="GV55" s="146"/>
      <c r="GW55" s="146"/>
      <c r="GX55" s="146"/>
      <c r="GY55" s="146"/>
      <c r="GZ55" s="146"/>
      <c r="HA55" s="146"/>
      <c r="HB55" s="146"/>
      <c r="HC55" s="146"/>
      <c r="HD55" s="146"/>
      <c r="HE55" s="146"/>
      <c r="HF55" s="146"/>
      <c r="HG55" s="146"/>
      <c r="HH55" s="146"/>
      <c r="HI55" s="146"/>
      <c r="HJ55" s="146"/>
      <c r="HK55" s="146"/>
      <c r="HL55" s="146"/>
      <c r="HM55" s="146"/>
      <c r="HN55" s="146"/>
      <c r="HO55" s="146"/>
      <c r="HP55" s="146"/>
      <c r="HQ55" s="146"/>
      <c r="HR55" s="146"/>
      <c r="HS55" s="146"/>
      <c r="HT55" s="146"/>
      <c r="HU55" s="146"/>
      <c r="HV55" s="146"/>
      <c r="HW55" s="146"/>
      <c r="HX55" s="146"/>
      <c r="HY55" s="146"/>
      <c r="HZ55" s="146"/>
      <c r="IA55" s="146"/>
    </row>
    <row r="56" spans="1:235" s="154" customFormat="1" ht="137.25" customHeight="1" x14ac:dyDescent="0.25">
      <c r="A56" s="197">
        <v>11400</v>
      </c>
      <c r="B56" s="194" t="s">
        <v>26</v>
      </c>
      <c r="C56" s="198" t="s">
        <v>188</v>
      </c>
      <c r="D56" s="194" t="s">
        <v>144</v>
      </c>
      <c r="E56" s="198" t="s">
        <v>491</v>
      </c>
      <c r="F56" s="194" t="s">
        <v>478</v>
      </c>
      <c r="G56" s="209" t="s">
        <v>123</v>
      </c>
      <c r="H56" s="216">
        <v>1</v>
      </c>
      <c r="I56" s="198" t="s">
        <v>492</v>
      </c>
      <c r="J56" s="194" t="s">
        <v>477</v>
      </c>
      <c r="K56" s="210">
        <v>0</v>
      </c>
      <c r="L56" s="211">
        <v>1</v>
      </c>
      <c r="M56" s="194" t="s">
        <v>46</v>
      </c>
      <c r="N56" s="194" t="s">
        <v>68</v>
      </c>
      <c r="O56" s="194" t="s">
        <v>21</v>
      </c>
      <c r="P56" s="194" t="s">
        <v>36</v>
      </c>
      <c r="Q56" s="194" t="s">
        <v>223</v>
      </c>
      <c r="R56" s="194" t="s">
        <v>507</v>
      </c>
      <c r="S56" s="194" t="s">
        <v>99</v>
      </c>
      <c r="T56" s="211">
        <v>1</v>
      </c>
      <c r="U56" s="212" t="str">
        <f t="shared" si="13"/>
        <v>Elaboración de comunicaciones con las conclusiones del procedimiento de la auditoría de reintegro de recursos</v>
      </c>
      <c r="V56" s="213">
        <f t="shared" si="13"/>
        <v>0</v>
      </c>
      <c r="W56" s="214" t="s">
        <v>117</v>
      </c>
      <c r="X56" s="216">
        <v>1</v>
      </c>
      <c r="Y56" s="214" t="s">
        <v>477</v>
      </c>
      <c r="Z56" s="210">
        <v>0</v>
      </c>
      <c r="AA56" s="196"/>
      <c r="AB56" s="196"/>
      <c r="AC56" s="204">
        <f t="shared" si="14"/>
        <v>0</v>
      </c>
      <c r="AD56" s="204" t="e">
        <f t="shared" si="15"/>
        <v>#DIV/0!</v>
      </c>
      <c r="AE56" s="204">
        <f t="shared" si="0"/>
        <v>0</v>
      </c>
      <c r="AF56" s="204" t="e">
        <f t="shared" si="1"/>
        <v>#DIV/0!</v>
      </c>
      <c r="AG56" s="216">
        <v>1</v>
      </c>
      <c r="AH56" s="214" t="s">
        <v>477</v>
      </c>
      <c r="AI56" s="210">
        <v>0</v>
      </c>
      <c r="AJ56" s="196"/>
      <c r="AK56" s="196"/>
      <c r="AL56" s="204">
        <f t="shared" si="16"/>
        <v>0</v>
      </c>
      <c r="AM56" s="204" t="e">
        <f t="shared" si="2"/>
        <v>#DIV/0!</v>
      </c>
      <c r="AN56" s="204">
        <f t="shared" si="3"/>
        <v>0</v>
      </c>
      <c r="AO56" s="204" t="e">
        <f t="shared" si="4"/>
        <v>#DIV/0!</v>
      </c>
      <c r="AP56" s="216">
        <v>1</v>
      </c>
      <c r="AQ56" s="214" t="s">
        <v>477</v>
      </c>
      <c r="AR56" s="210">
        <v>0</v>
      </c>
      <c r="AS56" s="196"/>
      <c r="AT56" s="196"/>
      <c r="AU56" s="204">
        <f t="shared" si="17"/>
        <v>0</v>
      </c>
      <c r="AV56" s="204" t="e">
        <f t="shared" si="18"/>
        <v>#DIV/0!</v>
      </c>
      <c r="AW56" s="204">
        <f t="shared" si="19"/>
        <v>0</v>
      </c>
      <c r="AX56" s="204" t="e">
        <f t="shared" si="20"/>
        <v>#DIV/0!</v>
      </c>
      <c r="AY56" s="216">
        <v>1</v>
      </c>
      <c r="AZ56" s="214" t="s">
        <v>477</v>
      </c>
      <c r="BA56" s="210">
        <v>0</v>
      </c>
      <c r="BB56" s="196"/>
      <c r="BC56" s="196"/>
      <c r="BD56" s="216">
        <f t="shared" si="21"/>
        <v>0</v>
      </c>
      <c r="BE56" s="216" t="e">
        <f t="shared" si="22"/>
        <v>#DIV/0!</v>
      </c>
      <c r="BF56" s="216">
        <f t="shared" si="23"/>
        <v>0</v>
      </c>
      <c r="BG56" s="216" t="e">
        <f t="shared" si="24"/>
        <v>#DIV/0!</v>
      </c>
      <c r="BH56" s="207">
        <f t="shared" si="5"/>
        <v>0</v>
      </c>
      <c r="BI56" s="207" t="str">
        <f t="shared" si="6"/>
        <v>No Prog ni Ejec</v>
      </c>
      <c r="BJ56" s="207">
        <f t="shared" si="7"/>
        <v>0</v>
      </c>
      <c r="BK56" s="207" t="str">
        <f t="shared" si="8"/>
        <v>No Prog ni Ejec</v>
      </c>
      <c r="BL56" s="207">
        <f t="shared" si="25"/>
        <v>0</v>
      </c>
      <c r="BM56" s="207" t="str">
        <f t="shared" si="26"/>
        <v>No Prog ni Ejec</v>
      </c>
      <c r="BN56" s="207">
        <f t="shared" si="9"/>
        <v>0</v>
      </c>
      <c r="BO56" s="207" t="str">
        <f t="shared" si="10"/>
        <v>No Prog ni Ejec</v>
      </c>
      <c r="BP56" s="206"/>
      <c r="BQ56" s="277">
        <v>1</v>
      </c>
      <c r="BR56" s="208">
        <f t="shared" si="12"/>
        <v>2.3333333333333335</v>
      </c>
      <c r="BS56" s="219" t="str">
        <f t="shared" si="27"/>
        <v>Elaboración de comunicaciones con las conclusiones del procedimiento de la auditoría de reintegro de recursos</v>
      </c>
      <c r="BT56" s="195">
        <f t="shared" si="11"/>
        <v>0</v>
      </c>
      <c r="BU56" s="196"/>
      <c r="BV56" s="196"/>
      <c r="BW56" s="196"/>
      <c r="BX56" s="196"/>
      <c r="BY56" s="196"/>
      <c r="BZ56" s="196"/>
      <c r="CA56" s="146"/>
      <c r="CB56" s="146"/>
      <c r="CC56" s="146"/>
      <c r="CD56" s="146"/>
      <c r="CE56" s="146"/>
      <c r="CF56" s="146"/>
      <c r="CG56" s="146"/>
      <c r="CH56" s="146"/>
      <c r="CI56" s="146"/>
      <c r="CJ56" s="146"/>
      <c r="CK56" s="146"/>
      <c r="CL56" s="146"/>
      <c r="CM56" s="146"/>
      <c r="CN56" s="146"/>
      <c r="CO56" s="146"/>
      <c r="CP56" s="146"/>
      <c r="CQ56" s="146"/>
      <c r="CR56" s="146"/>
      <c r="CS56" s="146"/>
      <c r="CT56" s="146"/>
      <c r="CU56" s="146"/>
      <c r="CV56" s="146"/>
      <c r="CW56" s="146"/>
      <c r="CX56" s="146"/>
      <c r="CY56" s="146"/>
      <c r="CZ56" s="146"/>
      <c r="DA56" s="146"/>
      <c r="DB56" s="146"/>
      <c r="DC56" s="146"/>
      <c r="DD56" s="146"/>
      <c r="DE56" s="146"/>
      <c r="DF56" s="146"/>
      <c r="DG56" s="146"/>
      <c r="DH56" s="146"/>
      <c r="DI56" s="146"/>
      <c r="DJ56" s="146"/>
      <c r="DK56" s="146"/>
      <c r="DL56" s="146"/>
      <c r="DM56" s="146"/>
      <c r="DN56" s="146"/>
      <c r="DO56" s="146"/>
      <c r="DP56" s="146"/>
      <c r="DQ56" s="146"/>
      <c r="DR56" s="146"/>
      <c r="DS56" s="146"/>
      <c r="DT56" s="146"/>
      <c r="DU56" s="146"/>
      <c r="DV56" s="146"/>
      <c r="DW56" s="146"/>
      <c r="DX56" s="146"/>
      <c r="DY56" s="146"/>
      <c r="DZ56" s="146"/>
      <c r="EA56" s="146"/>
      <c r="EB56" s="146"/>
      <c r="EC56" s="146"/>
      <c r="ED56" s="146"/>
      <c r="EE56" s="146"/>
      <c r="EF56" s="146"/>
      <c r="EG56" s="146"/>
      <c r="EH56" s="146"/>
      <c r="EI56" s="146"/>
      <c r="EJ56" s="146"/>
      <c r="EK56" s="146"/>
      <c r="EL56" s="146"/>
      <c r="EM56" s="146"/>
      <c r="EN56" s="146"/>
      <c r="EO56" s="146"/>
      <c r="EP56" s="146"/>
      <c r="EQ56" s="146"/>
      <c r="ER56" s="146"/>
      <c r="ES56" s="146"/>
      <c r="ET56" s="146"/>
      <c r="EU56" s="146"/>
      <c r="EV56" s="146"/>
      <c r="EW56" s="146"/>
      <c r="EX56" s="146"/>
      <c r="EY56" s="146"/>
      <c r="EZ56" s="146"/>
      <c r="FA56" s="146"/>
      <c r="FB56" s="146"/>
      <c r="FC56" s="146"/>
      <c r="FD56" s="146"/>
      <c r="FE56" s="146"/>
      <c r="FF56" s="146"/>
      <c r="FG56" s="146"/>
      <c r="FH56" s="146"/>
      <c r="FI56" s="146"/>
      <c r="FJ56" s="146"/>
      <c r="FK56" s="146"/>
      <c r="FL56" s="146"/>
      <c r="FM56" s="146"/>
      <c r="FN56" s="146"/>
      <c r="FO56" s="146"/>
      <c r="FP56" s="146"/>
      <c r="FQ56" s="146"/>
      <c r="FR56" s="146"/>
      <c r="FS56" s="146"/>
      <c r="FT56" s="146"/>
      <c r="FU56" s="146"/>
      <c r="FV56" s="146"/>
      <c r="FW56" s="146"/>
      <c r="FX56" s="146"/>
      <c r="FY56" s="146"/>
      <c r="FZ56" s="146"/>
      <c r="GA56" s="146"/>
      <c r="GB56" s="146"/>
      <c r="GC56" s="146"/>
      <c r="GD56" s="146"/>
      <c r="GE56" s="146"/>
      <c r="GF56" s="146"/>
      <c r="GG56" s="146"/>
      <c r="GH56" s="146"/>
      <c r="GI56" s="146"/>
      <c r="GJ56" s="146"/>
      <c r="GK56" s="146"/>
      <c r="GL56" s="146"/>
      <c r="GM56" s="146"/>
      <c r="GN56" s="146"/>
      <c r="GO56" s="146"/>
      <c r="GP56" s="146"/>
      <c r="GQ56" s="146"/>
      <c r="GR56" s="146"/>
      <c r="GS56" s="146"/>
      <c r="GT56" s="146"/>
      <c r="GU56" s="146"/>
      <c r="GV56" s="146"/>
      <c r="GW56" s="146"/>
      <c r="GX56" s="146"/>
      <c r="GY56" s="146"/>
      <c r="GZ56" s="146"/>
      <c r="HA56" s="146"/>
      <c r="HB56" s="146"/>
      <c r="HC56" s="146"/>
      <c r="HD56" s="146"/>
      <c r="HE56" s="146"/>
      <c r="HF56" s="146"/>
      <c r="HG56" s="146"/>
      <c r="HH56" s="146"/>
      <c r="HI56" s="146"/>
      <c r="HJ56" s="146"/>
      <c r="HK56" s="146"/>
      <c r="HL56" s="146"/>
      <c r="HM56" s="146"/>
      <c r="HN56" s="146"/>
      <c r="HO56" s="146"/>
      <c r="HP56" s="146"/>
      <c r="HQ56" s="146"/>
      <c r="HR56" s="146"/>
      <c r="HS56" s="146"/>
      <c r="HT56" s="146"/>
      <c r="HU56" s="146"/>
      <c r="HV56" s="146"/>
      <c r="HW56" s="146"/>
      <c r="HX56" s="146"/>
      <c r="HY56" s="146"/>
      <c r="HZ56" s="146"/>
      <c r="IA56" s="146"/>
    </row>
    <row r="57" spans="1:235" s="154" customFormat="1" ht="71.25" x14ac:dyDescent="0.25">
      <c r="A57" s="197">
        <v>11400</v>
      </c>
      <c r="B57" s="194" t="s">
        <v>26</v>
      </c>
      <c r="C57" s="198" t="s">
        <v>188</v>
      </c>
      <c r="D57" s="194" t="s">
        <v>144</v>
      </c>
      <c r="E57" s="198" t="s">
        <v>493</v>
      </c>
      <c r="F57" s="194" t="s">
        <v>200</v>
      </c>
      <c r="G57" s="209" t="s">
        <v>123</v>
      </c>
      <c r="H57" s="216">
        <v>1</v>
      </c>
      <c r="I57" s="198" t="s">
        <v>494</v>
      </c>
      <c r="J57" s="194" t="s">
        <v>201</v>
      </c>
      <c r="K57" s="210">
        <v>0</v>
      </c>
      <c r="L57" s="211">
        <v>1</v>
      </c>
      <c r="M57" s="194" t="s">
        <v>46</v>
      </c>
      <c r="N57" s="194" t="s">
        <v>68</v>
      </c>
      <c r="O57" s="194" t="s">
        <v>21</v>
      </c>
      <c r="P57" s="194" t="s">
        <v>36</v>
      </c>
      <c r="Q57" s="194" t="s">
        <v>223</v>
      </c>
      <c r="R57" s="194" t="s">
        <v>238</v>
      </c>
      <c r="S57" s="194" t="s">
        <v>99</v>
      </c>
      <c r="T57" s="211">
        <v>1</v>
      </c>
      <c r="U57" s="212" t="str">
        <f t="shared" si="13"/>
        <v>Solicitud de aclaraciones a las EPS con saldos a favor de ADRES en el proceso LMA</v>
      </c>
      <c r="V57" s="213">
        <f t="shared" si="13"/>
        <v>0</v>
      </c>
      <c r="W57" s="214" t="s">
        <v>117</v>
      </c>
      <c r="X57" s="216">
        <v>1</v>
      </c>
      <c r="Y57" s="214" t="s">
        <v>201</v>
      </c>
      <c r="Z57" s="210">
        <v>0</v>
      </c>
      <c r="AA57" s="196"/>
      <c r="AB57" s="196"/>
      <c r="AC57" s="204">
        <f t="shared" si="14"/>
        <v>0</v>
      </c>
      <c r="AD57" s="204" t="e">
        <f t="shared" si="15"/>
        <v>#DIV/0!</v>
      </c>
      <c r="AE57" s="204">
        <f t="shared" si="0"/>
        <v>0</v>
      </c>
      <c r="AF57" s="204" t="e">
        <f t="shared" si="1"/>
        <v>#DIV/0!</v>
      </c>
      <c r="AG57" s="216">
        <v>1</v>
      </c>
      <c r="AH57" s="214" t="s">
        <v>201</v>
      </c>
      <c r="AI57" s="210">
        <v>0</v>
      </c>
      <c r="AJ57" s="196"/>
      <c r="AK57" s="196"/>
      <c r="AL57" s="204">
        <f t="shared" si="16"/>
        <v>0</v>
      </c>
      <c r="AM57" s="204" t="e">
        <f t="shared" si="2"/>
        <v>#DIV/0!</v>
      </c>
      <c r="AN57" s="204">
        <f t="shared" si="3"/>
        <v>0</v>
      </c>
      <c r="AO57" s="204" t="e">
        <f t="shared" si="4"/>
        <v>#DIV/0!</v>
      </c>
      <c r="AP57" s="216">
        <v>1</v>
      </c>
      <c r="AQ57" s="214" t="s">
        <v>201</v>
      </c>
      <c r="AR57" s="210">
        <v>0</v>
      </c>
      <c r="AS57" s="196"/>
      <c r="AT57" s="196"/>
      <c r="AU57" s="204">
        <f t="shared" si="17"/>
        <v>0</v>
      </c>
      <c r="AV57" s="204" t="e">
        <f t="shared" si="18"/>
        <v>#DIV/0!</v>
      </c>
      <c r="AW57" s="204">
        <f t="shared" si="19"/>
        <v>0</v>
      </c>
      <c r="AX57" s="204" t="e">
        <f t="shared" si="20"/>
        <v>#DIV/0!</v>
      </c>
      <c r="AY57" s="216">
        <v>1</v>
      </c>
      <c r="AZ57" s="214" t="s">
        <v>201</v>
      </c>
      <c r="BA57" s="210">
        <v>0</v>
      </c>
      <c r="BB57" s="196"/>
      <c r="BC57" s="196"/>
      <c r="BD57" s="216">
        <f t="shared" si="21"/>
        <v>0</v>
      </c>
      <c r="BE57" s="216" t="e">
        <f t="shared" si="22"/>
        <v>#DIV/0!</v>
      </c>
      <c r="BF57" s="216">
        <f t="shared" si="23"/>
        <v>0</v>
      </c>
      <c r="BG57" s="216" t="e">
        <f t="shared" si="24"/>
        <v>#DIV/0!</v>
      </c>
      <c r="BH57" s="207">
        <f t="shared" si="5"/>
        <v>0</v>
      </c>
      <c r="BI57" s="207" t="str">
        <f t="shared" si="6"/>
        <v>No Prog ni Ejec</v>
      </c>
      <c r="BJ57" s="207">
        <f t="shared" si="7"/>
        <v>0</v>
      </c>
      <c r="BK57" s="207" t="str">
        <f t="shared" si="8"/>
        <v>No Prog ni Ejec</v>
      </c>
      <c r="BL57" s="207">
        <f t="shared" si="25"/>
        <v>0</v>
      </c>
      <c r="BM57" s="207" t="str">
        <f t="shared" si="26"/>
        <v>No Prog ni Ejec</v>
      </c>
      <c r="BN57" s="207">
        <f t="shared" si="9"/>
        <v>0</v>
      </c>
      <c r="BO57" s="207" t="str">
        <f t="shared" si="10"/>
        <v>No Prog ni Ejec</v>
      </c>
      <c r="BP57" s="206"/>
      <c r="BQ57" s="277">
        <v>1</v>
      </c>
      <c r="BR57" s="208">
        <f t="shared" si="12"/>
        <v>2.3333333333333335</v>
      </c>
      <c r="BS57" s="219" t="str">
        <f t="shared" si="27"/>
        <v>Solicitud de aclaraciones a las EPS con saldos a favor de ADRES en el proceso LMA</v>
      </c>
      <c r="BT57" s="195">
        <f t="shared" si="11"/>
        <v>0</v>
      </c>
      <c r="BU57" s="196"/>
      <c r="BV57" s="196"/>
      <c r="BW57" s="196"/>
      <c r="BX57" s="196"/>
      <c r="BY57" s="196"/>
      <c r="BZ57" s="196"/>
      <c r="CA57" s="146"/>
      <c r="CB57" s="146"/>
      <c r="CC57" s="146"/>
      <c r="CD57" s="146"/>
      <c r="CE57" s="146"/>
      <c r="CF57" s="146"/>
      <c r="CG57" s="146"/>
      <c r="CH57" s="146"/>
      <c r="CI57" s="146"/>
      <c r="CJ57" s="146"/>
      <c r="CK57" s="146"/>
      <c r="CL57" s="146"/>
      <c r="CM57" s="146"/>
      <c r="CN57" s="146"/>
      <c r="CO57" s="146"/>
      <c r="CP57" s="146"/>
      <c r="CQ57" s="146"/>
      <c r="CR57" s="146"/>
      <c r="CS57" s="146"/>
      <c r="CT57" s="146"/>
      <c r="CU57" s="146"/>
      <c r="CV57" s="146"/>
      <c r="CW57" s="146"/>
      <c r="CX57" s="146"/>
      <c r="CY57" s="146"/>
      <c r="CZ57" s="146"/>
      <c r="DA57" s="146"/>
      <c r="DB57" s="146"/>
      <c r="DC57" s="146"/>
      <c r="DD57" s="146"/>
      <c r="DE57" s="146"/>
      <c r="DF57" s="146"/>
      <c r="DG57" s="146"/>
      <c r="DH57" s="146"/>
      <c r="DI57" s="146"/>
      <c r="DJ57" s="146"/>
      <c r="DK57" s="146"/>
      <c r="DL57" s="146"/>
      <c r="DM57" s="146"/>
      <c r="DN57" s="146"/>
      <c r="DO57" s="146"/>
      <c r="DP57" s="146"/>
      <c r="DQ57" s="146"/>
      <c r="DR57" s="146"/>
      <c r="DS57" s="146"/>
      <c r="DT57" s="146"/>
      <c r="DU57" s="146"/>
      <c r="DV57" s="146"/>
      <c r="DW57" s="146"/>
      <c r="DX57" s="146"/>
      <c r="DY57" s="146"/>
      <c r="DZ57" s="146"/>
      <c r="EA57" s="146"/>
      <c r="EB57" s="146"/>
      <c r="EC57" s="146"/>
      <c r="ED57" s="146"/>
      <c r="EE57" s="146"/>
      <c r="EF57" s="146"/>
      <c r="EG57" s="146"/>
      <c r="EH57" s="146"/>
      <c r="EI57" s="146"/>
      <c r="EJ57" s="146"/>
      <c r="EK57" s="146"/>
      <c r="EL57" s="146"/>
      <c r="EM57" s="146"/>
      <c r="EN57" s="146"/>
      <c r="EO57" s="146"/>
      <c r="EP57" s="146"/>
      <c r="EQ57" s="146"/>
      <c r="ER57" s="146"/>
      <c r="ES57" s="146"/>
      <c r="ET57" s="146"/>
      <c r="EU57" s="146"/>
      <c r="EV57" s="146"/>
      <c r="EW57" s="146"/>
      <c r="EX57" s="146"/>
      <c r="EY57" s="146"/>
      <c r="EZ57" s="146"/>
      <c r="FA57" s="146"/>
      <c r="FB57" s="146"/>
      <c r="FC57" s="146"/>
      <c r="FD57" s="146"/>
      <c r="FE57" s="146"/>
      <c r="FF57" s="146"/>
      <c r="FG57" s="146"/>
      <c r="FH57" s="146"/>
      <c r="FI57" s="146"/>
      <c r="FJ57" s="146"/>
      <c r="FK57" s="146"/>
      <c r="FL57" s="146"/>
      <c r="FM57" s="146"/>
      <c r="FN57" s="146"/>
      <c r="FO57" s="146"/>
      <c r="FP57" s="146"/>
      <c r="FQ57" s="146"/>
      <c r="FR57" s="146"/>
      <c r="FS57" s="146"/>
      <c r="FT57" s="146"/>
      <c r="FU57" s="146"/>
      <c r="FV57" s="146"/>
      <c r="FW57" s="146"/>
      <c r="FX57" s="146"/>
      <c r="FY57" s="146"/>
      <c r="FZ57" s="146"/>
      <c r="GA57" s="146"/>
      <c r="GB57" s="146"/>
      <c r="GC57" s="146"/>
      <c r="GD57" s="146"/>
      <c r="GE57" s="146"/>
      <c r="GF57" s="146"/>
      <c r="GG57" s="146"/>
      <c r="GH57" s="146"/>
      <c r="GI57" s="146"/>
      <c r="GJ57" s="146"/>
      <c r="GK57" s="146"/>
      <c r="GL57" s="146"/>
      <c r="GM57" s="146"/>
      <c r="GN57" s="146"/>
      <c r="GO57" s="146"/>
      <c r="GP57" s="146"/>
      <c r="GQ57" s="146"/>
      <c r="GR57" s="146"/>
      <c r="GS57" s="146"/>
      <c r="GT57" s="146"/>
      <c r="GU57" s="146"/>
      <c r="GV57" s="146"/>
      <c r="GW57" s="146"/>
      <c r="GX57" s="146"/>
      <c r="GY57" s="146"/>
      <c r="GZ57" s="146"/>
      <c r="HA57" s="146"/>
      <c r="HB57" s="146"/>
      <c r="HC57" s="146"/>
      <c r="HD57" s="146"/>
      <c r="HE57" s="146"/>
      <c r="HF57" s="146"/>
      <c r="HG57" s="146"/>
      <c r="HH57" s="146"/>
      <c r="HI57" s="146"/>
      <c r="HJ57" s="146"/>
      <c r="HK57" s="146"/>
      <c r="HL57" s="146"/>
      <c r="HM57" s="146"/>
      <c r="HN57" s="146"/>
      <c r="HO57" s="146"/>
      <c r="HP57" s="146"/>
      <c r="HQ57" s="146"/>
      <c r="HR57" s="146"/>
      <c r="HS57" s="146"/>
      <c r="HT57" s="146"/>
      <c r="HU57" s="146"/>
      <c r="HV57" s="146"/>
      <c r="HW57" s="146"/>
      <c r="HX57" s="146"/>
      <c r="HY57" s="146"/>
      <c r="HZ57" s="146"/>
      <c r="IA57" s="146"/>
    </row>
    <row r="58" spans="1:235" s="159" customFormat="1" ht="71.25" x14ac:dyDescent="0.25">
      <c r="A58" s="197">
        <v>11400</v>
      </c>
      <c r="B58" s="194" t="s">
        <v>26</v>
      </c>
      <c r="C58" s="198" t="s">
        <v>188</v>
      </c>
      <c r="D58" s="194" t="s">
        <v>144</v>
      </c>
      <c r="E58" s="198" t="s">
        <v>495</v>
      </c>
      <c r="F58" s="194" t="s">
        <v>202</v>
      </c>
      <c r="G58" s="209" t="s">
        <v>124</v>
      </c>
      <c r="H58" s="198">
        <v>1</v>
      </c>
      <c r="I58" s="198" t="s">
        <v>496</v>
      </c>
      <c r="J58" s="194" t="s">
        <v>203</v>
      </c>
      <c r="K58" s="210">
        <v>0</v>
      </c>
      <c r="L58" s="211">
        <v>1</v>
      </c>
      <c r="M58" s="194" t="s">
        <v>46</v>
      </c>
      <c r="N58" s="194" t="s">
        <v>68</v>
      </c>
      <c r="O58" s="194" t="s">
        <v>34</v>
      </c>
      <c r="P58" s="194" t="s">
        <v>35</v>
      </c>
      <c r="Q58" s="194" t="s">
        <v>225</v>
      </c>
      <c r="R58" s="194" t="s">
        <v>508</v>
      </c>
      <c r="S58" s="194" t="s">
        <v>99</v>
      </c>
      <c r="T58" s="215">
        <v>1</v>
      </c>
      <c r="U58" s="212" t="str">
        <f t="shared" si="13"/>
        <v>No. De Compras de Carteras realizadas</v>
      </c>
      <c r="V58" s="213">
        <f t="shared" si="13"/>
        <v>0</v>
      </c>
      <c r="W58" s="214" t="s">
        <v>117</v>
      </c>
      <c r="X58" s="284">
        <v>0</v>
      </c>
      <c r="Y58" s="282" t="s">
        <v>203</v>
      </c>
      <c r="Z58" s="283">
        <v>0</v>
      </c>
      <c r="AA58" s="279"/>
      <c r="AB58" s="279"/>
      <c r="AC58" s="280" t="e">
        <f t="shared" si="14"/>
        <v>#DIV/0!</v>
      </c>
      <c r="AD58" s="280" t="e">
        <f t="shared" si="15"/>
        <v>#DIV/0!</v>
      </c>
      <c r="AE58" s="280">
        <f t="shared" si="0"/>
        <v>0</v>
      </c>
      <c r="AF58" s="280" t="e">
        <f t="shared" si="1"/>
        <v>#DIV/0!</v>
      </c>
      <c r="AG58" s="284">
        <v>0</v>
      </c>
      <c r="AH58" s="282" t="s">
        <v>203</v>
      </c>
      <c r="AI58" s="283">
        <v>0</v>
      </c>
      <c r="AJ58" s="279"/>
      <c r="AK58" s="279"/>
      <c r="AL58" s="280" t="e">
        <f t="shared" si="16"/>
        <v>#DIV/0!</v>
      </c>
      <c r="AM58" s="280" t="e">
        <f t="shared" si="2"/>
        <v>#DIV/0!</v>
      </c>
      <c r="AN58" s="280">
        <f t="shared" si="3"/>
        <v>0</v>
      </c>
      <c r="AO58" s="280" t="e">
        <f t="shared" si="4"/>
        <v>#DIV/0!</v>
      </c>
      <c r="AP58" s="284">
        <v>0</v>
      </c>
      <c r="AQ58" s="282" t="s">
        <v>203</v>
      </c>
      <c r="AR58" s="283">
        <v>0</v>
      </c>
      <c r="AS58" s="279"/>
      <c r="AT58" s="279"/>
      <c r="AU58" s="280" t="e">
        <f t="shared" si="17"/>
        <v>#DIV/0!</v>
      </c>
      <c r="AV58" s="280" t="e">
        <f t="shared" si="18"/>
        <v>#DIV/0!</v>
      </c>
      <c r="AW58" s="280">
        <f t="shared" si="19"/>
        <v>0</v>
      </c>
      <c r="AX58" s="280" t="e">
        <f t="shared" si="20"/>
        <v>#DIV/0!</v>
      </c>
      <c r="AY58" s="284">
        <v>1</v>
      </c>
      <c r="AZ58" s="282" t="s">
        <v>203</v>
      </c>
      <c r="BA58" s="283">
        <v>0</v>
      </c>
      <c r="BB58" s="279"/>
      <c r="BC58" s="279"/>
      <c r="BD58" s="281">
        <f t="shared" si="21"/>
        <v>0</v>
      </c>
      <c r="BE58" s="281" t="e">
        <f t="shared" si="22"/>
        <v>#DIV/0!</v>
      </c>
      <c r="BF58" s="281">
        <f t="shared" si="23"/>
        <v>0</v>
      </c>
      <c r="BG58" s="281" t="e">
        <f t="shared" si="24"/>
        <v>#DIV/0!</v>
      </c>
      <c r="BH58" s="205" t="str">
        <f t="shared" si="5"/>
        <v>No Prog ni Ejec</v>
      </c>
      <c r="BI58" s="205" t="str">
        <f t="shared" si="6"/>
        <v>No Prog ni Ejec</v>
      </c>
      <c r="BJ58" s="205" t="str">
        <f t="shared" si="7"/>
        <v>No Prog ni Ejec</v>
      </c>
      <c r="BK58" s="205" t="str">
        <f t="shared" si="8"/>
        <v>No Prog ni Ejec</v>
      </c>
      <c r="BL58" s="205" t="str">
        <f t="shared" si="25"/>
        <v>No Prog ni Ejec</v>
      </c>
      <c r="BM58" s="205" t="str">
        <f t="shared" si="26"/>
        <v>No Prog ni Ejec</v>
      </c>
      <c r="BN58" s="205">
        <f t="shared" si="9"/>
        <v>0</v>
      </c>
      <c r="BO58" s="205" t="str">
        <f t="shared" si="10"/>
        <v>No Prog ni Ejec</v>
      </c>
      <c r="BP58" s="206"/>
      <c r="BQ58" s="277">
        <v>8</v>
      </c>
      <c r="BR58" s="218">
        <f t="shared" si="12"/>
        <v>0</v>
      </c>
      <c r="BS58" s="219" t="str">
        <f t="shared" si="27"/>
        <v>No. De Compras de Carteras realizadas</v>
      </c>
      <c r="BT58" s="195">
        <f t="shared" si="11"/>
        <v>0</v>
      </c>
      <c r="BU58" s="196"/>
      <c r="BV58" s="196"/>
      <c r="BW58" s="196"/>
      <c r="BX58" s="196"/>
      <c r="BY58" s="196"/>
      <c r="BZ58" s="196"/>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CZ58" s="146"/>
      <c r="DA58" s="146"/>
      <c r="DB58" s="146"/>
      <c r="DC58" s="146"/>
      <c r="DD58" s="146"/>
      <c r="DE58" s="146"/>
      <c r="DF58" s="146"/>
      <c r="DG58" s="146"/>
      <c r="DH58" s="146"/>
      <c r="DI58" s="146"/>
      <c r="DJ58" s="146"/>
      <c r="DK58" s="146"/>
      <c r="DL58" s="146"/>
      <c r="DM58" s="146"/>
      <c r="DN58" s="146"/>
      <c r="DO58" s="146"/>
      <c r="DP58" s="146"/>
      <c r="DQ58" s="146"/>
      <c r="DR58" s="146"/>
      <c r="DS58" s="146"/>
      <c r="DT58" s="146"/>
      <c r="DU58" s="146"/>
      <c r="DV58" s="146"/>
      <c r="DW58" s="146"/>
      <c r="DX58" s="146"/>
      <c r="DY58" s="146"/>
      <c r="DZ58" s="146"/>
      <c r="EA58" s="146"/>
      <c r="EB58" s="146"/>
      <c r="EC58" s="146"/>
      <c r="ED58" s="146"/>
      <c r="EE58" s="146"/>
      <c r="EF58" s="146"/>
      <c r="EG58" s="146"/>
      <c r="EH58" s="146"/>
      <c r="EI58" s="146"/>
      <c r="EJ58" s="146"/>
      <c r="EK58" s="146"/>
      <c r="EL58" s="146"/>
      <c r="EM58" s="146"/>
      <c r="EN58" s="146"/>
      <c r="EO58" s="146"/>
      <c r="EP58" s="146"/>
      <c r="EQ58" s="146"/>
      <c r="ER58" s="146"/>
      <c r="ES58" s="146"/>
      <c r="ET58" s="146"/>
      <c r="EU58" s="146"/>
      <c r="EV58" s="146"/>
      <c r="EW58" s="146"/>
      <c r="EX58" s="146"/>
      <c r="EY58" s="146"/>
      <c r="EZ58" s="146"/>
      <c r="FA58" s="146"/>
      <c r="FB58" s="146"/>
      <c r="FC58" s="146"/>
      <c r="FD58" s="146"/>
      <c r="FE58" s="146"/>
      <c r="FF58" s="146"/>
      <c r="FG58" s="146"/>
      <c r="FH58" s="146"/>
      <c r="FI58" s="146"/>
      <c r="FJ58" s="146"/>
      <c r="FK58" s="146"/>
      <c r="FL58" s="146"/>
      <c r="FM58" s="146"/>
      <c r="FN58" s="146"/>
      <c r="FO58" s="146"/>
      <c r="FP58" s="146"/>
      <c r="FQ58" s="146"/>
      <c r="FR58" s="146"/>
      <c r="FS58" s="146"/>
      <c r="FT58" s="146"/>
      <c r="FU58" s="146"/>
      <c r="FV58" s="146"/>
      <c r="FW58" s="146"/>
      <c r="FX58" s="146"/>
      <c r="FY58" s="146"/>
      <c r="FZ58" s="146"/>
      <c r="GA58" s="146"/>
      <c r="GB58" s="146"/>
      <c r="GC58" s="146"/>
      <c r="GD58" s="146"/>
      <c r="GE58" s="146"/>
      <c r="GF58" s="146"/>
      <c r="GG58" s="146"/>
      <c r="GH58" s="146"/>
      <c r="GI58" s="146"/>
      <c r="GJ58" s="146"/>
      <c r="GK58" s="146"/>
      <c r="GL58" s="146"/>
      <c r="GM58" s="146"/>
      <c r="GN58" s="146"/>
      <c r="GO58" s="146"/>
      <c r="GP58" s="146"/>
      <c r="GQ58" s="146"/>
      <c r="GR58" s="146"/>
      <c r="GS58" s="146"/>
      <c r="GT58" s="146"/>
      <c r="GU58" s="146"/>
      <c r="GV58" s="146"/>
      <c r="GW58" s="146"/>
      <c r="GX58" s="146"/>
      <c r="GY58" s="146"/>
      <c r="GZ58" s="146"/>
      <c r="HA58" s="146"/>
      <c r="HB58" s="146"/>
      <c r="HC58" s="146"/>
      <c r="HD58" s="146"/>
      <c r="HE58" s="146"/>
      <c r="HF58" s="146"/>
      <c r="HG58" s="146"/>
      <c r="HH58" s="146"/>
      <c r="HI58" s="146"/>
      <c r="HJ58" s="146"/>
      <c r="HK58" s="146"/>
      <c r="HL58" s="146"/>
      <c r="HM58" s="146"/>
      <c r="HN58" s="146"/>
      <c r="HO58" s="146"/>
      <c r="HP58" s="146"/>
      <c r="HQ58" s="146"/>
      <c r="HR58" s="146"/>
      <c r="HS58" s="146"/>
      <c r="HT58" s="146"/>
      <c r="HU58" s="146"/>
      <c r="HV58" s="146"/>
      <c r="HW58" s="146"/>
      <c r="HX58" s="146"/>
      <c r="HY58" s="146"/>
      <c r="HZ58" s="146"/>
      <c r="IA58" s="146"/>
    </row>
    <row r="59" spans="1:235" s="154" customFormat="1" ht="71.25" x14ac:dyDescent="0.25">
      <c r="A59" s="197">
        <v>11400</v>
      </c>
      <c r="B59" s="194" t="s">
        <v>26</v>
      </c>
      <c r="C59" s="198" t="s">
        <v>188</v>
      </c>
      <c r="D59" s="194" t="s">
        <v>144</v>
      </c>
      <c r="E59" s="198" t="s">
        <v>497</v>
      </c>
      <c r="F59" s="194" t="s">
        <v>204</v>
      </c>
      <c r="G59" s="209" t="s">
        <v>123</v>
      </c>
      <c r="H59" s="216">
        <v>1</v>
      </c>
      <c r="I59" s="198" t="s">
        <v>498</v>
      </c>
      <c r="J59" s="194" t="s">
        <v>205</v>
      </c>
      <c r="K59" s="210">
        <v>0</v>
      </c>
      <c r="L59" s="211">
        <v>1</v>
      </c>
      <c r="M59" s="194" t="s">
        <v>46</v>
      </c>
      <c r="N59" s="194" t="s">
        <v>68</v>
      </c>
      <c r="O59" s="194" t="s">
        <v>34</v>
      </c>
      <c r="P59" s="194" t="s">
        <v>35</v>
      </c>
      <c r="Q59" s="194" t="s">
        <v>225</v>
      </c>
      <c r="R59" s="194" t="s">
        <v>509</v>
      </c>
      <c r="S59" s="194" t="s">
        <v>99</v>
      </c>
      <c r="T59" s="211">
        <v>1</v>
      </c>
      <c r="U59" s="212" t="str">
        <f t="shared" si="13"/>
        <v>Certificaciones remitidas</v>
      </c>
      <c r="V59" s="213">
        <f t="shared" si="13"/>
        <v>0</v>
      </c>
      <c r="W59" s="214" t="s">
        <v>117</v>
      </c>
      <c r="X59" s="216">
        <v>1</v>
      </c>
      <c r="Y59" s="214" t="s">
        <v>205</v>
      </c>
      <c r="Z59" s="210">
        <v>0</v>
      </c>
      <c r="AA59" s="196"/>
      <c r="AB59" s="196"/>
      <c r="AC59" s="204">
        <f t="shared" si="14"/>
        <v>0</v>
      </c>
      <c r="AD59" s="204" t="e">
        <f t="shared" si="15"/>
        <v>#DIV/0!</v>
      </c>
      <c r="AE59" s="204">
        <f t="shared" si="0"/>
        <v>0</v>
      </c>
      <c r="AF59" s="204" t="e">
        <f t="shared" si="1"/>
        <v>#DIV/0!</v>
      </c>
      <c r="AG59" s="216">
        <v>1</v>
      </c>
      <c r="AH59" s="214" t="s">
        <v>205</v>
      </c>
      <c r="AI59" s="210">
        <v>0</v>
      </c>
      <c r="AJ59" s="196"/>
      <c r="AK59" s="196"/>
      <c r="AL59" s="204">
        <f t="shared" si="16"/>
        <v>0</v>
      </c>
      <c r="AM59" s="204" t="e">
        <f t="shared" si="2"/>
        <v>#DIV/0!</v>
      </c>
      <c r="AN59" s="204">
        <f t="shared" si="3"/>
        <v>0</v>
      </c>
      <c r="AO59" s="204" t="e">
        <f t="shared" si="4"/>
        <v>#DIV/0!</v>
      </c>
      <c r="AP59" s="216">
        <v>1</v>
      </c>
      <c r="AQ59" s="214" t="s">
        <v>205</v>
      </c>
      <c r="AR59" s="210">
        <v>0</v>
      </c>
      <c r="AS59" s="196"/>
      <c r="AT59" s="196"/>
      <c r="AU59" s="204">
        <f t="shared" si="17"/>
        <v>0</v>
      </c>
      <c r="AV59" s="204" t="e">
        <f t="shared" si="18"/>
        <v>#DIV/0!</v>
      </c>
      <c r="AW59" s="204">
        <f t="shared" si="19"/>
        <v>0</v>
      </c>
      <c r="AX59" s="204" t="e">
        <f t="shared" si="20"/>
        <v>#DIV/0!</v>
      </c>
      <c r="AY59" s="216">
        <v>1</v>
      </c>
      <c r="AZ59" s="214" t="s">
        <v>205</v>
      </c>
      <c r="BA59" s="210">
        <v>0</v>
      </c>
      <c r="BB59" s="196"/>
      <c r="BC59" s="196"/>
      <c r="BD59" s="216">
        <f t="shared" si="21"/>
        <v>0</v>
      </c>
      <c r="BE59" s="216" t="e">
        <f t="shared" si="22"/>
        <v>#DIV/0!</v>
      </c>
      <c r="BF59" s="216">
        <f t="shared" si="23"/>
        <v>0</v>
      </c>
      <c r="BG59" s="216" t="e">
        <f t="shared" si="24"/>
        <v>#DIV/0!</v>
      </c>
      <c r="BH59" s="207">
        <f t="shared" si="5"/>
        <v>0</v>
      </c>
      <c r="BI59" s="207" t="str">
        <f t="shared" si="6"/>
        <v>No Prog ni Ejec</v>
      </c>
      <c r="BJ59" s="207">
        <f t="shared" si="7"/>
        <v>0</v>
      </c>
      <c r="BK59" s="207" t="str">
        <f t="shared" si="8"/>
        <v>No Prog ni Ejec</v>
      </c>
      <c r="BL59" s="207">
        <f t="shared" si="25"/>
        <v>0</v>
      </c>
      <c r="BM59" s="207" t="str">
        <f t="shared" si="26"/>
        <v>No Prog ni Ejec</v>
      </c>
      <c r="BN59" s="207">
        <f t="shared" si="9"/>
        <v>0</v>
      </c>
      <c r="BO59" s="207" t="str">
        <f t="shared" si="10"/>
        <v>No Prog ni Ejec</v>
      </c>
      <c r="BP59" s="206"/>
      <c r="BQ59" s="277">
        <v>1</v>
      </c>
      <c r="BR59" s="208">
        <f t="shared" si="12"/>
        <v>2.3333333333333335</v>
      </c>
      <c r="BS59" s="219" t="str">
        <f t="shared" si="27"/>
        <v>Certificaciones remitidas</v>
      </c>
      <c r="BT59" s="195">
        <f t="shared" si="11"/>
        <v>0</v>
      </c>
      <c r="BU59" s="196"/>
      <c r="BV59" s="196"/>
      <c r="BW59" s="196"/>
      <c r="BX59" s="196"/>
      <c r="BY59" s="196"/>
      <c r="BZ59" s="19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c r="EU59" s="146"/>
      <c r="EV59" s="146"/>
      <c r="EW59" s="146"/>
      <c r="EX59" s="146"/>
      <c r="EY59" s="146"/>
      <c r="EZ59" s="146"/>
      <c r="FA59" s="146"/>
      <c r="FB59" s="146"/>
      <c r="FC59" s="146"/>
      <c r="FD59" s="146"/>
      <c r="FE59" s="146"/>
      <c r="FF59" s="146"/>
      <c r="FG59" s="146"/>
      <c r="FH59" s="146"/>
      <c r="FI59" s="146"/>
      <c r="FJ59" s="146"/>
      <c r="FK59" s="146"/>
      <c r="FL59" s="146"/>
      <c r="FM59" s="146"/>
      <c r="FN59" s="146"/>
      <c r="FO59" s="146"/>
      <c r="FP59" s="146"/>
      <c r="FQ59" s="146"/>
      <c r="FR59" s="146"/>
      <c r="FS59" s="146"/>
      <c r="FT59" s="146"/>
      <c r="FU59" s="146"/>
      <c r="FV59" s="146"/>
      <c r="FW59" s="146"/>
      <c r="FX59" s="146"/>
      <c r="FY59" s="146"/>
      <c r="FZ59" s="146"/>
      <c r="GA59" s="146"/>
      <c r="GB59" s="146"/>
      <c r="GC59" s="146"/>
      <c r="GD59" s="146"/>
      <c r="GE59" s="146"/>
      <c r="GF59" s="146"/>
      <c r="GG59" s="146"/>
      <c r="GH59" s="146"/>
      <c r="GI59" s="146"/>
      <c r="GJ59" s="146"/>
      <c r="GK59" s="146"/>
      <c r="GL59" s="146"/>
      <c r="GM59" s="146"/>
      <c r="GN59" s="146"/>
      <c r="GO59" s="146"/>
      <c r="GP59" s="146"/>
      <c r="GQ59" s="146"/>
      <c r="GR59" s="146"/>
      <c r="GS59" s="146"/>
      <c r="GT59" s="146"/>
      <c r="GU59" s="146"/>
      <c r="GV59" s="146"/>
      <c r="GW59" s="146"/>
      <c r="GX59" s="146"/>
      <c r="GY59" s="146"/>
      <c r="GZ59" s="146"/>
      <c r="HA59" s="146"/>
      <c r="HB59" s="146"/>
      <c r="HC59" s="146"/>
      <c r="HD59" s="146"/>
      <c r="HE59" s="146"/>
      <c r="HF59" s="146"/>
      <c r="HG59" s="146"/>
      <c r="HH59" s="146"/>
      <c r="HI59" s="146"/>
      <c r="HJ59" s="146"/>
      <c r="HK59" s="146"/>
      <c r="HL59" s="146"/>
      <c r="HM59" s="146"/>
      <c r="HN59" s="146"/>
      <c r="HO59" s="146"/>
      <c r="HP59" s="146"/>
      <c r="HQ59" s="146"/>
      <c r="HR59" s="146"/>
      <c r="HS59" s="146"/>
      <c r="HT59" s="146"/>
      <c r="HU59" s="146"/>
      <c r="HV59" s="146"/>
      <c r="HW59" s="146"/>
      <c r="HX59" s="146"/>
      <c r="HY59" s="146"/>
      <c r="HZ59" s="146"/>
      <c r="IA59" s="146"/>
    </row>
    <row r="60" spans="1:235" s="154" customFormat="1" ht="71.25" x14ac:dyDescent="0.25">
      <c r="A60" s="197">
        <v>11400</v>
      </c>
      <c r="B60" s="194" t="s">
        <v>26</v>
      </c>
      <c r="C60" s="198" t="s">
        <v>239</v>
      </c>
      <c r="D60" s="194" t="s">
        <v>144</v>
      </c>
      <c r="E60" s="198" t="s">
        <v>499</v>
      </c>
      <c r="F60" s="194" t="s">
        <v>206</v>
      </c>
      <c r="G60" s="209" t="s">
        <v>123</v>
      </c>
      <c r="H60" s="216">
        <v>1</v>
      </c>
      <c r="I60" s="198" t="s">
        <v>500</v>
      </c>
      <c r="J60" s="194" t="s">
        <v>205</v>
      </c>
      <c r="K60" s="210">
        <v>0</v>
      </c>
      <c r="L60" s="211">
        <v>1</v>
      </c>
      <c r="M60" s="194" t="s">
        <v>46</v>
      </c>
      <c r="N60" s="194" t="s">
        <v>68</v>
      </c>
      <c r="O60" s="194" t="s">
        <v>34</v>
      </c>
      <c r="P60" s="194" t="s">
        <v>35</v>
      </c>
      <c r="Q60" s="194" t="s">
        <v>225</v>
      </c>
      <c r="R60" s="194" t="s">
        <v>509</v>
      </c>
      <c r="S60" s="194" t="s">
        <v>99</v>
      </c>
      <c r="T60" s="211">
        <v>1</v>
      </c>
      <c r="U60" s="212" t="str">
        <f t="shared" si="13"/>
        <v>Certificaciones remitidas</v>
      </c>
      <c r="V60" s="213">
        <f t="shared" si="13"/>
        <v>0</v>
      </c>
      <c r="W60" s="214" t="s">
        <v>117</v>
      </c>
      <c r="X60" s="216">
        <v>1</v>
      </c>
      <c r="Y60" s="214" t="s">
        <v>205</v>
      </c>
      <c r="Z60" s="210">
        <v>0</v>
      </c>
      <c r="AA60" s="196"/>
      <c r="AB60" s="196"/>
      <c r="AC60" s="204">
        <f t="shared" si="14"/>
        <v>0</v>
      </c>
      <c r="AD60" s="204" t="e">
        <f t="shared" si="15"/>
        <v>#DIV/0!</v>
      </c>
      <c r="AE60" s="204">
        <f t="shared" si="0"/>
        <v>0</v>
      </c>
      <c r="AF60" s="204" t="e">
        <f t="shared" si="1"/>
        <v>#DIV/0!</v>
      </c>
      <c r="AG60" s="216">
        <v>1</v>
      </c>
      <c r="AH60" s="214" t="s">
        <v>205</v>
      </c>
      <c r="AI60" s="210">
        <v>0</v>
      </c>
      <c r="AJ60" s="196"/>
      <c r="AK60" s="196"/>
      <c r="AL60" s="204">
        <f t="shared" si="16"/>
        <v>0</v>
      </c>
      <c r="AM60" s="204" t="e">
        <f t="shared" si="2"/>
        <v>#DIV/0!</v>
      </c>
      <c r="AN60" s="204">
        <f t="shared" si="3"/>
        <v>0</v>
      </c>
      <c r="AO60" s="204" t="e">
        <f t="shared" si="4"/>
        <v>#DIV/0!</v>
      </c>
      <c r="AP60" s="216">
        <v>1</v>
      </c>
      <c r="AQ60" s="214" t="s">
        <v>205</v>
      </c>
      <c r="AR60" s="210">
        <v>0</v>
      </c>
      <c r="AS60" s="196"/>
      <c r="AT60" s="196"/>
      <c r="AU60" s="204">
        <f t="shared" si="17"/>
        <v>0</v>
      </c>
      <c r="AV60" s="204" t="e">
        <f t="shared" si="18"/>
        <v>#DIV/0!</v>
      </c>
      <c r="AW60" s="204">
        <f t="shared" si="19"/>
        <v>0</v>
      </c>
      <c r="AX60" s="204" t="e">
        <f t="shared" si="20"/>
        <v>#DIV/0!</v>
      </c>
      <c r="AY60" s="216">
        <v>1</v>
      </c>
      <c r="AZ60" s="214" t="s">
        <v>205</v>
      </c>
      <c r="BA60" s="210">
        <v>0</v>
      </c>
      <c r="BB60" s="196"/>
      <c r="BC60" s="196"/>
      <c r="BD60" s="216">
        <f t="shared" si="21"/>
        <v>0</v>
      </c>
      <c r="BE60" s="216" t="e">
        <f t="shared" si="22"/>
        <v>#DIV/0!</v>
      </c>
      <c r="BF60" s="216">
        <f t="shared" si="23"/>
        <v>0</v>
      </c>
      <c r="BG60" s="216" t="e">
        <f t="shared" si="24"/>
        <v>#DIV/0!</v>
      </c>
      <c r="BH60" s="207">
        <f t="shared" si="5"/>
        <v>0</v>
      </c>
      <c r="BI60" s="207" t="str">
        <f t="shared" si="6"/>
        <v>No Prog ni Ejec</v>
      </c>
      <c r="BJ60" s="207">
        <f t="shared" si="7"/>
        <v>0</v>
      </c>
      <c r="BK60" s="207" t="str">
        <f t="shared" si="8"/>
        <v>No Prog ni Ejec</v>
      </c>
      <c r="BL60" s="207">
        <f t="shared" si="25"/>
        <v>0</v>
      </c>
      <c r="BM60" s="207" t="str">
        <f t="shared" si="26"/>
        <v>No Prog ni Ejec</v>
      </c>
      <c r="BN60" s="207">
        <f t="shared" si="9"/>
        <v>0</v>
      </c>
      <c r="BO60" s="207" t="str">
        <f t="shared" si="10"/>
        <v>No Prog ni Ejec</v>
      </c>
      <c r="BP60" s="206"/>
      <c r="BQ60" s="277">
        <v>1</v>
      </c>
      <c r="BR60" s="208">
        <f t="shared" si="12"/>
        <v>2.3333333333333335</v>
      </c>
      <c r="BS60" s="219" t="str">
        <f t="shared" si="27"/>
        <v>Certificaciones remitidas</v>
      </c>
      <c r="BT60" s="195">
        <f t="shared" si="11"/>
        <v>0</v>
      </c>
      <c r="BU60" s="196"/>
      <c r="BV60" s="196"/>
      <c r="BW60" s="196"/>
      <c r="BX60" s="196"/>
      <c r="BY60" s="196"/>
      <c r="BZ60" s="19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c r="EU60" s="146"/>
      <c r="EV60" s="146"/>
      <c r="EW60" s="146"/>
      <c r="EX60" s="146"/>
      <c r="EY60" s="146"/>
      <c r="EZ60" s="146"/>
      <c r="FA60" s="146"/>
      <c r="FB60" s="146"/>
      <c r="FC60" s="146"/>
      <c r="FD60" s="146"/>
      <c r="FE60" s="146"/>
      <c r="FF60" s="146"/>
      <c r="FG60" s="146"/>
      <c r="FH60" s="146"/>
      <c r="FI60" s="146"/>
      <c r="FJ60" s="146"/>
      <c r="FK60" s="146"/>
      <c r="FL60" s="146"/>
      <c r="FM60" s="146"/>
      <c r="FN60" s="146"/>
      <c r="FO60" s="146"/>
      <c r="FP60" s="146"/>
      <c r="FQ60" s="146"/>
      <c r="FR60" s="146"/>
      <c r="FS60" s="146"/>
      <c r="FT60" s="146"/>
      <c r="FU60" s="146"/>
      <c r="FV60" s="146"/>
      <c r="FW60" s="146"/>
      <c r="FX60" s="146"/>
      <c r="FY60" s="146"/>
      <c r="FZ60" s="146"/>
      <c r="GA60" s="146"/>
      <c r="GB60" s="146"/>
      <c r="GC60" s="146"/>
      <c r="GD60" s="146"/>
      <c r="GE60" s="146"/>
      <c r="GF60" s="146"/>
      <c r="GG60" s="146"/>
      <c r="GH60" s="146"/>
      <c r="GI60" s="146"/>
      <c r="GJ60" s="146"/>
      <c r="GK60" s="146"/>
      <c r="GL60" s="146"/>
      <c r="GM60" s="146"/>
      <c r="GN60" s="146"/>
      <c r="GO60" s="146"/>
      <c r="GP60" s="146"/>
      <c r="GQ60" s="146"/>
      <c r="GR60" s="146"/>
      <c r="GS60" s="146"/>
      <c r="GT60" s="146"/>
      <c r="GU60" s="146"/>
      <c r="GV60" s="146"/>
      <c r="GW60" s="146"/>
      <c r="GX60" s="146"/>
      <c r="GY60" s="146"/>
      <c r="GZ60" s="146"/>
      <c r="HA60" s="146"/>
      <c r="HB60" s="146"/>
      <c r="HC60" s="146"/>
      <c r="HD60" s="146"/>
      <c r="HE60" s="146"/>
      <c r="HF60" s="146"/>
      <c r="HG60" s="146"/>
      <c r="HH60" s="146"/>
      <c r="HI60" s="146"/>
      <c r="HJ60" s="146"/>
      <c r="HK60" s="146"/>
      <c r="HL60" s="146"/>
      <c r="HM60" s="146"/>
      <c r="HN60" s="146"/>
      <c r="HO60" s="146"/>
      <c r="HP60" s="146"/>
      <c r="HQ60" s="146"/>
      <c r="HR60" s="146"/>
      <c r="HS60" s="146"/>
      <c r="HT60" s="146"/>
      <c r="HU60" s="146"/>
      <c r="HV60" s="146"/>
      <c r="HW60" s="146"/>
      <c r="HX60" s="146"/>
      <c r="HY60" s="146"/>
      <c r="HZ60" s="146"/>
      <c r="IA60" s="146"/>
    </row>
    <row r="61" spans="1:235" s="154" customFormat="1" ht="71.25" x14ac:dyDescent="0.25">
      <c r="A61" s="197">
        <v>11400</v>
      </c>
      <c r="B61" s="194" t="s">
        <v>26</v>
      </c>
      <c r="C61" s="198" t="s">
        <v>240</v>
      </c>
      <c r="D61" s="194" t="s">
        <v>144</v>
      </c>
      <c r="E61" s="198" t="s">
        <v>501</v>
      </c>
      <c r="F61" s="194" t="s">
        <v>207</v>
      </c>
      <c r="G61" s="209" t="s">
        <v>123</v>
      </c>
      <c r="H61" s="216">
        <v>1</v>
      </c>
      <c r="I61" s="198" t="s">
        <v>502</v>
      </c>
      <c r="J61" s="194" t="s">
        <v>205</v>
      </c>
      <c r="K61" s="210">
        <v>0</v>
      </c>
      <c r="L61" s="211">
        <v>1</v>
      </c>
      <c r="M61" s="194" t="s">
        <v>46</v>
      </c>
      <c r="N61" s="194" t="s">
        <v>68</v>
      </c>
      <c r="O61" s="194" t="s">
        <v>34</v>
      </c>
      <c r="P61" s="194" t="s">
        <v>35</v>
      </c>
      <c r="Q61" s="194" t="s">
        <v>225</v>
      </c>
      <c r="R61" s="194" t="s">
        <v>509</v>
      </c>
      <c r="S61" s="194" t="s">
        <v>99</v>
      </c>
      <c r="T61" s="211">
        <v>1</v>
      </c>
      <c r="U61" s="212" t="str">
        <f t="shared" si="13"/>
        <v>Certificaciones remitidas</v>
      </c>
      <c r="V61" s="213">
        <f t="shared" si="13"/>
        <v>0</v>
      </c>
      <c r="W61" s="214" t="s">
        <v>117</v>
      </c>
      <c r="X61" s="216">
        <v>1</v>
      </c>
      <c r="Y61" s="214" t="s">
        <v>205</v>
      </c>
      <c r="Z61" s="210">
        <v>0</v>
      </c>
      <c r="AA61" s="196"/>
      <c r="AB61" s="196"/>
      <c r="AC61" s="204">
        <f t="shared" si="14"/>
        <v>0</v>
      </c>
      <c r="AD61" s="204" t="e">
        <f t="shared" si="15"/>
        <v>#DIV/0!</v>
      </c>
      <c r="AE61" s="204">
        <f t="shared" si="0"/>
        <v>0</v>
      </c>
      <c r="AF61" s="204" t="e">
        <f t="shared" si="1"/>
        <v>#DIV/0!</v>
      </c>
      <c r="AG61" s="216">
        <v>1</v>
      </c>
      <c r="AH61" s="214" t="s">
        <v>205</v>
      </c>
      <c r="AI61" s="210">
        <v>0</v>
      </c>
      <c r="AJ61" s="196"/>
      <c r="AK61" s="196"/>
      <c r="AL61" s="204">
        <f t="shared" si="16"/>
        <v>0</v>
      </c>
      <c r="AM61" s="204" t="e">
        <f t="shared" si="2"/>
        <v>#DIV/0!</v>
      </c>
      <c r="AN61" s="204">
        <f t="shared" si="3"/>
        <v>0</v>
      </c>
      <c r="AO61" s="204" t="e">
        <f t="shared" si="4"/>
        <v>#DIV/0!</v>
      </c>
      <c r="AP61" s="216">
        <v>1</v>
      </c>
      <c r="AQ61" s="214" t="s">
        <v>205</v>
      </c>
      <c r="AR61" s="210">
        <v>0</v>
      </c>
      <c r="AS61" s="196"/>
      <c r="AT61" s="196"/>
      <c r="AU61" s="204">
        <f t="shared" si="17"/>
        <v>0</v>
      </c>
      <c r="AV61" s="204" t="e">
        <f t="shared" si="18"/>
        <v>#DIV/0!</v>
      </c>
      <c r="AW61" s="204">
        <f t="shared" si="19"/>
        <v>0</v>
      </c>
      <c r="AX61" s="204" t="e">
        <f t="shared" si="20"/>
        <v>#DIV/0!</v>
      </c>
      <c r="AY61" s="216">
        <v>1</v>
      </c>
      <c r="AZ61" s="214" t="s">
        <v>205</v>
      </c>
      <c r="BA61" s="210">
        <v>0</v>
      </c>
      <c r="BB61" s="196"/>
      <c r="BC61" s="196"/>
      <c r="BD61" s="216">
        <f t="shared" si="21"/>
        <v>0</v>
      </c>
      <c r="BE61" s="216" t="e">
        <f t="shared" si="22"/>
        <v>#DIV/0!</v>
      </c>
      <c r="BF61" s="216">
        <f t="shared" si="23"/>
        <v>0</v>
      </c>
      <c r="BG61" s="216" t="e">
        <f t="shared" si="24"/>
        <v>#DIV/0!</v>
      </c>
      <c r="BH61" s="207">
        <f t="shared" si="5"/>
        <v>0</v>
      </c>
      <c r="BI61" s="207" t="str">
        <f t="shared" si="6"/>
        <v>No Prog ni Ejec</v>
      </c>
      <c r="BJ61" s="207">
        <f t="shared" si="7"/>
        <v>0</v>
      </c>
      <c r="BK61" s="207" t="str">
        <f t="shared" si="8"/>
        <v>No Prog ni Ejec</v>
      </c>
      <c r="BL61" s="207">
        <f t="shared" si="25"/>
        <v>0</v>
      </c>
      <c r="BM61" s="207" t="str">
        <f t="shared" si="26"/>
        <v>No Prog ni Ejec</v>
      </c>
      <c r="BN61" s="207">
        <f t="shared" si="9"/>
        <v>0</v>
      </c>
      <c r="BO61" s="207" t="str">
        <f t="shared" si="10"/>
        <v>No Prog ni Ejec</v>
      </c>
      <c r="BP61" s="206"/>
      <c r="BQ61" s="277">
        <v>1</v>
      </c>
      <c r="BR61" s="208">
        <f t="shared" si="12"/>
        <v>2.3333333333333335</v>
      </c>
      <c r="BS61" s="219" t="str">
        <f t="shared" si="27"/>
        <v>Certificaciones remitidas</v>
      </c>
      <c r="BT61" s="195">
        <f t="shared" si="11"/>
        <v>0</v>
      </c>
      <c r="BU61" s="196"/>
      <c r="BV61" s="196"/>
      <c r="BW61" s="196"/>
      <c r="BX61" s="196"/>
      <c r="BY61" s="196"/>
      <c r="BZ61" s="19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c r="EU61" s="146"/>
      <c r="EV61" s="146"/>
      <c r="EW61" s="146"/>
      <c r="EX61" s="146"/>
      <c r="EY61" s="146"/>
      <c r="EZ61" s="146"/>
      <c r="FA61" s="146"/>
      <c r="FB61" s="146"/>
      <c r="FC61" s="146"/>
      <c r="FD61" s="146"/>
      <c r="FE61" s="146"/>
      <c r="FF61" s="146"/>
      <c r="FG61" s="146"/>
      <c r="FH61" s="146"/>
      <c r="FI61" s="146"/>
      <c r="FJ61" s="146"/>
      <c r="FK61" s="146"/>
      <c r="FL61" s="146"/>
      <c r="FM61" s="146"/>
      <c r="FN61" s="146"/>
      <c r="FO61" s="146"/>
      <c r="FP61" s="146"/>
      <c r="FQ61" s="146"/>
      <c r="FR61" s="146"/>
      <c r="FS61" s="146"/>
      <c r="FT61" s="146"/>
      <c r="FU61" s="146"/>
      <c r="FV61" s="146"/>
      <c r="FW61" s="146"/>
      <c r="FX61" s="146"/>
      <c r="FY61" s="146"/>
      <c r="FZ61" s="146"/>
      <c r="GA61" s="146"/>
      <c r="GB61" s="146"/>
      <c r="GC61" s="146"/>
      <c r="GD61" s="146"/>
      <c r="GE61" s="146"/>
      <c r="GF61" s="146"/>
      <c r="GG61" s="146"/>
      <c r="GH61" s="146"/>
      <c r="GI61" s="146"/>
      <c r="GJ61" s="146"/>
      <c r="GK61" s="146"/>
      <c r="GL61" s="146"/>
      <c r="GM61" s="146"/>
      <c r="GN61" s="146"/>
      <c r="GO61" s="146"/>
      <c r="GP61" s="146"/>
      <c r="GQ61" s="146"/>
      <c r="GR61" s="146"/>
      <c r="GS61" s="146"/>
      <c r="GT61" s="146"/>
      <c r="GU61" s="146"/>
      <c r="GV61" s="146"/>
      <c r="GW61" s="146"/>
      <c r="GX61" s="146"/>
      <c r="GY61" s="146"/>
      <c r="GZ61" s="146"/>
      <c r="HA61" s="146"/>
      <c r="HB61" s="146"/>
      <c r="HC61" s="146"/>
      <c r="HD61" s="146"/>
      <c r="HE61" s="146"/>
      <c r="HF61" s="146"/>
      <c r="HG61" s="146"/>
      <c r="HH61" s="146"/>
      <c r="HI61" s="146"/>
      <c r="HJ61" s="146"/>
      <c r="HK61" s="146"/>
      <c r="HL61" s="146"/>
      <c r="HM61" s="146"/>
      <c r="HN61" s="146"/>
      <c r="HO61" s="146"/>
      <c r="HP61" s="146"/>
      <c r="HQ61" s="146"/>
      <c r="HR61" s="146"/>
      <c r="HS61" s="146"/>
      <c r="HT61" s="146"/>
      <c r="HU61" s="146"/>
      <c r="HV61" s="146"/>
      <c r="HW61" s="146"/>
      <c r="HX61" s="146"/>
      <c r="HY61" s="146"/>
      <c r="HZ61" s="146"/>
      <c r="IA61" s="146"/>
    </row>
    <row r="62" spans="1:235" s="154" customFormat="1" ht="71.25" x14ac:dyDescent="0.25">
      <c r="A62" s="197">
        <v>11400</v>
      </c>
      <c r="B62" s="194" t="s">
        <v>26</v>
      </c>
      <c r="C62" s="198" t="s">
        <v>241</v>
      </c>
      <c r="D62" s="194" t="s">
        <v>144</v>
      </c>
      <c r="E62" s="198" t="s">
        <v>503</v>
      </c>
      <c r="F62" s="194" t="s">
        <v>208</v>
      </c>
      <c r="G62" s="209" t="s">
        <v>123</v>
      </c>
      <c r="H62" s="216">
        <v>1</v>
      </c>
      <c r="I62" s="198" t="s">
        <v>504</v>
      </c>
      <c r="J62" s="194" t="s">
        <v>205</v>
      </c>
      <c r="K62" s="210">
        <v>0</v>
      </c>
      <c r="L62" s="211">
        <v>1</v>
      </c>
      <c r="M62" s="194" t="s">
        <v>46</v>
      </c>
      <c r="N62" s="194" t="s">
        <v>68</v>
      </c>
      <c r="O62" s="194" t="s">
        <v>34</v>
      </c>
      <c r="P62" s="194" t="s">
        <v>35</v>
      </c>
      <c r="Q62" s="194" t="s">
        <v>225</v>
      </c>
      <c r="R62" s="194" t="s">
        <v>509</v>
      </c>
      <c r="S62" s="194" t="s">
        <v>99</v>
      </c>
      <c r="T62" s="211">
        <v>1</v>
      </c>
      <c r="U62" s="212" t="str">
        <f t="shared" si="13"/>
        <v>Certificaciones remitidas</v>
      </c>
      <c r="V62" s="213">
        <f t="shared" si="13"/>
        <v>0</v>
      </c>
      <c r="W62" s="214" t="s">
        <v>117</v>
      </c>
      <c r="X62" s="216">
        <v>1</v>
      </c>
      <c r="Y62" s="214" t="s">
        <v>205</v>
      </c>
      <c r="Z62" s="210">
        <v>0</v>
      </c>
      <c r="AA62" s="196"/>
      <c r="AB62" s="196"/>
      <c r="AC62" s="204">
        <f t="shared" si="14"/>
        <v>0</v>
      </c>
      <c r="AD62" s="204" t="e">
        <f t="shared" si="15"/>
        <v>#DIV/0!</v>
      </c>
      <c r="AE62" s="204">
        <f t="shared" si="0"/>
        <v>0</v>
      </c>
      <c r="AF62" s="204" t="e">
        <f t="shared" si="1"/>
        <v>#DIV/0!</v>
      </c>
      <c r="AG62" s="216">
        <v>1</v>
      </c>
      <c r="AH62" s="214" t="s">
        <v>205</v>
      </c>
      <c r="AI62" s="210">
        <v>0</v>
      </c>
      <c r="AJ62" s="196"/>
      <c r="AK62" s="196"/>
      <c r="AL62" s="204">
        <f t="shared" si="16"/>
        <v>0</v>
      </c>
      <c r="AM62" s="204" t="e">
        <f t="shared" si="2"/>
        <v>#DIV/0!</v>
      </c>
      <c r="AN62" s="204">
        <f t="shared" si="3"/>
        <v>0</v>
      </c>
      <c r="AO62" s="204" t="e">
        <f t="shared" si="4"/>
        <v>#DIV/0!</v>
      </c>
      <c r="AP62" s="216">
        <v>1</v>
      </c>
      <c r="AQ62" s="214" t="s">
        <v>205</v>
      </c>
      <c r="AR62" s="210">
        <v>0</v>
      </c>
      <c r="AS62" s="196"/>
      <c r="AT62" s="196"/>
      <c r="AU62" s="204">
        <f t="shared" si="17"/>
        <v>0</v>
      </c>
      <c r="AV62" s="204" t="e">
        <f t="shared" si="18"/>
        <v>#DIV/0!</v>
      </c>
      <c r="AW62" s="204">
        <f t="shared" si="19"/>
        <v>0</v>
      </c>
      <c r="AX62" s="204" t="e">
        <f t="shared" si="20"/>
        <v>#DIV/0!</v>
      </c>
      <c r="AY62" s="216">
        <v>1</v>
      </c>
      <c r="AZ62" s="214" t="s">
        <v>205</v>
      </c>
      <c r="BA62" s="210">
        <v>0</v>
      </c>
      <c r="BB62" s="196"/>
      <c r="BC62" s="196"/>
      <c r="BD62" s="216">
        <f t="shared" si="21"/>
        <v>0</v>
      </c>
      <c r="BE62" s="216" t="e">
        <f t="shared" si="22"/>
        <v>#DIV/0!</v>
      </c>
      <c r="BF62" s="216">
        <f t="shared" si="23"/>
        <v>0</v>
      </c>
      <c r="BG62" s="216" t="e">
        <f t="shared" si="24"/>
        <v>#DIV/0!</v>
      </c>
      <c r="BH62" s="207">
        <f t="shared" si="5"/>
        <v>0</v>
      </c>
      <c r="BI62" s="207" t="str">
        <f t="shared" si="6"/>
        <v>No Prog ni Ejec</v>
      </c>
      <c r="BJ62" s="207">
        <f t="shared" si="7"/>
        <v>0</v>
      </c>
      <c r="BK62" s="207" t="str">
        <f t="shared" si="8"/>
        <v>No Prog ni Ejec</v>
      </c>
      <c r="BL62" s="207">
        <f t="shared" si="25"/>
        <v>0</v>
      </c>
      <c r="BM62" s="207" t="str">
        <f t="shared" si="26"/>
        <v>No Prog ni Ejec</v>
      </c>
      <c r="BN62" s="207">
        <f t="shared" si="9"/>
        <v>0</v>
      </c>
      <c r="BO62" s="207" t="str">
        <f t="shared" si="10"/>
        <v>No Prog ni Ejec</v>
      </c>
      <c r="BP62" s="206"/>
      <c r="BQ62" s="277">
        <v>1</v>
      </c>
      <c r="BR62" s="208">
        <f t="shared" si="12"/>
        <v>2.3333333333333335</v>
      </c>
      <c r="BS62" s="219" t="str">
        <f t="shared" si="27"/>
        <v>Certificaciones remitidas</v>
      </c>
      <c r="BT62" s="195">
        <f t="shared" si="11"/>
        <v>0</v>
      </c>
      <c r="BU62" s="196"/>
      <c r="BV62" s="196"/>
      <c r="BW62" s="196"/>
      <c r="BX62" s="196"/>
      <c r="BY62" s="196"/>
      <c r="BZ62" s="19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c r="EU62" s="146"/>
      <c r="EV62" s="146"/>
      <c r="EW62" s="146"/>
      <c r="EX62" s="146"/>
      <c r="EY62" s="146"/>
      <c r="EZ62" s="146"/>
      <c r="FA62" s="146"/>
      <c r="FB62" s="146"/>
      <c r="FC62" s="146"/>
      <c r="FD62" s="146"/>
      <c r="FE62" s="146"/>
      <c r="FF62" s="146"/>
      <c r="FG62" s="146"/>
      <c r="FH62" s="146"/>
      <c r="FI62" s="146"/>
      <c r="FJ62" s="146"/>
      <c r="FK62" s="146"/>
      <c r="FL62" s="146"/>
      <c r="FM62" s="146"/>
      <c r="FN62" s="146"/>
      <c r="FO62" s="146"/>
      <c r="FP62" s="146"/>
      <c r="FQ62" s="146"/>
      <c r="FR62" s="146"/>
      <c r="FS62" s="146"/>
      <c r="FT62" s="146"/>
      <c r="FU62" s="146"/>
      <c r="FV62" s="146"/>
      <c r="FW62" s="146"/>
      <c r="FX62" s="146"/>
      <c r="FY62" s="146"/>
      <c r="FZ62" s="146"/>
      <c r="GA62" s="146"/>
      <c r="GB62" s="146"/>
      <c r="GC62" s="146"/>
      <c r="GD62" s="146"/>
      <c r="GE62" s="146"/>
      <c r="GF62" s="146"/>
      <c r="GG62" s="146"/>
      <c r="GH62" s="146"/>
      <c r="GI62" s="146"/>
      <c r="GJ62" s="146"/>
      <c r="GK62" s="146"/>
      <c r="GL62" s="146"/>
      <c r="GM62" s="146"/>
      <c r="GN62" s="146"/>
      <c r="GO62" s="146"/>
      <c r="GP62" s="146"/>
      <c r="GQ62" s="146"/>
      <c r="GR62" s="146"/>
      <c r="GS62" s="146"/>
      <c r="GT62" s="146"/>
      <c r="GU62" s="146"/>
      <c r="GV62" s="146"/>
      <c r="GW62" s="146"/>
      <c r="GX62" s="146"/>
      <c r="GY62" s="146"/>
      <c r="GZ62" s="146"/>
      <c r="HA62" s="146"/>
      <c r="HB62" s="146"/>
      <c r="HC62" s="146"/>
      <c r="HD62" s="146"/>
      <c r="HE62" s="146"/>
      <c r="HF62" s="146"/>
      <c r="HG62" s="146"/>
      <c r="HH62" s="146"/>
      <c r="HI62" s="146"/>
      <c r="HJ62" s="146"/>
      <c r="HK62" s="146"/>
      <c r="HL62" s="146"/>
      <c r="HM62" s="146"/>
      <c r="HN62" s="146"/>
      <c r="HO62" s="146"/>
      <c r="HP62" s="146"/>
      <c r="HQ62" s="146"/>
      <c r="HR62" s="146"/>
      <c r="HS62" s="146"/>
      <c r="HT62" s="146"/>
      <c r="HU62" s="146"/>
      <c r="HV62" s="146"/>
      <c r="HW62" s="146"/>
      <c r="HX62" s="146"/>
      <c r="HY62" s="146"/>
      <c r="HZ62" s="146"/>
      <c r="IA62" s="146"/>
    </row>
    <row r="63" spans="1:235" s="155" customFormat="1" ht="71.25" x14ac:dyDescent="0.25">
      <c r="A63" s="197">
        <v>11400</v>
      </c>
      <c r="B63" s="194" t="s">
        <v>26</v>
      </c>
      <c r="C63" s="198" t="s">
        <v>242</v>
      </c>
      <c r="D63" s="194" t="s">
        <v>144</v>
      </c>
      <c r="E63" s="198" t="s">
        <v>505</v>
      </c>
      <c r="F63" s="194" t="s">
        <v>243</v>
      </c>
      <c r="G63" s="209" t="s">
        <v>124</v>
      </c>
      <c r="H63" s="198">
        <v>2</v>
      </c>
      <c r="I63" s="198" t="s">
        <v>506</v>
      </c>
      <c r="J63" s="194" t="s">
        <v>244</v>
      </c>
      <c r="K63" s="210">
        <v>55000000</v>
      </c>
      <c r="L63" s="211">
        <v>1</v>
      </c>
      <c r="M63" s="194" t="s">
        <v>46</v>
      </c>
      <c r="N63" s="194" t="s">
        <v>68</v>
      </c>
      <c r="O63" s="194" t="s">
        <v>34</v>
      </c>
      <c r="P63" s="194" t="s">
        <v>36</v>
      </c>
      <c r="Q63" s="194"/>
      <c r="R63" s="194" t="s">
        <v>510</v>
      </c>
      <c r="S63" s="194" t="s">
        <v>99</v>
      </c>
      <c r="T63" s="215">
        <v>2</v>
      </c>
      <c r="U63" s="212" t="str">
        <f t="shared" si="13"/>
        <v>Elaboración de Estudios del Sector</v>
      </c>
      <c r="V63" s="213">
        <f t="shared" si="13"/>
        <v>55000000</v>
      </c>
      <c r="W63" s="222" t="s">
        <v>114</v>
      </c>
      <c r="X63" s="215">
        <v>0</v>
      </c>
      <c r="Y63" s="214" t="s">
        <v>244</v>
      </c>
      <c r="Z63" s="210">
        <v>55000000</v>
      </c>
      <c r="AA63" s="196"/>
      <c r="AB63" s="196"/>
      <c r="AC63" s="204" t="e">
        <f t="shared" si="14"/>
        <v>#DIV/0!</v>
      </c>
      <c r="AD63" s="204">
        <f t="shared" si="15"/>
        <v>0</v>
      </c>
      <c r="AE63" s="204">
        <f t="shared" si="0"/>
        <v>0</v>
      </c>
      <c r="AF63" s="204">
        <f t="shared" si="1"/>
        <v>0</v>
      </c>
      <c r="AG63" s="215">
        <v>1</v>
      </c>
      <c r="AH63" s="214" t="s">
        <v>244</v>
      </c>
      <c r="AI63" s="210">
        <v>0</v>
      </c>
      <c r="AJ63" s="196"/>
      <c r="AK63" s="196"/>
      <c r="AL63" s="204">
        <f t="shared" si="16"/>
        <v>0</v>
      </c>
      <c r="AM63" s="204" t="e">
        <f t="shared" si="2"/>
        <v>#DIV/0!</v>
      </c>
      <c r="AN63" s="204">
        <f t="shared" si="3"/>
        <v>0</v>
      </c>
      <c r="AO63" s="204">
        <f t="shared" si="4"/>
        <v>0</v>
      </c>
      <c r="AP63" s="215">
        <v>0</v>
      </c>
      <c r="AQ63" s="214" t="s">
        <v>244</v>
      </c>
      <c r="AR63" s="210">
        <v>0</v>
      </c>
      <c r="AS63" s="196"/>
      <c r="AT63" s="196"/>
      <c r="AU63" s="204" t="e">
        <f t="shared" si="17"/>
        <v>#DIV/0!</v>
      </c>
      <c r="AV63" s="204" t="e">
        <f t="shared" si="18"/>
        <v>#DIV/0!</v>
      </c>
      <c r="AW63" s="204">
        <f t="shared" si="19"/>
        <v>0</v>
      </c>
      <c r="AX63" s="204">
        <f t="shared" si="20"/>
        <v>0</v>
      </c>
      <c r="AY63" s="215">
        <v>1</v>
      </c>
      <c r="AZ63" s="214" t="s">
        <v>244</v>
      </c>
      <c r="BA63" s="210">
        <v>0</v>
      </c>
      <c r="BB63" s="196"/>
      <c r="BC63" s="196"/>
      <c r="BD63" s="216">
        <f t="shared" si="21"/>
        <v>0</v>
      </c>
      <c r="BE63" s="216" t="e">
        <f t="shared" si="22"/>
        <v>#DIV/0!</v>
      </c>
      <c r="BF63" s="216">
        <f t="shared" si="23"/>
        <v>0</v>
      </c>
      <c r="BG63" s="216">
        <f t="shared" si="24"/>
        <v>0</v>
      </c>
      <c r="BH63" s="228" t="str">
        <f t="shared" si="5"/>
        <v>No Prog ni Ejec</v>
      </c>
      <c r="BI63" s="228">
        <f t="shared" si="6"/>
        <v>0</v>
      </c>
      <c r="BJ63" s="228">
        <f t="shared" si="7"/>
        <v>0</v>
      </c>
      <c r="BK63" s="228" t="str">
        <f t="shared" si="8"/>
        <v>No Prog ni Ejec</v>
      </c>
      <c r="BL63" s="228" t="str">
        <f t="shared" si="25"/>
        <v>No Prog ni Ejec</v>
      </c>
      <c r="BM63" s="228" t="str">
        <f t="shared" si="26"/>
        <v>No Prog ni Ejec</v>
      </c>
      <c r="BN63" s="228">
        <f t="shared" si="9"/>
        <v>0</v>
      </c>
      <c r="BO63" s="228" t="str">
        <f t="shared" si="10"/>
        <v>No Prog ni Ejec</v>
      </c>
      <c r="BP63" s="206"/>
      <c r="BQ63" s="277">
        <v>9</v>
      </c>
      <c r="BR63" s="218">
        <f t="shared" si="12"/>
        <v>1</v>
      </c>
      <c r="BS63" s="219" t="str">
        <f t="shared" si="27"/>
        <v>Elaboración de Estudios del Sector</v>
      </c>
      <c r="BT63" s="195">
        <f t="shared" si="11"/>
        <v>55000000</v>
      </c>
      <c r="BU63" s="196"/>
      <c r="BV63" s="196"/>
      <c r="BW63" s="196"/>
      <c r="BX63" s="196"/>
      <c r="BY63" s="196"/>
      <c r="BZ63" s="19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c r="EU63" s="146"/>
      <c r="EV63" s="146"/>
      <c r="EW63" s="146"/>
      <c r="EX63" s="146"/>
      <c r="EY63" s="146"/>
      <c r="EZ63" s="146"/>
      <c r="FA63" s="146"/>
      <c r="FB63" s="146"/>
      <c r="FC63" s="146"/>
      <c r="FD63" s="146"/>
      <c r="FE63" s="146"/>
      <c r="FF63" s="146"/>
      <c r="FG63" s="146"/>
      <c r="FH63" s="146"/>
      <c r="FI63" s="146"/>
      <c r="FJ63" s="146"/>
      <c r="FK63" s="146"/>
      <c r="FL63" s="146"/>
      <c r="FM63" s="146"/>
      <c r="FN63" s="146"/>
      <c r="FO63" s="146"/>
      <c r="FP63" s="146"/>
      <c r="FQ63" s="146"/>
      <c r="FR63" s="146"/>
      <c r="FS63" s="146"/>
      <c r="FT63" s="146"/>
      <c r="FU63" s="146"/>
      <c r="FV63" s="146"/>
      <c r="FW63" s="146"/>
      <c r="FX63" s="146"/>
      <c r="FY63" s="146"/>
      <c r="FZ63" s="146"/>
      <c r="GA63" s="146"/>
      <c r="GB63" s="146"/>
      <c r="GC63" s="146"/>
      <c r="GD63" s="146"/>
      <c r="GE63" s="146"/>
      <c r="GF63" s="146"/>
      <c r="GG63" s="146"/>
      <c r="GH63" s="146"/>
      <c r="GI63" s="146"/>
      <c r="GJ63" s="146"/>
      <c r="GK63" s="146"/>
      <c r="GL63" s="146"/>
      <c r="GM63" s="146"/>
      <c r="GN63" s="146"/>
      <c r="GO63" s="146"/>
      <c r="GP63" s="146"/>
      <c r="GQ63" s="146"/>
      <c r="GR63" s="146"/>
      <c r="GS63" s="146"/>
      <c r="GT63" s="146"/>
      <c r="GU63" s="146"/>
      <c r="GV63" s="146"/>
      <c r="GW63" s="146"/>
      <c r="GX63" s="146"/>
      <c r="GY63" s="146"/>
      <c r="GZ63" s="146"/>
      <c r="HA63" s="146"/>
      <c r="HB63" s="146"/>
      <c r="HC63" s="146"/>
      <c r="HD63" s="146"/>
      <c r="HE63" s="146"/>
      <c r="HF63" s="146"/>
      <c r="HG63" s="146"/>
      <c r="HH63" s="146"/>
      <c r="HI63" s="146"/>
      <c r="HJ63" s="146"/>
      <c r="HK63" s="146"/>
      <c r="HL63" s="146"/>
      <c r="HM63" s="146"/>
      <c r="HN63" s="146"/>
      <c r="HO63" s="146"/>
      <c r="HP63" s="146"/>
      <c r="HQ63" s="146"/>
      <c r="HR63" s="146"/>
      <c r="HS63" s="146"/>
      <c r="HT63" s="146"/>
      <c r="HU63" s="146"/>
      <c r="HV63" s="146"/>
      <c r="HW63" s="146"/>
      <c r="HX63" s="146"/>
      <c r="HY63" s="146"/>
      <c r="HZ63" s="146"/>
      <c r="IA63" s="146"/>
    </row>
    <row r="64" spans="1:235" s="153" customFormat="1" ht="57" x14ac:dyDescent="0.25">
      <c r="A64" s="197">
        <v>11500</v>
      </c>
      <c r="B64" s="194" t="s">
        <v>28</v>
      </c>
      <c r="C64" s="198" t="s">
        <v>259</v>
      </c>
      <c r="D64" s="194" t="s">
        <v>153</v>
      </c>
      <c r="E64" s="198" t="s">
        <v>290</v>
      </c>
      <c r="F64" s="194" t="s">
        <v>133</v>
      </c>
      <c r="G64" s="209" t="s">
        <v>124</v>
      </c>
      <c r="H64" s="198">
        <v>4</v>
      </c>
      <c r="I64" s="198" t="s">
        <v>276</v>
      </c>
      <c r="J64" s="194" t="s">
        <v>24</v>
      </c>
      <c r="K64" s="210">
        <v>0</v>
      </c>
      <c r="L64" s="211">
        <v>1</v>
      </c>
      <c r="M64" s="194" t="s">
        <v>51</v>
      </c>
      <c r="N64" s="194" t="s">
        <v>68</v>
      </c>
      <c r="O64" s="194" t="s">
        <v>21</v>
      </c>
      <c r="P64" s="194" t="s">
        <v>36</v>
      </c>
      <c r="Q64" s="194" t="s">
        <v>75</v>
      </c>
      <c r="R64" s="194" t="s">
        <v>631</v>
      </c>
      <c r="S64" s="194" t="s">
        <v>98</v>
      </c>
      <c r="T64" s="198">
        <v>4</v>
      </c>
      <c r="U64" s="212" t="str">
        <f t="shared" si="13"/>
        <v>Reportar el cumplimiento del Plan de Acción de la Dependencia</v>
      </c>
      <c r="V64" s="213">
        <f t="shared" si="13"/>
        <v>0</v>
      </c>
      <c r="W64" s="214" t="s">
        <v>117</v>
      </c>
      <c r="X64" s="215">
        <v>1</v>
      </c>
      <c r="Y64" s="214" t="s">
        <v>24</v>
      </c>
      <c r="Z64" s="210">
        <v>0</v>
      </c>
      <c r="AA64" s="196"/>
      <c r="AB64" s="196"/>
      <c r="AC64" s="204">
        <f t="shared" si="14"/>
        <v>0</v>
      </c>
      <c r="AD64" s="204" t="e">
        <f t="shared" si="15"/>
        <v>#DIV/0!</v>
      </c>
      <c r="AE64" s="204">
        <f t="shared" si="0"/>
        <v>0</v>
      </c>
      <c r="AF64" s="204" t="e">
        <f t="shared" si="1"/>
        <v>#DIV/0!</v>
      </c>
      <c r="AG64" s="215">
        <v>1</v>
      </c>
      <c r="AH64" s="214" t="s">
        <v>24</v>
      </c>
      <c r="AI64" s="210">
        <v>0</v>
      </c>
      <c r="AJ64" s="196"/>
      <c r="AK64" s="196"/>
      <c r="AL64" s="204">
        <f t="shared" si="16"/>
        <v>0</v>
      </c>
      <c r="AM64" s="204" t="e">
        <f t="shared" si="2"/>
        <v>#DIV/0!</v>
      </c>
      <c r="AN64" s="204">
        <f t="shared" si="3"/>
        <v>0</v>
      </c>
      <c r="AO64" s="204" t="e">
        <f t="shared" si="4"/>
        <v>#DIV/0!</v>
      </c>
      <c r="AP64" s="215">
        <v>1</v>
      </c>
      <c r="AQ64" s="214" t="s">
        <v>24</v>
      </c>
      <c r="AR64" s="210">
        <v>0</v>
      </c>
      <c r="AS64" s="196"/>
      <c r="AT64" s="196"/>
      <c r="AU64" s="204">
        <f t="shared" si="17"/>
        <v>0</v>
      </c>
      <c r="AV64" s="204" t="e">
        <f t="shared" si="18"/>
        <v>#DIV/0!</v>
      </c>
      <c r="AW64" s="204">
        <f t="shared" si="19"/>
        <v>0</v>
      </c>
      <c r="AX64" s="204" t="e">
        <f t="shared" si="20"/>
        <v>#DIV/0!</v>
      </c>
      <c r="AY64" s="215">
        <v>1</v>
      </c>
      <c r="AZ64" s="214" t="s">
        <v>24</v>
      </c>
      <c r="BA64" s="210">
        <v>0</v>
      </c>
      <c r="BB64" s="196"/>
      <c r="BC64" s="196"/>
      <c r="BD64" s="216">
        <f t="shared" si="21"/>
        <v>0</v>
      </c>
      <c r="BE64" s="216" t="e">
        <f t="shared" si="22"/>
        <v>#DIV/0!</v>
      </c>
      <c r="BF64" s="216">
        <f t="shared" si="23"/>
        <v>0</v>
      </c>
      <c r="BG64" s="216" t="e">
        <f t="shared" si="24"/>
        <v>#DIV/0!</v>
      </c>
      <c r="BH64" s="217">
        <f t="shared" si="5"/>
        <v>0</v>
      </c>
      <c r="BI64" s="217" t="str">
        <f t="shared" si="6"/>
        <v>No Prog ni Ejec</v>
      </c>
      <c r="BJ64" s="217">
        <f t="shared" si="7"/>
        <v>0</v>
      </c>
      <c r="BK64" s="217" t="str">
        <f t="shared" si="8"/>
        <v>No Prog ni Ejec</v>
      </c>
      <c r="BL64" s="217">
        <f t="shared" si="25"/>
        <v>0</v>
      </c>
      <c r="BM64" s="217" t="str">
        <f t="shared" si="26"/>
        <v>No Prog ni Ejec</v>
      </c>
      <c r="BN64" s="217">
        <f t="shared" si="9"/>
        <v>0</v>
      </c>
      <c r="BO64" s="217" t="str">
        <f t="shared" si="10"/>
        <v>No Prog ni Ejec</v>
      </c>
      <c r="BP64" s="206"/>
      <c r="BQ64" s="277">
        <v>5</v>
      </c>
      <c r="BR64" s="218">
        <f t="shared" si="12"/>
        <v>2.3333333333333335</v>
      </c>
      <c r="BS64" s="219" t="str">
        <f t="shared" si="27"/>
        <v>Reportar el cumplimiento del Plan de Acción de la Dependencia</v>
      </c>
      <c r="BT64" s="195">
        <f t="shared" si="11"/>
        <v>0</v>
      </c>
      <c r="BU64" s="196"/>
      <c r="BV64" s="196"/>
      <c r="BW64" s="196"/>
      <c r="BX64" s="196"/>
      <c r="BY64" s="196"/>
      <c r="BZ64" s="19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46"/>
      <c r="EA64" s="146"/>
      <c r="EB64" s="146"/>
      <c r="EC64" s="146"/>
      <c r="ED64" s="146"/>
      <c r="EE64" s="146"/>
      <c r="EF64" s="146"/>
      <c r="EG64" s="146"/>
      <c r="EH64" s="146"/>
      <c r="EI64" s="146"/>
      <c r="EJ64" s="146"/>
      <c r="EK64" s="146"/>
      <c r="EL64" s="146"/>
      <c r="EM64" s="146"/>
      <c r="EN64" s="146"/>
      <c r="EO64" s="146"/>
      <c r="EP64" s="146"/>
      <c r="EQ64" s="146"/>
      <c r="ER64" s="146"/>
      <c r="ES64" s="146"/>
      <c r="ET64" s="146"/>
      <c r="EU64" s="146"/>
      <c r="EV64" s="146"/>
      <c r="EW64" s="146"/>
      <c r="EX64" s="146"/>
      <c r="EY64" s="146"/>
      <c r="EZ64" s="146"/>
      <c r="FA64" s="146"/>
      <c r="FB64" s="146"/>
      <c r="FC64" s="146"/>
      <c r="FD64" s="146"/>
      <c r="FE64" s="146"/>
      <c r="FF64" s="146"/>
      <c r="FG64" s="146"/>
      <c r="FH64" s="146"/>
      <c r="FI64" s="146"/>
      <c r="FJ64" s="146"/>
      <c r="FK64" s="146"/>
      <c r="FL64" s="146"/>
      <c r="FM64" s="146"/>
      <c r="FN64" s="146"/>
      <c r="FO64" s="146"/>
      <c r="FP64" s="146"/>
      <c r="FQ64" s="146"/>
      <c r="FR64" s="146"/>
      <c r="FS64" s="146"/>
      <c r="FT64" s="146"/>
      <c r="FU64" s="146"/>
      <c r="FV64" s="146"/>
      <c r="FW64" s="146"/>
      <c r="FX64" s="146"/>
      <c r="FY64" s="146"/>
      <c r="FZ64" s="146"/>
      <c r="GA64" s="146"/>
      <c r="GB64" s="146"/>
      <c r="GC64" s="146"/>
      <c r="GD64" s="146"/>
      <c r="GE64" s="146"/>
      <c r="GF64" s="146"/>
      <c r="GG64" s="146"/>
      <c r="GH64" s="146"/>
      <c r="GI64" s="146"/>
      <c r="GJ64" s="146"/>
      <c r="GK64" s="146"/>
      <c r="GL64" s="146"/>
      <c r="GM64" s="146"/>
      <c r="GN64" s="146"/>
      <c r="GO64" s="146"/>
      <c r="GP64" s="146"/>
      <c r="GQ64" s="146"/>
      <c r="GR64" s="146"/>
      <c r="GS64" s="146"/>
      <c r="GT64" s="146"/>
      <c r="GU64" s="146"/>
      <c r="GV64" s="146"/>
      <c r="GW64" s="146"/>
      <c r="GX64" s="146"/>
      <c r="GY64" s="146"/>
      <c r="GZ64" s="146"/>
      <c r="HA64" s="146"/>
      <c r="HB64" s="146"/>
      <c r="HC64" s="146"/>
      <c r="HD64" s="146"/>
      <c r="HE64" s="146"/>
      <c r="HF64" s="146"/>
      <c r="HG64" s="146"/>
      <c r="HH64" s="146"/>
      <c r="HI64" s="146"/>
      <c r="HJ64" s="146"/>
      <c r="HK64" s="146"/>
      <c r="HL64" s="146"/>
      <c r="HM64" s="146"/>
      <c r="HN64" s="146"/>
      <c r="HO64" s="146"/>
      <c r="HP64" s="146"/>
      <c r="HQ64" s="146"/>
      <c r="HR64" s="146"/>
      <c r="HS64" s="146"/>
      <c r="HT64" s="146"/>
      <c r="HU64" s="146"/>
      <c r="HV64" s="146"/>
      <c r="HW64" s="146"/>
      <c r="HX64" s="146"/>
      <c r="HY64" s="146"/>
      <c r="HZ64" s="146"/>
      <c r="IA64" s="146"/>
    </row>
    <row r="65" spans="1:235" s="153" customFormat="1" ht="99.75" x14ac:dyDescent="0.25">
      <c r="A65" s="197">
        <v>11500</v>
      </c>
      <c r="B65" s="194" t="s">
        <v>28</v>
      </c>
      <c r="C65" s="198" t="s">
        <v>260</v>
      </c>
      <c r="D65" s="194" t="s">
        <v>256</v>
      </c>
      <c r="E65" s="198" t="s">
        <v>261</v>
      </c>
      <c r="F65" s="194" t="s">
        <v>159</v>
      </c>
      <c r="G65" s="209" t="s">
        <v>123</v>
      </c>
      <c r="H65" s="216">
        <v>1</v>
      </c>
      <c r="I65" s="198" t="s">
        <v>274</v>
      </c>
      <c r="J65" s="194" t="s">
        <v>598</v>
      </c>
      <c r="K65" s="210">
        <v>0</v>
      </c>
      <c r="L65" s="211">
        <v>1</v>
      </c>
      <c r="M65" s="194" t="s">
        <v>51</v>
      </c>
      <c r="N65" s="194" t="s">
        <v>68</v>
      </c>
      <c r="O65" s="194" t="s">
        <v>21</v>
      </c>
      <c r="P65" s="194" t="s">
        <v>36</v>
      </c>
      <c r="Q65" s="194" t="s">
        <v>75</v>
      </c>
      <c r="R65" s="194" t="s">
        <v>672</v>
      </c>
      <c r="S65" s="194" t="s">
        <v>98</v>
      </c>
      <c r="T65" s="211">
        <v>1</v>
      </c>
      <c r="U65" s="212" t="str">
        <f t="shared" si="13"/>
        <v>Formular los procesos y procedimientos en el marco del MIPG</v>
      </c>
      <c r="V65" s="213">
        <f t="shared" si="13"/>
        <v>0</v>
      </c>
      <c r="W65" s="214" t="s">
        <v>117</v>
      </c>
      <c r="X65" s="216">
        <v>0.25</v>
      </c>
      <c r="Y65" s="214" t="s">
        <v>598</v>
      </c>
      <c r="Z65" s="210">
        <v>0</v>
      </c>
      <c r="AA65" s="196"/>
      <c r="AB65" s="196"/>
      <c r="AC65" s="204">
        <f t="shared" si="14"/>
        <v>0</v>
      </c>
      <c r="AD65" s="204" t="e">
        <f t="shared" si="15"/>
        <v>#DIV/0!</v>
      </c>
      <c r="AE65" s="204">
        <f t="shared" si="0"/>
        <v>0</v>
      </c>
      <c r="AF65" s="204" t="e">
        <f t="shared" si="1"/>
        <v>#DIV/0!</v>
      </c>
      <c r="AG65" s="216">
        <v>0.25</v>
      </c>
      <c r="AH65" s="214" t="s">
        <v>598</v>
      </c>
      <c r="AI65" s="210">
        <v>0</v>
      </c>
      <c r="AJ65" s="196"/>
      <c r="AK65" s="196"/>
      <c r="AL65" s="204">
        <f t="shared" si="16"/>
        <v>0</v>
      </c>
      <c r="AM65" s="204" t="e">
        <f t="shared" si="2"/>
        <v>#DIV/0!</v>
      </c>
      <c r="AN65" s="204">
        <f t="shared" si="3"/>
        <v>0</v>
      </c>
      <c r="AO65" s="204" t="e">
        <f t="shared" si="4"/>
        <v>#DIV/0!</v>
      </c>
      <c r="AP65" s="216">
        <v>0.25</v>
      </c>
      <c r="AQ65" s="214" t="s">
        <v>598</v>
      </c>
      <c r="AR65" s="210">
        <v>0</v>
      </c>
      <c r="AS65" s="196"/>
      <c r="AT65" s="196"/>
      <c r="AU65" s="204">
        <f t="shared" si="17"/>
        <v>0</v>
      </c>
      <c r="AV65" s="204" t="e">
        <f t="shared" si="18"/>
        <v>#DIV/0!</v>
      </c>
      <c r="AW65" s="204">
        <f t="shared" si="19"/>
        <v>0</v>
      </c>
      <c r="AX65" s="204" t="e">
        <f t="shared" si="20"/>
        <v>#DIV/0!</v>
      </c>
      <c r="AY65" s="216">
        <v>0.25</v>
      </c>
      <c r="AZ65" s="214" t="s">
        <v>598</v>
      </c>
      <c r="BA65" s="210">
        <v>0</v>
      </c>
      <c r="BB65" s="196"/>
      <c r="BC65" s="196"/>
      <c r="BD65" s="216">
        <f t="shared" si="21"/>
        <v>0</v>
      </c>
      <c r="BE65" s="216" t="e">
        <f t="shared" si="22"/>
        <v>#DIV/0!</v>
      </c>
      <c r="BF65" s="216">
        <f t="shared" si="23"/>
        <v>0</v>
      </c>
      <c r="BG65" s="216" t="e">
        <f t="shared" si="24"/>
        <v>#DIV/0!</v>
      </c>
      <c r="BH65" s="217">
        <f t="shared" si="5"/>
        <v>0</v>
      </c>
      <c r="BI65" s="217" t="str">
        <f t="shared" si="6"/>
        <v>No Prog ni Ejec</v>
      </c>
      <c r="BJ65" s="217">
        <f t="shared" si="7"/>
        <v>0</v>
      </c>
      <c r="BK65" s="217" t="str">
        <f t="shared" si="8"/>
        <v>No Prog ni Ejec</v>
      </c>
      <c r="BL65" s="217">
        <f t="shared" si="25"/>
        <v>0</v>
      </c>
      <c r="BM65" s="217" t="str">
        <f t="shared" si="26"/>
        <v>No Prog ni Ejec</v>
      </c>
      <c r="BN65" s="217">
        <f t="shared" si="9"/>
        <v>0</v>
      </c>
      <c r="BO65" s="217" t="str">
        <f t="shared" si="10"/>
        <v>No Prog ni Ejec</v>
      </c>
      <c r="BP65" s="206"/>
      <c r="BQ65" s="277">
        <v>5</v>
      </c>
      <c r="BR65" s="208">
        <f t="shared" si="12"/>
        <v>0.58333333333333337</v>
      </c>
      <c r="BS65" s="219" t="str">
        <f t="shared" si="27"/>
        <v>Formular los procesos y procedimientos en el marco del MIPG</v>
      </c>
      <c r="BT65" s="195">
        <f t="shared" si="11"/>
        <v>0</v>
      </c>
      <c r="BU65" s="196"/>
      <c r="BV65" s="196"/>
      <c r="BW65" s="196"/>
      <c r="BX65" s="196"/>
      <c r="BY65" s="196"/>
      <c r="BZ65" s="19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c r="EU65" s="146"/>
      <c r="EV65" s="146"/>
      <c r="EW65" s="146"/>
      <c r="EX65" s="146"/>
      <c r="EY65" s="146"/>
      <c r="EZ65" s="146"/>
      <c r="FA65" s="146"/>
      <c r="FB65" s="146"/>
      <c r="FC65" s="146"/>
      <c r="FD65" s="146"/>
      <c r="FE65" s="146"/>
      <c r="FF65" s="146"/>
      <c r="FG65" s="146"/>
      <c r="FH65" s="146"/>
      <c r="FI65" s="146"/>
      <c r="FJ65" s="146"/>
      <c r="FK65" s="146"/>
      <c r="FL65" s="146"/>
      <c r="FM65" s="146"/>
      <c r="FN65" s="146"/>
      <c r="FO65" s="146"/>
      <c r="FP65" s="146"/>
      <c r="FQ65" s="146"/>
      <c r="FR65" s="146"/>
      <c r="FS65" s="146"/>
      <c r="FT65" s="146"/>
      <c r="FU65" s="146"/>
      <c r="FV65" s="146"/>
      <c r="FW65" s="146"/>
      <c r="FX65" s="146"/>
      <c r="FY65" s="146"/>
      <c r="FZ65" s="146"/>
      <c r="GA65" s="146"/>
      <c r="GB65" s="146"/>
      <c r="GC65" s="146"/>
      <c r="GD65" s="146"/>
      <c r="GE65" s="146"/>
      <c r="GF65" s="146"/>
      <c r="GG65" s="146"/>
      <c r="GH65" s="146"/>
      <c r="GI65" s="146"/>
      <c r="GJ65" s="146"/>
      <c r="GK65" s="146"/>
      <c r="GL65" s="146"/>
      <c r="GM65" s="146"/>
      <c r="GN65" s="146"/>
      <c r="GO65" s="146"/>
      <c r="GP65" s="146"/>
      <c r="GQ65" s="146"/>
      <c r="GR65" s="146"/>
      <c r="GS65" s="146"/>
      <c r="GT65" s="146"/>
      <c r="GU65" s="146"/>
      <c r="GV65" s="146"/>
      <c r="GW65" s="146"/>
      <c r="GX65" s="146"/>
      <c r="GY65" s="146"/>
      <c r="GZ65" s="146"/>
      <c r="HA65" s="146"/>
      <c r="HB65" s="146"/>
      <c r="HC65" s="146"/>
      <c r="HD65" s="146"/>
      <c r="HE65" s="146"/>
      <c r="HF65" s="146"/>
      <c r="HG65" s="146"/>
      <c r="HH65" s="146"/>
      <c r="HI65" s="146"/>
      <c r="HJ65" s="146"/>
      <c r="HK65" s="146"/>
      <c r="HL65" s="146"/>
      <c r="HM65" s="146"/>
      <c r="HN65" s="146"/>
      <c r="HO65" s="146"/>
      <c r="HP65" s="146"/>
      <c r="HQ65" s="146"/>
      <c r="HR65" s="146"/>
      <c r="HS65" s="146"/>
      <c r="HT65" s="146"/>
      <c r="HU65" s="146"/>
      <c r="HV65" s="146"/>
      <c r="HW65" s="146"/>
      <c r="HX65" s="146"/>
      <c r="HY65" s="146"/>
      <c r="HZ65" s="146"/>
      <c r="IA65" s="146"/>
    </row>
    <row r="66" spans="1:235" s="153" customFormat="1" ht="99.75" x14ac:dyDescent="0.25">
      <c r="A66" s="197">
        <v>11500</v>
      </c>
      <c r="B66" s="194" t="s">
        <v>28</v>
      </c>
      <c r="C66" s="198" t="s">
        <v>260</v>
      </c>
      <c r="D66" s="194" t="s">
        <v>256</v>
      </c>
      <c r="E66" s="198" t="s">
        <v>262</v>
      </c>
      <c r="F66" s="194" t="s">
        <v>127</v>
      </c>
      <c r="G66" s="199" t="s">
        <v>123</v>
      </c>
      <c r="H66" s="226">
        <v>1</v>
      </c>
      <c r="I66" s="198" t="s">
        <v>275</v>
      </c>
      <c r="J66" s="194" t="s">
        <v>599</v>
      </c>
      <c r="K66" s="210">
        <v>0</v>
      </c>
      <c r="L66" s="211">
        <v>1</v>
      </c>
      <c r="M66" s="194" t="s">
        <v>51</v>
      </c>
      <c r="N66" s="194" t="s">
        <v>68</v>
      </c>
      <c r="O66" s="194" t="s">
        <v>21</v>
      </c>
      <c r="P66" s="194" t="s">
        <v>36</v>
      </c>
      <c r="Q66" s="194" t="s">
        <v>75</v>
      </c>
      <c r="R66" s="194" t="s">
        <v>570</v>
      </c>
      <c r="S66" s="194" t="s">
        <v>98</v>
      </c>
      <c r="T66" s="211">
        <v>1</v>
      </c>
      <c r="U66" s="212" t="str">
        <f t="shared" si="13"/>
        <v>Remitir informe trimestral de los indicadores formulados y las acciones de mejoras</v>
      </c>
      <c r="V66" s="213">
        <f t="shared" si="13"/>
        <v>0</v>
      </c>
      <c r="W66" s="214" t="s">
        <v>117</v>
      </c>
      <c r="X66" s="216">
        <v>0</v>
      </c>
      <c r="Y66" s="214" t="s">
        <v>599</v>
      </c>
      <c r="Z66" s="210">
        <v>0</v>
      </c>
      <c r="AA66" s="196"/>
      <c r="AB66" s="196"/>
      <c r="AC66" s="204" t="e">
        <f t="shared" si="14"/>
        <v>#DIV/0!</v>
      </c>
      <c r="AD66" s="204" t="e">
        <f t="shared" si="15"/>
        <v>#DIV/0!</v>
      </c>
      <c r="AE66" s="204">
        <f t="shared" si="0"/>
        <v>0</v>
      </c>
      <c r="AF66" s="204" t="e">
        <f t="shared" si="1"/>
        <v>#DIV/0!</v>
      </c>
      <c r="AG66" s="216">
        <v>0</v>
      </c>
      <c r="AH66" s="214" t="s">
        <v>599</v>
      </c>
      <c r="AI66" s="210">
        <v>0</v>
      </c>
      <c r="AJ66" s="196"/>
      <c r="AK66" s="196"/>
      <c r="AL66" s="204" t="e">
        <f t="shared" si="16"/>
        <v>#DIV/0!</v>
      </c>
      <c r="AM66" s="204" t="e">
        <f t="shared" si="2"/>
        <v>#DIV/0!</v>
      </c>
      <c r="AN66" s="204">
        <f t="shared" si="3"/>
        <v>0</v>
      </c>
      <c r="AO66" s="204" t="e">
        <f t="shared" si="4"/>
        <v>#DIV/0!</v>
      </c>
      <c r="AP66" s="216">
        <v>0</v>
      </c>
      <c r="AQ66" s="214" t="s">
        <v>599</v>
      </c>
      <c r="AR66" s="210">
        <v>0</v>
      </c>
      <c r="AS66" s="196"/>
      <c r="AT66" s="196"/>
      <c r="AU66" s="204" t="e">
        <f t="shared" si="17"/>
        <v>#DIV/0!</v>
      </c>
      <c r="AV66" s="204" t="e">
        <f t="shared" si="18"/>
        <v>#DIV/0!</v>
      </c>
      <c r="AW66" s="204">
        <f t="shared" si="19"/>
        <v>0</v>
      </c>
      <c r="AX66" s="204" t="e">
        <f t="shared" si="20"/>
        <v>#DIV/0!</v>
      </c>
      <c r="AY66" s="216">
        <v>1</v>
      </c>
      <c r="AZ66" s="214" t="s">
        <v>599</v>
      </c>
      <c r="BA66" s="210">
        <v>0</v>
      </c>
      <c r="BB66" s="196"/>
      <c r="BC66" s="196"/>
      <c r="BD66" s="216">
        <f t="shared" si="21"/>
        <v>0</v>
      </c>
      <c r="BE66" s="216" t="e">
        <f t="shared" si="22"/>
        <v>#DIV/0!</v>
      </c>
      <c r="BF66" s="216">
        <f t="shared" si="23"/>
        <v>0</v>
      </c>
      <c r="BG66" s="216" t="e">
        <f t="shared" si="24"/>
        <v>#DIV/0!</v>
      </c>
      <c r="BH66" s="217" t="str">
        <f t="shared" si="5"/>
        <v>No Prog ni Ejec</v>
      </c>
      <c r="BI66" s="217" t="str">
        <f t="shared" si="6"/>
        <v>No Prog ni Ejec</v>
      </c>
      <c r="BJ66" s="217" t="str">
        <f t="shared" si="7"/>
        <v>No Prog ni Ejec</v>
      </c>
      <c r="BK66" s="217" t="str">
        <f t="shared" si="8"/>
        <v>No Prog ni Ejec</v>
      </c>
      <c r="BL66" s="217" t="str">
        <f t="shared" si="25"/>
        <v>No Prog ni Ejec</v>
      </c>
      <c r="BM66" s="217" t="str">
        <f t="shared" si="26"/>
        <v>No Prog ni Ejec</v>
      </c>
      <c r="BN66" s="217">
        <f t="shared" si="9"/>
        <v>0</v>
      </c>
      <c r="BO66" s="217" t="str">
        <f t="shared" si="10"/>
        <v>No Prog ni Ejec</v>
      </c>
      <c r="BP66" s="206"/>
      <c r="BQ66" s="277">
        <v>5</v>
      </c>
      <c r="BR66" s="208">
        <f t="shared" si="12"/>
        <v>0</v>
      </c>
      <c r="BS66" s="219" t="str">
        <f t="shared" si="27"/>
        <v>Remitir informe trimestral de los indicadores formulados y las acciones de mejoras</v>
      </c>
      <c r="BT66" s="195">
        <f t="shared" si="11"/>
        <v>0</v>
      </c>
      <c r="BU66" s="196"/>
      <c r="BV66" s="196"/>
      <c r="BW66" s="196"/>
      <c r="BX66" s="196"/>
      <c r="BY66" s="196"/>
      <c r="BZ66" s="19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c r="EU66" s="146"/>
      <c r="EV66" s="146"/>
      <c r="EW66" s="146"/>
      <c r="EX66" s="146"/>
      <c r="EY66" s="146"/>
      <c r="EZ66" s="146"/>
      <c r="FA66" s="146"/>
      <c r="FB66" s="146"/>
      <c r="FC66" s="146"/>
      <c r="FD66" s="146"/>
      <c r="FE66" s="146"/>
      <c r="FF66" s="146"/>
      <c r="FG66" s="146"/>
      <c r="FH66" s="146"/>
      <c r="FI66" s="146"/>
      <c r="FJ66" s="146"/>
      <c r="FK66" s="146"/>
      <c r="FL66" s="146"/>
      <c r="FM66" s="146"/>
      <c r="FN66" s="146"/>
      <c r="FO66" s="146"/>
      <c r="FP66" s="146"/>
      <c r="FQ66" s="146"/>
      <c r="FR66" s="146"/>
      <c r="FS66" s="146"/>
      <c r="FT66" s="146"/>
      <c r="FU66" s="146"/>
      <c r="FV66" s="146"/>
      <c r="FW66" s="146"/>
      <c r="FX66" s="146"/>
      <c r="FY66" s="146"/>
      <c r="FZ66" s="146"/>
      <c r="GA66" s="146"/>
      <c r="GB66" s="146"/>
      <c r="GC66" s="146"/>
      <c r="GD66" s="146"/>
      <c r="GE66" s="146"/>
      <c r="GF66" s="146"/>
      <c r="GG66" s="146"/>
      <c r="GH66" s="146"/>
      <c r="GI66" s="146"/>
      <c r="GJ66" s="146"/>
      <c r="GK66" s="146"/>
      <c r="GL66" s="146"/>
      <c r="GM66" s="146"/>
      <c r="GN66" s="146"/>
      <c r="GO66" s="146"/>
      <c r="GP66" s="146"/>
      <c r="GQ66" s="146"/>
      <c r="GR66" s="146"/>
      <c r="GS66" s="146"/>
      <c r="GT66" s="146"/>
      <c r="GU66" s="146"/>
      <c r="GV66" s="146"/>
      <c r="GW66" s="146"/>
      <c r="GX66" s="146"/>
      <c r="GY66" s="146"/>
      <c r="GZ66" s="146"/>
      <c r="HA66" s="146"/>
      <c r="HB66" s="146"/>
      <c r="HC66" s="146"/>
      <c r="HD66" s="146"/>
      <c r="HE66" s="146"/>
      <c r="HF66" s="146"/>
      <c r="HG66" s="146"/>
      <c r="HH66" s="146"/>
      <c r="HI66" s="146"/>
      <c r="HJ66" s="146"/>
      <c r="HK66" s="146"/>
      <c r="HL66" s="146"/>
      <c r="HM66" s="146"/>
      <c r="HN66" s="146"/>
      <c r="HO66" s="146"/>
      <c r="HP66" s="146"/>
      <c r="HQ66" s="146"/>
      <c r="HR66" s="146"/>
      <c r="HS66" s="146"/>
      <c r="HT66" s="146"/>
      <c r="HU66" s="146"/>
      <c r="HV66" s="146"/>
      <c r="HW66" s="146"/>
      <c r="HX66" s="146"/>
      <c r="HY66" s="146"/>
      <c r="HZ66" s="146"/>
      <c r="IA66" s="146"/>
    </row>
    <row r="67" spans="1:235" s="159" customFormat="1" ht="71.25" x14ac:dyDescent="0.25">
      <c r="A67" s="197">
        <v>11500</v>
      </c>
      <c r="B67" s="194" t="s">
        <v>28</v>
      </c>
      <c r="C67" s="198" t="s">
        <v>263</v>
      </c>
      <c r="D67" s="194" t="s">
        <v>144</v>
      </c>
      <c r="E67" s="198" t="s">
        <v>264</v>
      </c>
      <c r="F67" s="194" t="s">
        <v>600</v>
      </c>
      <c r="G67" s="209" t="s">
        <v>124</v>
      </c>
      <c r="H67" s="198">
        <v>12</v>
      </c>
      <c r="I67" s="198" t="s">
        <v>265</v>
      </c>
      <c r="J67" s="194" t="s">
        <v>601</v>
      </c>
      <c r="K67" s="210">
        <v>36720000</v>
      </c>
      <c r="L67" s="211">
        <v>1</v>
      </c>
      <c r="M67" s="194" t="s">
        <v>46</v>
      </c>
      <c r="N67" s="194" t="s">
        <v>68</v>
      </c>
      <c r="O67" s="194" t="s">
        <v>21</v>
      </c>
      <c r="P67" s="194" t="s">
        <v>36</v>
      </c>
      <c r="Q67" s="194" t="s">
        <v>211</v>
      </c>
      <c r="R67" s="194" t="s">
        <v>673</v>
      </c>
      <c r="S67" s="194" t="s">
        <v>98</v>
      </c>
      <c r="T67" s="221">
        <v>12</v>
      </c>
      <c r="U67" s="212" t="str">
        <f t="shared" si="13"/>
        <v>Realizar el giro previo efectuados a favor de las entidades recobrantes y proveedores de servicios y tecnologías no incluidas en el PB con cargo a la UPC</v>
      </c>
      <c r="V67" s="213">
        <f t="shared" si="13"/>
        <v>36720000</v>
      </c>
      <c r="W67" s="222" t="s">
        <v>114</v>
      </c>
      <c r="X67" s="284">
        <v>3</v>
      </c>
      <c r="Y67" s="282" t="s">
        <v>601</v>
      </c>
      <c r="Z67" s="283">
        <f>+V67*0.25</f>
        <v>9180000</v>
      </c>
      <c r="AA67" s="279"/>
      <c r="AB67" s="279"/>
      <c r="AC67" s="280">
        <f t="shared" si="14"/>
        <v>0</v>
      </c>
      <c r="AD67" s="280">
        <f t="shared" si="15"/>
        <v>0</v>
      </c>
      <c r="AE67" s="280">
        <f t="shared" si="0"/>
        <v>0</v>
      </c>
      <c r="AF67" s="280">
        <f t="shared" si="1"/>
        <v>0</v>
      </c>
      <c r="AG67" s="284">
        <v>3</v>
      </c>
      <c r="AH67" s="282" t="s">
        <v>601</v>
      </c>
      <c r="AI67" s="283">
        <v>9180000</v>
      </c>
      <c r="AJ67" s="279"/>
      <c r="AK67" s="279"/>
      <c r="AL67" s="280">
        <f t="shared" si="16"/>
        <v>0</v>
      </c>
      <c r="AM67" s="280">
        <f t="shared" si="2"/>
        <v>0</v>
      </c>
      <c r="AN67" s="280">
        <f t="shared" si="3"/>
        <v>0</v>
      </c>
      <c r="AO67" s="280">
        <f t="shared" si="4"/>
        <v>0</v>
      </c>
      <c r="AP67" s="284">
        <v>3</v>
      </c>
      <c r="AQ67" s="282" t="s">
        <v>601</v>
      </c>
      <c r="AR67" s="283">
        <v>9180000</v>
      </c>
      <c r="AS67" s="279"/>
      <c r="AT67" s="279"/>
      <c r="AU67" s="280">
        <f t="shared" si="17"/>
        <v>0</v>
      </c>
      <c r="AV67" s="280">
        <f t="shared" si="18"/>
        <v>0</v>
      </c>
      <c r="AW67" s="280">
        <f t="shared" si="19"/>
        <v>0</v>
      </c>
      <c r="AX67" s="280">
        <f t="shared" si="20"/>
        <v>0</v>
      </c>
      <c r="AY67" s="284">
        <v>3</v>
      </c>
      <c r="AZ67" s="282" t="s">
        <v>601</v>
      </c>
      <c r="BA67" s="283">
        <v>9180000</v>
      </c>
      <c r="BB67" s="279"/>
      <c r="BC67" s="279"/>
      <c r="BD67" s="281">
        <f t="shared" si="21"/>
        <v>0</v>
      </c>
      <c r="BE67" s="281">
        <f t="shared" si="22"/>
        <v>0</v>
      </c>
      <c r="BF67" s="281">
        <f t="shared" si="23"/>
        <v>0</v>
      </c>
      <c r="BG67" s="281">
        <f t="shared" si="24"/>
        <v>0</v>
      </c>
      <c r="BH67" s="205">
        <f t="shared" si="5"/>
        <v>0</v>
      </c>
      <c r="BI67" s="205">
        <f t="shared" si="6"/>
        <v>0</v>
      </c>
      <c r="BJ67" s="205">
        <f t="shared" si="7"/>
        <v>0</v>
      </c>
      <c r="BK67" s="205">
        <f t="shared" si="8"/>
        <v>0</v>
      </c>
      <c r="BL67" s="205">
        <f t="shared" si="25"/>
        <v>0</v>
      </c>
      <c r="BM67" s="205">
        <f t="shared" si="26"/>
        <v>0</v>
      </c>
      <c r="BN67" s="205">
        <f t="shared" si="9"/>
        <v>0</v>
      </c>
      <c r="BO67" s="205">
        <f t="shared" si="10"/>
        <v>0</v>
      </c>
      <c r="BP67" s="206" t="s">
        <v>717</v>
      </c>
      <c r="BQ67" s="277">
        <v>10</v>
      </c>
      <c r="BR67" s="218">
        <f t="shared" si="12"/>
        <v>7</v>
      </c>
      <c r="BS67" s="219" t="str">
        <f t="shared" si="27"/>
        <v>Realizar el giro previo efectuados a favor de las entidades recobrantes y proveedores de servicios y tecnologías no incluidas en el PB con cargo a la UPC</v>
      </c>
      <c r="BT67" s="195">
        <f t="shared" si="11"/>
        <v>21420000</v>
      </c>
      <c r="BU67" s="196"/>
      <c r="BV67" s="196"/>
      <c r="BW67" s="196"/>
      <c r="BX67" s="196"/>
      <c r="BY67" s="196"/>
      <c r="BZ67" s="19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c r="EU67" s="146"/>
      <c r="EV67" s="146"/>
      <c r="EW67" s="146"/>
      <c r="EX67" s="146"/>
      <c r="EY67" s="146"/>
      <c r="EZ67" s="146"/>
      <c r="FA67" s="146"/>
      <c r="FB67" s="146"/>
      <c r="FC67" s="146"/>
      <c r="FD67" s="146"/>
      <c r="FE67" s="146"/>
      <c r="FF67" s="146"/>
      <c r="FG67" s="146"/>
      <c r="FH67" s="146"/>
      <c r="FI67" s="146"/>
      <c r="FJ67" s="146"/>
      <c r="FK67" s="146"/>
      <c r="FL67" s="146"/>
      <c r="FM67" s="146"/>
      <c r="FN67" s="146"/>
      <c r="FO67" s="146"/>
      <c r="FP67" s="146"/>
      <c r="FQ67" s="146"/>
      <c r="FR67" s="146"/>
      <c r="FS67" s="146"/>
      <c r="FT67" s="146"/>
      <c r="FU67" s="146"/>
      <c r="FV67" s="146"/>
      <c r="FW67" s="146"/>
      <c r="FX67" s="146"/>
      <c r="FY67" s="146"/>
      <c r="FZ67" s="146"/>
      <c r="GA67" s="146"/>
      <c r="GB67" s="146"/>
      <c r="GC67" s="146"/>
      <c r="GD67" s="146"/>
      <c r="GE67" s="146"/>
      <c r="GF67" s="146"/>
      <c r="GG67" s="146"/>
      <c r="GH67" s="146"/>
      <c r="GI67" s="146"/>
      <c r="GJ67" s="146"/>
      <c r="GK67" s="146"/>
      <c r="GL67" s="146"/>
      <c r="GM67" s="146"/>
      <c r="GN67" s="146"/>
      <c r="GO67" s="146"/>
      <c r="GP67" s="146"/>
      <c r="GQ67" s="146"/>
      <c r="GR67" s="146"/>
      <c r="GS67" s="146"/>
      <c r="GT67" s="146"/>
      <c r="GU67" s="146"/>
      <c r="GV67" s="146"/>
      <c r="GW67" s="146"/>
      <c r="GX67" s="146"/>
      <c r="GY67" s="146"/>
      <c r="GZ67" s="146"/>
      <c r="HA67" s="146"/>
      <c r="HB67" s="146"/>
      <c r="HC67" s="146"/>
      <c r="HD67" s="146"/>
      <c r="HE67" s="146"/>
      <c r="HF67" s="146"/>
      <c r="HG67" s="146"/>
      <c r="HH67" s="146"/>
      <c r="HI67" s="146"/>
      <c r="HJ67" s="146"/>
      <c r="HK67" s="146"/>
      <c r="HL67" s="146"/>
      <c r="HM67" s="146"/>
      <c r="HN67" s="146"/>
      <c r="HO67" s="146"/>
      <c r="HP67" s="146"/>
      <c r="HQ67" s="146"/>
      <c r="HR67" s="146"/>
      <c r="HS67" s="146"/>
      <c r="HT67" s="146"/>
      <c r="HU67" s="146"/>
      <c r="HV67" s="146"/>
      <c r="HW67" s="146"/>
      <c r="HX67" s="146"/>
      <c r="HY67" s="146"/>
      <c r="HZ67" s="146"/>
      <c r="IA67" s="146"/>
    </row>
    <row r="68" spans="1:235" s="159" customFormat="1" ht="99.75" x14ac:dyDescent="0.25">
      <c r="A68" s="197">
        <v>11500</v>
      </c>
      <c r="B68" s="194" t="s">
        <v>28</v>
      </c>
      <c r="C68" s="198" t="s">
        <v>263</v>
      </c>
      <c r="D68" s="194" t="s">
        <v>144</v>
      </c>
      <c r="E68" s="198" t="s">
        <v>529</v>
      </c>
      <c r="F68" s="194" t="s">
        <v>602</v>
      </c>
      <c r="G68" s="209" t="s">
        <v>123</v>
      </c>
      <c r="H68" s="216">
        <v>1</v>
      </c>
      <c r="I68" s="198" t="s">
        <v>530</v>
      </c>
      <c r="J68" s="194" t="s">
        <v>603</v>
      </c>
      <c r="K68" s="210">
        <v>33371192463</v>
      </c>
      <c r="L68" s="211">
        <v>1</v>
      </c>
      <c r="M68" s="194" t="s">
        <v>46</v>
      </c>
      <c r="N68" s="194" t="s">
        <v>68</v>
      </c>
      <c r="O68" s="194" t="s">
        <v>21</v>
      </c>
      <c r="P68" s="194" t="s">
        <v>36</v>
      </c>
      <c r="Q68" s="194" t="s">
        <v>211</v>
      </c>
      <c r="R68" s="194" t="s">
        <v>674</v>
      </c>
      <c r="S68" s="194" t="s">
        <v>98</v>
      </c>
      <c r="T68" s="211">
        <v>1</v>
      </c>
      <c r="U68" s="212" t="str">
        <f t="shared" si="13"/>
        <v>Paquetes de recobros cuyo trámite de auditoría haya culminado, para el trámite de reconocimiento y pago por parte de ADRES.</v>
      </c>
      <c r="V68" s="213">
        <f t="shared" si="13"/>
        <v>33371192463</v>
      </c>
      <c r="W68" s="222" t="s">
        <v>114</v>
      </c>
      <c r="X68" s="281">
        <v>0.25</v>
      </c>
      <c r="Y68" s="282" t="s">
        <v>603</v>
      </c>
      <c r="Z68" s="283">
        <f>+V68*X68</f>
        <v>8342798115.75</v>
      </c>
      <c r="AA68" s="279"/>
      <c r="AB68" s="279"/>
      <c r="AC68" s="280">
        <f t="shared" si="14"/>
        <v>0</v>
      </c>
      <c r="AD68" s="280">
        <f t="shared" si="15"/>
        <v>0</v>
      </c>
      <c r="AE68" s="280">
        <f t="shared" si="0"/>
        <v>0</v>
      </c>
      <c r="AF68" s="280">
        <f t="shared" si="1"/>
        <v>0</v>
      </c>
      <c r="AG68" s="281">
        <v>0.25</v>
      </c>
      <c r="AH68" s="282" t="s">
        <v>603</v>
      </c>
      <c r="AI68" s="283">
        <v>8342798115.75</v>
      </c>
      <c r="AJ68" s="279"/>
      <c r="AK68" s="279"/>
      <c r="AL68" s="280">
        <f t="shared" si="16"/>
        <v>0</v>
      </c>
      <c r="AM68" s="280">
        <f t="shared" si="2"/>
        <v>0</v>
      </c>
      <c r="AN68" s="280">
        <f t="shared" si="3"/>
        <v>0</v>
      </c>
      <c r="AO68" s="280">
        <f t="shared" si="4"/>
        <v>0</v>
      </c>
      <c r="AP68" s="281">
        <v>0.25</v>
      </c>
      <c r="AQ68" s="282" t="s">
        <v>603</v>
      </c>
      <c r="AR68" s="283">
        <v>8342798115.75</v>
      </c>
      <c r="AS68" s="279"/>
      <c r="AT68" s="279"/>
      <c r="AU68" s="280">
        <f t="shared" si="17"/>
        <v>0</v>
      </c>
      <c r="AV68" s="280">
        <f t="shared" si="18"/>
        <v>0</v>
      </c>
      <c r="AW68" s="280">
        <f t="shared" si="19"/>
        <v>0</v>
      </c>
      <c r="AX68" s="280">
        <f t="shared" si="20"/>
        <v>0</v>
      </c>
      <c r="AY68" s="281">
        <v>0.25</v>
      </c>
      <c r="AZ68" s="282" t="s">
        <v>603</v>
      </c>
      <c r="BA68" s="283">
        <v>8342798115.75</v>
      </c>
      <c r="BB68" s="279"/>
      <c r="BC68" s="279"/>
      <c r="BD68" s="281">
        <f t="shared" si="21"/>
        <v>0</v>
      </c>
      <c r="BE68" s="281">
        <f t="shared" si="22"/>
        <v>0</v>
      </c>
      <c r="BF68" s="281">
        <f t="shared" si="23"/>
        <v>0</v>
      </c>
      <c r="BG68" s="281">
        <f t="shared" si="24"/>
        <v>0</v>
      </c>
      <c r="BH68" s="205">
        <f t="shared" si="5"/>
        <v>0</v>
      </c>
      <c r="BI68" s="205">
        <f t="shared" si="6"/>
        <v>0</v>
      </c>
      <c r="BJ68" s="205">
        <f t="shared" si="7"/>
        <v>0</v>
      </c>
      <c r="BK68" s="205">
        <f t="shared" si="8"/>
        <v>0</v>
      </c>
      <c r="BL68" s="205">
        <f t="shared" si="25"/>
        <v>0</v>
      </c>
      <c r="BM68" s="205">
        <f t="shared" si="26"/>
        <v>0</v>
      </c>
      <c r="BN68" s="205">
        <f t="shared" si="9"/>
        <v>0</v>
      </c>
      <c r="BO68" s="205">
        <f t="shared" si="10"/>
        <v>0</v>
      </c>
      <c r="BP68" s="206" t="s">
        <v>717</v>
      </c>
      <c r="BQ68" s="277">
        <v>10</v>
      </c>
      <c r="BR68" s="208">
        <f t="shared" si="12"/>
        <v>0.58333333333333337</v>
      </c>
      <c r="BS68" s="219" t="str">
        <f t="shared" si="27"/>
        <v>Paquetes de recobros cuyo trámite de auditoría haya culminado, para el trámite de reconocimiento y pago por parte de ADRES.</v>
      </c>
      <c r="BT68" s="195">
        <f t="shared" si="11"/>
        <v>19466528936.75</v>
      </c>
      <c r="BU68" s="196"/>
      <c r="BV68" s="196"/>
      <c r="BW68" s="196"/>
      <c r="BX68" s="196"/>
      <c r="BY68" s="196"/>
      <c r="BZ68" s="196"/>
      <c r="CA68" s="146"/>
      <c r="CB68" s="146"/>
      <c r="CC68" s="146"/>
      <c r="CD68" s="14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c r="ER68" s="146"/>
      <c r="ES68" s="146"/>
      <c r="ET68" s="146"/>
      <c r="EU68" s="146"/>
      <c r="EV68" s="146"/>
      <c r="EW68" s="146"/>
      <c r="EX68" s="146"/>
      <c r="EY68" s="146"/>
      <c r="EZ68" s="146"/>
      <c r="FA68" s="146"/>
      <c r="FB68" s="146"/>
      <c r="FC68" s="146"/>
      <c r="FD68" s="146"/>
      <c r="FE68" s="146"/>
      <c r="FF68" s="146"/>
      <c r="FG68" s="146"/>
      <c r="FH68" s="146"/>
      <c r="FI68" s="146"/>
      <c r="FJ68" s="146"/>
      <c r="FK68" s="146"/>
      <c r="FL68" s="146"/>
      <c r="FM68" s="146"/>
      <c r="FN68" s="146"/>
      <c r="FO68" s="146"/>
      <c r="FP68" s="146"/>
      <c r="FQ68" s="146"/>
      <c r="FR68" s="146"/>
      <c r="FS68" s="146"/>
      <c r="FT68" s="146"/>
      <c r="FU68" s="146"/>
      <c r="FV68" s="146"/>
      <c r="FW68" s="146"/>
      <c r="FX68" s="146"/>
      <c r="FY68" s="146"/>
      <c r="FZ68" s="146"/>
      <c r="GA68" s="146"/>
      <c r="GB68" s="146"/>
      <c r="GC68" s="146"/>
      <c r="GD68" s="146"/>
      <c r="GE68" s="146"/>
      <c r="GF68" s="146"/>
      <c r="GG68" s="146"/>
      <c r="GH68" s="146"/>
      <c r="GI68" s="146"/>
      <c r="GJ68" s="146"/>
      <c r="GK68" s="146"/>
      <c r="GL68" s="146"/>
      <c r="GM68" s="146"/>
      <c r="GN68" s="146"/>
      <c r="GO68" s="146"/>
      <c r="GP68" s="146"/>
      <c r="GQ68" s="146"/>
      <c r="GR68" s="146"/>
      <c r="GS68" s="146"/>
      <c r="GT68" s="146"/>
      <c r="GU68" s="146"/>
      <c r="GV68" s="146"/>
      <c r="GW68" s="146"/>
      <c r="GX68" s="146"/>
      <c r="GY68" s="146"/>
      <c r="GZ68" s="146"/>
      <c r="HA68" s="146"/>
      <c r="HB68" s="146"/>
      <c r="HC68" s="146"/>
      <c r="HD68" s="146"/>
      <c r="HE68" s="146"/>
      <c r="HF68" s="146"/>
      <c r="HG68" s="146"/>
      <c r="HH68" s="146"/>
      <c r="HI68" s="146"/>
      <c r="HJ68" s="146"/>
      <c r="HK68" s="146"/>
      <c r="HL68" s="146"/>
      <c r="HM68" s="146"/>
      <c r="HN68" s="146"/>
      <c r="HO68" s="146"/>
      <c r="HP68" s="146"/>
      <c r="HQ68" s="146"/>
      <c r="HR68" s="146"/>
      <c r="HS68" s="146"/>
      <c r="HT68" s="146"/>
      <c r="HU68" s="146"/>
      <c r="HV68" s="146"/>
      <c r="HW68" s="146"/>
      <c r="HX68" s="146"/>
      <c r="HY68" s="146"/>
      <c r="HZ68" s="146"/>
      <c r="IA68" s="146"/>
    </row>
    <row r="69" spans="1:235" s="159" customFormat="1" ht="71.25" x14ac:dyDescent="0.25">
      <c r="A69" s="197">
        <v>11500</v>
      </c>
      <c r="B69" s="194" t="s">
        <v>28</v>
      </c>
      <c r="C69" s="198" t="s">
        <v>263</v>
      </c>
      <c r="D69" s="194" t="s">
        <v>144</v>
      </c>
      <c r="E69" s="198" t="s">
        <v>531</v>
      </c>
      <c r="F69" s="201" t="s">
        <v>604</v>
      </c>
      <c r="G69" s="209" t="s">
        <v>124</v>
      </c>
      <c r="H69" s="229">
        <v>12</v>
      </c>
      <c r="I69" s="198" t="s">
        <v>532</v>
      </c>
      <c r="J69" s="194" t="s">
        <v>606</v>
      </c>
      <c r="K69" s="210">
        <v>0</v>
      </c>
      <c r="L69" s="211">
        <v>1</v>
      </c>
      <c r="M69" s="194" t="s">
        <v>46</v>
      </c>
      <c r="N69" s="194" t="s">
        <v>68</v>
      </c>
      <c r="O69" s="194" t="s">
        <v>21</v>
      </c>
      <c r="P69" s="194" t="s">
        <v>36</v>
      </c>
      <c r="Q69" s="194" t="s">
        <v>211</v>
      </c>
      <c r="R69" s="194" t="s">
        <v>675</v>
      </c>
      <c r="S69" s="194" t="s">
        <v>98</v>
      </c>
      <c r="T69" s="230">
        <v>12</v>
      </c>
      <c r="U69" s="212" t="str">
        <f t="shared" si="13"/>
        <v>Publicación del Giro Directo del giro previo</v>
      </c>
      <c r="V69" s="213">
        <f t="shared" si="13"/>
        <v>0</v>
      </c>
      <c r="W69" s="214" t="s">
        <v>117</v>
      </c>
      <c r="X69" s="284">
        <v>3</v>
      </c>
      <c r="Y69" s="282" t="s">
        <v>606</v>
      </c>
      <c r="Z69" s="283">
        <v>0</v>
      </c>
      <c r="AA69" s="279"/>
      <c r="AB69" s="279"/>
      <c r="AC69" s="280">
        <f t="shared" si="14"/>
        <v>0</v>
      </c>
      <c r="AD69" s="280" t="e">
        <f t="shared" si="15"/>
        <v>#DIV/0!</v>
      </c>
      <c r="AE69" s="280">
        <f t="shared" si="0"/>
        <v>0</v>
      </c>
      <c r="AF69" s="280" t="e">
        <f t="shared" si="1"/>
        <v>#DIV/0!</v>
      </c>
      <c r="AG69" s="284">
        <v>3</v>
      </c>
      <c r="AH69" s="282" t="s">
        <v>606</v>
      </c>
      <c r="AI69" s="283">
        <v>0</v>
      </c>
      <c r="AJ69" s="279"/>
      <c r="AK69" s="279"/>
      <c r="AL69" s="280">
        <f t="shared" si="16"/>
        <v>0</v>
      </c>
      <c r="AM69" s="280" t="e">
        <f t="shared" si="2"/>
        <v>#DIV/0!</v>
      </c>
      <c r="AN69" s="280">
        <f t="shared" si="3"/>
        <v>0</v>
      </c>
      <c r="AO69" s="280" t="e">
        <f t="shared" si="4"/>
        <v>#DIV/0!</v>
      </c>
      <c r="AP69" s="284">
        <v>3</v>
      </c>
      <c r="AQ69" s="282" t="s">
        <v>606</v>
      </c>
      <c r="AR69" s="283">
        <v>0</v>
      </c>
      <c r="AS69" s="279"/>
      <c r="AT69" s="279"/>
      <c r="AU69" s="280">
        <f t="shared" si="17"/>
        <v>0</v>
      </c>
      <c r="AV69" s="280" t="e">
        <f t="shared" si="18"/>
        <v>#DIV/0!</v>
      </c>
      <c r="AW69" s="280">
        <f t="shared" si="19"/>
        <v>0</v>
      </c>
      <c r="AX69" s="280" t="e">
        <f t="shared" si="20"/>
        <v>#DIV/0!</v>
      </c>
      <c r="AY69" s="284">
        <v>3</v>
      </c>
      <c r="AZ69" s="282" t="s">
        <v>606</v>
      </c>
      <c r="BA69" s="283">
        <v>0</v>
      </c>
      <c r="BB69" s="279"/>
      <c r="BC69" s="279"/>
      <c r="BD69" s="281">
        <f t="shared" si="21"/>
        <v>0</v>
      </c>
      <c r="BE69" s="281" t="e">
        <f t="shared" si="22"/>
        <v>#DIV/0!</v>
      </c>
      <c r="BF69" s="281">
        <f t="shared" si="23"/>
        <v>0</v>
      </c>
      <c r="BG69" s="281" t="e">
        <f t="shared" si="24"/>
        <v>#DIV/0!</v>
      </c>
      <c r="BH69" s="205">
        <f t="shared" si="5"/>
        <v>0</v>
      </c>
      <c r="BI69" s="205" t="str">
        <f t="shared" si="6"/>
        <v>No Prog ni Ejec</v>
      </c>
      <c r="BJ69" s="205">
        <f t="shared" si="7"/>
        <v>0</v>
      </c>
      <c r="BK69" s="205" t="str">
        <f t="shared" si="8"/>
        <v>No Prog ni Ejec</v>
      </c>
      <c r="BL69" s="205">
        <f t="shared" si="25"/>
        <v>0</v>
      </c>
      <c r="BM69" s="205" t="str">
        <f t="shared" si="26"/>
        <v>No Prog ni Ejec</v>
      </c>
      <c r="BN69" s="205">
        <f t="shared" si="9"/>
        <v>0</v>
      </c>
      <c r="BO69" s="205" t="str">
        <f t="shared" si="10"/>
        <v>No Prog ni Ejec</v>
      </c>
      <c r="BP69" s="206"/>
      <c r="BQ69" s="277">
        <v>10</v>
      </c>
      <c r="BR69" s="218">
        <f t="shared" si="12"/>
        <v>7</v>
      </c>
      <c r="BS69" s="219" t="str">
        <f t="shared" si="27"/>
        <v>Publicación del Giro Directo del giro previo</v>
      </c>
      <c r="BT69" s="195">
        <f t="shared" si="11"/>
        <v>0</v>
      </c>
      <c r="BU69" s="196"/>
      <c r="BV69" s="196"/>
      <c r="BW69" s="196"/>
      <c r="BX69" s="196"/>
      <c r="BY69" s="196"/>
      <c r="BZ69" s="196"/>
      <c r="CA69" s="146"/>
      <c r="CB69" s="146"/>
      <c r="CC69" s="146"/>
      <c r="CD69" s="146"/>
      <c r="CE69" s="146"/>
      <c r="CF69" s="146"/>
      <c r="CG69" s="146"/>
      <c r="CH69" s="146"/>
      <c r="CI69" s="146"/>
      <c r="CJ69" s="146"/>
      <c r="CK69" s="146"/>
      <c r="CL69" s="146"/>
      <c r="CM69" s="146"/>
      <c r="CN69" s="146"/>
      <c r="CO69" s="146"/>
      <c r="CP69" s="146"/>
      <c r="CQ69" s="146"/>
      <c r="CR69" s="146"/>
      <c r="CS69" s="146"/>
      <c r="CT69" s="146"/>
      <c r="CU69" s="146"/>
      <c r="CV69" s="146"/>
      <c r="CW69" s="146"/>
      <c r="CX69" s="146"/>
      <c r="CY69" s="146"/>
      <c r="CZ69" s="146"/>
      <c r="DA69" s="146"/>
      <c r="DB69" s="146"/>
      <c r="DC69" s="146"/>
      <c r="DD69" s="146"/>
      <c r="DE69" s="146"/>
      <c r="DF69" s="146"/>
      <c r="DG69" s="146"/>
      <c r="DH69" s="146"/>
      <c r="DI69" s="146"/>
      <c r="DJ69" s="146"/>
      <c r="DK69" s="146"/>
      <c r="DL69" s="146"/>
      <c r="DM69" s="146"/>
      <c r="DN69" s="146"/>
      <c r="DO69" s="146"/>
      <c r="DP69" s="146"/>
      <c r="DQ69" s="146"/>
      <c r="DR69" s="146"/>
      <c r="DS69" s="146"/>
      <c r="DT69" s="146"/>
      <c r="DU69" s="146"/>
      <c r="DV69" s="146"/>
      <c r="DW69" s="146"/>
      <c r="DX69" s="146"/>
      <c r="DY69" s="146"/>
      <c r="DZ69" s="146"/>
      <c r="EA69" s="146"/>
      <c r="EB69" s="146"/>
      <c r="EC69" s="146"/>
      <c r="ED69" s="146"/>
      <c r="EE69" s="146"/>
      <c r="EF69" s="146"/>
      <c r="EG69" s="146"/>
      <c r="EH69" s="146"/>
      <c r="EI69" s="146"/>
      <c r="EJ69" s="146"/>
      <c r="EK69" s="146"/>
      <c r="EL69" s="146"/>
      <c r="EM69" s="146"/>
      <c r="EN69" s="146"/>
      <c r="EO69" s="146"/>
      <c r="EP69" s="146"/>
      <c r="EQ69" s="146"/>
      <c r="ER69" s="146"/>
      <c r="ES69" s="146"/>
      <c r="ET69" s="146"/>
      <c r="EU69" s="146"/>
      <c r="EV69" s="146"/>
      <c r="EW69" s="146"/>
      <c r="EX69" s="146"/>
      <c r="EY69" s="146"/>
      <c r="EZ69" s="146"/>
      <c r="FA69" s="146"/>
      <c r="FB69" s="146"/>
      <c r="FC69" s="146"/>
      <c r="FD69" s="146"/>
      <c r="FE69" s="146"/>
      <c r="FF69" s="146"/>
      <c r="FG69" s="146"/>
      <c r="FH69" s="146"/>
      <c r="FI69" s="146"/>
      <c r="FJ69" s="146"/>
      <c r="FK69" s="146"/>
      <c r="FL69" s="146"/>
      <c r="FM69" s="146"/>
      <c r="FN69" s="146"/>
      <c r="FO69" s="146"/>
      <c r="FP69" s="146"/>
      <c r="FQ69" s="146"/>
      <c r="FR69" s="146"/>
      <c r="FS69" s="146"/>
      <c r="FT69" s="146"/>
      <c r="FU69" s="146"/>
      <c r="FV69" s="146"/>
      <c r="FW69" s="146"/>
      <c r="FX69" s="146"/>
      <c r="FY69" s="146"/>
      <c r="FZ69" s="146"/>
      <c r="GA69" s="146"/>
      <c r="GB69" s="146"/>
      <c r="GC69" s="146"/>
      <c r="GD69" s="146"/>
      <c r="GE69" s="146"/>
      <c r="GF69" s="146"/>
      <c r="GG69" s="146"/>
      <c r="GH69" s="146"/>
      <c r="GI69" s="146"/>
      <c r="GJ69" s="146"/>
      <c r="GK69" s="146"/>
      <c r="GL69" s="146"/>
      <c r="GM69" s="146"/>
      <c r="GN69" s="146"/>
      <c r="GO69" s="146"/>
      <c r="GP69" s="146"/>
      <c r="GQ69" s="146"/>
      <c r="GR69" s="146"/>
      <c r="GS69" s="146"/>
      <c r="GT69" s="146"/>
      <c r="GU69" s="146"/>
      <c r="GV69" s="146"/>
      <c r="GW69" s="146"/>
      <c r="GX69" s="146"/>
      <c r="GY69" s="146"/>
      <c r="GZ69" s="146"/>
      <c r="HA69" s="146"/>
      <c r="HB69" s="146"/>
      <c r="HC69" s="146"/>
      <c r="HD69" s="146"/>
      <c r="HE69" s="146"/>
      <c r="HF69" s="146"/>
      <c r="HG69" s="146"/>
      <c r="HH69" s="146"/>
      <c r="HI69" s="146"/>
      <c r="HJ69" s="146"/>
      <c r="HK69" s="146"/>
      <c r="HL69" s="146"/>
      <c r="HM69" s="146"/>
      <c r="HN69" s="146"/>
      <c r="HO69" s="146"/>
      <c r="HP69" s="146"/>
      <c r="HQ69" s="146"/>
      <c r="HR69" s="146"/>
      <c r="HS69" s="146"/>
      <c r="HT69" s="146"/>
      <c r="HU69" s="146"/>
      <c r="HV69" s="146"/>
      <c r="HW69" s="146"/>
      <c r="HX69" s="146"/>
      <c r="HY69" s="146"/>
      <c r="HZ69" s="146"/>
      <c r="IA69" s="146"/>
    </row>
    <row r="70" spans="1:235" s="153" customFormat="1" ht="71.25" x14ac:dyDescent="0.25">
      <c r="A70" s="197">
        <v>11500</v>
      </c>
      <c r="B70" s="194" t="s">
        <v>28</v>
      </c>
      <c r="C70" s="198" t="s">
        <v>263</v>
      </c>
      <c r="D70" s="194" t="s">
        <v>144</v>
      </c>
      <c r="E70" s="198" t="s">
        <v>533</v>
      </c>
      <c r="F70" s="194" t="s">
        <v>607</v>
      </c>
      <c r="G70" s="209" t="s">
        <v>123</v>
      </c>
      <c r="H70" s="216">
        <v>1</v>
      </c>
      <c r="I70" s="198" t="s">
        <v>534</v>
      </c>
      <c r="J70" s="194" t="s">
        <v>758</v>
      </c>
      <c r="K70" s="210">
        <v>0</v>
      </c>
      <c r="L70" s="211">
        <v>1</v>
      </c>
      <c r="M70" s="194" t="s">
        <v>46</v>
      </c>
      <c r="N70" s="194" t="s">
        <v>68</v>
      </c>
      <c r="O70" s="194" t="s">
        <v>21</v>
      </c>
      <c r="P70" s="194" t="s">
        <v>36</v>
      </c>
      <c r="Q70" s="194" t="s">
        <v>211</v>
      </c>
      <c r="R70" s="194" t="s">
        <v>622</v>
      </c>
      <c r="S70" s="194" t="s">
        <v>98</v>
      </c>
      <c r="T70" s="211">
        <v>1</v>
      </c>
      <c r="U70" s="212" t="str">
        <f t="shared" si="13"/>
        <v>Realizar informes de supervisión en el período</v>
      </c>
      <c r="V70" s="213">
        <f t="shared" si="13"/>
        <v>0</v>
      </c>
      <c r="W70" s="214" t="s">
        <v>117</v>
      </c>
      <c r="X70" s="216">
        <v>0.25</v>
      </c>
      <c r="Y70" s="214" t="s">
        <v>758</v>
      </c>
      <c r="Z70" s="210">
        <v>0</v>
      </c>
      <c r="AA70" s="196"/>
      <c r="AB70" s="196"/>
      <c r="AC70" s="204">
        <f t="shared" si="14"/>
        <v>0</v>
      </c>
      <c r="AD70" s="204" t="e">
        <f t="shared" si="15"/>
        <v>#DIV/0!</v>
      </c>
      <c r="AE70" s="204">
        <f t="shared" si="0"/>
        <v>0</v>
      </c>
      <c r="AF70" s="204" t="e">
        <f t="shared" si="1"/>
        <v>#DIV/0!</v>
      </c>
      <c r="AG70" s="216">
        <v>0.25</v>
      </c>
      <c r="AH70" s="214" t="s">
        <v>758</v>
      </c>
      <c r="AI70" s="210">
        <v>0</v>
      </c>
      <c r="AJ70" s="196"/>
      <c r="AK70" s="196"/>
      <c r="AL70" s="204">
        <f t="shared" si="16"/>
        <v>0</v>
      </c>
      <c r="AM70" s="204" t="e">
        <f t="shared" si="2"/>
        <v>#DIV/0!</v>
      </c>
      <c r="AN70" s="204">
        <f t="shared" si="3"/>
        <v>0</v>
      </c>
      <c r="AO70" s="204" t="e">
        <f t="shared" si="4"/>
        <v>#DIV/0!</v>
      </c>
      <c r="AP70" s="216">
        <v>0.25</v>
      </c>
      <c r="AQ70" s="214" t="s">
        <v>758</v>
      </c>
      <c r="AR70" s="210">
        <v>0</v>
      </c>
      <c r="AS70" s="196"/>
      <c r="AT70" s="196"/>
      <c r="AU70" s="204">
        <f t="shared" si="17"/>
        <v>0</v>
      </c>
      <c r="AV70" s="204" t="e">
        <f t="shared" si="18"/>
        <v>#DIV/0!</v>
      </c>
      <c r="AW70" s="204">
        <f t="shared" si="19"/>
        <v>0</v>
      </c>
      <c r="AX70" s="204" t="e">
        <f t="shared" si="20"/>
        <v>#DIV/0!</v>
      </c>
      <c r="AY70" s="216">
        <v>0.25</v>
      </c>
      <c r="AZ70" s="214" t="s">
        <v>758</v>
      </c>
      <c r="BA70" s="210">
        <v>0</v>
      </c>
      <c r="BB70" s="196"/>
      <c r="BC70" s="196"/>
      <c r="BD70" s="216">
        <f t="shared" si="21"/>
        <v>0</v>
      </c>
      <c r="BE70" s="216" t="e">
        <f t="shared" si="22"/>
        <v>#DIV/0!</v>
      </c>
      <c r="BF70" s="216">
        <f t="shared" si="23"/>
        <v>0</v>
      </c>
      <c r="BG70" s="216" t="e">
        <f t="shared" si="24"/>
        <v>#DIV/0!</v>
      </c>
      <c r="BH70" s="217">
        <f t="shared" si="5"/>
        <v>0</v>
      </c>
      <c r="BI70" s="217" t="str">
        <f t="shared" si="6"/>
        <v>No Prog ni Ejec</v>
      </c>
      <c r="BJ70" s="217">
        <f t="shared" si="7"/>
        <v>0</v>
      </c>
      <c r="BK70" s="217" t="str">
        <f t="shared" si="8"/>
        <v>No Prog ni Ejec</v>
      </c>
      <c r="BL70" s="217">
        <f t="shared" si="25"/>
        <v>0</v>
      </c>
      <c r="BM70" s="217" t="str">
        <f t="shared" si="26"/>
        <v>No Prog ni Ejec</v>
      </c>
      <c r="BN70" s="217">
        <f t="shared" si="9"/>
        <v>0</v>
      </c>
      <c r="BO70" s="217" t="str">
        <f t="shared" si="10"/>
        <v>No Prog ni Ejec</v>
      </c>
      <c r="BP70" s="206"/>
      <c r="BQ70" s="277">
        <v>10</v>
      </c>
      <c r="BR70" s="208">
        <f t="shared" si="12"/>
        <v>0.58333333333333337</v>
      </c>
      <c r="BS70" s="219" t="str">
        <f t="shared" si="27"/>
        <v>Realizar informes de supervisión en el período</v>
      </c>
      <c r="BT70" s="195">
        <f t="shared" si="11"/>
        <v>0</v>
      </c>
      <c r="BU70" s="196"/>
      <c r="BV70" s="196"/>
      <c r="BW70" s="196"/>
      <c r="BX70" s="196"/>
      <c r="BY70" s="196"/>
      <c r="BZ70" s="19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146"/>
      <c r="CX70" s="146"/>
      <c r="CY70" s="146"/>
      <c r="CZ70" s="146"/>
      <c r="DA70" s="146"/>
      <c r="DB70" s="146"/>
      <c r="DC70" s="146"/>
      <c r="DD70" s="146"/>
      <c r="DE70" s="146"/>
      <c r="DF70" s="146"/>
      <c r="DG70" s="146"/>
      <c r="DH70" s="146"/>
      <c r="DI70" s="146"/>
      <c r="DJ70" s="146"/>
      <c r="DK70" s="146"/>
      <c r="DL70" s="146"/>
      <c r="DM70" s="146"/>
      <c r="DN70" s="146"/>
      <c r="DO70" s="146"/>
      <c r="DP70" s="146"/>
      <c r="DQ70" s="146"/>
      <c r="DR70" s="146"/>
      <c r="DS70" s="146"/>
      <c r="DT70" s="146"/>
      <c r="DU70" s="146"/>
      <c r="DV70" s="146"/>
      <c r="DW70" s="146"/>
      <c r="DX70" s="146"/>
      <c r="DY70" s="146"/>
      <c r="DZ70" s="146"/>
      <c r="EA70" s="146"/>
      <c r="EB70" s="146"/>
      <c r="EC70" s="146"/>
      <c r="ED70" s="146"/>
      <c r="EE70" s="146"/>
      <c r="EF70" s="146"/>
      <c r="EG70" s="146"/>
      <c r="EH70" s="146"/>
      <c r="EI70" s="146"/>
      <c r="EJ70" s="146"/>
      <c r="EK70" s="146"/>
      <c r="EL70" s="146"/>
      <c r="EM70" s="146"/>
      <c r="EN70" s="146"/>
      <c r="EO70" s="146"/>
      <c r="EP70" s="146"/>
      <c r="EQ70" s="146"/>
      <c r="ER70" s="146"/>
      <c r="ES70" s="146"/>
      <c r="ET70" s="146"/>
      <c r="EU70" s="146"/>
      <c r="EV70" s="146"/>
      <c r="EW70" s="146"/>
      <c r="EX70" s="146"/>
      <c r="EY70" s="146"/>
      <c r="EZ70" s="146"/>
      <c r="FA70" s="146"/>
      <c r="FB70" s="146"/>
      <c r="FC70" s="146"/>
      <c r="FD70" s="146"/>
      <c r="FE70" s="146"/>
      <c r="FF70" s="146"/>
      <c r="FG70" s="146"/>
      <c r="FH70" s="146"/>
      <c r="FI70" s="146"/>
      <c r="FJ70" s="146"/>
      <c r="FK70" s="146"/>
      <c r="FL70" s="146"/>
      <c r="FM70" s="146"/>
      <c r="FN70" s="146"/>
      <c r="FO70" s="146"/>
      <c r="FP70" s="146"/>
      <c r="FQ70" s="146"/>
      <c r="FR70" s="146"/>
      <c r="FS70" s="146"/>
      <c r="FT70" s="146"/>
      <c r="FU70" s="146"/>
      <c r="FV70" s="146"/>
      <c r="FW70" s="146"/>
      <c r="FX70" s="146"/>
      <c r="FY70" s="146"/>
      <c r="FZ70" s="146"/>
      <c r="GA70" s="146"/>
      <c r="GB70" s="146"/>
      <c r="GC70" s="146"/>
      <c r="GD70" s="146"/>
      <c r="GE70" s="146"/>
      <c r="GF70" s="146"/>
      <c r="GG70" s="146"/>
      <c r="GH70" s="146"/>
      <c r="GI70" s="146"/>
      <c r="GJ70" s="146"/>
      <c r="GK70" s="146"/>
      <c r="GL70" s="146"/>
      <c r="GM70" s="146"/>
      <c r="GN70" s="146"/>
      <c r="GO70" s="146"/>
      <c r="GP70" s="146"/>
      <c r="GQ70" s="146"/>
      <c r="GR70" s="146"/>
      <c r="GS70" s="146"/>
      <c r="GT70" s="146"/>
      <c r="GU70" s="146"/>
      <c r="GV70" s="146"/>
      <c r="GW70" s="146"/>
      <c r="GX70" s="146"/>
      <c r="GY70" s="146"/>
      <c r="GZ70" s="146"/>
      <c r="HA70" s="146"/>
      <c r="HB70" s="146"/>
      <c r="HC70" s="146"/>
      <c r="HD70" s="146"/>
      <c r="HE70" s="146"/>
      <c r="HF70" s="146"/>
      <c r="HG70" s="146"/>
      <c r="HH70" s="146"/>
      <c r="HI70" s="146"/>
      <c r="HJ70" s="146"/>
      <c r="HK70" s="146"/>
      <c r="HL70" s="146"/>
      <c r="HM70" s="146"/>
      <c r="HN70" s="146"/>
      <c r="HO70" s="146"/>
      <c r="HP70" s="146"/>
      <c r="HQ70" s="146"/>
      <c r="HR70" s="146"/>
      <c r="HS70" s="146"/>
      <c r="HT70" s="146"/>
      <c r="HU70" s="146"/>
      <c r="HV70" s="146"/>
      <c r="HW70" s="146"/>
      <c r="HX70" s="146"/>
      <c r="HY70" s="146"/>
      <c r="HZ70" s="146"/>
      <c r="IA70" s="146"/>
    </row>
    <row r="71" spans="1:235" s="154" customFormat="1" ht="85.5" x14ac:dyDescent="0.25">
      <c r="A71" s="197">
        <v>11500</v>
      </c>
      <c r="B71" s="194" t="s">
        <v>28</v>
      </c>
      <c r="C71" s="198" t="s">
        <v>263</v>
      </c>
      <c r="D71" s="194" t="s">
        <v>144</v>
      </c>
      <c r="E71" s="198" t="s">
        <v>535</v>
      </c>
      <c r="F71" s="194" t="s">
        <v>609</v>
      </c>
      <c r="G71" s="209" t="s">
        <v>384</v>
      </c>
      <c r="H71" s="229">
        <v>4</v>
      </c>
      <c r="I71" s="198" t="s">
        <v>536</v>
      </c>
      <c r="J71" s="194" t="s">
        <v>610</v>
      </c>
      <c r="K71" s="210">
        <v>0</v>
      </c>
      <c r="L71" s="211">
        <v>1</v>
      </c>
      <c r="M71" s="194" t="s">
        <v>46</v>
      </c>
      <c r="N71" s="194" t="s">
        <v>68</v>
      </c>
      <c r="O71" s="194" t="s">
        <v>21</v>
      </c>
      <c r="P71" s="194" t="s">
        <v>36</v>
      </c>
      <c r="Q71" s="194" t="s">
        <v>211</v>
      </c>
      <c r="R71" s="194" t="s">
        <v>623</v>
      </c>
      <c r="S71" s="194" t="s">
        <v>98</v>
      </c>
      <c r="T71" s="221">
        <v>4</v>
      </c>
      <c r="U71" s="212" t="str">
        <f t="shared" si="13"/>
        <v xml:space="preserve">Realizar boletines con resultados del proceso de reconocimiento y pago de recobros por concepto de servicios y tecnologías no cubiertos por el plan de beneficios con cargo a la UPC </v>
      </c>
      <c r="V71" s="213">
        <f t="shared" si="13"/>
        <v>0</v>
      </c>
      <c r="W71" s="214" t="s">
        <v>117</v>
      </c>
      <c r="X71" s="215">
        <v>1</v>
      </c>
      <c r="Y71" s="214" t="s">
        <v>610</v>
      </c>
      <c r="Z71" s="210">
        <v>0</v>
      </c>
      <c r="AA71" s="196"/>
      <c r="AB71" s="196"/>
      <c r="AC71" s="204">
        <f t="shared" si="14"/>
        <v>0</v>
      </c>
      <c r="AD71" s="204" t="e">
        <f t="shared" si="15"/>
        <v>#DIV/0!</v>
      </c>
      <c r="AE71" s="204">
        <f t="shared" si="0"/>
        <v>0</v>
      </c>
      <c r="AF71" s="204" t="e">
        <f t="shared" si="1"/>
        <v>#DIV/0!</v>
      </c>
      <c r="AG71" s="215">
        <v>1</v>
      </c>
      <c r="AH71" s="214" t="s">
        <v>610</v>
      </c>
      <c r="AI71" s="210">
        <v>0</v>
      </c>
      <c r="AJ71" s="196"/>
      <c r="AK71" s="196"/>
      <c r="AL71" s="204">
        <f t="shared" si="16"/>
        <v>0</v>
      </c>
      <c r="AM71" s="204" t="e">
        <f t="shared" si="2"/>
        <v>#DIV/0!</v>
      </c>
      <c r="AN71" s="204">
        <f t="shared" si="3"/>
        <v>0</v>
      </c>
      <c r="AO71" s="204" t="e">
        <f t="shared" si="4"/>
        <v>#DIV/0!</v>
      </c>
      <c r="AP71" s="215">
        <v>1</v>
      </c>
      <c r="AQ71" s="214" t="s">
        <v>610</v>
      </c>
      <c r="AR71" s="210">
        <v>0</v>
      </c>
      <c r="AS71" s="196"/>
      <c r="AT71" s="196"/>
      <c r="AU71" s="204">
        <f t="shared" si="17"/>
        <v>0</v>
      </c>
      <c r="AV71" s="204" t="e">
        <f t="shared" si="18"/>
        <v>#DIV/0!</v>
      </c>
      <c r="AW71" s="204">
        <f t="shared" si="19"/>
        <v>0</v>
      </c>
      <c r="AX71" s="204" t="e">
        <f t="shared" si="20"/>
        <v>#DIV/0!</v>
      </c>
      <c r="AY71" s="215">
        <v>1</v>
      </c>
      <c r="AZ71" s="214" t="s">
        <v>610</v>
      </c>
      <c r="BA71" s="210">
        <v>0</v>
      </c>
      <c r="BB71" s="196"/>
      <c r="BC71" s="196"/>
      <c r="BD71" s="216">
        <f t="shared" si="21"/>
        <v>0</v>
      </c>
      <c r="BE71" s="216" t="e">
        <f t="shared" si="22"/>
        <v>#DIV/0!</v>
      </c>
      <c r="BF71" s="216">
        <f t="shared" si="23"/>
        <v>0</v>
      </c>
      <c r="BG71" s="216" t="e">
        <f t="shared" si="24"/>
        <v>#DIV/0!</v>
      </c>
      <c r="BH71" s="207">
        <f t="shared" si="5"/>
        <v>0</v>
      </c>
      <c r="BI71" s="207" t="str">
        <f t="shared" si="6"/>
        <v>No Prog ni Ejec</v>
      </c>
      <c r="BJ71" s="207">
        <f t="shared" si="7"/>
        <v>0</v>
      </c>
      <c r="BK71" s="207" t="str">
        <f t="shared" si="8"/>
        <v>No Prog ni Ejec</v>
      </c>
      <c r="BL71" s="207">
        <f t="shared" si="25"/>
        <v>0</v>
      </c>
      <c r="BM71" s="207" t="str">
        <f t="shared" si="26"/>
        <v>No Prog ni Ejec</v>
      </c>
      <c r="BN71" s="207">
        <f t="shared" si="9"/>
        <v>0</v>
      </c>
      <c r="BO71" s="207" t="str">
        <f t="shared" si="10"/>
        <v>No Prog ni Ejec</v>
      </c>
      <c r="BP71" s="206"/>
      <c r="BQ71" s="277">
        <v>10</v>
      </c>
      <c r="BR71" s="218">
        <f t="shared" si="12"/>
        <v>2.3333333333333335</v>
      </c>
      <c r="BS71" s="219" t="str">
        <f t="shared" si="27"/>
        <v xml:space="preserve">Realizar boletines con resultados del proceso de reconocimiento y pago de recobros por concepto de servicios y tecnologías no cubiertos por el plan de beneficios con cargo a la UPC </v>
      </c>
      <c r="BT71" s="195">
        <f t="shared" si="11"/>
        <v>0</v>
      </c>
      <c r="BU71" s="196"/>
      <c r="BV71" s="196"/>
      <c r="BW71" s="196"/>
      <c r="BX71" s="196"/>
      <c r="BY71" s="196"/>
      <c r="BZ71" s="19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146"/>
      <c r="CX71" s="146"/>
      <c r="CY71" s="146"/>
      <c r="CZ71" s="146"/>
      <c r="DA71" s="146"/>
      <c r="DB71" s="146"/>
      <c r="DC71" s="146"/>
      <c r="DD71" s="146"/>
      <c r="DE71" s="146"/>
      <c r="DF71" s="146"/>
      <c r="DG71" s="146"/>
      <c r="DH71" s="146"/>
      <c r="DI71" s="146"/>
      <c r="DJ71" s="146"/>
      <c r="DK71" s="146"/>
      <c r="DL71" s="146"/>
      <c r="DM71" s="146"/>
      <c r="DN71" s="146"/>
      <c r="DO71" s="146"/>
      <c r="DP71" s="146"/>
      <c r="DQ71" s="146"/>
      <c r="DR71" s="146"/>
      <c r="DS71" s="146"/>
      <c r="DT71" s="146"/>
      <c r="DU71" s="146"/>
      <c r="DV71" s="146"/>
      <c r="DW71" s="146"/>
      <c r="DX71" s="146"/>
      <c r="DY71" s="146"/>
      <c r="DZ71" s="146"/>
      <c r="EA71" s="146"/>
      <c r="EB71" s="146"/>
      <c r="EC71" s="146"/>
      <c r="ED71" s="146"/>
      <c r="EE71" s="146"/>
      <c r="EF71" s="146"/>
      <c r="EG71" s="146"/>
      <c r="EH71" s="146"/>
      <c r="EI71" s="146"/>
      <c r="EJ71" s="146"/>
      <c r="EK71" s="146"/>
      <c r="EL71" s="146"/>
      <c r="EM71" s="146"/>
      <c r="EN71" s="146"/>
      <c r="EO71" s="146"/>
      <c r="EP71" s="146"/>
      <c r="EQ71" s="146"/>
      <c r="ER71" s="146"/>
      <c r="ES71" s="146"/>
      <c r="ET71" s="146"/>
      <c r="EU71" s="146"/>
      <c r="EV71" s="146"/>
      <c r="EW71" s="146"/>
      <c r="EX71" s="146"/>
      <c r="EY71" s="146"/>
      <c r="EZ71" s="146"/>
      <c r="FA71" s="146"/>
      <c r="FB71" s="146"/>
      <c r="FC71" s="146"/>
      <c r="FD71" s="146"/>
      <c r="FE71" s="146"/>
      <c r="FF71" s="146"/>
      <c r="FG71" s="146"/>
      <c r="FH71" s="146"/>
      <c r="FI71" s="146"/>
      <c r="FJ71" s="146"/>
      <c r="FK71" s="146"/>
      <c r="FL71" s="146"/>
      <c r="FM71" s="146"/>
      <c r="FN71" s="146"/>
      <c r="FO71" s="146"/>
      <c r="FP71" s="146"/>
      <c r="FQ71" s="146"/>
      <c r="FR71" s="146"/>
      <c r="FS71" s="146"/>
      <c r="FT71" s="146"/>
      <c r="FU71" s="146"/>
      <c r="FV71" s="146"/>
      <c r="FW71" s="146"/>
      <c r="FX71" s="146"/>
      <c r="FY71" s="146"/>
      <c r="FZ71" s="146"/>
      <c r="GA71" s="146"/>
      <c r="GB71" s="146"/>
      <c r="GC71" s="146"/>
      <c r="GD71" s="146"/>
      <c r="GE71" s="146"/>
      <c r="GF71" s="146"/>
      <c r="GG71" s="146"/>
      <c r="GH71" s="146"/>
      <c r="GI71" s="146"/>
      <c r="GJ71" s="146"/>
      <c r="GK71" s="146"/>
      <c r="GL71" s="146"/>
      <c r="GM71" s="146"/>
      <c r="GN71" s="146"/>
      <c r="GO71" s="146"/>
      <c r="GP71" s="146"/>
      <c r="GQ71" s="146"/>
      <c r="GR71" s="146"/>
      <c r="GS71" s="146"/>
      <c r="GT71" s="146"/>
      <c r="GU71" s="146"/>
      <c r="GV71" s="146"/>
      <c r="GW71" s="146"/>
      <c r="GX71" s="146"/>
      <c r="GY71" s="146"/>
      <c r="GZ71" s="146"/>
      <c r="HA71" s="146"/>
      <c r="HB71" s="146"/>
      <c r="HC71" s="146"/>
      <c r="HD71" s="146"/>
      <c r="HE71" s="146"/>
      <c r="HF71" s="146"/>
      <c r="HG71" s="146"/>
      <c r="HH71" s="146"/>
      <c r="HI71" s="146"/>
      <c r="HJ71" s="146"/>
      <c r="HK71" s="146"/>
      <c r="HL71" s="146"/>
      <c r="HM71" s="146"/>
      <c r="HN71" s="146"/>
      <c r="HO71" s="146"/>
      <c r="HP71" s="146"/>
      <c r="HQ71" s="146"/>
      <c r="HR71" s="146"/>
      <c r="HS71" s="146"/>
      <c r="HT71" s="146"/>
      <c r="HU71" s="146"/>
      <c r="HV71" s="146"/>
      <c r="HW71" s="146"/>
      <c r="HX71" s="146"/>
      <c r="HY71" s="146"/>
      <c r="HZ71" s="146"/>
      <c r="IA71" s="146"/>
    </row>
    <row r="72" spans="1:235" s="155" customFormat="1" ht="71.25" x14ac:dyDescent="0.25">
      <c r="A72" s="197">
        <v>11500</v>
      </c>
      <c r="B72" s="194" t="s">
        <v>28</v>
      </c>
      <c r="C72" s="198" t="s">
        <v>611</v>
      </c>
      <c r="D72" s="194" t="s">
        <v>146</v>
      </c>
      <c r="E72" s="198" t="s">
        <v>537</v>
      </c>
      <c r="F72" s="194" t="s">
        <v>612</v>
      </c>
      <c r="G72" s="209" t="s">
        <v>123</v>
      </c>
      <c r="H72" s="216">
        <v>1</v>
      </c>
      <c r="I72" s="198" t="s">
        <v>538</v>
      </c>
      <c r="J72" s="194" t="s">
        <v>613</v>
      </c>
      <c r="K72" s="210">
        <v>195840000</v>
      </c>
      <c r="L72" s="216">
        <v>1</v>
      </c>
      <c r="M72" s="194" t="s">
        <v>46</v>
      </c>
      <c r="N72" s="194" t="s">
        <v>68</v>
      </c>
      <c r="O72" s="194" t="s">
        <v>21</v>
      </c>
      <c r="P72" s="194" t="s">
        <v>36</v>
      </c>
      <c r="Q72" s="194" t="s">
        <v>211</v>
      </c>
      <c r="R72" s="194" t="s">
        <v>759</v>
      </c>
      <c r="S72" s="194" t="s">
        <v>98</v>
      </c>
      <c r="T72" s="211">
        <v>1</v>
      </c>
      <c r="U72" s="212" t="str">
        <f t="shared" si="13"/>
        <v>Entregar apoyos técnicos a la OAJ en recobros y reclamaciones una vez son resueltos por la Dirección de Tecnología de la Información</v>
      </c>
      <c r="V72" s="213">
        <f t="shared" si="13"/>
        <v>195840000</v>
      </c>
      <c r="W72" s="222" t="s">
        <v>114</v>
      </c>
      <c r="X72" s="216">
        <v>0.25</v>
      </c>
      <c r="Y72" s="214" t="s">
        <v>613</v>
      </c>
      <c r="Z72" s="210">
        <v>48960000</v>
      </c>
      <c r="AA72" s="196"/>
      <c r="AB72" s="196"/>
      <c r="AC72" s="204">
        <f t="shared" si="14"/>
        <v>0</v>
      </c>
      <c r="AD72" s="204">
        <f t="shared" si="15"/>
        <v>0</v>
      </c>
      <c r="AE72" s="204">
        <f t="shared" si="0"/>
        <v>0</v>
      </c>
      <c r="AF72" s="204">
        <f t="shared" si="1"/>
        <v>0</v>
      </c>
      <c r="AG72" s="216">
        <v>0.25</v>
      </c>
      <c r="AH72" s="214" t="s">
        <v>613</v>
      </c>
      <c r="AI72" s="210">
        <v>48960000</v>
      </c>
      <c r="AJ72" s="196"/>
      <c r="AK72" s="196"/>
      <c r="AL72" s="204">
        <f t="shared" si="16"/>
        <v>0</v>
      </c>
      <c r="AM72" s="204">
        <f t="shared" si="2"/>
        <v>0</v>
      </c>
      <c r="AN72" s="204">
        <f t="shared" si="3"/>
        <v>0</v>
      </c>
      <c r="AO72" s="204">
        <f t="shared" si="4"/>
        <v>0</v>
      </c>
      <c r="AP72" s="216">
        <v>0.25</v>
      </c>
      <c r="AQ72" s="214" t="s">
        <v>613</v>
      </c>
      <c r="AR72" s="210">
        <v>48960000</v>
      </c>
      <c r="AS72" s="196"/>
      <c r="AT72" s="196"/>
      <c r="AU72" s="204">
        <f t="shared" si="17"/>
        <v>0</v>
      </c>
      <c r="AV72" s="204">
        <f t="shared" si="18"/>
        <v>0</v>
      </c>
      <c r="AW72" s="204">
        <f t="shared" si="19"/>
        <v>0</v>
      </c>
      <c r="AX72" s="204">
        <f t="shared" si="20"/>
        <v>0</v>
      </c>
      <c r="AY72" s="216">
        <v>0.25</v>
      </c>
      <c r="AZ72" s="214" t="s">
        <v>613</v>
      </c>
      <c r="BA72" s="210">
        <v>48960000</v>
      </c>
      <c r="BB72" s="196"/>
      <c r="BC72" s="196"/>
      <c r="BD72" s="216">
        <f t="shared" si="21"/>
        <v>0</v>
      </c>
      <c r="BE72" s="216">
        <f t="shared" si="22"/>
        <v>0</v>
      </c>
      <c r="BF72" s="216">
        <f t="shared" si="23"/>
        <v>0</v>
      </c>
      <c r="BG72" s="216">
        <f t="shared" si="24"/>
        <v>0</v>
      </c>
      <c r="BH72" s="228">
        <f t="shared" si="5"/>
        <v>0</v>
      </c>
      <c r="BI72" s="228">
        <f t="shared" si="6"/>
        <v>0</v>
      </c>
      <c r="BJ72" s="228">
        <f t="shared" si="7"/>
        <v>0</v>
      </c>
      <c r="BK72" s="228">
        <f t="shared" si="8"/>
        <v>0</v>
      </c>
      <c r="BL72" s="228">
        <f t="shared" si="25"/>
        <v>0</v>
      </c>
      <c r="BM72" s="228">
        <f t="shared" si="26"/>
        <v>0</v>
      </c>
      <c r="BN72" s="228">
        <f t="shared" si="9"/>
        <v>0</v>
      </c>
      <c r="BO72" s="228">
        <f t="shared" si="10"/>
        <v>0</v>
      </c>
      <c r="BP72" s="206"/>
      <c r="BQ72" s="277">
        <v>10</v>
      </c>
      <c r="BR72" s="208">
        <f t="shared" si="12"/>
        <v>0.58333333333333337</v>
      </c>
      <c r="BS72" s="219" t="str">
        <f t="shared" si="27"/>
        <v>Entregar apoyos técnicos a la OAJ en recobros y reclamaciones una vez son resueltos por la Dirección de Tecnología de la Información</v>
      </c>
      <c r="BT72" s="195">
        <f t="shared" si="11"/>
        <v>114240000</v>
      </c>
      <c r="BU72" s="196"/>
      <c r="BV72" s="196"/>
      <c r="BW72" s="196"/>
      <c r="BX72" s="196"/>
      <c r="BY72" s="196"/>
      <c r="BZ72" s="196"/>
      <c r="CA72" s="146"/>
      <c r="CB72" s="146"/>
      <c r="CC72" s="146"/>
      <c r="CD72" s="146"/>
      <c r="CE72" s="146"/>
      <c r="CF72" s="146"/>
      <c r="CG72" s="146"/>
      <c r="CH72" s="146"/>
      <c r="CI72" s="146"/>
      <c r="CJ72" s="146"/>
      <c r="CK72" s="146"/>
      <c r="CL72" s="146"/>
      <c r="CM72" s="146"/>
      <c r="CN72" s="146"/>
      <c r="CO72" s="146"/>
      <c r="CP72" s="146"/>
      <c r="CQ72" s="146"/>
      <c r="CR72" s="146"/>
      <c r="CS72" s="146"/>
      <c r="CT72" s="146"/>
      <c r="CU72" s="146"/>
      <c r="CV72" s="146"/>
      <c r="CW72" s="146"/>
      <c r="CX72" s="146"/>
      <c r="CY72" s="146"/>
      <c r="CZ72" s="146"/>
      <c r="DA72" s="146"/>
      <c r="DB72" s="146"/>
      <c r="DC72" s="146"/>
      <c r="DD72" s="146"/>
      <c r="DE72" s="146"/>
      <c r="DF72" s="146"/>
      <c r="DG72" s="146"/>
      <c r="DH72" s="146"/>
      <c r="DI72" s="146"/>
      <c r="DJ72" s="146"/>
      <c r="DK72" s="146"/>
      <c r="DL72" s="146"/>
      <c r="DM72" s="146"/>
      <c r="DN72" s="146"/>
      <c r="DO72" s="146"/>
      <c r="DP72" s="146"/>
      <c r="DQ72" s="146"/>
      <c r="DR72" s="146"/>
      <c r="DS72" s="146"/>
      <c r="DT72" s="146"/>
      <c r="DU72" s="146"/>
      <c r="DV72" s="146"/>
      <c r="DW72" s="146"/>
      <c r="DX72" s="146"/>
      <c r="DY72" s="146"/>
      <c r="DZ72" s="146"/>
      <c r="EA72" s="146"/>
      <c r="EB72" s="146"/>
      <c r="EC72" s="146"/>
      <c r="ED72" s="146"/>
      <c r="EE72" s="146"/>
      <c r="EF72" s="146"/>
      <c r="EG72" s="146"/>
      <c r="EH72" s="146"/>
      <c r="EI72" s="146"/>
      <c r="EJ72" s="146"/>
      <c r="EK72" s="146"/>
      <c r="EL72" s="146"/>
      <c r="EM72" s="146"/>
      <c r="EN72" s="146"/>
      <c r="EO72" s="146"/>
      <c r="EP72" s="146"/>
      <c r="EQ72" s="146"/>
      <c r="ER72" s="146"/>
      <c r="ES72" s="146"/>
      <c r="ET72" s="146"/>
      <c r="EU72" s="146"/>
      <c r="EV72" s="146"/>
      <c r="EW72" s="146"/>
      <c r="EX72" s="146"/>
      <c r="EY72" s="146"/>
      <c r="EZ72" s="146"/>
      <c r="FA72" s="146"/>
      <c r="FB72" s="146"/>
      <c r="FC72" s="146"/>
      <c r="FD72" s="146"/>
      <c r="FE72" s="146"/>
      <c r="FF72" s="146"/>
      <c r="FG72" s="146"/>
      <c r="FH72" s="146"/>
      <c r="FI72" s="146"/>
      <c r="FJ72" s="146"/>
      <c r="FK72" s="146"/>
      <c r="FL72" s="146"/>
      <c r="FM72" s="146"/>
      <c r="FN72" s="146"/>
      <c r="FO72" s="146"/>
      <c r="FP72" s="146"/>
      <c r="FQ72" s="146"/>
      <c r="FR72" s="146"/>
      <c r="FS72" s="146"/>
      <c r="FT72" s="146"/>
      <c r="FU72" s="146"/>
      <c r="FV72" s="146"/>
      <c r="FW72" s="146"/>
      <c r="FX72" s="146"/>
      <c r="FY72" s="146"/>
      <c r="FZ72" s="146"/>
      <c r="GA72" s="146"/>
      <c r="GB72" s="146"/>
      <c r="GC72" s="146"/>
      <c r="GD72" s="146"/>
      <c r="GE72" s="146"/>
      <c r="GF72" s="146"/>
      <c r="GG72" s="146"/>
      <c r="GH72" s="146"/>
      <c r="GI72" s="146"/>
      <c r="GJ72" s="146"/>
      <c r="GK72" s="146"/>
      <c r="GL72" s="146"/>
      <c r="GM72" s="146"/>
      <c r="GN72" s="146"/>
      <c r="GO72" s="146"/>
      <c r="GP72" s="146"/>
      <c r="GQ72" s="146"/>
      <c r="GR72" s="146"/>
      <c r="GS72" s="146"/>
      <c r="GT72" s="146"/>
      <c r="GU72" s="146"/>
      <c r="GV72" s="146"/>
      <c r="GW72" s="146"/>
      <c r="GX72" s="146"/>
      <c r="GY72" s="146"/>
      <c r="GZ72" s="146"/>
      <c r="HA72" s="146"/>
      <c r="HB72" s="146"/>
      <c r="HC72" s="146"/>
      <c r="HD72" s="146"/>
      <c r="HE72" s="146"/>
      <c r="HF72" s="146"/>
      <c r="HG72" s="146"/>
      <c r="HH72" s="146"/>
      <c r="HI72" s="146"/>
      <c r="HJ72" s="146"/>
      <c r="HK72" s="146"/>
      <c r="HL72" s="146"/>
      <c r="HM72" s="146"/>
      <c r="HN72" s="146"/>
      <c r="HO72" s="146"/>
      <c r="HP72" s="146"/>
      <c r="HQ72" s="146"/>
      <c r="HR72" s="146"/>
      <c r="HS72" s="146"/>
      <c r="HT72" s="146"/>
      <c r="HU72" s="146"/>
      <c r="HV72" s="146"/>
      <c r="HW72" s="146"/>
      <c r="HX72" s="146"/>
      <c r="HY72" s="146"/>
      <c r="HZ72" s="146"/>
      <c r="IA72" s="146"/>
    </row>
    <row r="73" spans="1:235" s="159" customFormat="1" ht="85.5" x14ac:dyDescent="0.25">
      <c r="A73" s="197">
        <v>11500</v>
      </c>
      <c r="B73" s="194" t="s">
        <v>28</v>
      </c>
      <c r="C73" s="198" t="s">
        <v>263</v>
      </c>
      <c r="D73" s="194" t="s">
        <v>144</v>
      </c>
      <c r="E73" s="198" t="s">
        <v>618</v>
      </c>
      <c r="F73" s="194" t="s">
        <v>614</v>
      </c>
      <c r="G73" s="209" t="s">
        <v>123</v>
      </c>
      <c r="H73" s="216">
        <v>1</v>
      </c>
      <c r="I73" s="198" t="s">
        <v>620</v>
      </c>
      <c r="J73" s="194" t="s">
        <v>615</v>
      </c>
      <c r="K73" s="210">
        <v>12240000</v>
      </c>
      <c r="L73" s="211">
        <v>1</v>
      </c>
      <c r="M73" s="194" t="s">
        <v>46</v>
      </c>
      <c r="N73" s="194" t="s">
        <v>68</v>
      </c>
      <c r="O73" s="194" t="s">
        <v>21</v>
      </c>
      <c r="P73" s="194" t="s">
        <v>36</v>
      </c>
      <c r="Q73" s="194" t="s">
        <v>211</v>
      </c>
      <c r="R73" s="194" t="s">
        <v>676</v>
      </c>
      <c r="S73" s="194" t="s">
        <v>98</v>
      </c>
      <c r="T73" s="211">
        <v>1</v>
      </c>
      <c r="U73" s="212" t="str">
        <f t="shared" si="13"/>
        <v>Pagar paquetes de reclamaciones de acuerdo con lo definido en la normativa vigente</v>
      </c>
      <c r="V73" s="213">
        <f t="shared" si="13"/>
        <v>12240000</v>
      </c>
      <c r="W73" s="222" t="s">
        <v>114</v>
      </c>
      <c r="X73" s="281">
        <v>0.25</v>
      </c>
      <c r="Y73" s="282" t="s">
        <v>615</v>
      </c>
      <c r="Z73" s="283">
        <f>+V73*X73</f>
        <v>3060000</v>
      </c>
      <c r="AA73" s="279"/>
      <c r="AB73" s="279"/>
      <c r="AC73" s="280">
        <f t="shared" si="14"/>
        <v>0</v>
      </c>
      <c r="AD73" s="280">
        <f t="shared" si="15"/>
        <v>0</v>
      </c>
      <c r="AE73" s="280">
        <f t="shared" si="0"/>
        <v>0</v>
      </c>
      <c r="AF73" s="280">
        <f t="shared" si="1"/>
        <v>0</v>
      </c>
      <c r="AG73" s="281">
        <v>0.25</v>
      </c>
      <c r="AH73" s="282" t="s">
        <v>615</v>
      </c>
      <c r="AI73" s="283">
        <v>3060000</v>
      </c>
      <c r="AJ73" s="279"/>
      <c r="AK73" s="279"/>
      <c r="AL73" s="280">
        <f t="shared" si="16"/>
        <v>0</v>
      </c>
      <c r="AM73" s="280">
        <f t="shared" si="2"/>
        <v>0</v>
      </c>
      <c r="AN73" s="280">
        <f t="shared" si="3"/>
        <v>0</v>
      </c>
      <c r="AO73" s="280">
        <f t="shared" si="4"/>
        <v>0</v>
      </c>
      <c r="AP73" s="281">
        <v>0.25</v>
      </c>
      <c r="AQ73" s="282" t="s">
        <v>615</v>
      </c>
      <c r="AR73" s="283">
        <v>3060000</v>
      </c>
      <c r="AS73" s="279"/>
      <c r="AT73" s="279"/>
      <c r="AU73" s="280">
        <f t="shared" si="17"/>
        <v>0</v>
      </c>
      <c r="AV73" s="280">
        <f t="shared" si="18"/>
        <v>0</v>
      </c>
      <c r="AW73" s="280">
        <f t="shared" si="19"/>
        <v>0</v>
      </c>
      <c r="AX73" s="280">
        <f t="shared" si="20"/>
        <v>0</v>
      </c>
      <c r="AY73" s="281">
        <v>0.25</v>
      </c>
      <c r="AZ73" s="282" t="s">
        <v>615</v>
      </c>
      <c r="BA73" s="283">
        <v>3060000</v>
      </c>
      <c r="BB73" s="279"/>
      <c r="BC73" s="279"/>
      <c r="BD73" s="281">
        <f t="shared" si="21"/>
        <v>0</v>
      </c>
      <c r="BE73" s="281">
        <f t="shared" si="22"/>
        <v>0</v>
      </c>
      <c r="BF73" s="281">
        <f t="shared" si="23"/>
        <v>0</v>
      </c>
      <c r="BG73" s="281">
        <f t="shared" si="24"/>
        <v>0</v>
      </c>
      <c r="BH73" s="205">
        <f t="shared" si="5"/>
        <v>0</v>
      </c>
      <c r="BI73" s="205">
        <f t="shared" si="6"/>
        <v>0</v>
      </c>
      <c r="BJ73" s="205">
        <f t="shared" si="7"/>
        <v>0</v>
      </c>
      <c r="BK73" s="205">
        <f t="shared" si="8"/>
        <v>0</v>
      </c>
      <c r="BL73" s="205">
        <f t="shared" si="25"/>
        <v>0</v>
      </c>
      <c r="BM73" s="205">
        <f t="shared" si="26"/>
        <v>0</v>
      </c>
      <c r="BN73" s="205">
        <f t="shared" si="9"/>
        <v>0</v>
      </c>
      <c r="BO73" s="205">
        <f t="shared" si="10"/>
        <v>0</v>
      </c>
      <c r="BP73" s="206" t="s">
        <v>717</v>
      </c>
      <c r="BQ73" s="277">
        <v>10</v>
      </c>
      <c r="BR73" s="208">
        <f t="shared" si="12"/>
        <v>0.58333333333333337</v>
      </c>
      <c r="BS73" s="219" t="str">
        <f t="shared" si="27"/>
        <v>Pagar paquetes de reclamaciones de acuerdo con lo definido en la normativa vigente</v>
      </c>
      <c r="BT73" s="195">
        <f t="shared" si="11"/>
        <v>7140000</v>
      </c>
      <c r="BU73" s="196"/>
      <c r="BV73" s="196"/>
      <c r="BW73" s="196"/>
      <c r="BX73" s="196"/>
      <c r="BY73" s="196"/>
      <c r="BZ73" s="19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146"/>
      <c r="CX73" s="146"/>
      <c r="CY73" s="146"/>
      <c r="CZ73" s="146"/>
      <c r="DA73" s="146"/>
      <c r="DB73" s="146"/>
      <c r="DC73" s="146"/>
      <c r="DD73" s="146"/>
      <c r="DE73" s="146"/>
      <c r="DF73" s="146"/>
      <c r="DG73" s="146"/>
      <c r="DH73" s="146"/>
      <c r="DI73" s="146"/>
      <c r="DJ73" s="146"/>
      <c r="DK73" s="146"/>
      <c r="DL73" s="146"/>
      <c r="DM73" s="146"/>
      <c r="DN73" s="146"/>
      <c r="DO73" s="146"/>
      <c r="DP73" s="146"/>
      <c r="DQ73" s="146"/>
      <c r="DR73" s="146"/>
      <c r="DS73" s="146"/>
      <c r="DT73" s="146"/>
      <c r="DU73" s="146"/>
      <c r="DV73" s="146"/>
      <c r="DW73" s="146"/>
      <c r="DX73" s="146"/>
      <c r="DY73" s="146"/>
      <c r="DZ73" s="146"/>
      <c r="EA73" s="146"/>
      <c r="EB73" s="146"/>
      <c r="EC73" s="146"/>
      <c r="ED73" s="146"/>
      <c r="EE73" s="146"/>
      <c r="EF73" s="146"/>
      <c r="EG73" s="146"/>
      <c r="EH73" s="146"/>
      <c r="EI73" s="146"/>
      <c r="EJ73" s="146"/>
      <c r="EK73" s="146"/>
      <c r="EL73" s="146"/>
      <c r="EM73" s="146"/>
      <c r="EN73" s="146"/>
      <c r="EO73" s="146"/>
      <c r="EP73" s="146"/>
      <c r="EQ73" s="146"/>
      <c r="ER73" s="146"/>
      <c r="ES73" s="146"/>
      <c r="ET73" s="146"/>
      <c r="EU73" s="146"/>
      <c r="EV73" s="146"/>
      <c r="EW73" s="146"/>
      <c r="EX73" s="146"/>
      <c r="EY73" s="146"/>
      <c r="EZ73" s="146"/>
      <c r="FA73" s="146"/>
      <c r="FB73" s="146"/>
      <c r="FC73" s="146"/>
      <c r="FD73" s="146"/>
      <c r="FE73" s="146"/>
      <c r="FF73" s="146"/>
      <c r="FG73" s="146"/>
      <c r="FH73" s="146"/>
      <c r="FI73" s="146"/>
      <c r="FJ73" s="146"/>
      <c r="FK73" s="146"/>
      <c r="FL73" s="146"/>
      <c r="FM73" s="146"/>
      <c r="FN73" s="146"/>
      <c r="FO73" s="146"/>
      <c r="FP73" s="146"/>
      <c r="FQ73" s="146"/>
      <c r="FR73" s="146"/>
      <c r="FS73" s="146"/>
      <c r="FT73" s="146"/>
      <c r="FU73" s="146"/>
      <c r="FV73" s="146"/>
      <c r="FW73" s="146"/>
      <c r="FX73" s="146"/>
      <c r="FY73" s="146"/>
      <c r="FZ73" s="146"/>
      <c r="GA73" s="146"/>
      <c r="GB73" s="146"/>
      <c r="GC73" s="146"/>
      <c r="GD73" s="146"/>
      <c r="GE73" s="146"/>
      <c r="GF73" s="146"/>
      <c r="GG73" s="146"/>
      <c r="GH73" s="146"/>
      <c r="GI73" s="146"/>
      <c r="GJ73" s="146"/>
      <c r="GK73" s="146"/>
      <c r="GL73" s="146"/>
      <c r="GM73" s="146"/>
      <c r="GN73" s="146"/>
      <c r="GO73" s="146"/>
      <c r="GP73" s="146"/>
      <c r="GQ73" s="146"/>
      <c r="GR73" s="146"/>
      <c r="GS73" s="146"/>
      <c r="GT73" s="146"/>
      <c r="GU73" s="146"/>
      <c r="GV73" s="146"/>
      <c r="GW73" s="146"/>
      <c r="GX73" s="146"/>
      <c r="GY73" s="146"/>
      <c r="GZ73" s="146"/>
      <c r="HA73" s="146"/>
      <c r="HB73" s="146"/>
      <c r="HC73" s="146"/>
      <c r="HD73" s="146"/>
      <c r="HE73" s="146"/>
      <c r="HF73" s="146"/>
      <c r="HG73" s="146"/>
      <c r="HH73" s="146"/>
      <c r="HI73" s="146"/>
      <c r="HJ73" s="146"/>
      <c r="HK73" s="146"/>
      <c r="HL73" s="146"/>
      <c r="HM73" s="146"/>
      <c r="HN73" s="146"/>
      <c r="HO73" s="146"/>
      <c r="HP73" s="146"/>
      <c r="HQ73" s="146"/>
      <c r="HR73" s="146"/>
      <c r="HS73" s="146"/>
      <c r="HT73" s="146"/>
      <c r="HU73" s="146"/>
      <c r="HV73" s="146"/>
      <c r="HW73" s="146"/>
      <c r="HX73" s="146"/>
      <c r="HY73" s="146"/>
      <c r="HZ73" s="146"/>
      <c r="IA73" s="146"/>
    </row>
    <row r="74" spans="1:235" s="154" customFormat="1" ht="71.25" x14ac:dyDescent="0.25">
      <c r="A74" s="197">
        <v>11500</v>
      </c>
      <c r="B74" s="194" t="s">
        <v>28</v>
      </c>
      <c r="C74" s="198" t="s">
        <v>263</v>
      </c>
      <c r="D74" s="194" t="s">
        <v>144</v>
      </c>
      <c r="E74" s="198" t="s">
        <v>619</v>
      </c>
      <c r="F74" s="194" t="s">
        <v>616</v>
      </c>
      <c r="G74" s="209" t="s">
        <v>384</v>
      </c>
      <c r="H74" s="229">
        <v>4</v>
      </c>
      <c r="I74" s="198" t="s">
        <v>621</v>
      </c>
      <c r="J74" s="194" t="s">
        <v>617</v>
      </c>
      <c r="K74" s="210">
        <v>0</v>
      </c>
      <c r="L74" s="211">
        <v>1</v>
      </c>
      <c r="M74" s="194" t="s">
        <v>46</v>
      </c>
      <c r="N74" s="194" t="s">
        <v>68</v>
      </c>
      <c r="O74" s="194" t="s">
        <v>21</v>
      </c>
      <c r="P74" s="194" t="s">
        <v>36</v>
      </c>
      <c r="Q74" s="194" t="s">
        <v>211</v>
      </c>
      <c r="R74" s="194" t="s">
        <v>623</v>
      </c>
      <c r="S74" s="194" t="s">
        <v>98</v>
      </c>
      <c r="T74" s="221">
        <v>4</v>
      </c>
      <c r="U74" s="212" t="str">
        <f t="shared" si="13"/>
        <v>Generar boletines con resultados del proceso reclamaciones</v>
      </c>
      <c r="V74" s="213">
        <f t="shared" si="13"/>
        <v>0</v>
      </c>
      <c r="W74" s="214" t="s">
        <v>117</v>
      </c>
      <c r="X74" s="215">
        <v>1</v>
      </c>
      <c r="Y74" s="214" t="s">
        <v>617</v>
      </c>
      <c r="Z74" s="210">
        <v>0</v>
      </c>
      <c r="AA74" s="196"/>
      <c r="AB74" s="196"/>
      <c r="AC74" s="204">
        <f t="shared" si="14"/>
        <v>0</v>
      </c>
      <c r="AD74" s="204" t="e">
        <f t="shared" si="15"/>
        <v>#DIV/0!</v>
      </c>
      <c r="AE74" s="204">
        <f t="shared" si="0"/>
        <v>0</v>
      </c>
      <c r="AF74" s="204" t="e">
        <f t="shared" si="1"/>
        <v>#DIV/0!</v>
      </c>
      <c r="AG74" s="215">
        <v>1</v>
      </c>
      <c r="AH74" s="214" t="s">
        <v>617</v>
      </c>
      <c r="AI74" s="210">
        <v>0</v>
      </c>
      <c r="AJ74" s="196"/>
      <c r="AK74" s="196"/>
      <c r="AL74" s="204">
        <f t="shared" si="16"/>
        <v>0</v>
      </c>
      <c r="AM74" s="204" t="e">
        <f t="shared" si="2"/>
        <v>#DIV/0!</v>
      </c>
      <c r="AN74" s="204">
        <f t="shared" si="3"/>
        <v>0</v>
      </c>
      <c r="AO74" s="204" t="e">
        <f t="shared" si="4"/>
        <v>#DIV/0!</v>
      </c>
      <c r="AP74" s="215">
        <v>1</v>
      </c>
      <c r="AQ74" s="214" t="s">
        <v>617</v>
      </c>
      <c r="AR74" s="210">
        <v>0</v>
      </c>
      <c r="AS74" s="196"/>
      <c r="AT74" s="196"/>
      <c r="AU74" s="204">
        <f t="shared" si="17"/>
        <v>0</v>
      </c>
      <c r="AV74" s="204" t="e">
        <f t="shared" si="18"/>
        <v>#DIV/0!</v>
      </c>
      <c r="AW74" s="204">
        <f t="shared" si="19"/>
        <v>0</v>
      </c>
      <c r="AX74" s="204" t="e">
        <f t="shared" si="20"/>
        <v>#DIV/0!</v>
      </c>
      <c r="AY74" s="215">
        <v>1</v>
      </c>
      <c r="AZ74" s="214" t="s">
        <v>617</v>
      </c>
      <c r="BA74" s="210">
        <v>0</v>
      </c>
      <c r="BB74" s="196"/>
      <c r="BC74" s="196"/>
      <c r="BD74" s="216">
        <f t="shared" si="21"/>
        <v>0</v>
      </c>
      <c r="BE74" s="216" t="e">
        <f t="shared" si="22"/>
        <v>#DIV/0!</v>
      </c>
      <c r="BF74" s="216">
        <f t="shared" si="23"/>
        <v>0</v>
      </c>
      <c r="BG74" s="216" t="e">
        <f t="shared" si="24"/>
        <v>#DIV/0!</v>
      </c>
      <c r="BH74" s="207">
        <f t="shared" si="5"/>
        <v>0</v>
      </c>
      <c r="BI74" s="207" t="str">
        <f t="shared" si="6"/>
        <v>No Prog ni Ejec</v>
      </c>
      <c r="BJ74" s="207">
        <f t="shared" si="7"/>
        <v>0</v>
      </c>
      <c r="BK74" s="207" t="str">
        <f t="shared" si="8"/>
        <v>No Prog ni Ejec</v>
      </c>
      <c r="BL74" s="207">
        <f t="shared" si="25"/>
        <v>0</v>
      </c>
      <c r="BM74" s="207" t="str">
        <f t="shared" si="26"/>
        <v>No Prog ni Ejec</v>
      </c>
      <c r="BN74" s="207">
        <f t="shared" si="9"/>
        <v>0</v>
      </c>
      <c r="BO74" s="207" t="str">
        <f t="shared" si="10"/>
        <v>No Prog ni Ejec</v>
      </c>
      <c r="BP74" s="206"/>
      <c r="BQ74" s="277">
        <v>10</v>
      </c>
      <c r="BR74" s="218">
        <f t="shared" si="12"/>
        <v>2.3333333333333335</v>
      </c>
      <c r="BS74" s="219" t="str">
        <f t="shared" si="27"/>
        <v>Generar boletines con resultados del proceso reclamaciones</v>
      </c>
      <c r="BT74" s="195">
        <f t="shared" ref="BT74:BT137" si="28">+(Z74+AI74+(AR74/3))</f>
        <v>0</v>
      </c>
      <c r="BU74" s="196"/>
      <c r="BV74" s="196"/>
      <c r="BW74" s="196"/>
      <c r="BX74" s="196"/>
      <c r="BY74" s="196"/>
      <c r="BZ74" s="196"/>
      <c r="CA74" s="146"/>
      <c r="CB74" s="146"/>
      <c r="CC74" s="146"/>
      <c r="CD74" s="146"/>
      <c r="CE74" s="146"/>
      <c r="CF74" s="146"/>
      <c r="CG74" s="146"/>
      <c r="CH74" s="146"/>
      <c r="CI74" s="146"/>
      <c r="CJ74" s="146"/>
      <c r="CK74" s="146"/>
      <c r="CL74" s="146"/>
      <c r="CM74" s="146"/>
      <c r="CN74" s="146"/>
      <c r="CO74" s="146"/>
      <c r="CP74" s="146"/>
      <c r="CQ74" s="146"/>
      <c r="CR74" s="146"/>
      <c r="CS74" s="146"/>
      <c r="CT74" s="146"/>
      <c r="CU74" s="146"/>
      <c r="CV74" s="146"/>
      <c r="CW74" s="146"/>
      <c r="CX74" s="146"/>
      <c r="CY74" s="146"/>
      <c r="CZ74" s="146"/>
      <c r="DA74" s="146"/>
      <c r="DB74" s="146"/>
      <c r="DC74" s="146"/>
      <c r="DD74" s="146"/>
      <c r="DE74" s="146"/>
      <c r="DF74" s="146"/>
      <c r="DG74" s="146"/>
      <c r="DH74" s="146"/>
      <c r="DI74" s="146"/>
      <c r="DJ74" s="146"/>
      <c r="DK74" s="146"/>
      <c r="DL74" s="146"/>
      <c r="DM74" s="146"/>
      <c r="DN74" s="146"/>
      <c r="DO74" s="146"/>
      <c r="DP74" s="146"/>
      <c r="DQ74" s="146"/>
      <c r="DR74" s="146"/>
      <c r="DS74" s="146"/>
      <c r="DT74" s="146"/>
      <c r="DU74" s="146"/>
      <c r="DV74" s="146"/>
      <c r="DW74" s="146"/>
      <c r="DX74" s="146"/>
      <c r="DY74" s="146"/>
      <c r="DZ74" s="146"/>
      <c r="EA74" s="146"/>
      <c r="EB74" s="146"/>
      <c r="EC74" s="146"/>
      <c r="ED74" s="146"/>
      <c r="EE74" s="146"/>
      <c r="EF74" s="146"/>
      <c r="EG74" s="146"/>
      <c r="EH74" s="146"/>
      <c r="EI74" s="146"/>
      <c r="EJ74" s="146"/>
      <c r="EK74" s="146"/>
      <c r="EL74" s="146"/>
      <c r="EM74" s="146"/>
      <c r="EN74" s="146"/>
      <c r="EO74" s="146"/>
      <c r="EP74" s="146"/>
      <c r="EQ74" s="146"/>
      <c r="ER74" s="146"/>
      <c r="ES74" s="146"/>
      <c r="ET74" s="146"/>
      <c r="EU74" s="146"/>
      <c r="EV74" s="146"/>
      <c r="EW74" s="146"/>
      <c r="EX74" s="146"/>
      <c r="EY74" s="146"/>
      <c r="EZ74" s="146"/>
      <c r="FA74" s="146"/>
      <c r="FB74" s="146"/>
      <c r="FC74" s="146"/>
      <c r="FD74" s="146"/>
      <c r="FE74" s="146"/>
      <c r="FF74" s="146"/>
      <c r="FG74" s="146"/>
      <c r="FH74" s="146"/>
      <c r="FI74" s="146"/>
      <c r="FJ74" s="146"/>
      <c r="FK74" s="146"/>
      <c r="FL74" s="146"/>
      <c r="FM74" s="146"/>
      <c r="FN74" s="146"/>
      <c r="FO74" s="146"/>
      <c r="FP74" s="146"/>
      <c r="FQ74" s="146"/>
      <c r="FR74" s="146"/>
      <c r="FS74" s="146"/>
      <c r="FT74" s="146"/>
      <c r="FU74" s="146"/>
      <c r="FV74" s="146"/>
      <c r="FW74" s="146"/>
      <c r="FX74" s="146"/>
      <c r="FY74" s="146"/>
      <c r="FZ74" s="146"/>
      <c r="GA74" s="146"/>
      <c r="GB74" s="146"/>
      <c r="GC74" s="146"/>
      <c r="GD74" s="146"/>
      <c r="GE74" s="146"/>
      <c r="GF74" s="146"/>
      <c r="GG74" s="146"/>
      <c r="GH74" s="146"/>
      <c r="GI74" s="146"/>
      <c r="GJ74" s="146"/>
      <c r="GK74" s="146"/>
      <c r="GL74" s="146"/>
      <c r="GM74" s="146"/>
      <c r="GN74" s="146"/>
      <c r="GO74" s="146"/>
      <c r="GP74" s="146"/>
      <c r="GQ74" s="146"/>
      <c r="GR74" s="146"/>
      <c r="GS74" s="146"/>
      <c r="GT74" s="146"/>
      <c r="GU74" s="146"/>
      <c r="GV74" s="146"/>
      <c r="GW74" s="146"/>
      <c r="GX74" s="146"/>
      <c r="GY74" s="146"/>
      <c r="GZ74" s="146"/>
      <c r="HA74" s="146"/>
      <c r="HB74" s="146"/>
      <c r="HC74" s="146"/>
      <c r="HD74" s="146"/>
      <c r="HE74" s="146"/>
      <c r="HF74" s="146"/>
      <c r="HG74" s="146"/>
      <c r="HH74" s="146"/>
      <c r="HI74" s="146"/>
      <c r="HJ74" s="146"/>
      <c r="HK74" s="146"/>
      <c r="HL74" s="146"/>
      <c r="HM74" s="146"/>
      <c r="HN74" s="146"/>
      <c r="HO74" s="146"/>
      <c r="HP74" s="146"/>
      <c r="HQ74" s="146"/>
      <c r="HR74" s="146"/>
      <c r="HS74" s="146"/>
      <c r="HT74" s="146"/>
      <c r="HU74" s="146"/>
      <c r="HV74" s="146"/>
      <c r="HW74" s="146"/>
      <c r="HX74" s="146"/>
      <c r="HY74" s="146"/>
      <c r="HZ74" s="146"/>
      <c r="IA74" s="146"/>
    </row>
    <row r="75" spans="1:235" s="153" customFormat="1" ht="57" x14ac:dyDescent="0.25">
      <c r="A75" s="197">
        <v>11600</v>
      </c>
      <c r="B75" s="194" t="s">
        <v>6</v>
      </c>
      <c r="C75" s="198" t="s">
        <v>266</v>
      </c>
      <c r="D75" s="194" t="s">
        <v>153</v>
      </c>
      <c r="E75" s="198" t="s">
        <v>268</v>
      </c>
      <c r="F75" s="194" t="s">
        <v>133</v>
      </c>
      <c r="G75" s="209" t="s">
        <v>124</v>
      </c>
      <c r="H75" s="198">
        <v>4</v>
      </c>
      <c r="I75" s="198" t="s">
        <v>271</v>
      </c>
      <c r="J75" s="194" t="s">
        <v>24</v>
      </c>
      <c r="K75" s="210">
        <v>0</v>
      </c>
      <c r="L75" s="211">
        <v>1</v>
      </c>
      <c r="M75" s="194" t="s">
        <v>51</v>
      </c>
      <c r="N75" s="194" t="s">
        <v>68</v>
      </c>
      <c r="O75" s="194" t="s">
        <v>21</v>
      </c>
      <c r="P75" s="194" t="s">
        <v>36</v>
      </c>
      <c r="Q75" s="194" t="s">
        <v>75</v>
      </c>
      <c r="R75" s="194" t="s">
        <v>631</v>
      </c>
      <c r="S75" s="194" t="s">
        <v>98</v>
      </c>
      <c r="T75" s="198">
        <v>4</v>
      </c>
      <c r="U75" s="212" t="str">
        <f t="shared" si="13"/>
        <v>Reportar el cumplimiento del Plan de Acción de la Dependencia</v>
      </c>
      <c r="V75" s="213">
        <f t="shared" si="13"/>
        <v>0</v>
      </c>
      <c r="W75" s="214" t="s">
        <v>117</v>
      </c>
      <c r="X75" s="215">
        <v>1</v>
      </c>
      <c r="Y75" s="214" t="s">
        <v>24</v>
      </c>
      <c r="Z75" s="210">
        <v>0</v>
      </c>
      <c r="AA75" s="196"/>
      <c r="AB75" s="196"/>
      <c r="AC75" s="204">
        <f t="shared" si="14"/>
        <v>0</v>
      </c>
      <c r="AD75" s="204" t="e">
        <f t="shared" si="15"/>
        <v>#DIV/0!</v>
      </c>
      <c r="AE75" s="204">
        <f t="shared" ref="AE75:AE140" si="29">+(AA75/T75)</f>
        <v>0</v>
      </c>
      <c r="AF75" s="204" t="e">
        <f t="shared" ref="AF75:AF140" si="30">+(AB75/V75)</f>
        <v>#DIV/0!</v>
      </c>
      <c r="AG75" s="215">
        <v>1</v>
      </c>
      <c r="AH75" s="214" t="s">
        <v>24</v>
      </c>
      <c r="AI75" s="210">
        <v>0</v>
      </c>
      <c r="AJ75" s="196"/>
      <c r="AK75" s="196"/>
      <c r="AL75" s="204">
        <f t="shared" si="16"/>
        <v>0</v>
      </c>
      <c r="AM75" s="204" t="e">
        <f t="shared" ref="AM75:AM140" si="31">+(AK75/AI75)</f>
        <v>#DIV/0!</v>
      </c>
      <c r="AN75" s="204">
        <f t="shared" ref="AN75:AN140" si="32">+(AJ75+AA75)/T75</f>
        <v>0</v>
      </c>
      <c r="AO75" s="204" t="e">
        <f t="shared" ref="AO75:AO140" si="33">+(AK75+AB75)/V75</f>
        <v>#DIV/0!</v>
      </c>
      <c r="AP75" s="215">
        <v>1</v>
      </c>
      <c r="AQ75" s="214" t="s">
        <v>24</v>
      </c>
      <c r="AR75" s="210">
        <v>0</v>
      </c>
      <c r="AS75" s="196"/>
      <c r="AT75" s="196"/>
      <c r="AU75" s="204">
        <f t="shared" si="17"/>
        <v>0</v>
      </c>
      <c r="AV75" s="204" t="e">
        <f t="shared" si="18"/>
        <v>#DIV/0!</v>
      </c>
      <c r="AW75" s="204">
        <f t="shared" si="19"/>
        <v>0</v>
      </c>
      <c r="AX75" s="204" t="e">
        <f t="shared" si="20"/>
        <v>#DIV/0!</v>
      </c>
      <c r="AY75" s="215">
        <v>1</v>
      </c>
      <c r="AZ75" s="214" t="s">
        <v>24</v>
      </c>
      <c r="BA75" s="210">
        <v>0</v>
      </c>
      <c r="BB75" s="196"/>
      <c r="BC75" s="196"/>
      <c r="BD75" s="216">
        <f t="shared" si="21"/>
        <v>0</v>
      </c>
      <c r="BE75" s="216" t="e">
        <f t="shared" si="22"/>
        <v>#DIV/0!</v>
      </c>
      <c r="BF75" s="216">
        <f t="shared" si="23"/>
        <v>0</v>
      </c>
      <c r="BG75" s="216" t="e">
        <f t="shared" si="24"/>
        <v>#DIV/0!</v>
      </c>
      <c r="BH75" s="217">
        <f t="shared" ref="BH75:BH140" si="34">IF(AND(X75=0,AA75=0),"No Prog ni Ejec",IF(X75=0,CONCATENATE("No Prog, Ejec=  ",AA75),AA75/X75))</f>
        <v>0</v>
      </c>
      <c r="BI75" s="217" t="str">
        <f t="shared" ref="BI75:BI140" si="35">IF(AND(Z75=0,AB75=0),"No Prog ni Ejec",IF(Z75=0,CONCATENATE("No Prog, Ejec=  ",AB75),AB75/Z75))</f>
        <v>No Prog ni Ejec</v>
      </c>
      <c r="BJ75" s="217">
        <f t="shared" ref="BJ75:BJ140" si="36">IF(AND(AG75=0,AJ75=0),"No Prog ni Ejec",IF(AG75=0,CONCATENATE("No Prog, Ejec=  ",AJ75),AJ75/AG75))</f>
        <v>0</v>
      </c>
      <c r="BK75" s="217" t="str">
        <f t="shared" ref="BK75:BK140" si="37">IF(AND(AI75=0,AK75=0),"No Prog ni Ejec",IF(AI75=0,CONCATENATE("No Prog, Ejec=  ",AK75),AK75/AI75))</f>
        <v>No Prog ni Ejec</v>
      </c>
      <c r="BL75" s="217">
        <f t="shared" si="25"/>
        <v>0</v>
      </c>
      <c r="BM75" s="217" t="str">
        <f t="shared" si="26"/>
        <v>No Prog ni Ejec</v>
      </c>
      <c r="BN75" s="217">
        <f t="shared" ref="BN75:BN140" si="38">IF(AND(AY75=0,BB75=0),"No Prog ni Ejec",IF(AY75=0,CONCATENATE("No Prog, Ejec=  ",BB75),BB75/AY75))</f>
        <v>0</v>
      </c>
      <c r="BO75" s="217" t="str">
        <f t="shared" ref="BO75:BO140" si="39">IF(AND(BA75=0,BC75=0),"No Prog ni Ejec",IF(BA75=0,CONCATENATE("No Prog, Ejec=  ",BC75),BC75/BA75))</f>
        <v>No Prog ni Ejec</v>
      </c>
      <c r="BP75" s="206"/>
      <c r="BQ75" s="277">
        <v>5</v>
      </c>
      <c r="BR75" s="218">
        <f t="shared" ref="BR75:BR138" si="40">+(X75+AG75+(AP75/3))</f>
        <v>2.3333333333333335</v>
      </c>
      <c r="BS75" s="219" t="str">
        <f t="shared" si="27"/>
        <v>Reportar el cumplimiento del Plan de Acción de la Dependencia</v>
      </c>
      <c r="BT75" s="195">
        <f t="shared" si="28"/>
        <v>0</v>
      </c>
      <c r="BU75" s="196"/>
      <c r="BV75" s="196"/>
      <c r="BW75" s="196"/>
      <c r="BX75" s="196"/>
      <c r="BY75" s="196"/>
      <c r="BZ75" s="19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146"/>
      <c r="CX75" s="146"/>
      <c r="CY75" s="146"/>
      <c r="CZ75" s="146"/>
      <c r="DA75" s="146"/>
      <c r="DB75" s="146"/>
      <c r="DC75" s="146"/>
      <c r="DD75" s="146"/>
      <c r="DE75" s="146"/>
      <c r="DF75" s="146"/>
      <c r="DG75" s="146"/>
      <c r="DH75" s="146"/>
      <c r="DI75" s="146"/>
      <c r="DJ75" s="146"/>
      <c r="DK75" s="146"/>
      <c r="DL75" s="146"/>
      <c r="DM75" s="146"/>
      <c r="DN75" s="146"/>
      <c r="DO75" s="146"/>
      <c r="DP75" s="146"/>
      <c r="DQ75" s="146"/>
      <c r="DR75" s="146"/>
      <c r="DS75" s="146"/>
      <c r="DT75" s="146"/>
      <c r="DU75" s="146"/>
      <c r="DV75" s="146"/>
      <c r="DW75" s="146"/>
      <c r="DX75" s="146"/>
      <c r="DY75" s="146"/>
      <c r="DZ75" s="146"/>
      <c r="EA75" s="146"/>
      <c r="EB75" s="146"/>
      <c r="EC75" s="146"/>
      <c r="ED75" s="146"/>
      <c r="EE75" s="146"/>
      <c r="EF75" s="146"/>
      <c r="EG75" s="146"/>
      <c r="EH75" s="146"/>
      <c r="EI75" s="146"/>
      <c r="EJ75" s="146"/>
      <c r="EK75" s="146"/>
      <c r="EL75" s="146"/>
      <c r="EM75" s="146"/>
      <c r="EN75" s="146"/>
      <c r="EO75" s="146"/>
      <c r="EP75" s="146"/>
      <c r="EQ75" s="146"/>
      <c r="ER75" s="146"/>
      <c r="ES75" s="146"/>
      <c r="ET75" s="146"/>
      <c r="EU75" s="146"/>
      <c r="EV75" s="146"/>
      <c r="EW75" s="146"/>
      <c r="EX75" s="146"/>
      <c r="EY75" s="146"/>
      <c r="EZ75" s="146"/>
      <c r="FA75" s="146"/>
      <c r="FB75" s="146"/>
      <c r="FC75" s="146"/>
      <c r="FD75" s="146"/>
      <c r="FE75" s="146"/>
      <c r="FF75" s="146"/>
      <c r="FG75" s="146"/>
      <c r="FH75" s="146"/>
      <c r="FI75" s="146"/>
      <c r="FJ75" s="146"/>
      <c r="FK75" s="146"/>
      <c r="FL75" s="146"/>
      <c r="FM75" s="146"/>
      <c r="FN75" s="146"/>
      <c r="FO75" s="146"/>
      <c r="FP75" s="146"/>
      <c r="FQ75" s="146"/>
      <c r="FR75" s="146"/>
      <c r="FS75" s="146"/>
      <c r="FT75" s="146"/>
      <c r="FU75" s="146"/>
      <c r="FV75" s="146"/>
      <c r="FW75" s="146"/>
      <c r="FX75" s="146"/>
      <c r="FY75" s="146"/>
      <c r="FZ75" s="146"/>
      <c r="GA75" s="146"/>
      <c r="GB75" s="146"/>
      <c r="GC75" s="146"/>
      <c r="GD75" s="146"/>
      <c r="GE75" s="146"/>
      <c r="GF75" s="146"/>
      <c r="GG75" s="146"/>
      <c r="GH75" s="146"/>
      <c r="GI75" s="146"/>
      <c r="GJ75" s="146"/>
      <c r="GK75" s="146"/>
      <c r="GL75" s="146"/>
      <c r="GM75" s="146"/>
      <c r="GN75" s="146"/>
      <c r="GO75" s="146"/>
      <c r="GP75" s="146"/>
      <c r="GQ75" s="146"/>
      <c r="GR75" s="146"/>
      <c r="GS75" s="146"/>
      <c r="GT75" s="146"/>
      <c r="GU75" s="146"/>
      <c r="GV75" s="146"/>
      <c r="GW75" s="146"/>
      <c r="GX75" s="146"/>
      <c r="GY75" s="146"/>
      <c r="GZ75" s="146"/>
      <c r="HA75" s="146"/>
      <c r="HB75" s="146"/>
      <c r="HC75" s="146"/>
      <c r="HD75" s="146"/>
      <c r="HE75" s="146"/>
      <c r="HF75" s="146"/>
      <c r="HG75" s="146"/>
      <c r="HH75" s="146"/>
      <c r="HI75" s="146"/>
      <c r="HJ75" s="146"/>
      <c r="HK75" s="146"/>
      <c r="HL75" s="146"/>
      <c r="HM75" s="146"/>
      <c r="HN75" s="146"/>
      <c r="HO75" s="146"/>
      <c r="HP75" s="146"/>
      <c r="HQ75" s="146"/>
      <c r="HR75" s="146"/>
      <c r="HS75" s="146"/>
      <c r="HT75" s="146"/>
      <c r="HU75" s="146"/>
      <c r="HV75" s="146"/>
      <c r="HW75" s="146"/>
      <c r="HX75" s="146"/>
      <c r="HY75" s="146"/>
      <c r="HZ75" s="146"/>
      <c r="IA75" s="146"/>
    </row>
    <row r="76" spans="1:235" s="153" customFormat="1" ht="99.75" x14ac:dyDescent="0.25">
      <c r="A76" s="197">
        <v>11600</v>
      </c>
      <c r="B76" s="194" t="s">
        <v>6</v>
      </c>
      <c r="C76" s="198" t="s">
        <v>267</v>
      </c>
      <c r="D76" s="194" t="s">
        <v>256</v>
      </c>
      <c r="E76" s="198" t="s">
        <v>269</v>
      </c>
      <c r="F76" s="194" t="s">
        <v>159</v>
      </c>
      <c r="G76" s="209" t="s">
        <v>123</v>
      </c>
      <c r="H76" s="216">
        <v>1</v>
      </c>
      <c r="I76" s="198" t="s">
        <v>272</v>
      </c>
      <c r="J76" s="194" t="s">
        <v>598</v>
      </c>
      <c r="K76" s="210">
        <v>0</v>
      </c>
      <c r="L76" s="211">
        <v>1</v>
      </c>
      <c r="M76" s="194" t="s">
        <v>51</v>
      </c>
      <c r="N76" s="194" t="s">
        <v>68</v>
      </c>
      <c r="O76" s="194" t="s">
        <v>21</v>
      </c>
      <c r="P76" s="194" t="s">
        <v>36</v>
      </c>
      <c r="Q76" s="194" t="s">
        <v>75</v>
      </c>
      <c r="R76" s="194" t="s">
        <v>632</v>
      </c>
      <c r="S76" s="194" t="s">
        <v>98</v>
      </c>
      <c r="T76" s="211">
        <v>1</v>
      </c>
      <c r="U76" s="212" t="str">
        <f t="shared" ref="U76:V141" si="41">+J76</f>
        <v>Formular los procesos y procedimientos en el marco del MIPG</v>
      </c>
      <c r="V76" s="213">
        <f t="shared" si="41"/>
        <v>0</v>
      </c>
      <c r="W76" s="214" t="s">
        <v>117</v>
      </c>
      <c r="X76" s="216">
        <v>0.25</v>
      </c>
      <c r="Y76" s="214" t="s">
        <v>598</v>
      </c>
      <c r="Z76" s="210">
        <v>0</v>
      </c>
      <c r="AA76" s="196"/>
      <c r="AB76" s="196"/>
      <c r="AC76" s="204">
        <f t="shared" ref="AC76:AC141" si="42">+(AA76/X76)</f>
        <v>0</v>
      </c>
      <c r="AD76" s="204" t="e">
        <f t="shared" ref="AD76:AD141" si="43">+(AB76/Z76)</f>
        <v>#DIV/0!</v>
      </c>
      <c r="AE76" s="204">
        <f t="shared" si="29"/>
        <v>0</v>
      </c>
      <c r="AF76" s="204" t="e">
        <f t="shared" si="30"/>
        <v>#DIV/0!</v>
      </c>
      <c r="AG76" s="216">
        <v>0.25</v>
      </c>
      <c r="AH76" s="214" t="s">
        <v>598</v>
      </c>
      <c r="AI76" s="210">
        <v>0</v>
      </c>
      <c r="AJ76" s="196"/>
      <c r="AK76" s="196"/>
      <c r="AL76" s="204">
        <f t="shared" ref="AL76:AL141" si="44">+(AJ76/AG76)</f>
        <v>0</v>
      </c>
      <c r="AM76" s="204" t="e">
        <f t="shared" si="31"/>
        <v>#DIV/0!</v>
      </c>
      <c r="AN76" s="204">
        <f t="shared" si="32"/>
        <v>0</v>
      </c>
      <c r="AO76" s="204" t="e">
        <f t="shared" si="33"/>
        <v>#DIV/0!</v>
      </c>
      <c r="AP76" s="216">
        <v>0.25</v>
      </c>
      <c r="AQ76" s="214" t="s">
        <v>598</v>
      </c>
      <c r="AR76" s="210">
        <v>0</v>
      </c>
      <c r="AS76" s="196"/>
      <c r="AT76" s="196"/>
      <c r="AU76" s="204">
        <f t="shared" ref="AU76:AU141" si="45">+(AS76/AP76)</f>
        <v>0</v>
      </c>
      <c r="AV76" s="204" t="e">
        <f t="shared" ref="AV76:AV141" si="46">+(AT76/AR76)</f>
        <v>#DIV/0!</v>
      </c>
      <c r="AW76" s="204">
        <f t="shared" ref="AW76:AW141" si="47">+(AJ76+AA76+AS76)/T76</f>
        <v>0</v>
      </c>
      <c r="AX76" s="204" t="e">
        <f t="shared" ref="AX76:AX141" si="48">+(AK76+AB76+AT76)/V76</f>
        <v>#DIV/0!</v>
      </c>
      <c r="AY76" s="216">
        <v>0.25</v>
      </c>
      <c r="AZ76" s="214" t="s">
        <v>598</v>
      </c>
      <c r="BA76" s="210">
        <v>0</v>
      </c>
      <c r="BB76" s="196"/>
      <c r="BC76" s="196"/>
      <c r="BD76" s="216">
        <f t="shared" ref="BD76:BD141" si="49">+(BB76/AY76)</f>
        <v>0</v>
      </c>
      <c r="BE76" s="216" t="e">
        <f t="shared" ref="BE76:BE141" si="50">+(BC76/BA76)</f>
        <v>#DIV/0!</v>
      </c>
      <c r="BF76" s="216">
        <f t="shared" ref="BF76:BF141" si="51">+(AJ76+AA76+AS76+BB76)/T76</f>
        <v>0</v>
      </c>
      <c r="BG76" s="216" t="e">
        <f t="shared" ref="BG76:BG141" si="52">+(AK76+AB76+AT76+BC76)/V76</f>
        <v>#DIV/0!</v>
      </c>
      <c r="BH76" s="217">
        <f t="shared" si="34"/>
        <v>0</v>
      </c>
      <c r="BI76" s="217" t="str">
        <f t="shared" si="35"/>
        <v>No Prog ni Ejec</v>
      </c>
      <c r="BJ76" s="217">
        <f t="shared" si="36"/>
        <v>0</v>
      </c>
      <c r="BK76" s="217" t="str">
        <f t="shared" si="37"/>
        <v>No Prog ni Ejec</v>
      </c>
      <c r="BL76" s="217">
        <f t="shared" ref="BL76:BL141" si="53">IF(AND(AP76=0,AS76=0),"No Prog ni Ejec",IF(AP76=0,CONCATENATE("No Prog, Ejec=  ",AS76),AS76/AP76))</f>
        <v>0</v>
      </c>
      <c r="BM76" s="217" t="str">
        <f t="shared" ref="BM76:BM141" si="54">IF(AND(AR76=0,AT76=0),"No Prog ni Ejec",IF(AR76=0,CONCATENATE("No Prog, Ejec=  ",AT76),AT76/AR76))</f>
        <v>No Prog ni Ejec</v>
      </c>
      <c r="BN76" s="217">
        <f t="shared" si="38"/>
        <v>0</v>
      </c>
      <c r="BO76" s="217" t="str">
        <f t="shared" si="39"/>
        <v>No Prog ni Ejec</v>
      </c>
      <c r="BP76" s="206"/>
      <c r="BQ76" s="277">
        <v>5</v>
      </c>
      <c r="BR76" s="208">
        <f t="shared" si="40"/>
        <v>0.58333333333333337</v>
      </c>
      <c r="BS76" s="219" t="str">
        <f t="shared" si="27"/>
        <v>Formular los procesos y procedimientos en el marco del MIPG</v>
      </c>
      <c r="BT76" s="195">
        <f t="shared" si="28"/>
        <v>0</v>
      </c>
      <c r="BU76" s="196"/>
      <c r="BV76" s="196"/>
      <c r="BW76" s="196"/>
      <c r="BX76" s="196"/>
      <c r="BY76" s="196"/>
      <c r="BZ76" s="196"/>
      <c r="CA76" s="146"/>
      <c r="CB76" s="146"/>
      <c r="CC76" s="146"/>
      <c r="CD76" s="146"/>
      <c r="CE76" s="146"/>
      <c r="CF76" s="146"/>
      <c r="CG76" s="146"/>
      <c r="CH76" s="146"/>
      <c r="CI76" s="146"/>
      <c r="CJ76" s="146"/>
      <c r="CK76" s="146"/>
      <c r="CL76" s="146"/>
      <c r="CM76" s="146"/>
      <c r="CN76" s="146"/>
      <c r="CO76" s="146"/>
      <c r="CP76" s="146"/>
      <c r="CQ76" s="146"/>
      <c r="CR76" s="146"/>
      <c r="CS76" s="146"/>
      <c r="CT76" s="146"/>
      <c r="CU76" s="146"/>
      <c r="CV76" s="146"/>
      <c r="CW76" s="146"/>
      <c r="CX76" s="146"/>
      <c r="CY76" s="146"/>
      <c r="CZ76" s="146"/>
      <c r="DA76" s="146"/>
      <c r="DB76" s="146"/>
      <c r="DC76" s="146"/>
      <c r="DD76" s="146"/>
      <c r="DE76" s="146"/>
      <c r="DF76" s="146"/>
      <c r="DG76" s="146"/>
      <c r="DH76" s="146"/>
      <c r="DI76" s="146"/>
      <c r="DJ76" s="146"/>
      <c r="DK76" s="146"/>
      <c r="DL76" s="146"/>
      <c r="DM76" s="146"/>
      <c r="DN76" s="146"/>
      <c r="DO76" s="146"/>
      <c r="DP76" s="146"/>
      <c r="DQ76" s="146"/>
      <c r="DR76" s="146"/>
      <c r="DS76" s="146"/>
      <c r="DT76" s="146"/>
      <c r="DU76" s="146"/>
      <c r="DV76" s="146"/>
      <c r="DW76" s="146"/>
      <c r="DX76" s="146"/>
      <c r="DY76" s="146"/>
      <c r="DZ76" s="146"/>
      <c r="EA76" s="146"/>
      <c r="EB76" s="146"/>
      <c r="EC76" s="146"/>
      <c r="ED76" s="146"/>
      <c r="EE76" s="146"/>
      <c r="EF76" s="146"/>
      <c r="EG76" s="146"/>
      <c r="EH76" s="146"/>
      <c r="EI76" s="146"/>
      <c r="EJ76" s="146"/>
      <c r="EK76" s="146"/>
      <c r="EL76" s="146"/>
      <c r="EM76" s="146"/>
      <c r="EN76" s="146"/>
      <c r="EO76" s="146"/>
      <c r="EP76" s="146"/>
      <c r="EQ76" s="146"/>
      <c r="ER76" s="146"/>
      <c r="ES76" s="146"/>
      <c r="ET76" s="146"/>
      <c r="EU76" s="146"/>
      <c r="EV76" s="146"/>
      <c r="EW76" s="146"/>
      <c r="EX76" s="146"/>
      <c r="EY76" s="146"/>
      <c r="EZ76" s="146"/>
      <c r="FA76" s="146"/>
      <c r="FB76" s="146"/>
      <c r="FC76" s="146"/>
      <c r="FD76" s="146"/>
      <c r="FE76" s="146"/>
      <c r="FF76" s="146"/>
      <c r="FG76" s="146"/>
      <c r="FH76" s="146"/>
      <c r="FI76" s="146"/>
      <c r="FJ76" s="146"/>
      <c r="FK76" s="146"/>
      <c r="FL76" s="146"/>
      <c r="FM76" s="146"/>
      <c r="FN76" s="146"/>
      <c r="FO76" s="146"/>
      <c r="FP76" s="146"/>
      <c r="FQ76" s="146"/>
      <c r="FR76" s="146"/>
      <c r="FS76" s="146"/>
      <c r="FT76" s="146"/>
      <c r="FU76" s="146"/>
      <c r="FV76" s="146"/>
      <c r="FW76" s="146"/>
      <c r="FX76" s="146"/>
      <c r="FY76" s="146"/>
      <c r="FZ76" s="146"/>
      <c r="GA76" s="146"/>
      <c r="GB76" s="146"/>
      <c r="GC76" s="146"/>
      <c r="GD76" s="146"/>
      <c r="GE76" s="146"/>
      <c r="GF76" s="146"/>
      <c r="GG76" s="146"/>
      <c r="GH76" s="146"/>
      <c r="GI76" s="146"/>
      <c r="GJ76" s="146"/>
      <c r="GK76" s="146"/>
      <c r="GL76" s="146"/>
      <c r="GM76" s="146"/>
      <c r="GN76" s="146"/>
      <c r="GO76" s="146"/>
      <c r="GP76" s="146"/>
      <c r="GQ76" s="146"/>
      <c r="GR76" s="146"/>
      <c r="GS76" s="146"/>
      <c r="GT76" s="146"/>
      <c r="GU76" s="146"/>
      <c r="GV76" s="146"/>
      <c r="GW76" s="146"/>
      <c r="GX76" s="146"/>
      <c r="GY76" s="146"/>
      <c r="GZ76" s="146"/>
      <c r="HA76" s="146"/>
      <c r="HB76" s="146"/>
      <c r="HC76" s="146"/>
      <c r="HD76" s="146"/>
      <c r="HE76" s="146"/>
      <c r="HF76" s="146"/>
      <c r="HG76" s="146"/>
      <c r="HH76" s="146"/>
      <c r="HI76" s="146"/>
      <c r="HJ76" s="146"/>
      <c r="HK76" s="146"/>
      <c r="HL76" s="146"/>
      <c r="HM76" s="146"/>
      <c r="HN76" s="146"/>
      <c r="HO76" s="146"/>
      <c r="HP76" s="146"/>
      <c r="HQ76" s="146"/>
      <c r="HR76" s="146"/>
      <c r="HS76" s="146"/>
      <c r="HT76" s="146"/>
      <c r="HU76" s="146"/>
      <c r="HV76" s="146"/>
      <c r="HW76" s="146"/>
      <c r="HX76" s="146"/>
      <c r="HY76" s="146"/>
      <c r="HZ76" s="146"/>
      <c r="IA76" s="146"/>
    </row>
    <row r="77" spans="1:235" s="153" customFormat="1" ht="99.75" x14ac:dyDescent="0.25">
      <c r="A77" s="197">
        <v>11600</v>
      </c>
      <c r="B77" s="194" t="s">
        <v>6</v>
      </c>
      <c r="C77" s="198" t="s">
        <v>267</v>
      </c>
      <c r="D77" s="194" t="s">
        <v>256</v>
      </c>
      <c r="E77" s="198" t="s">
        <v>270</v>
      </c>
      <c r="F77" s="194" t="s">
        <v>127</v>
      </c>
      <c r="G77" s="209" t="s">
        <v>124</v>
      </c>
      <c r="H77" s="198">
        <v>4</v>
      </c>
      <c r="I77" s="198" t="s">
        <v>273</v>
      </c>
      <c r="J77" s="194" t="s">
        <v>128</v>
      </c>
      <c r="K77" s="210">
        <v>0</v>
      </c>
      <c r="L77" s="211">
        <v>1</v>
      </c>
      <c r="M77" s="194" t="s">
        <v>51</v>
      </c>
      <c r="N77" s="194" t="s">
        <v>68</v>
      </c>
      <c r="O77" s="194" t="s">
        <v>21</v>
      </c>
      <c r="P77" s="194" t="s">
        <v>36</v>
      </c>
      <c r="Q77" s="194" t="s">
        <v>75</v>
      </c>
      <c r="R77" s="194" t="s">
        <v>137</v>
      </c>
      <c r="S77" s="194" t="s">
        <v>98</v>
      </c>
      <c r="T77" s="198">
        <v>4</v>
      </c>
      <c r="U77" s="212" t="str">
        <f t="shared" si="41"/>
        <v>Remitir informes trimestrales de los indicadores formulados y las acciones de mejoras</v>
      </c>
      <c r="V77" s="213">
        <f t="shared" si="41"/>
        <v>0</v>
      </c>
      <c r="W77" s="214" t="s">
        <v>117</v>
      </c>
      <c r="X77" s="215">
        <v>1</v>
      </c>
      <c r="Y77" s="214" t="s">
        <v>128</v>
      </c>
      <c r="Z77" s="210">
        <v>0</v>
      </c>
      <c r="AA77" s="196"/>
      <c r="AB77" s="196"/>
      <c r="AC77" s="204">
        <f t="shared" si="42"/>
        <v>0</v>
      </c>
      <c r="AD77" s="204" t="e">
        <f t="shared" si="43"/>
        <v>#DIV/0!</v>
      </c>
      <c r="AE77" s="204">
        <f t="shared" si="29"/>
        <v>0</v>
      </c>
      <c r="AF77" s="204" t="e">
        <f t="shared" si="30"/>
        <v>#DIV/0!</v>
      </c>
      <c r="AG77" s="215">
        <v>1</v>
      </c>
      <c r="AH77" s="214" t="s">
        <v>128</v>
      </c>
      <c r="AI77" s="210">
        <v>0</v>
      </c>
      <c r="AJ77" s="196"/>
      <c r="AK77" s="196"/>
      <c r="AL77" s="204">
        <f t="shared" si="44"/>
        <v>0</v>
      </c>
      <c r="AM77" s="204" t="e">
        <f t="shared" si="31"/>
        <v>#DIV/0!</v>
      </c>
      <c r="AN77" s="204">
        <f t="shared" si="32"/>
        <v>0</v>
      </c>
      <c r="AO77" s="204" t="e">
        <f t="shared" si="33"/>
        <v>#DIV/0!</v>
      </c>
      <c r="AP77" s="215">
        <v>1</v>
      </c>
      <c r="AQ77" s="214" t="s">
        <v>128</v>
      </c>
      <c r="AR77" s="210">
        <v>0</v>
      </c>
      <c r="AS77" s="196"/>
      <c r="AT77" s="196"/>
      <c r="AU77" s="204">
        <f t="shared" si="45"/>
        <v>0</v>
      </c>
      <c r="AV77" s="204" t="e">
        <f t="shared" si="46"/>
        <v>#DIV/0!</v>
      </c>
      <c r="AW77" s="204">
        <f t="shared" si="47"/>
        <v>0</v>
      </c>
      <c r="AX77" s="204" t="e">
        <f t="shared" si="48"/>
        <v>#DIV/0!</v>
      </c>
      <c r="AY77" s="215">
        <v>1</v>
      </c>
      <c r="AZ77" s="214" t="s">
        <v>128</v>
      </c>
      <c r="BA77" s="210">
        <v>0</v>
      </c>
      <c r="BB77" s="196"/>
      <c r="BC77" s="196"/>
      <c r="BD77" s="216">
        <f t="shared" si="49"/>
        <v>0</v>
      </c>
      <c r="BE77" s="216" t="e">
        <f t="shared" si="50"/>
        <v>#DIV/0!</v>
      </c>
      <c r="BF77" s="216">
        <f t="shared" si="51"/>
        <v>0</v>
      </c>
      <c r="BG77" s="216" t="e">
        <f t="shared" si="52"/>
        <v>#DIV/0!</v>
      </c>
      <c r="BH77" s="217">
        <f t="shared" si="34"/>
        <v>0</v>
      </c>
      <c r="BI77" s="217" t="str">
        <f t="shared" si="35"/>
        <v>No Prog ni Ejec</v>
      </c>
      <c r="BJ77" s="217">
        <f t="shared" si="36"/>
        <v>0</v>
      </c>
      <c r="BK77" s="217" t="str">
        <f t="shared" si="37"/>
        <v>No Prog ni Ejec</v>
      </c>
      <c r="BL77" s="217">
        <f t="shared" si="53"/>
        <v>0</v>
      </c>
      <c r="BM77" s="217" t="str">
        <f t="shared" si="54"/>
        <v>No Prog ni Ejec</v>
      </c>
      <c r="BN77" s="217">
        <f t="shared" si="38"/>
        <v>0</v>
      </c>
      <c r="BO77" s="217" t="str">
        <f t="shared" si="39"/>
        <v>No Prog ni Ejec</v>
      </c>
      <c r="BP77" s="206"/>
      <c r="BQ77" s="277">
        <v>5</v>
      </c>
      <c r="BR77" s="218">
        <f t="shared" si="40"/>
        <v>2.3333333333333335</v>
      </c>
      <c r="BS77" s="219" t="str">
        <f t="shared" si="27"/>
        <v>Remitir informes trimestrales de los indicadores formulados y las acciones de mejoras</v>
      </c>
      <c r="BT77" s="195">
        <f t="shared" si="28"/>
        <v>0</v>
      </c>
      <c r="BU77" s="196"/>
      <c r="BV77" s="196"/>
      <c r="BW77" s="196"/>
      <c r="BX77" s="196"/>
      <c r="BY77" s="196"/>
      <c r="BZ77" s="196"/>
      <c r="CA77" s="146"/>
      <c r="CB77" s="146"/>
      <c r="CC77" s="146"/>
      <c r="CD77" s="146"/>
      <c r="CE77" s="146"/>
      <c r="CF77" s="146"/>
      <c r="CG77" s="146"/>
      <c r="CH77" s="146"/>
      <c r="CI77" s="146"/>
      <c r="CJ77" s="146"/>
      <c r="CK77" s="146"/>
      <c r="CL77" s="146"/>
      <c r="CM77" s="146"/>
      <c r="CN77" s="146"/>
      <c r="CO77" s="146"/>
      <c r="CP77" s="146"/>
      <c r="CQ77" s="146"/>
      <c r="CR77" s="146"/>
      <c r="CS77" s="146"/>
      <c r="CT77" s="146"/>
      <c r="CU77" s="146"/>
      <c r="CV77" s="146"/>
      <c r="CW77" s="146"/>
      <c r="CX77" s="146"/>
      <c r="CY77" s="146"/>
      <c r="CZ77" s="146"/>
      <c r="DA77" s="146"/>
      <c r="DB77" s="146"/>
      <c r="DC77" s="146"/>
      <c r="DD77" s="146"/>
      <c r="DE77" s="146"/>
      <c r="DF77" s="146"/>
      <c r="DG77" s="146"/>
      <c r="DH77" s="146"/>
      <c r="DI77" s="146"/>
      <c r="DJ77" s="146"/>
      <c r="DK77" s="146"/>
      <c r="DL77" s="146"/>
      <c r="DM77" s="146"/>
      <c r="DN77" s="146"/>
      <c r="DO77" s="146"/>
      <c r="DP77" s="146"/>
      <c r="DQ77" s="146"/>
      <c r="DR77" s="146"/>
      <c r="DS77" s="146"/>
      <c r="DT77" s="146"/>
      <c r="DU77" s="146"/>
      <c r="DV77" s="146"/>
      <c r="DW77" s="146"/>
      <c r="DX77" s="146"/>
      <c r="DY77" s="146"/>
      <c r="DZ77" s="146"/>
      <c r="EA77" s="146"/>
      <c r="EB77" s="146"/>
      <c r="EC77" s="146"/>
      <c r="ED77" s="146"/>
      <c r="EE77" s="146"/>
      <c r="EF77" s="146"/>
      <c r="EG77" s="146"/>
      <c r="EH77" s="146"/>
      <c r="EI77" s="146"/>
      <c r="EJ77" s="146"/>
      <c r="EK77" s="146"/>
      <c r="EL77" s="146"/>
      <c r="EM77" s="146"/>
      <c r="EN77" s="146"/>
      <c r="EO77" s="146"/>
      <c r="EP77" s="146"/>
      <c r="EQ77" s="146"/>
      <c r="ER77" s="146"/>
      <c r="ES77" s="146"/>
      <c r="ET77" s="146"/>
      <c r="EU77" s="146"/>
      <c r="EV77" s="146"/>
      <c r="EW77" s="146"/>
      <c r="EX77" s="146"/>
      <c r="EY77" s="146"/>
      <c r="EZ77" s="146"/>
      <c r="FA77" s="146"/>
      <c r="FB77" s="146"/>
      <c r="FC77" s="146"/>
      <c r="FD77" s="146"/>
      <c r="FE77" s="146"/>
      <c r="FF77" s="146"/>
      <c r="FG77" s="146"/>
      <c r="FH77" s="146"/>
      <c r="FI77" s="146"/>
      <c r="FJ77" s="146"/>
      <c r="FK77" s="146"/>
      <c r="FL77" s="146"/>
      <c r="FM77" s="146"/>
      <c r="FN77" s="146"/>
      <c r="FO77" s="146"/>
      <c r="FP77" s="146"/>
      <c r="FQ77" s="146"/>
      <c r="FR77" s="146"/>
      <c r="FS77" s="146"/>
      <c r="FT77" s="146"/>
      <c r="FU77" s="146"/>
      <c r="FV77" s="146"/>
      <c r="FW77" s="146"/>
      <c r="FX77" s="146"/>
      <c r="FY77" s="146"/>
      <c r="FZ77" s="146"/>
      <c r="GA77" s="146"/>
      <c r="GB77" s="146"/>
      <c r="GC77" s="146"/>
      <c r="GD77" s="146"/>
      <c r="GE77" s="146"/>
      <c r="GF77" s="146"/>
      <c r="GG77" s="146"/>
      <c r="GH77" s="146"/>
      <c r="GI77" s="146"/>
      <c r="GJ77" s="146"/>
      <c r="GK77" s="146"/>
      <c r="GL77" s="146"/>
      <c r="GM77" s="146"/>
      <c r="GN77" s="146"/>
      <c r="GO77" s="146"/>
      <c r="GP77" s="146"/>
      <c r="GQ77" s="146"/>
      <c r="GR77" s="146"/>
      <c r="GS77" s="146"/>
      <c r="GT77" s="146"/>
      <c r="GU77" s="146"/>
      <c r="GV77" s="146"/>
      <c r="GW77" s="146"/>
      <c r="GX77" s="146"/>
      <c r="GY77" s="146"/>
      <c r="GZ77" s="146"/>
      <c r="HA77" s="146"/>
      <c r="HB77" s="146"/>
      <c r="HC77" s="146"/>
      <c r="HD77" s="146"/>
      <c r="HE77" s="146"/>
      <c r="HF77" s="146"/>
      <c r="HG77" s="146"/>
      <c r="HH77" s="146"/>
      <c r="HI77" s="146"/>
      <c r="HJ77" s="146"/>
      <c r="HK77" s="146"/>
      <c r="HL77" s="146"/>
      <c r="HM77" s="146"/>
      <c r="HN77" s="146"/>
      <c r="HO77" s="146"/>
      <c r="HP77" s="146"/>
      <c r="HQ77" s="146"/>
      <c r="HR77" s="146"/>
      <c r="HS77" s="146"/>
      <c r="HT77" s="146"/>
      <c r="HU77" s="146"/>
      <c r="HV77" s="146"/>
      <c r="HW77" s="146"/>
      <c r="HX77" s="146"/>
      <c r="HY77" s="146"/>
      <c r="HZ77" s="146"/>
      <c r="IA77" s="146"/>
    </row>
    <row r="78" spans="1:235" s="159" customFormat="1" ht="57" x14ac:dyDescent="0.25">
      <c r="A78" s="197">
        <v>11600</v>
      </c>
      <c r="B78" s="194" t="s">
        <v>6</v>
      </c>
      <c r="C78" s="198" t="s">
        <v>278</v>
      </c>
      <c r="D78" s="194" t="s">
        <v>147</v>
      </c>
      <c r="E78" s="198" t="s">
        <v>279</v>
      </c>
      <c r="F78" s="194" t="s">
        <v>277</v>
      </c>
      <c r="G78" s="209" t="s">
        <v>124</v>
      </c>
      <c r="H78" s="198">
        <v>1</v>
      </c>
      <c r="I78" s="198" t="s">
        <v>282</v>
      </c>
      <c r="J78" s="194" t="s">
        <v>280</v>
      </c>
      <c r="K78" s="210">
        <v>0</v>
      </c>
      <c r="L78" s="211">
        <v>1</v>
      </c>
      <c r="M78" s="194" t="s">
        <v>46</v>
      </c>
      <c r="N78" s="194" t="s">
        <v>73</v>
      </c>
      <c r="O78" s="194" t="s">
        <v>37</v>
      </c>
      <c r="P78" s="194" t="s">
        <v>40</v>
      </c>
      <c r="Q78" s="194" t="s">
        <v>228</v>
      </c>
      <c r="R78" s="194" t="s">
        <v>633</v>
      </c>
      <c r="S78" s="194" t="s">
        <v>99</v>
      </c>
      <c r="T78" s="198">
        <v>1</v>
      </c>
      <c r="U78" s="212" t="str">
        <f t="shared" si="41"/>
        <v>Desarrollo e implementación del PETI</v>
      </c>
      <c r="V78" s="213">
        <f t="shared" si="41"/>
        <v>0</v>
      </c>
      <c r="W78" s="214" t="s">
        <v>117</v>
      </c>
      <c r="X78" s="284">
        <v>0</v>
      </c>
      <c r="Y78" s="282" t="s">
        <v>280</v>
      </c>
      <c r="Z78" s="283">
        <v>0</v>
      </c>
      <c r="AA78" s="279"/>
      <c r="AB78" s="279"/>
      <c r="AC78" s="280" t="e">
        <f t="shared" si="42"/>
        <v>#DIV/0!</v>
      </c>
      <c r="AD78" s="280" t="e">
        <f t="shared" si="43"/>
        <v>#DIV/0!</v>
      </c>
      <c r="AE78" s="280">
        <f t="shared" si="29"/>
        <v>0</v>
      </c>
      <c r="AF78" s="280" t="e">
        <f t="shared" si="30"/>
        <v>#DIV/0!</v>
      </c>
      <c r="AG78" s="284">
        <v>1</v>
      </c>
      <c r="AH78" s="282" t="s">
        <v>280</v>
      </c>
      <c r="AI78" s="283">
        <v>0</v>
      </c>
      <c r="AJ78" s="279"/>
      <c r="AK78" s="279"/>
      <c r="AL78" s="280">
        <f t="shared" si="44"/>
        <v>0</v>
      </c>
      <c r="AM78" s="280" t="e">
        <f t="shared" si="31"/>
        <v>#DIV/0!</v>
      </c>
      <c r="AN78" s="280">
        <f t="shared" si="32"/>
        <v>0</v>
      </c>
      <c r="AO78" s="280" t="e">
        <f t="shared" si="33"/>
        <v>#DIV/0!</v>
      </c>
      <c r="AP78" s="284">
        <v>0</v>
      </c>
      <c r="AQ78" s="282" t="s">
        <v>280</v>
      </c>
      <c r="AR78" s="283">
        <v>0</v>
      </c>
      <c r="AS78" s="279"/>
      <c r="AT78" s="279"/>
      <c r="AU78" s="280" t="e">
        <f t="shared" si="45"/>
        <v>#DIV/0!</v>
      </c>
      <c r="AV78" s="280" t="e">
        <f t="shared" si="46"/>
        <v>#DIV/0!</v>
      </c>
      <c r="AW78" s="280">
        <f t="shared" si="47"/>
        <v>0</v>
      </c>
      <c r="AX78" s="280" t="e">
        <f t="shared" si="48"/>
        <v>#DIV/0!</v>
      </c>
      <c r="AY78" s="284">
        <v>0</v>
      </c>
      <c r="AZ78" s="282" t="s">
        <v>280</v>
      </c>
      <c r="BA78" s="283">
        <v>0</v>
      </c>
      <c r="BB78" s="279"/>
      <c r="BC78" s="279"/>
      <c r="BD78" s="281" t="e">
        <f t="shared" si="49"/>
        <v>#DIV/0!</v>
      </c>
      <c r="BE78" s="281" t="e">
        <f t="shared" si="50"/>
        <v>#DIV/0!</v>
      </c>
      <c r="BF78" s="281">
        <f t="shared" si="51"/>
        <v>0</v>
      </c>
      <c r="BG78" s="281" t="e">
        <f t="shared" si="52"/>
        <v>#DIV/0!</v>
      </c>
      <c r="BH78" s="205" t="str">
        <f t="shared" si="34"/>
        <v>No Prog ni Ejec</v>
      </c>
      <c r="BI78" s="205" t="str">
        <f t="shared" si="35"/>
        <v>No Prog ni Ejec</v>
      </c>
      <c r="BJ78" s="205">
        <f t="shared" si="36"/>
        <v>0</v>
      </c>
      <c r="BK78" s="205" t="str">
        <f t="shared" si="37"/>
        <v>No Prog ni Ejec</v>
      </c>
      <c r="BL78" s="205" t="str">
        <f t="shared" si="53"/>
        <v>No Prog ni Ejec</v>
      </c>
      <c r="BM78" s="205" t="str">
        <f t="shared" si="54"/>
        <v>No Prog ni Ejec</v>
      </c>
      <c r="BN78" s="205" t="str">
        <f t="shared" si="38"/>
        <v>No Prog ni Ejec</v>
      </c>
      <c r="BO78" s="205" t="str">
        <f t="shared" si="39"/>
        <v>No Prog ni Ejec</v>
      </c>
      <c r="BP78" s="206"/>
      <c r="BQ78" s="277">
        <v>4</v>
      </c>
      <c r="BR78" s="218">
        <f t="shared" si="40"/>
        <v>1</v>
      </c>
      <c r="BS78" s="219" t="str">
        <f t="shared" si="27"/>
        <v>Desarrollo e implementación del PETI</v>
      </c>
      <c r="BT78" s="195">
        <f t="shared" si="28"/>
        <v>0</v>
      </c>
      <c r="BU78" s="196"/>
      <c r="BV78" s="196"/>
      <c r="BW78" s="196"/>
      <c r="BX78" s="196"/>
      <c r="BY78" s="196"/>
      <c r="BZ78" s="196"/>
      <c r="CA78" s="146"/>
      <c r="CB78" s="146"/>
      <c r="CC78" s="146"/>
      <c r="CD78" s="146"/>
      <c r="CE78" s="146"/>
      <c r="CF78" s="146"/>
      <c r="CG78" s="146"/>
      <c r="CH78" s="146"/>
      <c r="CI78" s="146"/>
      <c r="CJ78" s="146"/>
      <c r="CK78" s="146"/>
      <c r="CL78" s="146"/>
      <c r="CM78" s="146"/>
      <c r="CN78" s="146"/>
      <c r="CO78" s="146"/>
      <c r="CP78" s="146"/>
      <c r="CQ78" s="146"/>
      <c r="CR78" s="146"/>
      <c r="CS78" s="146"/>
      <c r="CT78" s="146"/>
      <c r="CU78" s="146"/>
      <c r="CV78" s="146"/>
      <c r="CW78" s="146"/>
      <c r="CX78" s="146"/>
      <c r="CY78" s="146"/>
      <c r="CZ78" s="146"/>
      <c r="DA78" s="146"/>
      <c r="DB78" s="146"/>
      <c r="DC78" s="146"/>
      <c r="DD78" s="146"/>
      <c r="DE78" s="146"/>
      <c r="DF78" s="146"/>
      <c r="DG78" s="146"/>
      <c r="DH78" s="146"/>
      <c r="DI78" s="146"/>
      <c r="DJ78" s="146"/>
      <c r="DK78" s="146"/>
      <c r="DL78" s="146"/>
      <c r="DM78" s="146"/>
      <c r="DN78" s="146"/>
      <c r="DO78" s="146"/>
      <c r="DP78" s="146"/>
      <c r="DQ78" s="146"/>
      <c r="DR78" s="146"/>
      <c r="DS78" s="146"/>
      <c r="DT78" s="146"/>
      <c r="DU78" s="146"/>
      <c r="DV78" s="146"/>
      <c r="DW78" s="146"/>
      <c r="DX78" s="146"/>
      <c r="DY78" s="146"/>
      <c r="DZ78" s="146"/>
      <c r="EA78" s="146"/>
      <c r="EB78" s="146"/>
      <c r="EC78" s="146"/>
      <c r="ED78" s="146"/>
      <c r="EE78" s="146"/>
      <c r="EF78" s="146"/>
      <c r="EG78" s="146"/>
      <c r="EH78" s="146"/>
      <c r="EI78" s="146"/>
      <c r="EJ78" s="146"/>
      <c r="EK78" s="146"/>
      <c r="EL78" s="146"/>
      <c r="EM78" s="146"/>
      <c r="EN78" s="146"/>
      <c r="EO78" s="146"/>
      <c r="EP78" s="146"/>
      <c r="EQ78" s="146"/>
      <c r="ER78" s="146"/>
      <c r="ES78" s="146"/>
      <c r="ET78" s="146"/>
      <c r="EU78" s="146"/>
      <c r="EV78" s="146"/>
      <c r="EW78" s="146"/>
      <c r="EX78" s="146"/>
      <c r="EY78" s="146"/>
      <c r="EZ78" s="146"/>
      <c r="FA78" s="146"/>
      <c r="FB78" s="146"/>
      <c r="FC78" s="146"/>
      <c r="FD78" s="146"/>
      <c r="FE78" s="146"/>
      <c r="FF78" s="146"/>
      <c r="FG78" s="146"/>
      <c r="FH78" s="146"/>
      <c r="FI78" s="146"/>
      <c r="FJ78" s="146"/>
      <c r="FK78" s="146"/>
      <c r="FL78" s="146"/>
      <c r="FM78" s="146"/>
      <c r="FN78" s="146"/>
      <c r="FO78" s="146"/>
      <c r="FP78" s="146"/>
      <c r="FQ78" s="146"/>
      <c r="FR78" s="146"/>
      <c r="FS78" s="146"/>
      <c r="FT78" s="146"/>
      <c r="FU78" s="146"/>
      <c r="FV78" s="146"/>
      <c r="FW78" s="146"/>
      <c r="FX78" s="146"/>
      <c r="FY78" s="146"/>
      <c r="FZ78" s="146"/>
      <c r="GA78" s="146"/>
      <c r="GB78" s="146"/>
      <c r="GC78" s="146"/>
      <c r="GD78" s="146"/>
      <c r="GE78" s="146"/>
      <c r="GF78" s="146"/>
      <c r="GG78" s="146"/>
      <c r="GH78" s="146"/>
      <c r="GI78" s="146"/>
      <c r="GJ78" s="146"/>
      <c r="GK78" s="146"/>
      <c r="GL78" s="146"/>
      <c r="GM78" s="146"/>
      <c r="GN78" s="146"/>
      <c r="GO78" s="146"/>
      <c r="GP78" s="146"/>
      <c r="GQ78" s="146"/>
      <c r="GR78" s="146"/>
      <c r="GS78" s="146"/>
      <c r="GT78" s="146"/>
      <c r="GU78" s="146"/>
      <c r="GV78" s="146"/>
      <c r="GW78" s="146"/>
      <c r="GX78" s="146"/>
      <c r="GY78" s="146"/>
      <c r="GZ78" s="146"/>
      <c r="HA78" s="146"/>
      <c r="HB78" s="146"/>
      <c r="HC78" s="146"/>
      <c r="HD78" s="146"/>
      <c r="HE78" s="146"/>
      <c r="HF78" s="146"/>
      <c r="HG78" s="146"/>
      <c r="HH78" s="146"/>
      <c r="HI78" s="146"/>
      <c r="HJ78" s="146"/>
      <c r="HK78" s="146"/>
      <c r="HL78" s="146"/>
      <c r="HM78" s="146"/>
      <c r="HN78" s="146"/>
      <c r="HO78" s="146"/>
      <c r="HP78" s="146"/>
      <c r="HQ78" s="146"/>
      <c r="HR78" s="146"/>
      <c r="HS78" s="146"/>
      <c r="HT78" s="146"/>
      <c r="HU78" s="146"/>
      <c r="HV78" s="146"/>
      <c r="HW78" s="146"/>
      <c r="HX78" s="146"/>
      <c r="HY78" s="146"/>
      <c r="HZ78" s="146"/>
      <c r="IA78" s="146"/>
    </row>
    <row r="79" spans="1:235" s="159" customFormat="1" ht="142.5" x14ac:dyDescent="0.25">
      <c r="A79" s="197">
        <v>11600</v>
      </c>
      <c r="B79" s="194" t="s">
        <v>6</v>
      </c>
      <c r="C79" s="198" t="s">
        <v>278</v>
      </c>
      <c r="D79" s="194" t="s">
        <v>147</v>
      </c>
      <c r="E79" s="198" t="s">
        <v>513</v>
      </c>
      <c r="F79" s="194" t="s">
        <v>283</v>
      </c>
      <c r="G79" s="209" t="s">
        <v>123</v>
      </c>
      <c r="H79" s="216">
        <v>1</v>
      </c>
      <c r="I79" s="198" t="s">
        <v>514</v>
      </c>
      <c r="J79" s="194" t="s">
        <v>281</v>
      </c>
      <c r="K79" s="210">
        <v>5073602759</v>
      </c>
      <c r="L79" s="211">
        <v>1</v>
      </c>
      <c r="M79" s="194" t="s">
        <v>46</v>
      </c>
      <c r="N79" s="194" t="s">
        <v>73</v>
      </c>
      <c r="O79" s="194" t="s">
        <v>37</v>
      </c>
      <c r="P79" s="194" t="s">
        <v>40</v>
      </c>
      <c r="Q79" s="194" t="s">
        <v>228</v>
      </c>
      <c r="R79" s="194" t="s">
        <v>634</v>
      </c>
      <c r="S79" s="194" t="s">
        <v>99</v>
      </c>
      <c r="T79" s="211">
        <v>1</v>
      </c>
      <c r="U79" s="212" t="str">
        <f t="shared" si="41"/>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V79" s="213">
        <f t="shared" si="41"/>
        <v>5073602759</v>
      </c>
      <c r="W79" s="222" t="s">
        <v>114</v>
      </c>
      <c r="X79" s="281">
        <v>0.13219897304087358</v>
      </c>
      <c r="Y79" s="282" t="s">
        <v>281</v>
      </c>
      <c r="Z79" s="283">
        <v>670725074.35714281</v>
      </c>
      <c r="AA79" s="279"/>
      <c r="AB79" s="279"/>
      <c r="AC79" s="280">
        <f t="shared" si="42"/>
        <v>0</v>
      </c>
      <c r="AD79" s="280">
        <f t="shared" si="43"/>
        <v>0</v>
      </c>
      <c r="AE79" s="280">
        <f t="shared" si="29"/>
        <v>0</v>
      </c>
      <c r="AF79" s="280">
        <f t="shared" si="30"/>
        <v>0</v>
      </c>
      <c r="AG79" s="281">
        <v>0.15915595257019777</v>
      </c>
      <c r="AH79" s="282" t="s">
        <v>281</v>
      </c>
      <c r="AI79" s="283">
        <v>807494080.07142854</v>
      </c>
      <c r="AJ79" s="279"/>
      <c r="AK79" s="279"/>
      <c r="AL79" s="280">
        <f t="shared" si="44"/>
        <v>0</v>
      </c>
      <c r="AM79" s="280">
        <f t="shared" si="31"/>
        <v>0</v>
      </c>
      <c r="AN79" s="280">
        <f t="shared" si="32"/>
        <v>0</v>
      </c>
      <c r="AO79" s="280">
        <f t="shared" si="33"/>
        <v>0</v>
      </c>
      <c r="AP79" s="281">
        <v>0.32737162236934764</v>
      </c>
      <c r="AQ79" s="282" t="s">
        <v>281</v>
      </c>
      <c r="AR79" s="283">
        <v>1660953566.4714284</v>
      </c>
      <c r="AS79" s="279"/>
      <c r="AT79" s="279"/>
      <c r="AU79" s="280">
        <f t="shared" si="45"/>
        <v>0</v>
      </c>
      <c r="AV79" s="280">
        <f t="shared" si="46"/>
        <v>0</v>
      </c>
      <c r="AW79" s="280">
        <f t="shared" si="47"/>
        <v>0</v>
      </c>
      <c r="AX79" s="280">
        <f t="shared" si="48"/>
        <v>0</v>
      </c>
      <c r="AY79" s="281">
        <v>0.38127345201958091</v>
      </c>
      <c r="AZ79" s="282" t="s">
        <v>281</v>
      </c>
      <c r="BA79" s="283">
        <v>1934430038.0999999</v>
      </c>
      <c r="BB79" s="279"/>
      <c r="BC79" s="279"/>
      <c r="BD79" s="281">
        <f t="shared" si="49"/>
        <v>0</v>
      </c>
      <c r="BE79" s="281">
        <f t="shared" si="50"/>
        <v>0</v>
      </c>
      <c r="BF79" s="281">
        <f t="shared" si="51"/>
        <v>0</v>
      </c>
      <c r="BG79" s="281">
        <f t="shared" si="52"/>
        <v>0</v>
      </c>
      <c r="BH79" s="205">
        <f t="shared" si="34"/>
        <v>0</v>
      </c>
      <c r="BI79" s="205">
        <f t="shared" si="35"/>
        <v>0</v>
      </c>
      <c r="BJ79" s="205">
        <f t="shared" si="36"/>
        <v>0</v>
      </c>
      <c r="BK79" s="205">
        <f t="shared" si="37"/>
        <v>0</v>
      </c>
      <c r="BL79" s="205">
        <f t="shared" si="53"/>
        <v>0</v>
      </c>
      <c r="BM79" s="205">
        <f t="shared" si="54"/>
        <v>0</v>
      </c>
      <c r="BN79" s="205">
        <f t="shared" si="38"/>
        <v>0</v>
      </c>
      <c r="BO79" s="205">
        <f t="shared" si="39"/>
        <v>0</v>
      </c>
      <c r="BP79" s="206"/>
      <c r="BQ79" s="277">
        <v>4</v>
      </c>
      <c r="BR79" s="208">
        <f t="shared" si="40"/>
        <v>0.40047879973418721</v>
      </c>
      <c r="BS79" s="219" t="str">
        <f t="shared" ref="BS79:BS142" si="55">+U79</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T79" s="195">
        <f t="shared" si="28"/>
        <v>2031870343.2523808</v>
      </c>
      <c r="BU79" s="196"/>
      <c r="BV79" s="196"/>
      <c r="BW79" s="196"/>
      <c r="BX79" s="196"/>
      <c r="BY79" s="196"/>
      <c r="BZ79" s="196"/>
      <c r="CA79" s="146"/>
      <c r="CB79" s="146"/>
      <c r="CC79" s="146"/>
      <c r="CD79" s="146"/>
      <c r="CE79" s="146"/>
      <c r="CF79" s="146"/>
      <c r="CG79" s="146"/>
      <c r="CH79" s="146"/>
      <c r="CI79" s="146"/>
      <c r="CJ79" s="146"/>
      <c r="CK79" s="146"/>
      <c r="CL79" s="146"/>
      <c r="CM79" s="146"/>
      <c r="CN79" s="146"/>
      <c r="CO79" s="146"/>
      <c r="CP79" s="146"/>
      <c r="CQ79" s="146"/>
      <c r="CR79" s="146"/>
      <c r="CS79" s="146"/>
      <c r="CT79" s="146"/>
      <c r="CU79" s="146"/>
      <c r="CV79" s="146"/>
      <c r="CW79" s="146"/>
      <c r="CX79" s="146"/>
      <c r="CY79" s="146"/>
      <c r="CZ79" s="146"/>
      <c r="DA79" s="146"/>
      <c r="DB79" s="146"/>
      <c r="DC79" s="146"/>
      <c r="DD79" s="146"/>
      <c r="DE79" s="146"/>
      <c r="DF79" s="146"/>
      <c r="DG79" s="146"/>
      <c r="DH79" s="146"/>
      <c r="DI79" s="146"/>
      <c r="DJ79" s="146"/>
      <c r="DK79" s="146"/>
      <c r="DL79" s="146"/>
      <c r="DM79" s="146"/>
      <c r="DN79" s="146"/>
      <c r="DO79" s="146"/>
      <c r="DP79" s="146"/>
      <c r="DQ79" s="146"/>
      <c r="DR79" s="146"/>
      <c r="DS79" s="146"/>
      <c r="DT79" s="146"/>
      <c r="DU79" s="146"/>
      <c r="DV79" s="146"/>
      <c r="DW79" s="146"/>
      <c r="DX79" s="146"/>
      <c r="DY79" s="146"/>
      <c r="DZ79" s="146"/>
      <c r="EA79" s="146"/>
      <c r="EB79" s="146"/>
      <c r="EC79" s="146"/>
      <c r="ED79" s="146"/>
      <c r="EE79" s="146"/>
      <c r="EF79" s="146"/>
      <c r="EG79" s="146"/>
      <c r="EH79" s="146"/>
      <c r="EI79" s="146"/>
      <c r="EJ79" s="146"/>
      <c r="EK79" s="146"/>
      <c r="EL79" s="146"/>
      <c r="EM79" s="146"/>
      <c r="EN79" s="146"/>
      <c r="EO79" s="146"/>
      <c r="EP79" s="146"/>
      <c r="EQ79" s="146"/>
      <c r="ER79" s="146"/>
      <c r="ES79" s="146"/>
      <c r="ET79" s="146"/>
      <c r="EU79" s="146"/>
      <c r="EV79" s="146"/>
      <c r="EW79" s="146"/>
      <c r="EX79" s="146"/>
      <c r="EY79" s="146"/>
      <c r="EZ79" s="146"/>
      <c r="FA79" s="146"/>
      <c r="FB79" s="146"/>
      <c r="FC79" s="146"/>
      <c r="FD79" s="146"/>
      <c r="FE79" s="146"/>
      <c r="FF79" s="146"/>
      <c r="FG79" s="146"/>
      <c r="FH79" s="146"/>
      <c r="FI79" s="146"/>
      <c r="FJ79" s="146"/>
      <c r="FK79" s="146"/>
      <c r="FL79" s="146"/>
      <c r="FM79" s="146"/>
      <c r="FN79" s="146"/>
      <c r="FO79" s="146"/>
      <c r="FP79" s="146"/>
      <c r="FQ79" s="146"/>
      <c r="FR79" s="146"/>
      <c r="FS79" s="146"/>
      <c r="FT79" s="146"/>
      <c r="FU79" s="146"/>
      <c r="FV79" s="146"/>
      <c r="FW79" s="146"/>
      <c r="FX79" s="146"/>
      <c r="FY79" s="146"/>
      <c r="FZ79" s="146"/>
      <c r="GA79" s="146"/>
      <c r="GB79" s="146"/>
      <c r="GC79" s="146"/>
      <c r="GD79" s="146"/>
      <c r="GE79" s="146"/>
      <c r="GF79" s="146"/>
      <c r="GG79" s="146"/>
      <c r="GH79" s="146"/>
      <c r="GI79" s="146"/>
      <c r="GJ79" s="146"/>
      <c r="GK79" s="146"/>
      <c r="GL79" s="146"/>
      <c r="GM79" s="146"/>
      <c r="GN79" s="146"/>
      <c r="GO79" s="146"/>
      <c r="GP79" s="146"/>
      <c r="GQ79" s="146"/>
      <c r="GR79" s="146"/>
      <c r="GS79" s="146"/>
      <c r="GT79" s="146"/>
      <c r="GU79" s="146"/>
      <c r="GV79" s="146"/>
      <c r="GW79" s="146"/>
      <c r="GX79" s="146"/>
      <c r="GY79" s="146"/>
      <c r="GZ79" s="146"/>
      <c r="HA79" s="146"/>
      <c r="HB79" s="146"/>
      <c r="HC79" s="146"/>
      <c r="HD79" s="146"/>
      <c r="HE79" s="146"/>
      <c r="HF79" s="146"/>
      <c r="HG79" s="146"/>
      <c r="HH79" s="146"/>
      <c r="HI79" s="146"/>
      <c r="HJ79" s="146"/>
      <c r="HK79" s="146"/>
      <c r="HL79" s="146"/>
      <c r="HM79" s="146"/>
      <c r="HN79" s="146"/>
      <c r="HO79" s="146"/>
      <c r="HP79" s="146"/>
      <c r="HQ79" s="146"/>
      <c r="HR79" s="146"/>
      <c r="HS79" s="146"/>
      <c r="HT79" s="146"/>
      <c r="HU79" s="146"/>
      <c r="HV79" s="146"/>
      <c r="HW79" s="146"/>
      <c r="HX79" s="146"/>
      <c r="HY79" s="146"/>
      <c r="HZ79" s="146"/>
      <c r="IA79" s="146"/>
    </row>
    <row r="80" spans="1:235" s="153" customFormat="1" ht="71.25" x14ac:dyDescent="0.25">
      <c r="A80" s="197">
        <v>11600</v>
      </c>
      <c r="B80" s="194" t="s">
        <v>6</v>
      </c>
      <c r="C80" s="198" t="s">
        <v>278</v>
      </c>
      <c r="D80" s="194" t="s">
        <v>147</v>
      </c>
      <c r="E80" s="198" t="s">
        <v>516</v>
      </c>
      <c r="F80" s="194" t="s">
        <v>285</v>
      </c>
      <c r="G80" s="209" t="s">
        <v>123</v>
      </c>
      <c r="H80" s="216">
        <v>1</v>
      </c>
      <c r="I80" s="198" t="s">
        <v>517</v>
      </c>
      <c r="J80" s="194" t="s">
        <v>284</v>
      </c>
      <c r="K80" s="210">
        <v>1024732093</v>
      </c>
      <c r="L80" s="211">
        <v>1</v>
      </c>
      <c r="M80" s="194" t="s">
        <v>46</v>
      </c>
      <c r="N80" s="194" t="s">
        <v>73</v>
      </c>
      <c r="O80" s="194" t="s">
        <v>37</v>
      </c>
      <c r="P80" s="194" t="s">
        <v>40</v>
      </c>
      <c r="Q80" s="194" t="s">
        <v>228</v>
      </c>
      <c r="R80" s="194" t="s">
        <v>379</v>
      </c>
      <c r="S80" s="194" t="s">
        <v>99</v>
      </c>
      <c r="T80" s="211">
        <v>1</v>
      </c>
      <c r="U80" s="212" t="str">
        <f t="shared" si="41"/>
        <v>Gestionar y administrar los procesos de adquisición y actualización del licenciamiento, requerido para el desarrollo de las actividades de la Entidad.</v>
      </c>
      <c r="V80" s="213">
        <f t="shared" si="41"/>
        <v>1024732093</v>
      </c>
      <c r="W80" s="222" t="s">
        <v>114</v>
      </c>
      <c r="X80" s="216">
        <v>0</v>
      </c>
      <c r="Y80" s="214" t="s">
        <v>284</v>
      </c>
      <c r="Z80" s="210">
        <v>0</v>
      </c>
      <c r="AA80" s="196"/>
      <c r="AB80" s="196"/>
      <c r="AC80" s="204" t="e">
        <f t="shared" si="42"/>
        <v>#DIV/0!</v>
      </c>
      <c r="AD80" s="204" t="e">
        <f t="shared" si="43"/>
        <v>#DIV/0!</v>
      </c>
      <c r="AE80" s="204">
        <f t="shared" si="29"/>
        <v>0</v>
      </c>
      <c r="AF80" s="204">
        <f t="shared" si="30"/>
        <v>0</v>
      </c>
      <c r="AG80" s="216">
        <v>0.10208131541362782</v>
      </c>
      <c r="AH80" s="214" t="s">
        <v>284</v>
      </c>
      <c r="AI80" s="210">
        <v>104606000</v>
      </c>
      <c r="AJ80" s="196"/>
      <c r="AK80" s="196"/>
      <c r="AL80" s="204">
        <f t="shared" si="44"/>
        <v>0</v>
      </c>
      <c r="AM80" s="204">
        <f t="shared" si="31"/>
        <v>0</v>
      </c>
      <c r="AN80" s="204">
        <f t="shared" si="32"/>
        <v>0</v>
      </c>
      <c r="AO80" s="204">
        <f t="shared" si="33"/>
        <v>0</v>
      </c>
      <c r="AP80" s="216">
        <v>0.33293564174533957</v>
      </c>
      <c r="AQ80" s="214" t="s">
        <v>284</v>
      </c>
      <c r="AR80" s="210">
        <v>341169837</v>
      </c>
      <c r="AS80" s="196"/>
      <c r="AT80" s="196"/>
      <c r="AU80" s="204">
        <f t="shared" si="45"/>
        <v>0</v>
      </c>
      <c r="AV80" s="204">
        <f t="shared" si="46"/>
        <v>0</v>
      </c>
      <c r="AW80" s="204">
        <f t="shared" si="47"/>
        <v>0</v>
      </c>
      <c r="AX80" s="204">
        <f t="shared" si="48"/>
        <v>0</v>
      </c>
      <c r="AY80" s="216">
        <v>0.56498304284103262</v>
      </c>
      <c r="AZ80" s="214" t="s">
        <v>284</v>
      </c>
      <c r="BA80" s="210">
        <v>578956256</v>
      </c>
      <c r="BB80" s="196"/>
      <c r="BC80" s="196"/>
      <c r="BD80" s="216">
        <f t="shared" si="49"/>
        <v>0</v>
      </c>
      <c r="BE80" s="216">
        <f t="shared" si="50"/>
        <v>0</v>
      </c>
      <c r="BF80" s="216">
        <f t="shared" si="51"/>
        <v>0</v>
      </c>
      <c r="BG80" s="216">
        <f t="shared" si="52"/>
        <v>0</v>
      </c>
      <c r="BH80" s="217" t="str">
        <f t="shared" si="34"/>
        <v>No Prog ni Ejec</v>
      </c>
      <c r="BI80" s="217" t="str">
        <f t="shared" si="35"/>
        <v>No Prog ni Ejec</v>
      </c>
      <c r="BJ80" s="217">
        <f t="shared" si="36"/>
        <v>0</v>
      </c>
      <c r="BK80" s="217">
        <f t="shared" si="37"/>
        <v>0</v>
      </c>
      <c r="BL80" s="217">
        <f t="shared" si="53"/>
        <v>0</v>
      </c>
      <c r="BM80" s="217">
        <f t="shared" si="54"/>
        <v>0</v>
      </c>
      <c r="BN80" s="217">
        <f t="shared" si="38"/>
        <v>0</v>
      </c>
      <c r="BO80" s="217">
        <f t="shared" si="39"/>
        <v>0</v>
      </c>
      <c r="BP80" s="206"/>
      <c r="BQ80" s="277">
        <v>4</v>
      </c>
      <c r="BR80" s="208">
        <f t="shared" si="40"/>
        <v>0.21305986266207433</v>
      </c>
      <c r="BS80" s="219" t="str">
        <f t="shared" si="55"/>
        <v>Gestionar y administrar los procesos de adquisición y actualización del licenciamiento, requerido para el desarrollo de las actividades de la Entidad.</v>
      </c>
      <c r="BT80" s="195">
        <f t="shared" si="28"/>
        <v>218329279</v>
      </c>
      <c r="BU80" s="196"/>
      <c r="BV80" s="196"/>
      <c r="BW80" s="196"/>
      <c r="BX80" s="196"/>
      <c r="BY80" s="196"/>
      <c r="BZ80" s="196"/>
      <c r="CA80" s="146"/>
      <c r="CB80" s="146"/>
      <c r="CC80" s="146"/>
      <c r="CD80" s="146"/>
      <c r="CE80" s="146"/>
      <c r="CF80" s="146"/>
      <c r="CG80" s="146"/>
      <c r="CH80" s="146"/>
      <c r="CI80" s="146"/>
      <c r="CJ80" s="146"/>
      <c r="CK80" s="146"/>
      <c r="CL80" s="146"/>
      <c r="CM80" s="146"/>
      <c r="CN80" s="146"/>
      <c r="CO80" s="146"/>
      <c r="CP80" s="146"/>
      <c r="CQ80" s="146"/>
      <c r="CR80" s="146"/>
      <c r="CS80" s="146"/>
      <c r="CT80" s="146"/>
      <c r="CU80" s="146"/>
      <c r="CV80" s="146"/>
      <c r="CW80" s="146"/>
      <c r="CX80" s="146"/>
      <c r="CY80" s="146"/>
      <c r="CZ80" s="146"/>
      <c r="DA80" s="146"/>
      <c r="DB80" s="146"/>
      <c r="DC80" s="146"/>
      <c r="DD80" s="146"/>
      <c r="DE80" s="146"/>
      <c r="DF80" s="146"/>
      <c r="DG80" s="146"/>
      <c r="DH80" s="146"/>
      <c r="DI80" s="146"/>
      <c r="DJ80" s="146"/>
      <c r="DK80" s="146"/>
      <c r="DL80" s="146"/>
      <c r="DM80" s="146"/>
      <c r="DN80" s="146"/>
      <c r="DO80" s="146"/>
      <c r="DP80" s="146"/>
      <c r="DQ80" s="146"/>
      <c r="DR80" s="146"/>
      <c r="DS80" s="146"/>
      <c r="DT80" s="146"/>
      <c r="DU80" s="146"/>
      <c r="DV80" s="146"/>
      <c r="DW80" s="146"/>
      <c r="DX80" s="146"/>
      <c r="DY80" s="146"/>
      <c r="DZ80" s="146"/>
      <c r="EA80" s="146"/>
      <c r="EB80" s="146"/>
      <c r="EC80" s="146"/>
      <c r="ED80" s="146"/>
      <c r="EE80" s="146"/>
      <c r="EF80" s="146"/>
      <c r="EG80" s="146"/>
      <c r="EH80" s="146"/>
      <c r="EI80" s="146"/>
      <c r="EJ80" s="146"/>
      <c r="EK80" s="146"/>
      <c r="EL80" s="146"/>
      <c r="EM80" s="146"/>
      <c r="EN80" s="146"/>
      <c r="EO80" s="146"/>
      <c r="EP80" s="146"/>
      <c r="EQ80" s="146"/>
      <c r="ER80" s="146"/>
      <c r="ES80" s="146"/>
      <c r="ET80" s="146"/>
      <c r="EU80" s="146"/>
      <c r="EV80" s="146"/>
      <c r="EW80" s="146"/>
      <c r="EX80" s="146"/>
      <c r="EY80" s="146"/>
      <c r="EZ80" s="146"/>
      <c r="FA80" s="146"/>
      <c r="FB80" s="146"/>
      <c r="FC80" s="146"/>
      <c r="FD80" s="146"/>
      <c r="FE80" s="146"/>
      <c r="FF80" s="146"/>
      <c r="FG80" s="146"/>
      <c r="FH80" s="146"/>
      <c r="FI80" s="146"/>
      <c r="FJ80" s="146"/>
      <c r="FK80" s="146"/>
      <c r="FL80" s="146"/>
      <c r="FM80" s="146"/>
      <c r="FN80" s="146"/>
      <c r="FO80" s="146"/>
      <c r="FP80" s="146"/>
      <c r="FQ80" s="146"/>
      <c r="FR80" s="146"/>
      <c r="FS80" s="146"/>
      <c r="FT80" s="146"/>
      <c r="FU80" s="146"/>
      <c r="FV80" s="146"/>
      <c r="FW80" s="146"/>
      <c r="FX80" s="146"/>
      <c r="FY80" s="146"/>
      <c r="FZ80" s="146"/>
      <c r="GA80" s="146"/>
      <c r="GB80" s="146"/>
      <c r="GC80" s="146"/>
      <c r="GD80" s="146"/>
      <c r="GE80" s="146"/>
      <c r="GF80" s="146"/>
      <c r="GG80" s="146"/>
      <c r="GH80" s="146"/>
      <c r="GI80" s="146"/>
      <c r="GJ80" s="146"/>
      <c r="GK80" s="146"/>
      <c r="GL80" s="146"/>
      <c r="GM80" s="146"/>
      <c r="GN80" s="146"/>
      <c r="GO80" s="146"/>
      <c r="GP80" s="146"/>
      <c r="GQ80" s="146"/>
      <c r="GR80" s="146"/>
      <c r="GS80" s="146"/>
      <c r="GT80" s="146"/>
      <c r="GU80" s="146"/>
      <c r="GV80" s="146"/>
      <c r="GW80" s="146"/>
      <c r="GX80" s="146"/>
      <c r="GY80" s="146"/>
      <c r="GZ80" s="146"/>
      <c r="HA80" s="146"/>
      <c r="HB80" s="146"/>
      <c r="HC80" s="146"/>
      <c r="HD80" s="146"/>
      <c r="HE80" s="146"/>
      <c r="HF80" s="146"/>
      <c r="HG80" s="146"/>
      <c r="HH80" s="146"/>
      <c r="HI80" s="146"/>
      <c r="HJ80" s="146"/>
      <c r="HK80" s="146"/>
      <c r="HL80" s="146"/>
      <c r="HM80" s="146"/>
      <c r="HN80" s="146"/>
      <c r="HO80" s="146"/>
      <c r="HP80" s="146"/>
      <c r="HQ80" s="146"/>
      <c r="HR80" s="146"/>
      <c r="HS80" s="146"/>
      <c r="HT80" s="146"/>
      <c r="HU80" s="146"/>
      <c r="HV80" s="146"/>
      <c r="HW80" s="146"/>
      <c r="HX80" s="146"/>
      <c r="HY80" s="146"/>
      <c r="HZ80" s="146"/>
      <c r="IA80" s="146"/>
    </row>
    <row r="81" spans="1:235" s="159" customFormat="1" ht="57" x14ac:dyDescent="0.25">
      <c r="A81" s="197">
        <v>11600</v>
      </c>
      <c r="B81" s="194" t="s">
        <v>6</v>
      </c>
      <c r="C81" s="198" t="s">
        <v>278</v>
      </c>
      <c r="D81" s="194" t="s">
        <v>147</v>
      </c>
      <c r="E81" s="198" t="s">
        <v>518</v>
      </c>
      <c r="F81" s="194" t="s">
        <v>287</v>
      </c>
      <c r="G81" s="209" t="s">
        <v>123</v>
      </c>
      <c r="H81" s="216">
        <v>1</v>
      </c>
      <c r="I81" s="198" t="s">
        <v>519</v>
      </c>
      <c r="J81" s="194" t="s">
        <v>287</v>
      </c>
      <c r="K81" s="210">
        <v>180000000</v>
      </c>
      <c r="L81" s="211">
        <v>1</v>
      </c>
      <c r="M81" s="194" t="s">
        <v>46</v>
      </c>
      <c r="N81" s="194" t="s">
        <v>73</v>
      </c>
      <c r="O81" s="194" t="s">
        <v>37</v>
      </c>
      <c r="P81" s="194" t="s">
        <v>40</v>
      </c>
      <c r="Q81" s="194" t="s">
        <v>228</v>
      </c>
      <c r="R81" s="194" t="s">
        <v>634</v>
      </c>
      <c r="S81" s="194" t="s">
        <v>99</v>
      </c>
      <c r="T81" s="211">
        <v>1</v>
      </c>
      <c r="U81" s="212" t="str">
        <f t="shared" si="41"/>
        <v>Adquisición de bienes y/o servicios para la seguridad de la información</v>
      </c>
      <c r="V81" s="213">
        <f t="shared" si="41"/>
        <v>180000000</v>
      </c>
      <c r="W81" s="222" t="s">
        <v>114</v>
      </c>
      <c r="X81" s="281">
        <v>0</v>
      </c>
      <c r="Y81" s="282" t="s">
        <v>287</v>
      </c>
      <c r="Z81" s="283">
        <v>0</v>
      </c>
      <c r="AA81" s="279"/>
      <c r="AB81" s="279"/>
      <c r="AC81" s="280" t="e">
        <f t="shared" si="42"/>
        <v>#DIV/0!</v>
      </c>
      <c r="AD81" s="280" t="e">
        <f t="shared" si="43"/>
        <v>#DIV/0!</v>
      </c>
      <c r="AE81" s="280">
        <f t="shared" si="29"/>
        <v>0</v>
      </c>
      <c r="AF81" s="280">
        <f t="shared" si="30"/>
        <v>0</v>
      </c>
      <c r="AG81" s="281">
        <v>0</v>
      </c>
      <c r="AH81" s="282" t="s">
        <v>287</v>
      </c>
      <c r="AI81" s="283">
        <v>0</v>
      </c>
      <c r="AJ81" s="279"/>
      <c r="AK81" s="279"/>
      <c r="AL81" s="280" t="e">
        <f t="shared" si="44"/>
        <v>#DIV/0!</v>
      </c>
      <c r="AM81" s="280" t="e">
        <f t="shared" si="31"/>
        <v>#DIV/0!</v>
      </c>
      <c r="AN81" s="280">
        <f t="shared" si="32"/>
        <v>0</v>
      </c>
      <c r="AO81" s="280">
        <f t="shared" si="33"/>
        <v>0</v>
      </c>
      <c r="AP81" s="281">
        <v>0.5</v>
      </c>
      <c r="AQ81" s="282" t="s">
        <v>287</v>
      </c>
      <c r="AR81" s="283">
        <v>90000000</v>
      </c>
      <c r="AS81" s="279"/>
      <c r="AT81" s="279"/>
      <c r="AU81" s="280">
        <f t="shared" si="45"/>
        <v>0</v>
      </c>
      <c r="AV81" s="280">
        <f t="shared" si="46"/>
        <v>0</v>
      </c>
      <c r="AW81" s="280">
        <f t="shared" si="47"/>
        <v>0</v>
      </c>
      <c r="AX81" s="280">
        <f t="shared" si="48"/>
        <v>0</v>
      </c>
      <c r="AY81" s="281">
        <v>0.5</v>
      </c>
      <c r="AZ81" s="282" t="s">
        <v>287</v>
      </c>
      <c r="BA81" s="283">
        <v>90000000</v>
      </c>
      <c r="BB81" s="279"/>
      <c r="BC81" s="279"/>
      <c r="BD81" s="281">
        <f t="shared" si="49"/>
        <v>0</v>
      </c>
      <c r="BE81" s="281">
        <f t="shared" si="50"/>
        <v>0</v>
      </c>
      <c r="BF81" s="281">
        <f t="shared" si="51"/>
        <v>0</v>
      </c>
      <c r="BG81" s="281">
        <f t="shared" si="52"/>
        <v>0</v>
      </c>
      <c r="BH81" s="205" t="str">
        <f t="shared" si="34"/>
        <v>No Prog ni Ejec</v>
      </c>
      <c r="BI81" s="205" t="str">
        <f t="shared" si="35"/>
        <v>No Prog ni Ejec</v>
      </c>
      <c r="BJ81" s="205" t="str">
        <f t="shared" si="36"/>
        <v>No Prog ni Ejec</v>
      </c>
      <c r="BK81" s="205" t="str">
        <f t="shared" si="37"/>
        <v>No Prog ni Ejec</v>
      </c>
      <c r="BL81" s="205">
        <f t="shared" si="53"/>
        <v>0</v>
      </c>
      <c r="BM81" s="205">
        <f t="shared" si="54"/>
        <v>0</v>
      </c>
      <c r="BN81" s="205">
        <f t="shared" si="38"/>
        <v>0</v>
      </c>
      <c r="BO81" s="205">
        <f t="shared" si="39"/>
        <v>0</v>
      </c>
      <c r="BP81" s="206"/>
      <c r="BQ81" s="277">
        <v>4</v>
      </c>
      <c r="BR81" s="208">
        <f t="shared" si="40"/>
        <v>0.16666666666666666</v>
      </c>
      <c r="BS81" s="219" t="str">
        <f t="shared" si="55"/>
        <v>Adquisición de bienes y/o servicios para la seguridad de la información</v>
      </c>
      <c r="BT81" s="195">
        <f t="shared" si="28"/>
        <v>30000000</v>
      </c>
      <c r="BU81" s="196"/>
      <c r="BV81" s="196"/>
      <c r="BW81" s="196"/>
      <c r="BX81" s="196"/>
      <c r="BY81" s="196"/>
      <c r="BZ81" s="196"/>
      <c r="CA81" s="146"/>
      <c r="CB81" s="146"/>
      <c r="CC81" s="146"/>
      <c r="CD81" s="146"/>
      <c r="CE81" s="146"/>
      <c r="CF81" s="146"/>
      <c r="CG81" s="146"/>
      <c r="CH81" s="146"/>
      <c r="CI81" s="146"/>
      <c r="CJ81" s="146"/>
      <c r="CK81" s="146"/>
      <c r="CL81" s="146"/>
      <c r="CM81" s="146"/>
      <c r="CN81" s="146"/>
      <c r="CO81" s="146"/>
      <c r="CP81" s="146"/>
      <c r="CQ81" s="146"/>
      <c r="CR81" s="146"/>
      <c r="CS81" s="146"/>
      <c r="CT81" s="146"/>
      <c r="CU81" s="146"/>
      <c r="CV81" s="146"/>
      <c r="CW81" s="146"/>
      <c r="CX81" s="146"/>
      <c r="CY81" s="146"/>
      <c r="CZ81" s="146"/>
      <c r="DA81" s="146"/>
      <c r="DB81" s="146"/>
      <c r="DC81" s="146"/>
      <c r="DD81" s="146"/>
      <c r="DE81" s="146"/>
      <c r="DF81" s="146"/>
      <c r="DG81" s="146"/>
      <c r="DH81" s="146"/>
      <c r="DI81" s="146"/>
      <c r="DJ81" s="146"/>
      <c r="DK81" s="146"/>
      <c r="DL81" s="146"/>
      <c r="DM81" s="146"/>
      <c r="DN81" s="146"/>
      <c r="DO81" s="146"/>
      <c r="DP81" s="146"/>
      <c r="DQ81" s="146"/>
      <c r="DR81" s="146"/>
      <c r="DS81" s="146"/>
      <c r="DT81" s="146"/>
      <c r="DU81" s="146"/>
      <c r="DV81" s="146"/>
      <c r="DW81" s="146"/>
      <c r="DX81" s="146"/>
      <c r="DY81" s="146"/>
      <c r="DZ81" s="146"/>
      <c r="EA81" s="146"/>
      <c r="EB81" s="146"/>
      <c r="EC81" s="146"/>
      <c r="ED81" s="146"/>
      <c r="EE81" s="146"/>
      <c r="EF81" s="146"/>
      <c r="EG81" s="146"/>
      <c r="EH81" s="146"/>
      <c r="EI81" s="146"/>
      <c r="EJ81" s="146"/>
      <c r="EK81" s="146"/>
      <c r="EL81" s="146"/>
      <c r="EM81" s="146"/>
      <c r="EN81" s="146"/>
      <c r="EO81" s="146"/>
      <c r="EP81" s="146"/>
      <c r="EQ81" s="146"/>
      <c r="ER81" s="146"/>
      <c r="ES81" s="146"/>
      <c r="ET81" s="146"/>
      <c r="EU81" s="146"/>
      <c r="EV81" s="146"/>
      <c r="EW81" s="146"/>
      <c r="EX81" s="146"/>
      <c r="EY81" s="146"/>
      <c r="EZ81" s="146"/>
      <c r="FA81" s="146"/>
      <c r="FB81" s="146"/>
      <c r="FC81" s="146"/>
      <c r="FD81" s="146"/>
      <c r="FE81" s="146"/>
      <c r="FF81" s="146"/>
      <c r="FG81" s="146"/>
      <c r="FH81" s="146"/>
      <c r="FI81" s="146"/>
      <c r="FJ81" s="146"/>
      <c r="FK81" s="146"/>
      <c r="FL81" s="146"/>
      <c r="FM81" s="146"/>
      <c r="FN81" s="146"/>
      <c r="FO81" s="146"/>
      <c r="FP81" s="146"/>
      <c r="FQ81" s="146"/>
      <c r="FR81" s="146"/>
      <c r="FS81" s="146"/>
      <c r="FT81" s="146"/>
      <c r="FU81" s="146"/>
      <c r="FV81" s="146"/>
      <c r="FW81" s="146"/>
      <c r="FX81" s="146"/>
      <c r="FY81" s="146"/>
      <c r="FZ81" s="146"/>
      <c r="GA81" s="146"/>
      <c r="GB81" s="146"/>
      <c r="GC81" s="146"/>
      <c r="GD81" s="146"/>
      <c r="GE81" s="146"/>
      <c r="GF81" s="146"/>
      <c r="GG81" s="146"/>
      <c r="GH81" s="146"/>
      <c r="GI81" s="146"/>
      <c r="GJ81" s="146"/>
      <c r="GK81" s="146"/>
      <c r="GL81" s="146"/>
      <c r="GM81" s="146"/>
      <c r="GN81" s="146"/>
      <c r="GO81" s="146"/>
      <c r="GP81" s="146"/>
      <c r="GQ81" s="146"/>
      <c r="GR81" s="146"/>
      <c r="GS81" s="146"/>
      <c r="GT81" s="146"/>
      <c r="GU81" s="146"/>
      <c r="GV81" s="146"/>
      <c r="GW81" s="146"/>
      <c r="GX81" s="146"/>
      <c r="GY81" s="146"/>
      <c r="GZ81" s="146"/>
      <c r="HA81" s="146"/>
      <c r="HB81" s="146"/>
      <c r="HC81" s="146"/>
      <c r="HD81" s="146"/>
      <c r="HE81" s="146"/>
      <c r="HF81" s="146"/>
      <c r="HG81" s="146"/>
      <c r="HH81" s="146"/>
      <c r="HI81" s="146"/>
      <c r="HJ81" s="146"/>
      <c r="HK81" s="146"/>
      <c r="HL81" s="146"/>
      <c r="HM81" s="146"/>
      <c r="HN81" s="146"/>
      <c r="HO81" s="146"/>
      <c r="HP81" s="146"/>
      <c r="HQ81" s="146"/>
      <c r="HR81" s="146"/>
      <c r="HS81" s="146"/>
      <c r="HT81" s="146"/>
      <c r="HU81" s="146"/>
      <c r="HV81" s="146"/>
      <c r="HW81" s="146"/>
      <c r="HX81" s="146"/>
      <c r="HY81" s="146"/>
      <c r="HZ81" s="146"/>
      <c r="IA81" s="146"/>
    </row>
    <row r="82" spans="1:235" s="159" customFormat="1" ht="114" x14ac:dyDescent="0.25">
      <c r="A82" s="197">
        <v>11600</v>
      </c>
      <c r="B82" s="194" t="s">
        <v>6</v>
      </c>
      <c r="C82" s="198" t="s">
        <v>278</v>
      </c>
      <c r="D82" s="194" t="s">
        <v>147</v>
      </c>
      <c r="E82" s="198" t="s">
        <v>520</v>
      </c>
      <c r="F82" s="194" t="s">
        <v>562</v>
      </c>
      <c r="G82" s="209" t="s">
        <v>123</v>
      </c>
      <c r="H82" s="216">
        <v>1</v>
      </c>
      <c r="I82" s="198" t="s">
        <v>521</v>
      </c>
      <c r="J82" s="194" t="s">
        <v>635</v>
      </c>
      <c r="K82" s="210">
        <v>815594000</v>
      </c>
      <c r="L82" s="211">
        <v>1</v>
      </c>
      <c r="M82" s="194" t="s">
        <v>46</v>
      </c>
      <c r="N82" s="194" t="s">
        <v>73</v>
      </c>
      <c r="O82" s="194" t="s">
        <v>37</v>
      </c>
      <c r="P82" s="194" t="s">
        <v>40</v>
      </c>
      <c r="Q82" s="194" t="s">
        <v>228</v>
      </c>
      <c r="R82" s="194" t="s">
        <v>636</v>
      </c>
      <c r="S82" s="194" t="s">
        <v>99</v>
      </c>
      <c r="T82" s="211">
        <v>1</v>
      </c>
      <c r="U82" s="212" t="str">
        <f t="shared" si="41"/>
        <v>Implementación de estrategias, instrumentos y herramientas</v>
      </c>
      <c r="V82" s="213">
        <f t="shared" si="41"/>
        <v>815594000</v>
      </c>
      <c r="W82" s="222" t="s">
        <v>114</v>
      </c>
      <c r="X82" s="281">
        <v>7.0000000000000007E-2</v>
      </c>
      <c r="Y82" s="282" t="s">
        <v>635</v>
      </c>
      <c r="Z82" s="283">
        <f>+V82*X82</f>
        <v>57091580.000000007</v>
      </c>
      <c r="AA82" s="279"/>
      <c r="AB82" s="279"/>
      <c r="AC82" s="280">
        <f t="shared" si="42"/>
        <v>0</v>
      </c>
      <c r="AD82" s="280">
        <f t="shared" si="43"/>
        <v>0</v>
      </c>
      <c r="AE82" s="280">
        <f t="shared" si="29"/>
        <v>0</v>
      </c>
      <c r="AF82" s="280">
        <f t="shared" si="30"/>
        <v>0</v>
      </c>
      <c r="AG82" s="281">
        <v>0.27</v>
      </c>
      <c r="AH82" s="282" t="s">
        <v>635</v>
      </c>
      <c r="AI82" s="283">
        <f>+AG82*V82</f>
        <v>220210380</v>
      </c>
      <c r="AJ82" s="285"/>
      <c r="AK82" s="279"/>
      <c r="AL82" s="280">
        <f t="shared" si="44"/>
        <v>0</v>
      </c>
      <c r="AM82" s="280">
        <f t="shared" si="31"/>
        <v>0</v>
      </c>
      <c r="AN82" s="280">
        <f t="shared" si="32"/>
        <v>0</v>
      </c>
      <c r="AO82" s="280">
        <f t="shared" si="33"/>
        <v>0</v>
      </c>
      <c r="AP82" s="281">
        <v>0.35</v>
      </c>
      <c r="AQ82" s="282" t="s">
        <v>635</v>
      </c>
      <c r="AR82" s="283">
        <f>+AP82*V82</f>
        <v>285457900</v>
      </c>
      <c r="AS82" s="285"/>
      <c r="AT82" s="279"/>
      <c r="AU82" s="280">
        <f t="shared" si="45"/>
        <v>0</v>
      </c>
      <c r="AV82" s="280">
        <f t="shared" si="46"/>
        <v>0</v>
      </c>
      <c r="AW82" s="280">
        <f t="shared" si="47"/>
        <v>0</v>
      </c>
      <c r="AX82" s="280">
        <f t="shared" si="48"/>
        <v>0</v>
      </c>
      <c r="AY82" s="281">
        <v>0.31</v>
      </c>
      <c r="AZ82" s="282" t="s">
        <v>635</v>
      </c>
      <c r="BA82" s="283">
        <f>+AY82*V82</f>
        <v>252834140</v>
      </c>
      <c r="BB82" s="279"/>
      <c r="BC82" s="279"/>
      <c r="BD82" s="281">
        <f t="shared" si="49"/>
        <v>0</v>
      </c>
      <c r="BE82" s="281">
        <f t="shared" si="50"/>
        <v>0</v>
      </c>
      <c r="BF82" s="281">
        <f t="shared" si="51"/>
        <v>0</v>
      </c>
      <c r="BG82" s="281">
        <f t="shared" si="52"/>
        <v>0</v>
      </c>
      <c r="BH82" s="205">
        <f t="shared" si="34"/>
        <v>0</v>
      </c>
      <c r="BI82" s="205">
        <f t="shared" si="35"/>
        <v>0</v>
      </c>
      <c r="BJ82" s="205">
        <f t="shared" si="36"/>
        <v>0</v>
      </c>
      <c r="BK82" s="205">
        <f t="shared" si="37"/>
        <v>0</v>
      </c>
      <c r="BL82" s="205">
        <f t="shared" si="53"/>
        <v>0</v>
      </c>
      <c r="BM82" s="205">
        <f t="shared" si="54"/>
        <v>0</v>
      </c>
      <c r="BN82" s="205">
        <f t="shared" si="38"/>
        <v>0</v>
      </c>
      <c r="BO82" s="205">
        <f t="shared" si="39"/>
        <v>0</v>
      </c>
      <c r="BP82" s="206"/>
      <c r="BQ82" s="277">
        <v>4</v>
      </c>
      <c r="BR82" s="208">
        <f t="shared" si="40"/>
        <v>0.45666666666666667</v>
      </c>
      <c r="BS82" s="219" t="str">
        <f t="shared" si="55"/>
        <v>Implementación de estrategias, instrumentos y herramientas</v>
      </c>
      <c r="BT82" s="195">
        <f t="shared" si="28"/>
        <v>372454593.33333331</v>
      </c>
      <c r="BU82" s="196"/>
      <c r="BV82" s="196"/>
      <c r="BW82" s="196"/>
      <c r="BX82" s="196"/>
      <c r="BY82" s="196"/>
      <c r="BZ82" s="196"/>
      <c r="CA82" s="146"/>
      <c r="CB82" s="146"/>
      <c r="CC82" s="146"/>
      <c r="CD82" s="146"/>
      <c r="CE82" s="146"/>
      <c r="CF82" s="146"/>
      <c r="CG82" s="146"/>
      <c r="CH82" s="146"/>
      <c r="CI82" s="146"/>
      <c r="CJ82" s="146"/>
      <c r="CK82" s="146"/>
      <c r="CL82" s="146"/>
      <c r="CM82" s="146"/>
      <c r="CN82" s="146"/>
      <c r="CO82" s="146"/>
      <c r="CP82" s="146"/>
      <c r="CQ82" s="146"/>
      <c r="CR82" s="146"/>
      <c r="CS82" s="146"/>
      <c r="CT82" s="146"/>
      <c r="CU82" s="146"/>
      <c r="CV82" s="146"/>
      <c r="CW82" s="146"/>
      <c r="CX82" s="146"/>
      <c r="CY82" s="146"/>
      <c r="CZ82" s="146"/>
      <c r="DA82" s="146"/>
      <c r="DB82" s="146"/>
      <c r="DC82" s="146"/>
      <c r="DD82" s="146"/>
      <c r="DE82" s="146"/>
      <c r="DF82" s="146"/>
      <c r="DG82" s="146"/>
      <c r="DH82" s="146"/>
      <c r="DI82" s="146"/>
      <c r="DJ82" s="146"/>
      <c r="DK82" s="146"/>
      <c r="DL82" s="146"/>
      <c r="DM82" s="146"/>
      <c r="DN82" s="146"/>
      <c r="DO82" s="146"/>
      <c r="DP82" s="146"/>
      <c r="DQ82" s="146"/>
      <c r="DR82" s="146"/>
      <c r="DS82" s="146"/>
      <c r="DT82" s="146"/>
      <c r="DU82" s="146"/>
      <c r="DV82" s="146"/>
      <c r="DW82" s="146"/>
      <c r="DX82" s="146"/>
      <c r="DY82" s="146"/>
      <c r="DZ82" s="146"/>
      <c r="EA82" s="146"/>
      <c r="EB82" s="146"/>
      <c r="EC82" s="146"/>
      <c r="ED82" s="146"/>
      <c r="EE82" s="146"/>
      <c r="EF82" s="146"/>
      <c r="EG82" s="146"/>
      <c r="EH82" s="146"/>
      <c r="EI82" s="146"/>
      <c r="EJ82" s="146"/>
      <c r="EK82" s="146"/>
      <c r="EL82" s="146"/>
      <c r="EM82" s="146"/>
      <c r="EN82" s="146"/>
      <c r="EO82" s="146"/>
      <c r="EP82" s="146"/>
      <c r="EQ82" s="146"/>
      <c r="ER82" s="146"/>
      <c r="ES82" s="146"/>
      <c r="ET82" s="146"/>
      <c r="EU82" s="146"/>
      <c r="EV82" s="146"/>
      <c r="EW82" s="146"/>
      <c r="EX82" s="146"/>
      <c r="EY82" s="146"/>
      <c r="EZ82" s="146"/>
      <c r="FA82" s="146"/>
      <c r="FB82" s="146"/>
      <c r="FC82" s="146"/>
      <c r="FD82" s="146"/>
      <c r="FE82" s="146"/>
      <c r="FF82" s="146"/>
      <c r="FG82" s="146"/>
      <c r="FH82" s="146"/>
      <c r="FI82" s="146"/>
      <c r="FJ82" s="146"/>
      <c r="FK82" s="146"/>
      <c r="FL82" s="146"/>
      <c r="FM82" s="146"/>
      <c r="FN82" s="146"/>
      <c r="FO82" s="146"/>
      <c r="FP82" s="146"/>
      <c r="FQ82" s="146"/>
      <c r="FR82" s="146"/>
      <c r="FS82" s="146"/>
      <c r="FT82" s="146"/>
      <c r="FU82" s="146"/>
      <c r="FV82" s="146"/>
      <c r="FW82" s="146"/>
      <c r="FX82" s="146"/>
      <c r="FY82" s="146"/>
      <c r="FZ82" s="146"/>
      <c r="GA82" s="146"/>
      <c r="GB82" s="146"/>
      <c r="GC82" s="146"/>
      <c r="GD82" s="146"/>
      <c r="GE82" s="146"/>
      <c r="GF82" s="146"/>
      <c r="GG82" s="146"/>
      <c r="GH82" s="146"/>
      <c r="GI82" s="146"/>
      <c r="GJ82" s="146"/>
      <c r="GK82" s="146"/>
      <c r="GL82" s="146"/>
      <c r="GM82" s="146"/>
      <c r="GN82" s="146"/>
      <c r="GO82" s="146"/>
      <c r="GP82" s="146"/>
      <c r="GQ82" s="146"/>
      <c r="GR82" s="146"/>
      <c r="GS82" s="146"/>
      <c r="GT82" s="146"/>
      <c r="GU82" s="146"/>
      <c r="GV82" s="146"/>
      <c r="GW82" s="146"/>
      <c r="GX82" s="146"/>
      <c r="GY82" s="146"/>
      <c r="GZ82" s="146"/>
      <c r="HA82" s="146"/>
      <c r="HB82" s="146"/>
      <c r="HC82" s="146"/>
      <c r="HD82" s="146"/>
      <c r="HE82" s="146"/>
      <c r="HF82" s="146"/>
      <c r="HG82" s="146"/>
      <c r="HH82" s="146"/>
      <c r="HI82" s="146"/>
      <c r="HJ82" s="146"/>
      <c r="HK82" s="146"/>
      <c r="HL82" s="146"/>
      <c r="HM82" s="146"/>
      <c r="HN82" s="146"/>
      <c r="HO82" s="146"/>
      <c r="HP82" s="146"/>
      <c r="HQ82" s="146"/>
      <c r="HR82" s="146"/>
      <c r="HS82" s="146"/>
      <c r="HT82" s="146"/>
      <c r="HU82" s="146"/>
      <c r="HV82" s="146"/>
      <c r="HW82" s="146"/>
      <c r="HX82" s="146"/>
      <c r="HY82" s="146"/>
      <c r="HZ82" s="146"/>
      <c r="IA82" s="146"/>
    </row>
    <row r="83" spans="1:235" s="156" customFormat="1" ht="57" x14ac:dyDescent="0.25">
      <c r="A83" s="197">
        <v>11600</v>
      </c>
      <c r="B83" s="194" t="s">
        <v>6</v>
      </c>
      <c r="C83" s="198" t="s">
        <v>278</v>
      </c>
      <c r="D83" s="194" t="s">
        <v>147</v>
      </c>
      <c r="E83" s="198" t="s">
        <v>515</v>
      </c>
      <c r="F83" s="194" t="s">
        <v>637</v>
      </c>
      <c r="G83" s="209" t="s">
        <v>123</v>
      </c>
      <c r="H83" s="216">
        <v>1</v>
      </c>
      <c r="I83" s="198" t="s">
        <v>522</v>
      </c>
      <c r="J83" s="194" t="s">
        <v>637</v>
      </c>
      <c r="K83" s="210">
        <v>816000000</v>
      </c>
      <c r="L83" s="211">
        <v>1</v>
      </c>
      <c r="M83" s="194" t="s">
        <v>46</v>
      </c>
      <c r="N83" s="194" t="s">
        <v>73</v>
      </c>
      <c r="O83" s="194" t="s">
        <v>37</v>
      </c>
      <c r="P83" s="194" t="s">
        <v>40</v>
      </c>
      <c r="Q83" s="194" t="s">
        <v>228</v>
      </c>
      <c r="R83" s="194" t="s">
        <v>760</v>
      </c>
      <c r="S83" s="194" t="s">
        <v>99</v>
      </c>
      <c r="T83" s="211">
        <v>1</v>
      </c>
      <c r="U83" s="212" t="str">
        <f t="shared" si="41"/>
        <v>Desarrollo de nuevos Sistemas de información</v>
      </c>
      <c r="V83" s="213">
        <f t="shared" si="41"/>
        <v>816000000</v>
      </c>
      <c r="W83" s="222" t="s">
        <v>114</v>
      </c>
      <c r="X83" s="216">
        <v>0</v>
      </c>
      <c r="Y83" s="214" t="s">
        <v>637</v>
      </c>
      <c r="Z83" s="210">
        <v>0</v>
      </c>
      <c r="AA83" s="196"/>
      <c r="AB83" s="196"/>
      <c r="AC83" s="204" t="e">
        <f t="shared" si="42"/>
        <v>#DIV/0!</v>
      </c>
      <c r="AD83" s="204" t="e">
        <f t="shared" si="43"/>
        <v>#DIV/0!</v>
      </c>
      <c r="AE83" s="204">
        <f t="shared" si="29"/>
        <v>0</v>
      </c>
      <c r="AF83" s="204">
        <f t="shared" si="30"/>
        <v>0</v>
      </c>
      <c r="AG83" s="216">
        <v>0</v>
      </c>
      <c r="AH83" s="214" t="s">
        <v>637</v>
      </c>
      <c r="AI83" s="210">
        <v>0</v>
      </c>
      <c r="AJ83" s="196"/>
      <c r="AK83" s="196"/>
      <c r="AL83" s="204" t="e">
        <f t="shared" si="44"/>
        <v>#DIV/0!</v>
      </c>
      <c r="AM83" s="204" t="e">
        <f t="shared" si="31"/>
        <v>#DIV/0!</v>
      </c>
      <c r="AN83" s="204">
        <f t="shared" si="32"/>
        <v>0</v>
      </c>
      <c r="AO83" s="204">
        <f t="shared" si="33"/>
        <v>0</v>
      </c>
      <c r="AP83" s="216">
        <v>0.5</v>
      </c>
      <c r="AQ83" s="214" t="s">
        <v>637</v>
      </c>
      <c r="AR83" s="210">
        <v>408000000</v>
      </c>
      <c r="AS83" s="196"/>
      <c r="AT83" s="196"/>
      <c r="AU83" s="204">
        <f t="shared" si="45"/>
        <v>0</v>
      </c>
      <c r="AV83" s="204">
        <f t="shared" si="46"/>
        <v>0</v>
      </c>
      <c r="AW83" s="204">
        <f t="shared" si="47"/>
        <v>0</v>
      </c>
      <c r="AX83" s="204">
        <f t="shared" si="48"/>
        <v>0</v>
      </c>
      <c r="AY83" s="216">
        <v>0.5</v>
      </c>
      <c r="AZ83" s="214" t="s">
        <v>637</v>
      </c>
      <c r="BA83" s="210">
        <v>408000000</v>
      </c>
      <c r="BB83" s="196"/>
      <c r="BC83" s="196"/>
      <c r="BD83" s="216">
        <f t="shared" si="49"/>
        <v>0</v>
      </c>
      <c r="BE83" s="216">
        <f t="shared" si="50"/>
        <v>0</v>
      </c>
      <c r="BF83" s="216">
        <f t="shared" si="51"/>
        <v>0</v>
      </c>
      <c r="BG83" s="216">
        <f t="shared" si="52"/>
        <v>0</v>
      </c>
      <c r="BH83" s="223" t="str">
        <f t="shared" si="34"/>
        <v>No Prog ni Ejec</v>
      </c>
      <c r="BI83" s="223" t="str">
        <f t="shared" si="35"/>
        <v>No Prog ni Ejec</v>
      </c>
      <c r="BJ83" s="223" t="str">
        <f t="shared" si="36"/>
        <v>No Prog ni Ejec</v>
      </c>
      <c r="BK83" s="223" t="str">
        <f t="shared" si="37"/>
        <v>No Prog ni Ejec</v>
      </c>
      <c r="BL83" s="223">
        <f t="shared" si="53"/>
        <v>0</v>
      </c>
      <c r="BM83" s="223">
        <f t="shared" si="54"/>
        <v>0</v>
      </c>
      <c r="BN83" s="223">
        <f t="shared" si="38"/>
        <v>0</v>
      </c>
      <c r="BO83" s="223">
        <f t="shared" si="39"/>
        <v>0</v>
      </c>
      <c r="BP83" s="206"/>
      <c r="BQ83" s="277">
        <v>4</v>
      </c>
      <c r="BR83" s="208">
        <f t="shared" si="40"/>
        <v>0.16666666666666666</v>
      </c>
      <c r="BS83" s="219" t="str">
        <f t="shared" si="55"/>
        <v>Desarrollo de nuevos Sistemas de información</v>
      </c>
      <c r="BT83" s="195">
        <f t="shared" si="28"/>
        <v>136000000</v>
      </c>
      <c r="BU83" s="196"/>
      <c r="BV83" s="196"/>
      <c r="BW83" s="196"/>
      <c r="BX83" s="196"/>
      <c r="BY83" s="196"/>
      <c r="BZ83" s="196"/>
      <c r="CA83" s="146"/>
      <c r="CB83" s="146"/>
      <c r="CC83" s="146"/>
      <c r="CD83" s="146"/>
      <c r="CE83" s="146"/>
      <c r="CF83" s="146"/>
      <c r="CG83" s="146"/>
      <c r="CH83" s="146"/>
      <c r="CI83" s="146"/>
      <c r="CJ83" s="146"/>
      <c r="CK83" s="146"/>
      <c r="CL83" s="146"/>
      <c r="CM83" s="146"/>
      <c r="CN83" s="146"/>
      <c r="CO83" s="146"/>
      <c r="CP83" s="146"/>
      <c r="CQ83" s="146"/>
      <c r="CR83" s="146"/>
      <c r="CS83" s="146"/>
      <c r="CT83" s="146"/>
      <c r="CU83" s="146"/>
      <c r="CV83" s="146"/>
      <c r="CW83" s="146"/>
      <c r="CX83" s="146"/>
      <c r="CY83" s="146"/>
      <c r="CZ83" s="146"/>
      <c r="DA83" s="146"/>
      <c r="DB83" s="146"/>
      <c r="DC83" s="146"/>
      <c r="DD83" s="146"/>
      <c r="DE83" s="146"/>
      <c r="DF83" s="146"/>
      <c r="DG83" s="146"/>
      <c r="DH83" s="146"/>
      <c r="DI83" s="146"/>
      <c r="DJ83" s="146"/>
      <c r="DK83" s="146"/>
      <c r="DL83" s="146"/>
      <c r="DM83" s="146"/>
      <c r="DN83" s="146"/>
      <c r="DO83" s="146"/>
      <c r="DP83" s="146"/>
      <c r="DQ83" s="146"/>
      <c r="DR83" s="146"/>
      <c r="DS83" s="146"/>
      <c r="DT83" s="146"/>
      <c r="DU83" s="146"/>
      <c r="DV83" s="146"/>
      <c r="DW83" s="146"/>
      <c r="DX83" s="146"/>
      <c r="DY83" s="146"/>
      <c r="DZ83" s="146"/>
      <c r="EA83" s="146"/>
      <c r="EB83" s="146"/>
      <c r="EC83" s="146"/>
      <c r="ED83" s="146"/>
      <c r="EE83" s="146"/>
      <c r="EF83" s="146"/>
      <c r="EG83" s="146"/>
      <c r="EH83" s="146"/>
      <c r="EI83" s="146"/>
      <c r="EJ83" s="146"/>
      <c r="EK83" s="146"/>
      <c r="EL83" s="146"/>
      <c r="EM83" s="146"/>
      <c r="EN83" s="146"/>
      <c r="EO83" s="146"/>
      <c r="EP83" s="146"/>
      <c r="EQ83" s="146"/>
      <c r="ER83" s="146"/>
      <c r="ES83" s="146"/>
      <c r="ET83" s="146"/>
      <c r="EU83" s="146"/>
      <c r="EV83" s="146"/>
      <c r="EW83" s="146"/>
      <c r="EX83" s="146"/>
      <c r="EY83" s="146"/>
      <c r="EZ83" s="146"/>
      <c r="FA83" s="146"/>
      <c r="FB83" s="146"/>
      <c r="FC83" s="146"/>
      <c r="FD83" s="146"/>
      <c r="FE83" s="146"/>
      <c r="FF83" s="146"/>
      <c r="FG83" s="146"/>
      <c r="FH83" s="146"/>
      <c r="FI83" s="146"/>
      <c r="FJ83" s="146"/>
      <c r="FK83" s="146"/>
      <c r="FL83" s="146"/>
      <c r="FM83" s="146"/>
      <c r="FN83" s="146"/>
      <c r="FO83" s="146"/>
      <c r="FP83" s="146"/>
      <c r="FQ83" s="146"/>
      <c r="FR83" s="146"/>
      <c r="FS83" s="146"/>
      <c r="FT83" s="146"/>
      <c r="FU83" s="146"/>
      <c r="FV83" s="146"/>
      <c r="FW83" s="146"/>
      <c r="FX83" s="146"/>
      <c r="FY83" s="146"/>
      <c r="FZ83" s="146"/>
      <c r="GA83" s="146"/>
      <c r="GB83" s="146"/>
      <c r="GC83" s="146"/>
      <c r="GD83" s="146"/>
      <c r="GE83" s="146"/>
      <c r="GF83" s="146"/>
      <c r="GG83" s="146"/>
      <c r="GH83" s="146"/>
      <c r="GI83" s="146"/>
      <c r="GJ83" s="146"/>
      <c r="GK83" s="146"/>
      <c r="GL83" s="146"/>
      <c r="GM83" s="146"/>
      <c r="GN83" s="146"/>
      <c r="GO83" s="146"/>
      <c r="GP83" s="146"/>
      <c r="GQ83" s="146"/>
      <c r="GR83" s="146"/>
      <c r="GS83" s="146"/>
      <c r="GT83" s="146"/>
      <c r="GU83" s="146"/>
      <c r="GV83" s="146"/>
      <c r="GW83" s="146"/>
      <c r="GX83" s="146"/>
      <c r="GY83" s="146"/>
      <c r="GZ83" s="146"/>
      <c r="HA83" s="146"/>
      <c r="HB83" s="146"/>
      <c r="HC83" s="146"/>
      <c r="HD83" s="146"/>
      <c r="HE83" s="146"/>
      <c r="HF83" s="146"/>
      <c r="HG83" s="146"/>
      <c r="HH83" s="146"/>
      <c r="HI83" s="146"/>
      <c r="HJ83" s="146"/>
      <c r="HK83" s="146"/>
      <c r="HL83" s="146"/>
      <c r="HM83" s="146"/>
      <c r="HN83" s="146"/>
      <c r="HO83" s="146"/>
      <c r="HP83" s="146"/>
      <c r="HQ83" s="146"/>
      <c r="HR83" s="146"/>
      <c r="HS83" s="146"/>
      <c r="HT83" s="146"/>
      <c r="HU83" s="146"/>
      <c r="HV83" s="146"/>
      <c r="HW83" s="146"/>
      <c r="HX83" s="146"/>
      <c r="HY83" s="146"/>
      <c r="HZ83" s="146"/>
      <c r="IA83" s="146"/>
    </row>
    <row r="84" spans="1:235" s="153" customFormat="1" ht="57" x14ac:dyDescent="0.25">
      <c r="A84" s="197">
        <v>11600</v>
      </c>
      <c r="B84" s="194" t="s">
        <v>6</v>
      </c>
      <c r="C84" s="198" t="s">
        <v>278</v>
      </c>
      <c r="D84" s="194" t="s">
        <v>147</v>
      </c>
      <c r="E84" s="198" t="s">
        <v>523</v>
      </c>
      <c r="F84" s="194" t="s">
        <v>286</v>
      </c>
      <c r="G84" s="209" t="s">
        <v>123</v>
      </c>
      <c r="H84" s="216">
        <v>1</v>
      </c>
      <c r="I84" s="198" t="s">
        <v>524</v>
      </c>
      <c r="J84" s="194" t="s">
        <v>637</v>
      </c>
      <c r="K84" s="210">
        <v>48960000</v>
      </c>
      <c r="L84" s="211">
        <v>1</v>
      </c>
      <c r="M84" s="194" t="s">
        <v>46</v>
      </c>
      <c r="N84" s="194" t="s">
        <v>73</v>
      </c>
      <c r="O84" s="194" t="s">
        <v>37</v>
      </c>
      <c r="P84" s="194" t="s">
        <v>40</v>
      </c>
      <c r="Q84" s="194" t="s">
        <v>228</v>
      </c>
      <c r="R84" s="194" t="s">
        <v>379</v>
      </c>
      <c r="S84" s="194" t="s">
        <v>99</v>
      </c>
      <c r="T84" s="211">
        <v>1</v>
      </c>
      <c r="U84" s="212" t="str">
        <f t="shared" si="41"/>
        <v>Desarrollo de nuevos Sistemas de información</v>
      </c>
      <c r="V84" s="213">
        <f t="shared" si="41"/>
        <v>48960000</v>
      </c>
      <c r="W84" s="222" t="s">
        <v>114</v>
      </c>
      <c r="X84" s="216">
        <v>0.25</v>
      </c>
      <c r="Y84" s="214" t="s">
        <v>637</v>
      </c>
      <c r="Z84" s="210">
        <v>12240000</v>
      </c>
      <c r="AA84" s="196"/>
      <c r="AB84" s="196"/>
      <c r="AC84" s="204">
        <f t="shared" si="42"/>
        <v>0</v>
      </c>
      <c r="AD84" s="204">
        <f t="shared" si="43"/>
        <v>0</v>
      </c>
      <c r="AE84" s="204">
        <f t="shared" si="29"/>
        <v>0</v>
      </c>
      <c r="AF84" s="204">
        <f t="shared" si="30"/>
        <v>0</v>
      </c>
      <c r="AG84" s="216">
        <v>0.25</v>
      </c>
      <c r="AH84" s="214" t="s">
        <v>637</v>
      </c>
      <c r="AI84" s="210">
        <v>12240000</v>
      </c>
      <c r="AJ84" s="196"/>
      <c r="AK84" s="196"/>
      <c r="AL84" s="204">
        <f t="shared" si="44"/>
        <v>0</v>
      </c>
      <c r="AM84" s="204">
        <f t="shared" si="31"/>
        <v>0</v>
      </c>
      <c r="AN84" s="204">
        <f t="shared" si="32"/>
        <v>0</v>
      </c>
      <c r="AO84" s="204">
        <f t="shared" si="33"/>
        <v>0</v>
      </c>
      <c r="AP84" s="216">
        <v>0.25</v>
      </c>
      <c r="AQ84" s="214" t="s">
        <v>637</v>
      </c>
      <c r="AR84" s="210">
        <v>12240000</v>
      </c>
      <c r="AS84" s="196"/>
      <c r="AT84" s="196"/>
      <c r="AU84" s="204">
        <f t="shared" si="45"/>
        <v>0</v>
      </c>
      <c r="AV84" s="204">
        <f t="shared" si="46"/>
        <v>0</v>
      </c>
      <c r="AW84" s="204">
        <f t="shared" si="47"/>
        <v>0</v>
      </c>
      <c r="AX84" s="204">
        <f t="shared" si="48"/>
        <v>0</v>
      </c>
      <c r="AY84" s="216">
        <v>0.25</v>
      </c>
      <c r="AZ84" s="214" t="s">
        <v>637</v>
      </c>
      <c r="BA84" s="210">
        <v>12240000</v>
      </c>
      <c r="BB84" s="196"/>
      <c r="BC84" s="196"/>
      <c r="BD84" s="216">
        <f t="shared" si="49"/>
        <v>0</v>
      </c>
      <c r="BE84" s="216">
        <f t="shared" si="50"/>
        <v>0</v>
      </c>
      <c r="BF84" s="216">
        <f t="shared" si="51"/>
        <v>0</v>
      </c>
      <c r="BG84" s="216">
        <f t="shared" si="52"/>
        <v>0</v>
      </c>
      <c r="BH84" s="217">
        <f t="shared" si="34"/>
        <v>0</v>
      </c>
      <c r="BI84" s="217">
        <f t="shared" si="35"/>
        <v>0</v>
      </c>
      <c r="BJ84" s="217">
        <f t="shared" si="36"/>
        <v>0</v>
      </c>
      <c r="BK84" s="217">
        <f t="shared" si="37"/>
        <v>0</v>
      </c>
      <c r="BL84" s="217">
        <f t="shared" si="53"/>
        <v>0</v>
      </c>
      <c r="BM84" s="217">
        <f t="shared" si="54"/>
        <v>0</v>
      </c>
      <c r="BN84" s="217">
        <f t="shared" si="38"/>
        <v>0</v>
      </c>
      <c r="BO84" s="217">
        <f t="shared" si="39"/>
        <v>0</v>
      </c>
      <c r="BP84" s="206"/>
      <c r="BQ84" s="277">
        <v>4</v>
      </c>
      <c r="BR84" s="208">
        <f t="shared" si="40"/>
        <v>0.58333333333333337</v>
      </c>
      <c r="BS84" s="219" t="str">
        <f t="shared" si="55"/>
        <v>Desarrollo de nuevos Sistemas de información</v>
      </c>
      <c r="BT84" s="195">
        <f t="shared" si="28"/>
        <v>28560000</v>
      </c>
      <c r="BU84" s="196"/>
      <c r="BV84" s="196"/>
      <c r="BW84" s="196"/>
      <c r="BX84" s="196"/>
      <c r="BY84" s="196"/>
      <c r="BZ84" s="196"/>
      <c r="CA84" s="146"/>
      <c r="CB84" s="146"/>
      <c r="CC84" s="146"/>
      <c r="CD84" s="146"/>
      <c r="CE84" s="146"/>
      <c r="CF84" s="146"/>
      <c r="CG84" s="146"/>
      <c r="CH84" s="146"/>
      <c r="CI84" s="146"/>
      <c r="CJ84" s="146"/>
      <c r="CK84" s="146"/>
      <c r="CL84" s="146"/>
      <c r="CM84" s="146"/>
      <c r="CN84" s="146"/>
      <c r="CO84" s="146"/>
      <c r="CP84" s="146"/>
      <c r="CQ84" s="146"/>
      <c r="CR84" s="146"/>
      <c r="CS84" s="146"/>
      <c r="CT84" s="146"/>
      <c r="CU84" s="146"/>
      <c r="CV84" s="146"/>
      <c r="CW84" s="146"/>
      <c r="CX84" s="146"/>
      <c r="CY84" s="146"/>
      <c r="CZ84" s="146"/>
      <c r="DA84" s="146"/>
      <c r="DB84" s="146"/>
      <c r="DC84" s="146"/>
      <c r="DD84" s="146"/>
      <c r="DE84" s="146"/>
      <c r="DF84" s="146"/>
      <c r="DG84" s="146"/>
      <c r="DH84" s="146"/>
      <c r="DI84" s="146"/>
      <c r="DJ84" s="146"/>
      <c r="DK84" s="146"/>
      <c r="DL84" s="146"/>
      <c r="DM84" s="146"/>
      <c r="DN84" s="146"/>
      <c r="DO84" s="146"/>
      <c r="DP84" s="146"/>
      <c r="DQ84" s="146"/>
      <c r="DR84" s="146"/>
      <c r="DS84" s="146"/>
      <c r="DT84" s="146"/>
      <c r="DU84" s="146"/>
      <c r="DV84" s="146"/>
      <c r="DW84" s="146"/>
      <c r="DX84" s="146"/>
      <c r="DY84" s="146"/>
      <c r="DZ84" s="146"/>
      <c r="EA84" s="146"/>
      <c r="EB84" s="146"/>
      <c r="EC84" s="146"/>
      <c r="ED84" s="146"/>
      <c r="EE84" s="146"/>
      <c r="EF84" s="146"/>
      <c r="EG84" s="146"/>
      <c r="EH84" s="146"/>
      <c r="EI84" s="146"/>
      <c r="EJ84" s="146"/>
      <c r="EK84" s="146"/>
      <c r="EL84" s="146"/>
      <c r="EM84" s="146"/>
      <c r="EN84" s="146"/>
      <c r="EO84" s="146"/>
      <c r="EP84" s="146"/>
      <c r="EQ84" s="146"/>
      <c r="ER84" s="146"/>
      <c r="ES84" s="146"/>
      <c r="ET84" s="146"/>
      <c r="EU84" s="146"/>
      <c r="EV84" s="146"/>
      <c r="EW84" s="146"/>
      <c r="EX84" s="146"/>
      <c r="EY84" s="146"/>
      <c r="EZ84" s="146"/>
      <c r="FA84" s="146"/>
      <c r="FB84" s="146"/>
      <c r="FC84" s="146"/>
      <c r="FD84" s="146"/>
      <c r="FE84" s="146"/>
      <c r="FF84" s="146"/>
      <c r="FG84" s="146"/>
      <c r="FH84" s="146"/>
      <c r="FI84" s="146"/>
      <c r="FJ84" s="146"/>
      <c r="FK84" s="146"/>
      <c r="FL84" s="146"/>
      <c r="FM84" s="146"/>
      <c r="FN84" s="146"/>
      <c r="FO84" s="146"/>
      <c r="FP84" s="146"/>
      <c r="FQ84" s="146"/>
      <c r="FR84" s="146"/>
      <c r="FS84" s="146"/>
      <c r="FT84" s="146"/>
      <c r="FU84" s="146"/>
      <c r="FV84" s="146"/>
      <c r="FW84" s="146"/>
      <c r="FX84" s="146"/>
      <c r="FY84" s="146"/>
      <c r="FZ84" s="146"/>
      <c r="GA84" s="146"/>
      <c r="GB84" s="146"/>
      <c r="GC84" s="146"/>
      <c r="GD84" s="146"/>
      <c r="GE84" s="146"/>
      <c r="GF84" s="146"/>
      <c r="GG84" s="146"/>
      <c r="GH84" s="146"/>
      <c r="GI84" s="146"/>
      <c r="GJ84" s="146"/>
      <c r="GK84" s="146"/>
      <c r="GL84" s="146"/>
      <c r="GM84" s="146"/>
      <c r="GN84" s="146"/>
      <c r="GO84" s="146"/>
      <c r="GP84" s="146"/>
      <c r="GQ84" s="146"/>
      <c r="GR84" s="146"/>
      <c r="GS84" s="146"/>
      <c r="GT84" s="146"/>
      <c r="GU84" s="146"/>
      <c r="GV84" s="146"/>
      <c r="GW84" s="146"/>
      <c r="GX84" s="146"/>
      <c r="GY84" s="146"/>
      <c r="GZ84" s="146"/>
      <c r="HA84" s="146"/>
      <c r="HB84" s="146"/>
      <c r="HC84" s="146"/>
      <c r="HD84" s="146"/>
      <c r="HE84" s="146"/>
      <c r="HF84" s="146"/>
      <c r="HG84" s="146"/>
      <c r="HH84" s="146"/>
      <c r="HI84" s="146"/>
      <c r="HJ84" s="146"/>
      <c r="HK84" s="146"/>
      <c r="HL84" s="146"/>
      <c r="HM84" s="146"/>
      <c r="HN84" s="146"/>
      <c r="HO84" s="146"/>
      <c r="HP84" s="146"/>
      <c r="HQ84" s="146"/>
      <c r="HR84" s="146"/>
      <c r="HS84" s="146"/>
      <c r="HT84" s="146"/>
      <c r="HU84" s="146"/>
      <c r="HV84" s="146"/>
      <c r="HW84" s="146"/>
      <c r="HX84" s="146"/>
      <c r="HY84" s="146"/>
      <c r="HZ84" s="146"/>
      <c r="IA84" s="146"/>
    </row>
    <row r="85" spans="1:235" s="153" customFormat="1" ht="57" x14ac:dyDescent="0.25">
      <c r="A85" s="197">
        <v>11600</v>
      </c>
      <c r="B85" s="194" t="s">
        <v>6</v>
      </c>
      <c r="C85" s="198" t="s">
        <v>278</v>
      </c>
      <c r="D85" s="194" t="s">
        <v>147</v>
      </c>
      <c r="E85" s="198" t="s">
        <v>525</v>
      </c>
      <c r="F85" s="194" t="s">
        <v>288</v>
      </c>
      <c r="G85" s="209" t="s">
        <v>123</v>
      </c>
      <c r="H85" s="216">
        <v>1</v>
      </c>
      <c r="I85" s="198" t="s">
        <v>526</v>
      </c>
      <c r="J85" s="194" t="s">
        <v>288</v>
      </c>
      <c r="K85" s="210">
        <v>146880000</v>
      </c>
      <c r="L85" s="211">
        <v>1</v>
      </c>
      <c r="M85" s="194" t="s">
        <v>46</v>
      </c>
      <c r="N85" s="194" t="s">
        <v>73</v>
      </c>
      <c r="O85" s="194" t="s">
        <v>37</v>
      </c>
      <c r="P85" s="194" t="s">
        <v>40</v>
      </c>
      <c r="Q85" s="194" t="s">
        <v>228</v>
      </c>
      <c r="R85" s="194" t="s">
        <v>379</v>
      </c>
      <c r="S85" s="194" t="s">
        <v>99</v>
      </c>
      <c r="T85" s="211">
        <v>1</v>
      </c>
      <c r="U85" s="212" t="str">
        <f t="shared" si="41"/>
        <v>Brindar Soporte al procesos BDUA</v>
      </c>
      <c r="V85" s="213">
        <f t="shared" si="41"/>
        <v>146880000</v>
      </c>
      <c r="W85" s="222" t="s">
        <v>114</v>
      </c>
      <c r="X85" s="216">
        <v>0.25</v>
      </c>
      <c r="Y85" s="214" t="s">
        <v>288</v>
      </c>
      <c r="Z85" s="210">
        <v>36720000</v>
      </c>
      <c r="AA85" s="196"/>
      <c r="AB85" s="196"/>
      <c r="AC85" s="204">
        <f t="shared" si="42"/>
        <v>0</v>
      </c>
      <c r="AD85" s="204">
        <f t="shared" si="43"/>
        <v>0</v>
      </c>
      <c r="AE85" s="204">
        <f t="shared" si="29"/>
        <v>0</v>
      </c>
      <c r="AF85" s="204">
        <f t="shared" si="30"/>
        <v>0</v>
      </c>
      <c r="AG85" s="216">
        <v>0.25</v>
      </c>
      <c r="AH85" s="214" t="s">
        <v>288</v>
      </c>
      <c r="AI85" s="210">
        <v>36720000</v>
      </c>
      <c r="AJ85" s="196"/>
      <c r="AK85" s="196"/>
      <c r="AL85" s="204">
        <f t="shared" si="44"/>
        <v>0</v>
      </c>
      <c r="AM85" s="204">
        <f t="shared" si="31"/>
        <v>0</v>
      </c>
      <c r="AN85" s="204">
        <f t="shared" si="32"/>
        <v>0</v>
      </c>
      <c r="AO85" s="204">
        <f t="shared" si="33"/>
        <v>0</v>
      </c>
      <c r="AP85" s="216">
        <v>0.25</v>
      </c>
      <c r="AQ85" s="214" t="s">
        <v>288</v>
      </c>
      <c r="AR85" s="210">
        <v>36720000</v>
      </c>
      <c r="AS85" s="196"/>
      <c r="AT85" s="196"/>
      <c r="AU85" s="204">
        <f t="shared" si="45"/>
        <v>0</v>
      </c>
      <c r="AV85" s="204">
        <f t="shared" si="46"/>
        <v>0</v>
      </c>
      <c r="AW85" s="204">
        <f t="shared" si="47"/>
        <v>0</v>
      </c>
      <c r="AX85" s="204">
        <f t="shared" si="48"/>
        <v>0</v>
      </c>
      <c r="AY85" s="216">
        <v>0.25</v>
      </c>
      <c r="AZ85" s="214" t="s">
        <v>288</v>
      </c>
      <c r="BA85" s="210">
        <v>36720000</v>
      </c>
      <c r="BB85" s="196"/>
      <c r="BC85" s="196"/>
      <c r="BD85" s="216">
        <f t="shared" si="49"/>
        <v>0</v>
      </c>
      <c r="BE85" s="216">
        <f t="shared" si="50"/>
        <v>0</v>
      </c>
      <c r="BF85" s="216">
        <f t="shared" si="51"/>
        <v>0</v>
      </c>
      <c r="BG85" s="216">
        <f t="shared" si="52"/>
        <v>0</v>
      </c>
      <c r="BH85" s="217">
        <f t="shared" si="34"/>
        <v>0</v>
      </c>
      <c r="BI85" s="217">
        <f t="shared" si="35"/>
        <v>0</v>
      </c>
      <c r="BJ85" s="217">
        <f t="shared" si="36"/>
        <v>0</v>
      </c>
      <c r="BK85" s="217">
        <f t="shared" si="37"/>
        <v>0</v>
      </c>
      <c r="BL85" s="217">
        <f t="shared" si="53"/>
        <v>0</v>
      </c>
      <c r="BM85" s="217">
        <f t="shared" si="54"/>
        <v>0</v>
      </c>
      <c r="BN85" s="217">
        <f t="shared" si="38"/>
        <v>0</v>
      </c>
      <c r="BO85" s="217">
        <f t="shared" si="39"/>
        <v>0</v>
      </c>
      <c r="BP85" s="206"/>
      <c r="BQ85" s="277">
        <v>4</v>
      </c>
      <c r="BR85" s="208">
        <f t="shared" si="40"/>
        <v>0.58333333333333337</v>
      </c>
      <c r="BS85" s="219" t="str">
        <f t="shared" si="55"/>
        <v>Brindar Soporte al procesos BDUA</v>
      </c>
      <c r="BT85" s="195">
        <f t="shared" si="28"/>
        <v>85680000</v>
      </c>
      <c r="BU85" s="196"/>
      <c r="BV85" s="196"/>
      <c r="BW85" s="196"/>
      <c r="BX85" s="196"/>
      <c r="BY85" s="196"/>
      <c r="BZ85" s="196"/>
      <c r="CA85" s="146"/>
      <c r="CB85" s="146"/>
      <c r="CC85" s="146"/>
      <c r="CD85" s="146"/>
      <c r="CE85" s="146"/>
      <c r="CF85" s="146"/>
      <c r="CG85" s="146"/>
      <c r="CH85" s="146"/>
      <c r="CI85" s="146"/>
      <c r="CJ85" s="146"/>
      <c r="CK85" s="146"/>
      <c r="CL85" s="146"/>
      <c r="CM85" s="146"/>
      <c r="CN85" s="146"/>
      <c r="CO85" s="146"/>
      <c r="CP85" s="146"/>
      <c r="CQ85" s="146"/>
      <c r="CR85" s="146"/>
      <c r="CS85" s="146"/>
      <c r="CT85" s="146"/>
      <c r="CU85" s="146"/>
      <c r="CV85" s="146"/>
      <c r="CW85" s="146"/>
      <c r="CX85" s="146"/>
      <c r="CY85" s="146"/>
      <c r="CZ85" s="146"/>
      <c r="DA85" s="146"/>
      <c r="DB85" s="146"/>
      <c r="DC85" s="146"/>
      <c r="DD85" s="146"/>
      <c r="DE85" s="146"/>
      <c r="DF85" s="146"/>
      <c r="DG85" s="146"/>
      <c r="DH85" s="146"/>
      <c r="DI85" s="146"/>
      <c r="DJ85" s="146"/>
      <c r="DK85" s="146"/>
      <c r="DL85" s="146"/>
      <c r="DM85" s="146"/>
      <c r="DN85" s="146"/>
      <c r="DO85" s="146"/>
      <c r="DP85" s="146"/>
      <c r="DQ85" s="146"/>
      <c r="DR85" s="146"/>
      <c r="DS85" s="146"/>
      <c r="DT85" s="146"/>
      <c r="DU85" s="146"/>
      <c r="DV85" s="146"/>
      <c r="DW85" s="146"/>
      <c r="DX85" s="146"/>
      <c r="DY85" s="146"/>
      <c r="DZ85" s="146"/>
      <c r="EA85" s="146"/>
      <c r="EB85" s="146"/>
      <c r="EC85" s="146"/>
      <c r="ED85" s="146"/>
      <c r="EE85" s="146"/>
      <c r="EF85" s="146"/>
      <c r="EG85" s="146"/>
      <c r="EH85" s="146"/>
      <c r="EI85" s="146"/>
      <c r="EJ85" s="146"/>
      <c r="EK85" s="146"/>
      <c r="EL85" s="146"/>
      <c r="EM85" s="146"/>
      <c r="EN85" s="146"/>
      <c r="EO85" s="146"/>
      <c r="EP85" s="146"/>
      <c r="EQ85" s="146"/>
      <c r="ER85" s="146"/>
      <c r="ES85" s="146"/>
      <c r="ET85" s="146"/>
      <c r="EU85" s="146"/>
      <c r="EV85" s="146"/>
      <c r="EW85" s="146"/>
      <c r="EX85" s="146"/>
      <c r="EY85" s="146"/>
      <c r="EZ85" s="146"/>
      <c r="FA85" s="146"/>
      <c r="FB85" s="146"/>
      <c r="FC85" s="146"/>
      <c r="FD85" s="146"/>
      <c r="FE85" s="146"/>
      <c r="FF85" s="146"/>
      <c r="FG85" s="146"/>
      <c r="FH85" s="146"/>
      <c r="FI85" s="146"/>
      <c r="FJ85" s="146"/>
      <c r="FK85" s="146"/>
      <c r="FL85" s="146"/>
      <c r="FM85" s="146"/>
      <c r="FN85" s="146"/>
      <c r="FO85" s="146"/>
      <c r="FP85" s="146"/>
      <c r="FQ85" s="146"/>
      <c r="FR85" s="146"/>
      <c r="FS85" s="146"/>
      <c r="FT85" s="146"/>
      <c r="FU85" s="146"/>
      <c r="FV85" s="146"/>
      <c r="FW85" s="146"/>
      <c r="FX85" s="146"/>
      <c r="FY85" s="146"/>
      <c r="FZ85" s="146"/>
      <c r="GA85" s="146"/>
      <c r="GB85" s="146"/>
      <c r="GC85" s="146"/>
      <c r="GD85" s="146"/>
      <c r="GE85" s="146"/>
      <c r="GF85" s="146"/>
      <c r="GG85" s="146"/>
      <c r="GH85" s="146"/>
      <c r="GI85" s="146"/>
      <c r="GJ85" s="146"/>
      <c r="GK85" s="146"/>
      <c r="GL85" s="146"/>
      <c r="GM85" s="146"/>
      <c r="GN85" s="146"/>
      <c r="GO85" s="146"/>
      <c r="GP85" s="146"/>
      <c r="GQ85" s="146"/>
      <c r="GR85" s="146"/>
      <c r="GS85" s="146"/>
      <c r="GT85" s="146"/>
      <c r="GU85" s="146"/>
      <c r="GV85" s="146"/>
      <c r="GW85" s="146"/>
      <c r="GX85" s="146"/>
      <c r="GY85" s="146"/>
      <c r="GZ85" s="146"/>
      <c r="HA85" s="146"/>
      <c r="HB85" s="146"/>
      <c r="HC85" s="146"/>
      <c r="HD85" s="146"/>
      <c r="HE85" s="146"/>
      <c r="HF85" s="146"/>
      <c r="HG85" s="146"/>
      <c r="HH85" s="146"/>
      <c r="HI85" s="146"/>
      <c r="HJ85" s="146"/>
      <c r="HK85" s="146"/>
      <c r="HL85" s="146"/>
      <c r="HM85" s="146"/>
      <c r="HN85" s="146"/>
      <c r="HO85" s="146"/>
      <c r="HP85" s="146"/>
      <c r="HQ85" s="146"/>
      <c r="HR85" s="146"/>
      <c r="HS85" s="146"/>
      <c r="HT85" s="146"/>
      <c r="HU85" s="146"/>
      <c r="HV85" s="146"/>
      <c r="HW85" s="146"/>
      <c r="HX85" s="146"/>
      <c r="HY85" s="146"/>
      <c r="HZ85" s="146"/>
      <c r="IA85" s="146"/>
    </row>
    <row r="86" spans="1:235" s="153" customFormat="1" ht="57" x14ac:dyDescent="0.25">
      <c r="A86" s="197">
        <v>11600</v>
      </c>
      <c r="B86" s="194" t="s">
        <v>6</v>
      </c>
      <c r="C86" s="198" t="s">
        <v>278</v>
      </c>
      <c r="D86" s="194" t="s">
        <v>147</v>
      </c>
      <c r="E86" s="198" t="s">
        <v>527</v>
      </c>
      <c r="F86" s="194" t="s">
        <v>289</v>
      </c>
      <c r="G86" s="209" t="s">
        <v>123</v>
      </c>
      <c r="H86" s="216">
        <v>1</v>
      </c>
      <c r="I86" s="198" t="s">
        <v>528</v>
      </c>
      <c r="J86" s="194" t="s">
        <v>289</v>
      </c>
      <c r="K86" s="210">
        <v>576178068</v>
      </c>
      <c r="L86" s="211">
        <v>1</v>
      </c>
      <c r="M86" s="194" t="s">
        <v>46</v>
      </c>
      <c r="N86" s="194" t="s">
        <v>73</v>
      </c>
      <c r="O86" s="194" t="s">
        <v>37</v>
      </c>
      <c r="P86" s="194" t="s">
        <v>40</v>
      </c>
      <c r="Q86" s="194" t="s">
        <v>228</v>
      </c>
      <c r="R86" s="194" t="s">
        <v>379</v>
      </c>
      <c r="S86" s="194" t="s">
        <v>99</v>
      </c>
      <c r="T86" s="211">
        <v>1</v>
      </c>
      <c r="U86" s="212" t="str">
        <f t="shared" si="41"/>
        <v>Brindar Soporte a los sistemas de información que respaldan los procesos misionales de ADRES</v>
      </c>
      <c r="V86" s="213">
        <f t="shared" si="41"/>
        <v>576178068</v>
      </c>
      <c r="W86" s="222" t="s">
        <v>114</v>
      </c>
      <c r="X86" s="216">
        <v>0.25</v>
      </c>
      <c r="Y86" s="214" t="s">
        <v>289</v>
      </c>
      <c r="Z86" s="210">
        <v>144044517</v>
      </c>
      <c r="AA86" s="196"/>
      <c r="AB86" s="196"/>
      <c r="AC86" s="204">
        <f t="shared" si="42"/>
        <v>0</v>
      </c>
      <c r="AD86" s="204">
        <f t="shared" si="43"/>
        <v>0</v>
      </c>
      <c r="AE86" s="204">
        <f t="shared" si="29"/>
        <v>0</v>
      </c>
      <c r="AF86" s="204">
        <f t="shared" si="30"/>
        <v>0</v>
      </c>
      <c r="AG86" s="216">
        <v>0.25</v>
      </c>
      <c r="AH86" s="214" t="s">
        <v>289</v>
      </c>
      <c r="AI86" s="210">
        <v>144044517</v>
      </c>
      <c r="AJ86" s="196"/>
      <c r="AK86" s="196"/>
      <c r="AL86" s="204">
        <f t="shared" si="44"/>
        <v>0</v>
      </c>
      <c r="AM86" s="204">
        <f t="shared" si="31"/>
        <v>0</v>
      </c>
      <c r="AN86" s="204">
        <f t="shared" si="32"/>
        <v>0</v>
      </c>
      <c r="AO86" s="204">
        <f t="shared" si="33"/>
        <v>0</v>
      </c>
      <c r="AP86" s="216">
        <v>0.25</v>
      </c>
      <c r="AQ86" s="214" t="s">
        <v>289</v>
      </c>
      <c r="AR86" s="210">
        <v>144044517</v>
      </c>
      <c r="AS86" s="196"/>
      <c r="AT86" s="196"/>
      <c r="AU86" s="204">
        <f t="shared" si="45"/>
        <v>0</v>
      </c>
      <c r="AV86" s="204">
        <f t="shared" si="46"/>
        <v>0</v>
      </c>
      <c r="AW86" s="204">
        <f t="shared" si="47"/>
        <v>0</v>
      </c>
      <c r="AX86" s="204">
        <f t="shared" si="48"/>
        <v>0</v>
      </c>
      <c r="AY86" s="216">
        <v>0.25</v>
      </c>
      <c r="AZ86" s="214" t="s">
        <v>289</v>
      </c>
      <c r="BA86" s="210">
        <v>144044517</v>
      </c>
      <c r="BB86" s="196"/>
      <c r="BC86" s="196"/>
      <c r="BD86" s="216">
        <f t="shared" si="49"/>
        <v>0</v>
      </c>
      <c r="BE86" s="216">
        <f t="shared" si="50"/>
        <v>0</v>
      </c>
      <c r="BF86" s="216">
        <f t="shared" si="51"/>
        <v>0</v>
      </c>
      <c r="BG86" s="216">
        <f t="shared" si="52"/>
        <v>0</v>
      </c>
      <c r="BH86" s="217">
        <f t="shared" si="34"/>
        <v>0</v>
      </c>
      <c r="BI86" s="217">
        <f t="shared" si="35"/>
        <v>0</v>
      </c>
      <c r="BJ86" s="217">
        <f t="shared" si="36"/>
        <v>0</v>
      </c>
      <c r="BK86" s="217">
        <f t="shared" si="37"/>
        <v>0</v>
      </c>
      <c r="BL86" s="217">
        <f t="shared" si="53"/>
        <v>0</v>
      </c>
      <c r="BM86" s="217">
        <f t="shared" si="54"/>
        <v>0</v>
      </c>
      <c r="BN86" s="217">
        <f t="shared" si="38"/>
        <v>0</v>
      </c>
      <c r="BO86" s="217">
        <f t="shared" si="39"/>
        <v>0</v>
      </c>
      <c r="BP86" s="206"/>
      <c r="BQ86" s="277">
        <v>4</v>
      </c>
      <c r="BR86" s="208">
        <f t="shared" si="40"/>
        <v>0.58333333333333337</v>
      </c>
      <c r="BS86" s="219" t="str">
        <f t="shared" si="55"/>
        <v>Brindar Soporte a los sistemas de información que respaldan los procesos misionales de ADRES</v>
      </c>
      <c r="BT86" s="195">
        <f t="shared" si="28"/>
        <v>336103873</v>
      </c>
      <c r="BU86" s="196"/>
      <c r="BV86" s="196"/>
      <c r="BW86" s="196"/>
      <c r="BX86" s="196"/>
      <c r="BY86" s="196"/>
      <c r="BZ86" s="196"/>
      <c r="CA86" s="146"/>
      <c r="CB86" s="146"/>
      <c r="CC86" s="146"/>
      <c r="CD86" s="146"/>
      <c r="CE86" s="146"/>
      <c r="CF86" s="146"/>
      <c r="CG86" s="146"/>
      <c r="CH86" s="146"/>
      <c r="CI86" s="146"/>
      <c r="CJ86" s="146"/>
      <c r="CK86" s="146"/>
      <c r="CL86" s="146"/>
      <c r="CM86" s="146"/>
      <c r="CN86" s="146"/>
      <c r="CO86" s="146"/>
      <c r="CP86" s="146"/>
      <c r="CQ86" s="146"/>
      <c r="CR86" s="146"/>
      <c r="CS86" s="146"/>
      <c r="CT86" s="146"/>
      <c r="CU86" s="146"/>
      <c r="CV86" s="146"/>
      <c r="CW86" s="146"/>
      <c r="CX86" s="146"/>
      <c r="CY86" s="146"/>
      <c r="CZ86" s="146"/>
      <c r="DA86" s="146"/>
      <c r="DB86" s="146"/>
      <c r="DC86" s="146"/>
      <c r="DD86" s="146"/>
      <c r="DE86" s="146"/>
      <c r="DF86" s="146"/>
      <c r="DG86" s="146"/>
      <c r="DH86" s="146"/>
      <c r="DI86" s="146"/>
      <c r="DJ86" s="146"/>
      <c r="DK86" s="146"/>
      <c r="DL86" s="146"/>
      <c r="DM86" s="146"/>
      <c r="DN86" s="146"/>
      <c r="DO86" s="146"/>
      <c r="DP86" s="146"/>
      <c r="DQ86" s="146"/>
      <c r="DR86" s="146"/>
      <c r="DS86" s="146"/>
      <c r="DT86" s="146"/>
      <c r="DU86" s="146"/>
      <c r="DV86" s="146"/>
      <c r="DW86" s="146"/>
      <c r="DX86" s="146"/>
      <c r="DY86" s="146"/>
      <c r="DZ86" s="146"/>
      <c r="EA86" s="146"/>
      <c r="EB86" s="146"/>
      <c r="EC86" s="146"/>
      <c r="ED86" s="146"/>
      <c r="EE86" s="146"/>
      <c r="EF86" s="146"/>
      <c r="EG86" s="146"/>
      <c r="EH86" s="146"/>
      <c r="EI86" s="146"/>
      <c r="EJ86" s="146"/>
      <c r="EK86" s="146"/>
      <c r="EL86" s="146"/>
      <c r="EM86" s="146"/>
      <c r="EN86" s="146"/>
      <c r="EO86" s="146"/>
      <c r="EP86" s="146"/>
      <c r="EQ86" s="146"/>
      <c r="ER86" s="146"/>
      <c r="ES86" s="146"/>
      <c r="ET86" s="146"/>
      <c r="EU86" s="146"/>
      <c r="EV86" s="146"/>
      <c r="EW86" s="146"/>
      <c r="EX86" s="146"/>
      <c r="EY86" s="146"/>
      <c r="EZ86" s="146"/>
      <c r="FA86" s="146"/>
      <c r="FB86" s="146"/>
      <c r="FC86" s="146"/>
      <c r="FD86" s="146"/>
      <c r="FE86" s="146"/>
      <c r="FF86" s="146"/>
      <c r="FG86" s="146"/>
      <c r="FH86" s="146"/>
      <c r="FI86" s="146"/>
      <c r="FJ86" s="146"/>
      <c r="FK86" s="146"/>
      <c r="FL86" s="146"/>
      <c r="FM86" s="146"/>
      <c r="FN86" s="146"/>
      <c r="FO86" s="146"/>
      <c r="FP86" s="146"/>
      <c r="FQ86" s="146"/>
      <c r="FR86" s="146"/>
      <c r="FS86" s="146"/>
      <c r="FT86" s="146"/>
      <c r="FU86" s="146"/>
      <c r="FV86" s="146"/>
      <c r="FW86" s="146"/>
      <c r="FX86" s="146"/>
      <c r="FY86" s="146"/>
      <c r="FZ86" s="146"/>
      <c r="GA86" s="146"/>
      <c r="GB86" s="146"/>
      <c r="GC86" s="146"/>
      <c r="GD86" s="146"/>
      <c r="GE86" s="146"/>
      <c r="GF86" s="146"/>
      <c r="GG86" s="146"/>
      <c r="GH86" s="146"/>
      <c r="GI86" s="146"/>
      <c r="GJ86" s="146"/>
      <c r="GK86" s="146"/>
      <c r="GL86" s="146"/>
      <c r="GM86" s="146"/>
      <c r="GN86" s="146"/>
      <c r="GO86" s="146"/>
      <c r="GP86" s="146"/>
      <c r="GQ86" s="146"/>
      <c r="GR86" s="146"/>
      <c r="GS86" s="146"/>
      <c r="GT86" s="146"/>
      <c r="GU86" s="146"/>
      <c r="GV86" s="146"/>
      <c r="GW86" s="146"/>
      <c r="GX86" s="146"/>
      <c r="GY86" s="146"/>
      <c r="GZ86" s="146"/>
      <c r="HA86" s="146"/>
      <c r="HB86" s="146"/>
      <c r="HC86" s="146"/>
      <c r="HD86" s="146"/>
      <c r="HE86" s="146"/>
      <c r="HF86" s="146"/>
      <c r="HG86" s="146"/>
      <c r="HH86" s="146"/>
      <c r="HI86" s="146"/>
      <c r="HJ86" s="146"/>
      <c r="HK86" s="146"/>
      <c r="HL86" s="146"/>
      <c r="HM86" s="146"/>
      <c r="HN86" s="146"/>
      <c r="HO86" s="146"/>
      <c r="HP86" s="146"/>
      <c r="HQ86" s="146"/>
      <c r="HR86" s="146"/>
      <c r="HS86" s="146"/>
      <c r="HT86" s="146"/>
      <c r="HU86" s="146"/>
      <c r="HV86" s="146"/>
      <c r="HW86" s="146"/>
      <c r="HX86" s="146"/>
      <c r="HY86" s="146"/>
      <c r="HZ86" s="146"/>
      <c r="IA86" s="146"/>
    </row>
    <row r="87" spans="1:235" s="153" customFormat="1" ht="57" x14ac:dyDescent="0.25">
      <c r="A87" s="197">
        <v>11600</v>
      </c>
      <c r="B87" s="194" t="s">
        <v>6</v>
      </c>
      <c r="C87" s="198" t="s">
        <v>278</v>
      </c>
      <c r="D87" s="194" t="s">
        <v>147</v>
      </c>
      <c r="E87" s="198" t="s">
        <v>639</v>
      </c>
      <c r="F87" s="194" t="s">
        <v>640</v>
      </c>
      <c r="G87" s="209" t="s">
        <v>123</v>
      </c>
      <c r="H87" s="216">
        <v>1</v>
      </c>
      <c r="I87" s="198" t="s">
        <v>641</v>
      </c>
      <c r="J87" s="194" t="s">
        <v>642</v>
      </c>
      <c r="K87" s="210">
        <v>737488220</v>
      </c>
      <c r="L87" s="211">
        <v>1</v>
      </c>
      <c r="M87" s="194" t="s">
        <v>46</v>
      </c>
      <c r="N87" s="194" t="s">
        <v>73</v>
      </c>
      <c r="O87" s="194" t="s">
        <v>37</v>
      </c>
      <c r="P87" s="194" t="s">
        <v>40</v>
      </c>
      <c r="Q87" s="194" t="s">
        <v>228</v>
      </c>
      <c r="R87" s="194" t="s">
        <v>634</v>
      </c>
      <c r="S87" s="194" t="s">
        <v>99</v>
      </c>
      <c r="T87" s="211">
        <v>1</v>
      </c>
      <c r="U87" s="212" t="str">
        <f t="shared" si="41"/>
        <v>Suministro de Equipos de Computo a la ADRES</v>
      </c>
      <c r="V87" s="213">
        <f t="shared" si="41"/>
        <v>737488220</v>
      </c>
      <c r="W87" s="222" t="s">
        <v>114</v>
      </c>
      <c r="X87" s="216">
        <v>0.25</v>
      </c>
      <c r="Y87" s="214" t="s">
        <v>642</v>
      </c>
      <c r="Z87" s="210">
        <v>184372055</v>
      </c>
      <c r="AA87" s="196"/>
      <c r="AB87" s="196"/>
      <c r="AC87" s="204">
        <f t="shared" si="42"/>
        <v>0</v>
      </c>
      <c r="AD87" s="204">
        <f t="shared" si="43"/>
        <v>0</v>
      </c>
      <c r="AE87" s="204">
        <f t="shared" si="29"/>
        <v>0</v>
      </c>
      <c r="AF87" s="204">
        <f t="shared" si="30"/>
        <v>0</v>
      </c>
      <c r="AG87" s="216">
        <v>0.25</v>
      </c>
      <c r="AH87" s="214" t="s">
        <v>642</v>
      </c>
      <c r="AI87" s="210">
        <v>184372055</v>
      </c>
      <c r="AJ87" s="196"/>
      <c r="AK87" s="196"/>
      <c r="AL87" s="204">
        <f t="shared" si="44"/>
        <v>0</v>
      </c>
      <c r="AM87" s="204">
        <f t="shared" si="31"/>
        <v>0</v>
      </c>
      <c r="AN87" s="204">
        <f t="shared" si="32"/>
        <v>0</v>
      </c>
      <c r="AO87" s="204">
        <f t="shared" si="33"/>
        <v>0</v>
      </c>
      <c r="AP87" s="216">
        <v>0.25</v>
      </c>
      <c r="AQ87" s="214" t="s">
        <v>642</v>
      </c>
      <c r="AR87" s="210">
        <v>184372055</v>
      </c>
      <c r="AS87" s="196"/>
      <c r="AT87" s="196"/>
      <c r="AU87" s="204">
        <f t="shared" si="45"/>
        <v>0</v>
      </c>
      <c r="AV87" s="204">
        <f t="shared" si="46"/>
        <v>0</v>
      </c>
      <c r="AW87" s="204">
        <f t="shared" si="47"/>
        <v>0</v>
      </c>
      <c r="AX87" s="204">
        <f t="shared" si="48"/>
        <v>0</v>
      </c>
      <c r="AY87" s="216">
        <v>0.25</v>
      </c>
      <c r="AZ87" s="214" t="s">
        <v>642</v>
      </c>
      <c r="BA87" s="210">
        <v>184372055</v>
      </c>
      <c r="BB87" s="196"/>
      <c r="BC87" s="196"/>
      <c r="BD87" s="216">
        <f t="shared" si="49"/>
        <v>0</v>
      </c>
      <c r="BE87" s="216">
        <f t="shared" si="50"/>
        <v>0</v>
      </c>
      <c r="BF87" s="216">
        <f t="shared" si="51"/>
        <v>0</v>
      </c>
      <c r="BG87" s="216">
        <f t="shared" si="52"/>
        <v>0</v>
      </c>
      <c r="BH87" s="217">
        <f t="shared" si="34"/>
        <v>0</v>
      </c>
      <c r="BI87" s="217">
        <f t="shared" si="35"/>
        <v>0</v>
      </c>
      <c r="BJ87" s="217">
        <f t="shared" si="36"/>
        <v>0</v>
      </c>
      <c r="BK87" s="217">
        <f t="shared" si="37"/>
        <v>0</v>
      </c>
      <c r="BL87" s="217">
        <f t="shared" si="53"/>
        <v>0</v>
      </c>
      <c r="BM87" s="217">
        <f t="shared" si="54"/>
        <v>0</v>
      </c>
      <c r="BN87" s="217">
        <f t="shared" si="38"/>
        <v>0</v>
      </c>
      <c r="BO87" s="217">
        <f t="shared" si="39"/>
        <v>0</v>
      </c>
      <c r="BP87" s="206"/>
      <c r="BQ87" s="277">
        <v>4</v>
      </c>
      <c r="BR87" s="208">
        <f t="shared" si="40"/>
        <v>0.58333333333333337</v>
      </c>
      <c r="BS87" s="219" t="str">
        <f t="shared" si="55"/>
        <v>Suministro de Equipos de Computo a la ADRES</v>
      </c>
      <c r="BT87" s="195">
        <f t="shared" si="28"/>
        <v>430201461.66666669</v>
      </c>
      <c r="BU87" s="196"/>
      <c r="BV87" s="196"/>
      <c r="BW87" s="196"/>
      <c r="BX87" s="196"/>
      <c r="BY87" s="196"/>
      <c r="BZ87" s="196"/>
      <c r="CA87" s="146"/>
      <c r="CB87" s="146"/>
      <c r="CC87" s="146"/>
      <c r="CD87" s="146"/>
      <c r="CE87" s="146"/>
      <c r="CF87" s="146"/>
      <c r="CG87" s="146"/>
      <c r="CH87" s="146"/>
      <c r="CI87" s="146"/>
      <c r="CJ87" s="146"/>
      <c r="CK87" s="146"/>
      <c r="CL87" s="146"/>
      <c r="CM87" s="146"/>
      <c r="CN87" s="146"/>
      <c r="CO87" s="146"/>
      <c r="CP87" s="146"/>
      <c r="CQ87" s="146"/>
      <c r="CR87" s="146"/>
      <c r="CS87" s="146"/>
      <c r="CT87" s="146"/>
      <c r="CU87" s="146"/>
      <c r="CV87" s="146"/>
      <c r="CW87" s="146"/>
      <c r="CX87" s="146"/>
      <c r="CY87" s="146"/>
      <c r="CZ87" s="146"/>
      <c r="DA87" s="146"/>
      <c r="DB87" s="146"/>
      <c r="DC87" s="146"/>
      <c r="DD87" s="146"/>
      <c r="DE87" s="146"/>
      <c r="DF87" s="146"/>
      <c r="DG87" s="146"/>
      <c r="DH87" s="146"/>
      <c r="DI87" s="146"/>
      <c r="DJ87" s="146"/>
      <c r="DK87" s="146"/>
      <c r="DL87" s="146"/>
      <c r="DM87" s="146"/>
      <c r="DN87" s="146"/>
      <c r="DO87" s="146"/>
      <c r="DP87" s="146"/>
      <c r="DQ87" s="146"/>
      <c r="DR87" s="146"/>
      <c r="DS87" s="146"/>
      <c r="DT87" s="146"/>
      <c r="DU87" s="146"/>
      <c r="DV87" s="146"/>
      <c r="DW87" s="146"/>
      <c r="DX87" s="146"/>
      <c r="DY87" s="146"/>
      <c r="DZ87" s="146"/>
      <c r="EA87" s="146"/>
      <c r="EB87" s="146"/>
      <c r="EC87" s="146"/>
      <c r="ED87" s="146"/>
      <c r="EE87" s="146"/>
      <c r="EF87" s="146"/>
      <c r="EG87" s="146"/>
      <c r="EH87" s="146"/>
      <c r="EI87" s="146"/>
      <c r="EJ87" s="146"/>
      <c r="EK87" s="146"/>
      <c r="EL87" s="146"/>
      <c r="EM87" s="146"/>
      <c r="EN87" s="146"/>
      <c r="EO87" s="146"/>
      <c r="EP87" s="146"/>
      <c r="EQ87" s="146"/>
      <c r="ER87" s="146"/>
      <c r="ES87" s="146"/>
      <c r="ET87" s="146"/>
      <c r="EU87" s="146"/>
      <c r="EV87" s="146"/>
      <c r="EW87" s="146"/>
      <c r="EX87" s="146"/>
      <c r="EY87" s="146"/>
      <c r="EZ87" s="146"/>
      <c r="FA87" s="146"/>
      <c r="FB87" s="146"/>
      <c r="FC87" s="146"/>
      <c r="FD87" s="146"/>
      <c r="FE87" s="146"/>
      <c r="FF87" s="146"/>
      <c r="FG87" s="146"/>
      <c r="FH87" s="146"/>
      <c r="FI87" s="146"/>
      <c r="FJ87" s="146"/>
      <c r="FK87" s="146"/>
      <c r="FL87" s="146"/>
      <c r="FM87" s="146"/>
      <c r="FN87" s="146"/>
      <c r="FO87" s="146"/>
      <c r="FP87" s="146"/>
      <c r="FQ87" s="146"/>
      <c r="FR87" s="146"/>
      <c r="FS87" s="146"/>
      <c r="FT87" s="146"/>
      <c r="FU87" s="146"/>
      <c r="FV87" s="146"/>
      <c r="FW87" s="146"/>
      <c r="FX87" s="146"/>
      <c r="FY87" s="146"/>
      <c r="FZ87" s="146"/>
      <c r="GA87" s="146"/>
      <c r="GB87" s="146"/>
      <c r="GC87" s="146"/>
      <c r="GD87" s="146"/>
      <c r="GE87" s="146"/>
      <c r="GF87" s="146"/>
      <c r="GG87" s="146"/>
      <c r="GH87" s="146"/>
      <c r="GI87" s="146"/>
      <c r="GJ87" s="146"/>
      <c r="GK87" s="146"/>
      <c r="GL87" s="146"/>
      <c r="GM87" s="146"/>
      <c r="GN87" s="146"/>
      <c r="GO87" s="146"/>
      <c r="GP87" s="146"/>
      <c r="GQ87" s="146"/>
      <c r="GR87" s="146"/>
      <c r="GS87" s="146"/>
      <c r="GT87" s="146"/>
      <c r="GU87" s="146"/>
      <c r="GV87" s="146"/>
      <c r="GW87" s="146"/>
      <c r="GX87" s="146"/>
      <c r="GY87" s="146"/>
      <c r="GZ87" s="146"/>
      <c r="HA87" s="146"/>
      <c r="HB87" s="146"/>
      <c r="HC87" s="146"/>
      <c r="HD87" s="146"/>
      <c r="HE87" s="146"/>
      <c r="HF87" s="146"/>
      <c r="HG87" s="146"/>
      <c r="HH87" s="146"/>
      <c r="HI87" s="146"/>
      <c r="HJ87" s="146"/>
      <c r="HK87" s="146"/>
      <c r="HL87" s="146"/>
      <c r="HM87" s="146"/>
      <c r="HN87" s="146"/>
      <c r="HO87" s="146"/>
      <c r="HP87" s="146"/>
      <c r="HQ87" s="146"/>
      <c r="HR87" s="146"/>
      <c r="HS87" s="146"/>
      <c r="HT87" s="146"/>
      <c r="HU87" s="146"/>
      <c r="HV87" s="146"/>
      <c r="HW87" s="146"/>
      <c r="HX87" s="146"/>
      <c r="HY87" s="146"/>
      <c r="HZ87" s="146"/>
      <c r="IA87" s="146"/>
    </row>
    <row r="88" spans="1:235" s="153" customFormat="1" ht="57" x14ac:dyDescent="0.25">
      <c r="A88" s="197">
        <v>11700</v>
      </c>
      <c r="B88" s="194" t="s">
        <v>29</v>
      </c>
      <c r="C88" s="198" t="s">
        <v>844</v>
      </c>
      <c r="D88" s="231" t="s">
        <v>153</v>
      </c>
      <c r="E88" s="232" t="s">
        <v>845</v>
      </c>
      <c r="F88" s="231" t="s">
        <v>133</v>
      </c>
      <c r="G88" s="233" t="s">
        <v>124</v>
      </c>
      <c r="H88" s="232">
        <v>4</v>
      </c>
      <c r="I88" s="232" t="s">
        <v>846</v>
      </c>
      <c r="J88" s="231" t="s">
        <v>24</v>
      </c>
      <c r="K88" s="234">
        <v>0</v>
      </c>
      <c r="L88" s="235">
        <v>1</v>
      </c>
      <c r="M88" s="231" t="s">
        <v>51</v>
      </c>
      <c r="N88" s="231" t="s">
        <v>68</v>
      </c>
      <c r="O88" s="231" t="s">
        <v>21</v>
      </c>
      <c r="P88" s="231" t="s">
        <v>36</v>
      </c>
      <c r="Q88" s="231" t="s">
        <v>75</v>
      </c>
      <c r="R88" s="231" t="s">
        <v>631</v>
      </c>
      <c r="S88" s="231" t="s">
        <v>98</v>
      </c>
      <c r="T88" s="232">
        <v>4</v>
      </c>
      <c r="U88" s="231" t="str">
        <f>+J88</f>
        <v>Reportar el cumplimiento del Plan de Acción de la Dependencia</v>
      </c>
      <c r="V88" s="236">
        <f>+K88</f>
        <v>0</v>
      </c>
      <c r="W88" s="237" t="s">
        <v>117</v>
      </c>
      <c r="X88" s="238">
        <v>1</v>
      </c>
      <c r="Y88" s="231" t="s">
        <v>24</v>
      </c>
      <c r="Z88" s="234">
        <v>0</v>
      </c>
      <c r="AA88" s="239"/>
      <c r="AB88" s="237"/>
      <c r="AC88" s="240">
        <f>+(AA88/X88)</f>
        <v>0</v>
      </c>
      <c r="AD88" s="240" t="e">
        <f>+(AB88/Z88)</f>
        <v>#DIV/0!</v>
      </c>
      <c r="AE88" s="240">
        <f>+(AA88/T88)</f>
        <v>0</v>
      </c>
      <c r="AF88" s="240" t="e">
        <f>+(AB88/V88)</f>
        <v>#DIV/0!</v>
      </c>
      <c r="AG88" s="238">
        <v>1</v>
      </c>
      <c r="AH88" s="231" t="s">
        <v>24</v>
      </c>
      <c r="AI88" s="234">
        <v>0</v>
      </c>
      <c r="AJ88" s="239"/>
      <c r="AK88" s="239"/>
      <c r="AL88" s="240">
        <f>+(AJ88/AG88)</f>
        <v>0</v>
      </c>
      <c r="AM88" s="240" t="e">
        <f>+(AK88/AI88)</f>
        <v>#DIV/0!</v>
      </c>
      <c r="AN88" s="240">
        <f>+(AJ88+AA88)/T88</f>
        <v>0</v>
      </c>
      <c r="AO88" s="240" t="e">
        <f>+(AK88+AB88)/V88</f>
        <v>#DIV/0!</v>
      </c>
      <c r="AP88" s="238">
        <v>1</v>
      </c>
      <c r="AQ88" s="231" t="s">
        <v>24</v>
      </c>
      <c r="AR88" s="234">
        <v>0</v>
      </c>
      <c r="AS88" s="239"/>
      <c r="AT88" s="239"/>
      <c r="AU88" s="240">
        <f>+(AS88/AP88)</f>
        <v>0</v>
      </c>
      <c r="AV88" s="240" t="e">
        <f>+(AT88/AR88)</f>
        <v>#DIV/0!</v>
      </c>
      <c r="AW88" s="240">
        <f>+(AJ88+AA88+AS88)/T88</f>
        <v>0</v>
      </c>
      <c r="AX88" s="240" t="e">
        <f>+(AK88+AB88+AT88)/V88</f>
        <v>#DIV/0!</v>
      </c>
      <c r="AY88" s="238">
        <v>1</v>
      </c>
      <c r="AZ88" s="231" t="s">
        <v>24</v>
      </c>
      <c r="BA88" s="234">
        <v>0</v>
      </c>
      <c r="BB88" s="239"/>
      <c r="BC88" s="239"/>
      <c r="BD88" s="240">
        <f>+(BB88/AY88)</f>
        <v>0</v>
      </c>
      <c r="BE88" s="240" t="e">
        <f>+(BC88/BA88)</f>
        <v>#DIV/0!</v>
      </c>
      <c r="BF88" s="240">
        <f>+(AJ88+AA88+AS88+BB88)/T88</f>
        <v>0</v>
      </c>
      <c r="BG88" s="240" t="e">
        <f>+(AK88+AB88+AT88+BC88)/V88</f>
        <v>#DIV/0!</v>
      </c>
      <c r="BH88" s="241"/>
      <c r="BI88" s="241"/>
      <c r="BJ88" s="241"/>
      <c r="BK88" s="241"/>
      <c r="BL88" s="241"/>
      <c r="BM88" s="241"/>
      <c r="BN88" s="241"/>
      <c r="BO88" s="241"/>
      <c r="BP88" s="242"/>
      <c r="BQ88" s="277">
        <v>5</v>
      </c>
      <c r="BR88" s="218">
        <f t="shared" si="40"/>
        <v>2.3333333333333335</v>
      </c>
      <c r="BS88" s="219" t="str">
        <f t="shared" si="55"/>
        <v>Reportar el cumplimiento del Plan de Acción de la Dependencia</v>
      </c>
      <c r="BT88" s="195">
        <f t="shared" si="28"/>
        <v>0</v>
      </c>
      <c r="BU88" s="196"/>
      <c r="BV88" s="196"/>
      <c r="BW88" s="196"/>
      <c r="BX88" s="196"/>
      <c r="BY88" s="196"/>
      <c r="BZ88" s="196"/>
      <c r="CA88" s="146"/>
      <c r="CB88" s="146"/>
      <c r="CC88" s="146"/>
      <c r="CD88" s="146"/>
      <c r="CE88" s="146"/>
      <c r="CF88" s="146"/>
      <c r="CG88" s="146"/>
      <c r="CH88" s="146"/>
      <c r="CI88" s="146"/>
      <c r="CJ88" s="146"/>
      <c r="CK88" s="146"/>
      <c r="CL88" s="146"/>
      <c r="CM88" s="146"/>
      <c r="CN88" s="146"/>
      <c r="CO88" s="146"/>
      <c r="CP88" s="146"/>
      <c r="CQ88" s="146"/>
      <c r="CR88" s="146"/>
      <c r="CS88" s="146"/>
      <c r="CT88" s="146"/>
      <c r="CU88" s="146"/>
      <c r="CV88" s="146"/>
      <c r="CW88" s="146"/>
      <c r="CX88" s="146"/>
      <c r="CY88" s="146"/>
      <c r="CZ88" s="146"/>
      <c r="DA88" s="146"/>
      <c r="DB88" s="146"/>
      <c r="DC88" s="146"/>
      <c r="DD88" s="146"/>
      <c r="DE88" s="146"/>
      <c r="DF88" s="146"/>
      <c r="DG88" s="146"/>
      <c r="DH88" s="146"/>
      <c r="DI88" s="146"/>
      <c r="DJ88" s="146"/>
      <c r="DK88" s="146"/>
      <c r="DL88" s="146"/>
      <c r="DM88" s="146"/>
      <c r="DN88" s="146"/>
      <c r="DO88" s="146"/>
      <c r="DP88" s="146"/>
      <c r="DQ88" s="146"/>
      <c r="DR88" s="146"/>
      <c r="DS88" s="146"/>
      <c r="DT88" s="146"/>
      <c r="DU88" s="146"/>
      <c r="DV88" s="146"/>
      <c r="DW88" s="146"/>
      <c r="DX88" s="146"/>
      <c r="DY88" s="146"/>
      <c r="DZ88" s="146"/>
      <c r="EA88" s="146"/>
      <c r="EB88" s="146"/>
      <c r="EC88" s="146"/>
      <c r="ED88" s="146"/>
      <c r="EE88" s="146"/>
      <c r="EF88" s="146"/>
      <c r="EG88" s="146"/>
      <c r="EH88" s="146"/>
      <c r="EI88" s="146"/>
      <c r="EJ88" s="146"/>
      <c r="EK88" s="146"/>
      <c r="EL88" s="146"/>
      <c r="EM88" s="146"/>
      <c r="EN88" s="146"/>
      <c r="EO88" s="146"/>
      <c r="EP88" s="146"/>
      <c r="EQ88" s="146"/>
      <c r="ER88" s="146"/>
      <c r="ES88" s="146"/>
      <c r="ET88" s="146"/>
      <c r="EU88" s="146"/>
      <c r="EV88" s="146"/>
      <c r="EW88" s="146"/>
      <c r="EX88" s="146"/>
      <c r="EY88" s="146"/>
      <c r="EZ88" s="146"/>
      <c r="FA88" s="146"/>
      <c r="FB88" s="146"/>
      <c r="FC88" s="146"/>
      <c r="FD88" s="146"/>
      <c r="FE88" s="146"/>
      <c r="FF88" s="146"/>
      <c r="FG88" s="146"/>
      <c r="FH88" s="146"/>
      <c r="FI88" s="146"/>
      <c r="FJ88" s="146"/>
      <c r="FK88" s="146"/>
      <c r="FL88" s="146"/>
      <c r="FM88" s="146"/>
      <c r="FN88" s="146"/>
      <c r="FO88" s="146"/>
      <c r="FP88" s="146"/>
      <c r="FQ88" s="146"/>
      <c r="FR88" s="146"/>
      <c r="FS88" s="146"/>
      <c r="FT88" s="146"/>
      <c r="FU88" s="146"/>
      <c r="FV88" s="146"/>
      <c r="FW88" s="146"/>
      <c r="FX88" s="146"/>
      <c r="FY88" s="146"/>
      <c r="FZ88" s="146"/>
      <c r="GA88" s="146"/>
      <c r="GB88" s="146"/>
      <c r="GC88" s="146"/>
      <c r="GD88" s="146"/>
      <c r="GE88" s="146"/>
      <c r="GF88" s="146"/>
      <c r="GG88" s="146"/>
      <c r="GH88" s="146"/>
      <c r="GI88" s="146"/>
      <c r="GJ88" s="146"/>
      <c r="GK88" s="146"/>
      <c r="GL88" s="146"/>
      <c r="GM88" s="146"/>
      <c r="GN88" s="146"/>
      <c r="GO88" s="146"/>
      <c r="GP88" s="146"/>
      <c r="GQ88" s="146"/>
      <c r="GR88" s="146"/>
      <c r="GS88" s="146"/>
      <c r="GT88" s="146"/>
      <c r="GU88" s="146"/>
      <c r="GV88" s="146"/>
      <c r="GW88" s="146"/>
      <c r="GX88" s="146"/>
      <c r="GY88" s="146"/>
      <c r="GZ88" s="146"/>
      <c r="HA88" s="146"/>
      <c r="HB88" s="146"/>
      <c r="HC88" s="146"/>
      <c r="HD88" s="146"/>
      <c r="HE88" s="146"/>
      <c r="HF88" s="146"/>
      <c r="HG88" s="146"/>
      <c r="HH88" s="146"/>
      <c r="HI88" s="146"/>
      <c r="HJ88" s="146"/>
      <c r="HK88" s="146"/>
      <c r="HL88" s="146"/>
      <c r="HM88" s="146"/>
      <c r="HN88" s="146"/>
      <c r="HO88" s="146"/>
      <c r="HP88" s="146"/>
      <c r="HQ88" s="146"/>
      <c r="HR88" s="146"/>
      <c r="HS88" s="146"/>
      <c r="HT88" s="146"/>
      <c r="HU88" s="146"/>
      <c r="HV88" s="146"/>
      <c r="HW88" s="146"/>
      <c r="HX88" s="146"/>
      <c r="HY88" s="146"/>
      <c r="HZ88" s="146"/>
      <c r="IA88" s="146"/>
    </row>
    <row r="89" spans="1:235" s="153" customFormat="1" ht="99.75" x14ac:dyDescent="0.25">
      <c r="A89" s="197">
        <v>11700</v>
      </c>
      <c r="B89" s="194" t="s">
        <v>29</v>
      </c>
      <c r="C89" s="198" t="s">
        <v>328</v>
      </c>
      <c r="D89" s="194" t="s">
        <v>256</v>
      </c>
      <c r="E89" s="198" t="s">
        <v>329</v>
      </c>
      <c r="F89" s="194" t="s">
        <v>159</v>
      </c>
      <c r="G89" s="209" t="s">
        <v>123</v>
      </c>
      <c r="H89" s="216">
        <v>1</v>
      </c>
      <c r="I89" s="198" t="s">
        <v>331</v>
      </c>
      <c r="J89" s="194" t="s">
        <v>156</v>
      </c>
      <c r="K89" s="210">
        <v>0</v>
      </c>
      <c r="L89" s="211">
        <v>1</v>
      </c>
      <c r="M89" s="194" t="s">
        <v>51</v>
      </c>
      <c r="N89" s="194" t="s">
        <v>68</v>
      </c>
      <c r="O89" s="194" t="s">
        <v>21</v>
      </c>
      <c r="P89" s="194" t="s">
        <v>36</v>
      </c>
      <c r="Q89" s="194" t="s">
        <v>75</v>
      </c>
      <c r="R89" s="194" t="s">
        <v>672</v>
      </c>
      <c r="S89" s="194" t="s">
        <v>98</v>
      </c>
      <c r="T89" s="211">
        <v>1</v>
      </c>
      <c r="U89" s="212" t="str">
        <f t="shared" si="41"/>
        <v>Formular los proceso y procedimientos en el marco del MIPG</v>
      </c>
      <c r="V89" s="213">
        <f t="shared" si="41"/>
        <v>0</v>
      </c>
      <c r="W89" s="214" t="s">
        <v>117</v>
      </c>
      <c r="X89" s="216">
        <v>0.25</v>
      </c>
      <c r="Y89" s="214" t="s">
        <v>156</v>
      </c>
      <c r="Z89" s="210">
        <v>0</v>
      </c>
      <c r="AA89" s="196"/>
      <c r="AB89" s="196"/>
      <c r="AC89" s="204">
        <f t="shared" si="42"/>
        <v>0</v>
      </c>
      <c r="AD89" s="204" t="e">
        <f t="shared" si="43"/>
        <v>#DIV/0!</v>
      </c>
      <c r="AE89" s="204">
        <f t="shared" si="29"/>
        <v>0</v>
      </c>
      <c r="AF89" s="204" t="e">
        <f t="shared" si="30"/>
        <v>#DIV/0!</v>
      </c>
      <c r="AG89" s="216">
        <v>0.25</v>
      </c>
      <c r="AH89" s="214" t="s">
        <v>156</v>
      </c>
      <c r="AI89" s="210">
        <v>0</v>
      </c>
      <c r="AJ89" s="196"/>
      <c r="AK89" s="196"/>
      <c r="AL89" s="204">
        <f t="shared" si="44"/>
        <v>0</v>
      </c>
      <c r="AM89" s="204" t="e">
        <f t="shared" si="31"/>
        <v>#DIV/0!</v>
      </c>
      <c r="AN89" s="204">
        <f t="shared" si="32"/>
        <v>0</v>
      </c>
      <c r="AO89" s="204" t="e">
        <f t="shared" si="33"/>
        <v>#DIV/0!</v>
      </c>
      <c r="AP89" s="216">
        <v>0.25</v>
      </c>
      <c r="AQ89" s="214" t="s">
        <v>156</v>
      </c>
      <c r="AR89" s="210">
        <v>0</v>
      </c>
      <c r="AS89" s="196"/>
      <c r="AT89" s="196"/>
      <c r="AU89" s="204">
        <f t="shared" si="45"/>
        <v>0</v>
      </c>
      <c r="AV89" s="204" t="e">
        <f t="shared" si="46"/>
        <v>#DIV/0!</v>
      </c>
      <c r="AW89" s="204">
        <f t="shared" si="47"/>
        <v>0</v>
      </c>
      <c r="AX89" s="204" t="e">
        <f t="shared" si="48"/>
        <v>#DIV/0!</v>
      </c>
      <c r="AY89" s="216">
        <v>0.25</v>
      </c>
      <c r="AZ89" s="214" t="s">
        <v>156</v>
      </c>
      <c r="BA89" s="210">
        <v>0</v>
      </c>
      <c r="BB89" s="196"/>
      <c r="BC89" s="196"/>
      <c r="BD89" s="216">
        <f t="shared" si="49"/>
        <v>0</v>
      </c>
      <c r="BE89" s="216" t="e">
        <f t="shared" si="50"/>
        <v>#DIV/0!</v>
      </c>
      <c r="BF89" s="216">
        <f t="shared" si="51"/>
        <v>0</v>
      </c>
      <c r="BG89" s="216" t="e">
        <f t="shared" si="52"/>
        <v>#DIV/0!</v>
      </c>
      <c r="BH89" s="217">
        <f t="shared" si="34"/>
        <v>0</v>
      </c>
      <c r="BI89" s="217" t="str">
        <f t="shared" si="35"/>
        <v>No Prog ni Ejec</v>
      </c>
      <c r="BJ89" s="217">
        <f t="shared" si="36"/>
        <v>0</v>
      </c>
      <c r="BK89" s="217" t="str">
        <f t="shared" si="37"/>
        <v>No Prog ni Ejec</v>
      </c>
      <c r="BL89" s="217">
        <f t="shared" si="53"/>
        <v>0</v>
      </c>
      <c r="BM89" s="217" t="str">
        <f t="shared" si="54"/>
        <v>No Prog ni Ejec</v>
      </c>
      <c r="BN89" s="217">
        <f t="shared" si="38"/>
        <v>0</v>
      </c>
      <c r="BO89" s="217" t="str">
        <f t="shared" si="39"/>
        <v>No Prog ni Ejec</v>
      </c>
      <c r="BP89" s="206"/>
      <c r="BQ89" s="277">
        <v>5</v>
      </c>
      <c r="BR89" s="208">
        <f t="shared" si="40"/>
        <v>0.58333333333333337</v>
      </c>
      <c r="BS89" s="219" t="str">
        <f t="shared" si="55"/>
        <v>Formular los proceso y procedimientos en el marco del MIPG</v>
      </c>
      <c r="BT89" s="195">
        <f t="shared" si="28"/>
        <v>0</v>
      </c>
      <c r="BU89" s="196"/>
      <c r="BV89" s="196"/>
      <c r="BW89" s="196"/>
      <c r="BX89" s="196"/>
      <c r="BY89" s="196"/>
      <c r="BZ89" s="196"/>
      <c r="CA89" s="146"/>
      <c r="CB89" s="146"/>
      <c r="CC89" s="146"/>
      <c r="CD89" s="146"/>
      <c r="CE89" s="146"/>
      <c r="CF89" s="146"/>
      <c r="CG89" s="146"/>
      <c r="CH89" s="146"/>
      <c r="CI89" s="146"/>
      <c r="CJ89" s="146"/>
      <c r="CK89" s="146"/>
      <c r="CL89" s="146"/>
      <c r="CM89" s="146"/>
      <c r="CN89" s="146"/>
      <c r="CO89" s="146"/>
      <c r="CP89" s="146"/>
      <c r="CQ89" s="146"/>
      <c r="CR89" s="146"/>
      <c r="CS89" s="146"/>
      <c r="CT89" s="146"/>
      <c r="CU89" s="146"/>
      <c r="CV89" s="146"/>
      <c r="CW89" s="146"/>
      <c r="CX89" s="146"/>
      <c r="CY89" s="146"/>
      <c r="CZ89" s="146"/>
      <c r="DA89" s="146"/>
      <c r="DB89" s="146"/>
      <c r="DC89" s="146"/>
      <c r="DD89" s="146"/>
      <c r="DE89" s="146"/>
      <c r="DF89" s="146"/>
      <c r="DG89" s="146"/>
      <c r="DH89" s="146"/>
      <c r="DI89" s="146"/>
      <c r="DJ89" s="146"/>
      <c r="DK89" s="146"/>
      <c r="DL89" s="146"/>
      <c r="DM89" s="146"/>
      <c r="DN89" s="146"/>
      <c r="DO89" s="146"/>
      <c r="DP89" s="146"/>
      <c r="DQ89" s="146"/>
      <c r="DR89" s="146"/>
      <c r="DS89" s="146"/>
      <c r="DT89" s="146"/>
      <c r="DU89" s="146"/>
      <c r="DV89" s="146"/>
      <c r="DW89" s="146"/>
      <c r="DX89" s="146"/>
      <c r="DY89" s="146"/>
      <c r="DZ89" s="146"/>
      <c r="EA89" s="146"/>
      <c r="EB89" s="146"/>
      <c r="EC89" s="146"/>
      <c r="ED89" s="146"/>
      <c r="EE89" s="146"/>
      <c r="EF89" s="146"/>
      <c r="EG89" s="146"/>
      <c r="EH89" s="146"/>
      <c r="EI89" s="146"/>
      <c r="EJ89" s="146"/>
      <c r="EK89" s="146"/>
      <c r="EL89" s="146"/>
      <c r="EM89" s="146"/>
      <c r="EN89" s="146"/>
      <c r="EO89" s="146"/>
      <c r="EP89" s="146"/>
      <c r="EQ89" s="146"/>
      <c r="ER89" s="146"/>
      <c r="ES89" s="146"/>
      <c r="ET89" s="146"/>
      <c r="EU89" s="146"/>
      <c r="EV89" s="146"/>
      <c r="EW89" s="146"/>
      <c r="EX89" s="146"/>
      <c r="EY89" s="146"/>
      <c r="EZ89" s="146"/>
      <c r="FA89" s="146"/>
      <c r="FB89" s="146"/>
      <c r="FC89" s="146"/>
      <c r="FD89" s="146"/>
      <c r="FE89" s="146"/>
      <c r="FF89" s="146"/>
      <c r="FG89" s="146"/>
      <c r="FH89" s="146"/>
      <c r="FI89" s="146"/>
      <c r="FJ89" s="146"/>
      <c r="FK89" s="146"/>
      <c r="FL89" s="146"/>
      <c r="FM89" s="146"/>
      <c r="FN89" s="146"/>
      <c r="FO89" s="146"/>
      <c r="FP89" s="146"/>
      <c r="FQ89" s="146"/>
      <c r="FR89" s="146"/>
      <c r="FS89" s="146"/>
      <c r="FT89" s="146"/>
      <c r="FU89" s="146"/>
      <c r="FV89" s="146"/>
      <c r="FW89" s="146"/>
      <c r="FX89" s="146"/>
      <c r="FY89" s="146"/>
      <c r="FZ89" s="146"/>
      <c r="GA89" s="146"/>
      <c r="GB89" s="146"/>
      <c r="GC89" s="146"/>
      <c r="GD89" s="146"/>
      <c r="GE89" s="146"/>
      <c r="GF89" s="146"/>
      <c r="GG89" s="146"/>
      <c r="GH89" s="146"/>
      <c r="GI89" s="146"/>
      <c r="GJ89" s="146"/>
      <c r="GK89" s="146"/>
      <c r="GL89" s="146"/>
      <c r="GM89" s="146"/>
      <c r="GN89" s="146"/>
      <c r="GO89" s="146"/>
      <c r="GP89" s="146"/>
      <c r="GQ89" s="146"/>
      <c r="GR89" s="146"/>
      <c r="GS89" s="146"/>
      <c r="GT89" s="146"/>
      <c r="GU89" s="146"/>
      <c r="GV89" s="146"/>
      <c r="GW89" s="146"/>
      <c r="GX89" s="146"/>
      <c r="GY89" s="146"/>
      <c r="GZ89" s="146"/>
      <c r="HA89" s="146"/>
      <c r="HB89" s="146"/>
      <c r="HC89" s="146"/>
      <c r="HD89" s="146"/>
      <c r="HE89" s="146"/>
      <c r="HF89" s="146"/>
      <c r="HG89" s="146"/>
      <c r="HH89" s="146"/>
      <c r="HI89" s="146"/>
      <c r="HJ89" s="146"/>
      <c r="HK89" s="146"/>
      <c r="HL89" s="146"/>
      <c r="HM89" s="146"/>
      <c r="HN89" s="146"/>
      <c r="HO89" s="146"/>
      <c r="HP89" s="146"/>
      <c r="HQ89" s="146"/>
      <c r="HR89" s="146"/>
      <c r="HS89" s="146"/>
      <c r="HT89" s="146"/>
      <c r="HU89" s="146"/>
      <c r="HV89" s="146"/>
      <c r="HW89" s="146"/>
      <c r="HX89" s="146"/>
      <c r="HY89" s="146"/>
      <c r="HZ89" s="146"/>
      <c r="IA89" s="146"/>
    </row>
    <row r="90" spans="1:235" s="153" customFormat="1" ht="99.75" x14ac:dyDescent="0.25">
      <c r="A90" s="197">
        <v>11700</v>
      </c>
      <c r="B90" s="194" t="s">
        <v>29</v>
      </c>
      <c r="C90" s="198" t="s">
        <v>328</v>
      </c>
      <c r="D90" s="194" t="s">
        <v>256</v>
      </c>
      <c r="E90" s="198" t="s">
        <v>330</v>
      </c>
      <c r="F90" s="194" t="s">
        <v>127</v>
      </c>
      <c r="G90" s="209" t="s">
        <v>123</v>
      </c>
      <c r="H90" s="211">
        <v>1</v>
      </c>
      <c r="I90" s="198" t="s">
        <v>332</v>
      </c>
      <c r="J90" s="194" t="s">
        <v>128</v>
      </c>
      <c r="K90" s="210">
        <v>0</v>
      </c>
      <c r="L90" s="211">
        <v>1</v>
      </c>
      <c r="M90" s="194" t="s">
        <v>51</v>
      </c>
      <c r="N90" s="194" t="s">
        <v>68</v>
      </c>
      <c r="O90" s="194" t="s">
        <v>21</v>
      </c>
      <c r="P90" s="194" t="s">
        <v>36</v>
      </c>
      <c r="Q90" s="194" t="s">
        <v>75</v>
      </c>
      <c r="R90" s="194" t="s">
        <v>570</v>
      </c>
      <c r="S90" s="194" t="s">
        <v>98</v>
      </c>
      <c r="T90" s="211">
        <v>1</v>
      </c>
      <c r="U90" s="212" t="str">
        <f t="shared" si="41"/>
        <v>Remitir informes trimestrales de los indicadores formulados y las acciones de mejoras</v>
      </c>
      <c r="V90" s="213">
        <f t="shared" si="41"/>
        <v>0</v>
      </c>
      <c r="W90" s="214" t="s">
        <v>117</v>
      </c>
      <c r="X90" s="216">
        <v>0</v>
      </c>
      <c r="Y90" s="214" t="s">
        <v>128</v>
      </c>
      <c r="Z90" s="210">
        <v>0</v>
      </c>
      <c r="AA90" s="196"/>
      <c r="AB90" s="196"/>
      <c r="AC90" s="204" t="e">
        <f t="shared" si="42"/>
        <v>#DIV/0!</v>
      </c>
      <c r="AD90" s="204" t="e">
        <f t="shared" si="43"/>
        <v>#DIV/0!</v>
      </c>
      <c r="AE90" s="204">
        <f t="shared" si="29"/>
        <v>0</v>
      </c>
      <c r="AF90" s="204" t="e">
        <f t="shared" si="30"/>
        <v>#DIV/0!</v>
      </c>
      <c r="AG90" s="216">
        <v>0</v>
      </c>
      <c r="AH90" s="214" t="s">
        <v>128</v>
      </c>
      <c r="AI90" s="210">
        <v>0</v>
      </c>
      <c r="AJ90" s="196"/>
      <c r="AK90" s="196"/>
      <c r="AL90" s="204" t="e">
        <f t="shared" si="44"/>
        <v>#DIV/0!</v>
      </c>
      <c r="AM90" s="204" t="e">
        <f t="shared" si="31"/>
        <v>#DIV/0!</v>
      </c>
      <c r="AN90" s="204">
        <f t="shared" si="32"/>
        <v>0</v>
      </c>
      <c r="AO90" s="204" t="e">
        <f t="shared" si="33"/>
        <v>#DIV/0!</v>
      </c>
      <c r="AP90" s="216">
        <v>0</v>
      </c>
      <c r="AQ90" s="214" t="s">
        <v>128</v>
      </c>
      <c r="AR90" s="210">
        <v>0</v>
      </c>
      <c r="AS90" s="196"/>
      <c r="AT90" s="196"/>
      <c r="AU90" s="204" t="e">
        <f t="shared" si="45"/>
        <v>#DIV/0!</v>
      </c>
      <c r="AV90" s="204" t="e">
        <f t="shared" si="46"/>
        <v>#DIV/0!</v>
      </c>
      <c r="AW90" s="204">
        <f t="shared" si="47"/>
        <v>0</v>
      </c>
      <c r="AX90" s="204" t="e">
        <f t="shared" si="48"/>
        <v>#DIV/0!</v>
      </c>
      <c r="AY90" s="216">
        <v>1</v>
      </c>
      <c r="AZ90" s="214" t="s">
        <v>128</v>
      </c>
      <c r="BA90" s="210">
        <v>0</v>
      </c>
      <c r="BB90" s="196"/>
      <c r="BC90" s="196"/>
      <c r="BD90" s="216">
        <f t="shared" si="49"/>
        <v>0</v>
      </c>
      <c r="BE90" s="216" t="e">
        <f t="shared" si="50"/>
        <v>#DIV/0!</v>
      </c>
      <c r="BF90" s="216">
        <f t="shared" si="51"/>
        <v>0</v>
      </c>
      <c r="BG90" s="216" t="e">
        <f t="shared" si="52"/>
        <v>#DIV/0!</v>
      </c>
      <c r="BH90" s="217" t="str">
        <f t="shared" si="34"/>
        <v>No Prog ni Ejec</v>
      </c>
      <c r="BI90" s="217" t="str">
        <f t="shared" si="35"/>
        <v>No Prog ni Ejec</v>
      </c>
      <c r="BJ90" s="217" t="str">
        <f t="shared" si="36"/>
        <v>No Prog ni Ejec</v>
      </c>
      <c r="BK90" s="217" t="str">
        <f t="shared" si="37"/>
        <v>No Prog ni Ejec</v>
      </c>
      <c r="BL90" s="217" t="str">
        <f t="shared" si="53"/>
        <v>No Prog ni Ejec</v>
      </c>
      <c r="BM90" s="217" t="str">
        <f t="shared" si="54"/>
        <v>No Prog ni Ejec</v>
      </c>
      <c r="BN90" s="217">
        <f t="shared" si="38"/>
        <v>0</v>
      </c>
      <c r="BO90" s="217" t="str">
        <f t="shared" si="39"/>
        <v>No Prog ni Ejec</v>
      </c>
      <c r="BP90" s="206"/>
      <c r="BQ90" s="277">
        <v>5</v>
      </c>
      <c r="BR90" s="208">
        <f t="shared" si="40"/>
        <v>0</v>
      </c>
      <c r="BS90" s="219" t="str">
        <f t="shared" si="55"/>
        <v>Remitir informes trimestrales de los indicadores formulados y las acciones de mejoras</v>
      </c>
      <c r="BT90" s="195">
        <f t="shared" si="28"/>
        <v>0</v>
      </c>
      <c r="BU90" s="196"/>
      <c r="BV90" s="196"/>
      <c r="BW90" s="196"/>
      <c r="BX90" s="196"/>
      <c r="BY90" s="196"/>
      <c r="BZ90" s="19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146"/>
      <c r="CX90" s="146"/>
      <c r="CY90" s="146"/>
      <c r="CZ90" s="146"/>
      <c r="DA90" s="146"/>
      <c r="DB90" s="146"/>
      <c r="DC90" s="146"/>
      <c r="DD90" s="146"/>
      <c r="DE90" s="146"/>
      <c r="DF90" s="146"/>
      <c r="DG90" s="146"/>
      <c r="DH90" s="146"/>
      <c r="DI90" s="146"/>
      <c r="DJ90" s="146"/>
      <c r="DK90" s="146"/>
      <c r="DL90" s="146"/>
      <c r="DM90" s="146"/>
      <c r="DN90" s="146"/>
      <c r="DO90" s="146"/>
      <c r="DP90" s="146"/>
      <c r="DQ90" s="146"/>
      <c r="DR90" s="146"/>
      <c r="DS90" s="146"/>
      <c r="DT90" s="146"/>
      <c r="DU90" s="146"/>
      <c r="DV90" s="146"/>
      <c r="DW90" s="146"/>
      <c r="DX90" s="146"/>
      <c r="DY90" s="146"/>
      <c r="DZ90" s="146"/>
      <c r="EA90" s="146"/>
      <c r="EB90" s="146"/>
      <c r="EC90" s="146"/>
      <c r="ED90" s="146"/>
      <c r="EE90" s="146"/>
      <c r="EF90" s="146"/>
      <c r="EG90" s="146"/>
      <c r="EH90" s="146"/>
      <c r="EI90" s="146"/>
      <c r="EJ90" s="146"/>
      <c r="EK90" s="146"/>
      <c r="EL90" s="146"/>
      <c r="EM90" s="146"/>
      <c r="EN90" s="146"/>
      <c r="EO90" s="146"/>
      <c r="EP90" s="146"/>
      <c r="EQ90" s="146"/>
      <c r="ER90" s="146"/>
      <c r="ES90" s="146"/>
      <c r="ET90" s="146"/>
      <c r="EU90" s="146"/>
      <c r="EV90" s="146"/>
      <c r="EW90" s="146"/>
      <c r="EX90" s="146"/>
      <c r="EY90" s="146"/>
      <c r="EZ90" s="146"/>
      <c r="FA90" s="146"/>
      <c r="FB90" s="146"/>
      <c r="FC90" s="146"/>
      <c r="FD90" s="146"/>
      <c r="FE90" s="146"/>
      <c r="FF90" s="146"/>
      <c r="FG90" s="146"/>
      <c r="FH90" s="146"/>
      <c r="FI90" s="146"/>
      <c r="FJ90" s="146"/>
      <c r="FK90" s="146"/>
      <c r="FL90" s="146"/>
      <c r="FM90" s="146"/>
      <c r="FN90" s="146"/>
      <c r="FO90" s="146"/>
      <c r="FP90" s="146"/>
      <c r="FQ90" s="146"/>
      <c r="FR90" s="146"/>
      <c r="FS90" s="146"/>
      <c r="FT90" s="146"/>
      <c r="FU90" s="146"/>
      <c r="FV90" s="146"/>
      <c r="FW90" s="146"/>
      <c r="FX90" s="146"/>
      <c r="FY90" s="146"/>
      <c r="FZ90" s="146"/>
      <c r="GA90" s="146"/>
      <c r="GB90" s="146"/>
      <c r="GC90" s="146"/>
      <c r="GD90" s="146"/>
      <c r="GE90" s="146"/>
      <c r="GF90" s="146"/>
      <c r="GG90" s="146"/>
      <c r="GH90" s="146"/>
      <c r="GI90" s="146"/>
      <c r="GJ90" s="146"/>
      <c r="GK90" s="146"/>
      <c r="GL90" s="146"/>
      <c r="GM90" s="146"/>
      <c r="GN90" s="146"/>
      <c r="GO90" s="146"/>
      <c r="GP90" s="146"/>
      <c r="GQ90" s="146"/>
      <c r="GR90" s="146"/>
      <c r="GS90" s="146"/>
      <c r="GT90" s="146"/>
      <c r="GU90" s="146"/>
      <c r="GV90" s="146"/>
      <c r="GW90" s="146"/>
      <c r="GX90" s="146"/>
      <c r="GY90" s="146"/>
      <c r="GZ90" s="146"/>
      <c r="HA90" s="146"/>
      <c r="HB90" s="146"/>
      <c r="HC90" s="146"/>
      <c r="HD90" s="146"/>
      <c r="HE90" s="146"/>
      <c r="HF90" s="146"/>
      <c r="HG90" s="146"/>
      <c r="HH90" s="146"/>
      <c r="HI90" s="146"/>
      <c r="HJ90" s="146"/>
      <c r="HK90" s="146"/>
      <c r="HL90" s="146"/>
      <c r="HM90" s="146"/>
      <c r="HN90" s="146"/>
      <c r="HO90" s="146"/>
      <c r="HP90" s="146"/>
      <c r="HQ90" s="146"/>
      <c r="HR90" s="146"/>
      <c r="HS90" s="146"/>
      <c r="HT90" s="146"/>
      <c r="HU90" s="146"/>
      <c r="HV90" s="146"/>
      <c r="HW90" s="146"/>
      <c r="HX90" s="146"/>
      <c r="HY90" s="146"/>
      <c r="HZ90" s="146"/>
      <c r="IA90" s="146"/>
    </row>
    <row r="91" spans="1:235" s="159" customFormat="1" ht="99.75" x14ac:dyDescent="0.25">
      <c r="A91" s="197">
        <v>11700</v>
      </c>
      <c r="B91" s="194" t="s">
        <v>29</v>
      </c>
      <c r="C91" s="198" t="s">
        <v>328</v>
      </c>
      <c r="D91" s="194" t="s">
        <v>256</v>
      </c>
      <c r="E91" s="198" t="s">
        <v>376</v>
      </c>
      <c r="F91" s="194" t="s">
        <v>380</v>
      </c>
      <c r="G91" s="209" t="s">
        <v>123</v>
      </c>
      <c r="H91" s="216">
        <v>1</v>
      </c>
      <c r="I91" s="198" t="s">
        <v>377</v>
      </c>
      <c r="J91" s="194" t="s">
        <v>378</v>
      </c>
      <c r="K91" s="210">
        <v>27749428000</v>
      </c>
      <c r="L91" s="211">
        <v>1</v>
      </c>
      <c r="M91" s="194" t="s">
        <v>46</v>
      </c>
      <c r="N91" s="194" t="s">
        <v>68</v>
      </c>
      <c r="O91" s="194" t="s">
        <v>37</v>
      </c>
      <c r="P91" s="194" t="s">
        <v>38</v>
      </c>
      <c r="Q91" s="194" t="s">
        <v>219</v>
      </c>
      <c r="R91" s="194" t="s">
        <v>182</v>
      </c>
      <c r="S91" s="194" t="s">
        <v>99</v>
      </c>
      <c r="T91" s="211">
        <v>1</v>
      </c>
      <c r="U91" s="212" t="str">
        <f t="shared" si="41"/>
        <v>Efectuar los tramites asociados al pago de nomina de los funcionarios de la ADRES</v>
      </c>
      <c r="V91" s="213">
        <f t="shared" si="41"/>
        <v>27749428000</v>
      </c>
      <c r="W91" s="222" t="s">
        <v>114</v>
      </c>
      <c r="X91" s="281">
        <v>0.25</v>
      </c>
      <c r="Y91" s="282" t="s">
        <v>378</v>
      </c>
      <c r="Z91" s="283">
        <v>6937357000</v>
      </c>
      <c r="AA91" s="279"/>
      <c r="AB91" s="279"/>
      <c r="AC91" s="280">
        <f>+(AA91/X91)</f>
        <v>0</v>
      </c>
      <c r="AD91" s="280">
        <f t="shared" si="43"/>
        <v>0</v>
      </c>
      <c r="AE91" s="280">
        <f t="shared" si="29"/>
        <v>0</v>
      </c>
      <c r="AF91" s="280">
        <f t="shared" si="30"/>
        <v>0</v>
      </c>
      <c r="AG91" s="281">
        <v>0.25</v>
      </c>
      <c r="AH91" s="282" t="s">
        <v>378</v>
      </c>
      <c r="AI91" s="283">
        <v>6937357000</v>
      </c>
      <c r="AJ91" s="279"/>
      <c r="AK91" s="279"/>
      <c r="AL91" s="280">
        <f t="shared" si="44"/>
        <v>0</v>
      </c>
      <c r="AM91" s="280">
        <f t="shared" si="31"/>
        <v>0</v>
      </c>
      <c r="AN91" s="280">
        <f t="shared" si="32"/>
        <v>0</v>
      </c>
      <c r="AO91" s="280">
        <f t="shared" si="33"/>
        <v>0</v>
      </c>
      <c r="AP91" s="281">
        <v>0.25</v>
      </c>
      <c r="AQ91" s="282" t="s">
        <v>378</v>
      </c>
      <c r="AR91" s="283">
        <v>6937357000</v>
      </c>
      <c r="AS91" s="279"/>
      <c r="AT91" s="279"/>
      <c r="AU91" s="280">
        <f t="shared" si="45"/>
        <v>0</v>
      </c>
      <c r="AV91" s="280">
        <f t="shared" si="46"/>
        <v>0</v>
      </c>
      <c r="AW91" s="280">
        <f t="shared" si="47"/>
        <v>0</v>
      </c>
      <c r="AX91" s="280">
        <f t="shared" si="48"/>
        <v>0</v>
      </c>
      <c r="AY91" s="281">
        <v>0.25</v>
      </c>
      <c r="AZ91" s="282" t="s">
        <v>378</v>
      </c>
      <c r="BA91" s="283">
        <v>6937357000</v>
      </c>
      <c r="BB91" s="279"/>
      <c r="BC91" s="279"/>
      <c r="BD91" s="281">
        <f t="shared" si="49"/>
        <v>0</v>
      </c>
      <c r="BE91" s="281">
        <f t="shared" si="50"/>
        <v>0</v>
      </c>
      <c r="BF91" s="281">
        <f t="shared" si="51"/>
        <v>0</v>
      </c>
      <c r="BG91" s="281">
        <f t="shared" si="52"/>
        <v>0</v>
      </c>
      <c r="BH91" s="205">
        <f>IF(AND(X91=0,AA91=0),"No Prog ni Ejec",IF(X91=0,CONCATENATE("No Prog, Ejec=  ",AA91),AA91/X91))</f>
        <v>0</v>
      </c>
      <c r="BI91" s="205">
        <f t="shared" si="35"/>
        <v>0</v>
      </c>
      <c r="BJ91" s="205">
        <f t="shared" si="36"/>
        <v>0</v>
      </c>
      <c r="BK91" s="205">
        <f t="shared" si="37"/>
        <v>0</v>
      </c>
      <c r="BL91" s="205">
        <f t="shared" si="53"/>
        <v>0</v>
      </c>
      <c r="BM91" s="205">
        <f t="shared" si="54"/>
        <v>0</v>
      </c>
      <c r="BN91" s="205">
        <f t="shared" si="38"/>
        <v>0</v>
      </c>
      <c r="BO91" s="205">
        <f t="shared" si="39"/>
        <v>0</v>
      </c>
      <c r="BP91" s="206"/>
      <c r="BQ91" s="277">
        <v>7</v>
      </c>
      <c r="BR91" s="208">
        <f t="shared" si="40"/>
        <v>0.58333333333333337</v>
      </c>
      <c r="BS91" s="219" t="str">
        <f t="shared" si="55"/>
        <v>Efectuar los tramites asociados al pago de nomina de los funcionarios de la ADRES</v>
      </c>
      <c r="BT91" s="195">
        <f t="shared" si="28"/>
        <v>16187166333.333334</v>
      </c>
      <c r="BU91" s="196"/>
      <c r="BV91" s="196"/>
      <c r="BW91" s="196"/>
      <c r="BX91" s="196"/>
      <c r="BY91" s="196"/>
      <c r="BZ91" s="196"/>
      <c r="CA91" s="146"/>
      <c r="CB91" s="146"/>
      <c r="CC91" s="146"/>
      <c r="CD91" s="146"/>
      <c r="CE91" s="146"/>
      <c r="CF91" s="146"/>
      <c r="CG91" s="146"/>
      <c r="CH91" s="146"/>
      <c r="CI91" s="146"/>
      <c r="CJ91" s="146"/>
      <c r="CK91" s="146"/>
      <c r="CL91" s="146"/>
      <c r="CM91" s="146"/>
      <c r="CN91" s="146"/>
      <c r="CO91" s="146"/>
      <c r="CP91" s="146"/>
      <c r="CQ91" s="146"/>
      <c r="CR91" s="146"/>
      <c r="CS91" s="146"/>
      <c r="CT91" s="146"/>
      <c r="CU91" s="146"/>
      <c r="CV91" s="146"/>
      <c r="CW91" s="146"/>
      <c r="CX91" s="146"/>
      <c r="CY91" s="146"/>
      <c r="CZ91" s="146"/>
      <c r="DA91" s="146"/>
      <c r="DB91" s="146"/>
      <c r="DC91" s="146"/>
      <c r="DD91" s="146"/>
      <c r="DE91" s="146"/>
      <c r="DF91" s="146"/>
      <c r="DG91" s="146"/>
      <c r="DH91" s="146"/>
      <c r="DI91" s="146"/>
      <c r="DJ91" s="146"/>
      <c r="DK91" s="146"/>
      <c r="DL91" s="146"/>
      <c r="DM91" s="146"/>
      <c r="DN91" s="146"/>
      <c r="DO91" s="146"/>
      <c r="DP91" s="146"/>
      <c r="DQ91" s="146"/>
      <c r="DR91" s="146"/>
      <c r="DS91" s="146"/>
      <c r="DT91" s="146"/>
      <c r="DU91" s="146"/>
      <c r="DV91" s="146"/>
      <c r="DW91" s="146"/>
      <c r="DX91" s="146"/>
      <c r="DY91" s="146"/>
      <c r="DZ91" s="146"/>
      <c r="EA91" s="146"/>
      <c r="EB91" s="146"/>
      <c r="EC91" s="146"/>
      <c r="ED91" s="146"/>
      <c r="EE91" s="146"/>
      <c r="EF91" s="146"/>
      <c r="EG91" s="146"/>
      <c r="EH91" s="146"/>
      <c r="EI91" s="146"/>
      <c r="EJ91" s="146"/>
      <c r="EK91" s="146"/>
      <c r="EL91" s="146"/>
      <c r="EM91" s="146"/>
      <c r="EN91" s="146"/>
      <c r="EO91" s="146"/>
      <c r="EP91" s="146"/>
      <c r="EQ91" s="146"/>
      <c r="ER91" s="146"/>
      <c r="ES91" s="146"/>
      <c r="ET91" s="146"/>
      <c r="EU91" s="146"/>
      <c r="EV91" s="146"/>
      <c r="EW91" s="146"/>
      <c r="EX91" s="146"/>
      <c r="EY91" s="146"/>
      <c r="EZ91" s="146"/>
      <c r="FA91" s="146"/>
      <c r="FB91" s="146"/>
      <c r="FC91" s="146"/>
      <c r="FD91" s="146"/>
      <c r="FE91" s="146"/>
      <c r="FF91" s="146"/>
      <c r="FG91" s="146"/>
      <c r="FH91" s="146"/>
      <c r="FI91" s="146"/>
      <c r="FJ91" s="146"/>
      <c r="FK91" s="146"/>
      <c r="FL91" s="146"/>
      <c r="FM91" s="146"/>
      <c r="FN91" s="146"/>
      <c r="FO91" s="146"/>
      <c r="FP91" s="146"/>
      <c r="FQ91" s="146"/>
      <c r="FR91" s="146"/>
      <c r="FS91" s="146"/>
      <c r="FT91" s="146"/>
      <c r="FU91" s="146"/>
      <c r="FV91" s="146"/>
      <c r="FW91" s="146"/>
      <c r="FX91" s="146"/>
      <c r="FY91" s="146"/>
      <c r="FZ91" s="146"/>
      <c r="GA91" s="146"/>
      <c r="GB91" s="146"/>
      <c r="GC91" s="146"/>
      <c r="GD91" s="146"/>
      <c r="GE91" s="146"/>
      <c r="GF91" s="146"/>
      <c r="GG91" s="146"/>
      <c r="GH91" s="146"/>
      <c r="GI91" s="146"/>
      <c r="GJ91" s="146"/>
      <c r="GK91" s="146"/>
      <c r="GL91" s="146"/>
      <c r="GM91" s="146"/>
      <c r="GN91" s="146"/>
      <c r="GO91" s="146"/>
      <c r="GP91" s="146"/>
      <c r="GQ91" s="146"/>
      <c r="GR91" s="146"/>
      <c r="GS91" s="146"/>
      <c r="GT91" s="146"/>
      <c r="GU91" s="146"/>
      <c r="GV91" s="146"/>
      <c r="GW91" s="146"/>
      <c r="GX91" s="146"/>
      <c r="GY91" s="146"/>
      <c r="GZ91" s="146"/>
      <c r="HA91" s="146"/>
      <c r="HB91" s="146"/>
      <c r="HC91" s="146"/>
      <c r="HD91" s="146"/>
      <c r="HE91" s="146"/>
      <c r="HF91" s="146"/>
      <c r="HG91" s="146"/>
      <c r="HH91" s="146"/>
      <c r="HI91" s="146"/>
      <c r="HJ91" s="146"/>
      <c r="HK91" s="146"/>
      <c r="HL91" s="146"/>
      <c r="HM91" s="146"/>
      <c r="HN91" s="146"/>
      <c r="HO91" s="146"/>
      <c r="HP91" s="146"/>
      <c r="HQ91" s="146"/>
      <c r="HR91" s="146"/>
      <c r="HS91" s="146"/>
      <c r="HT91" s="146"/>
      <c r="HU91" s="146"/>
      <c r="HV91" s="146"/>
      <c r="HW91" s="146"/>
      <c r="HX91" s="146"/>
      <c r="HY91" s="146"/>
      <c r="HZ91" s="146"/>
      <c r="IA91" s="146"/>
    </row>
    <row r="92" spans="1:235" s="159" customFormat="1" ht="99.75" x14ac:dyDescent="0.25">
      <c r="A92" s="197">
        <v>11700</v>
      </c>
      <c r="B92" s="194" t="s">
        <v>29</v>
      </c>
      <c r="C92" s="198" t="s">
        <v>328</v>
      </c>
      <c r="D92" s="194" t="s">
        <v>256</v>
      </c>
      <c r="E92" s="198" t="s">
        <v>330</v>
      </c>
      <c r="F92" s="194" t="s">
        <v>380</v>
      </c>
      <c r="G92" s="209" t="s">
        <v>123</v>
      </c>
      <c r="H92" s="216">
        <v>1</v>
      </c>
      <c r="I92" s="198" t="s">
        <v>751</v>
      </c>
      <c r="J92" s="194" t="s">
        <v>752</v>
      </c>
      <c r="K92" s="210">
        <v>1000000000</v>
      </c>
      <c r="L92" s="211">
        <v>1</v>
      </c>
      <c r="M92" s="194" t="s">
        <v>46</v>
      </c>
      <c r="N92" s="194" t="s">
        <v>68</v>
      </c>
      <c r="O92" s="194" t="s">
        <v>37</v>
      </c>
      <c r="P92" s="194" t="s">
        <v>38</v>
      </c>
      <c r="Q92" s="194" t="s">
        <v>219</v>
      </c>
      <c r="R92" s="194" t="s">
        <v>379</v>
      </c>
      <c r="S92" s="194" t="s">
        <v>99</v>
      </c>
      <c r="T92" s="211">
        <v>1</v>
      </c>
      <c r="U92" s="212" t="str">
        <f t="shared" si="41"/>
        <v>Efectuar los tramites asociados al pago de las Transferencias de la ADRES</v>
      </c>
      <c r="V92" s="213">
        <f t="shared" si="41"/>
        <v>1000000000</v>
      </c>
      <c r="W92" s="222" t="s">
        <v>114</v>
      </c>
      <c r="X92" s="281">
        <v>0.25</v>
      </c>
      <c r="Y92" s="282" t="s">
        <v>381</v>
      </c>
      <c r="Z92" s="283">
        <f>+X92*V92</f>
        <v>250000000</v>
      </c>
      <c r="AA92" s="279"/>
      <c r="AB92" s="279"/>
      <c r="AC92" s="280">
        <f t="shared" si="42"/>
        <v>0</v>
      </c>
      <c r="AD92" s="280">
        <f t="shared" si="43"/>
        <v>0</v>
      </c>
      <c r="AE92" s="280">
        <f t="shared" si="29"/>
        <v>0</v>
      </c>
      <c r="AF92" s="280">
        <f t="shared" si="30"/>
        <v>0</v>
      </c>
      <c r="AG92" s="281">
        <v>0.25</v>
      </c>
      <c r="AH92" s="282" t="s">
        <v>381</v>
      </c>
      <c r="AI92" s="283">
        <v>250000000</v>
      </c>
      <c r="AJ92" s="279"/>
      <c r="AK92" s="279"/>
      <c r="AL92" s="280">
        <f t="shared" si="44"/>
        <v>0</v>
      </c>
      <c r="AM92" s="280">
        <f t="shared" si="31"/>
        <v>0</v>
      </c>
      <c r="AN92" s="280">
        <f t="shared" si="32"/>
        <v>0</v>
      </c>
      <c r="AO92" s="280">
        <f t="shared" si="33"/>
        <v>0</v>
      </c>
      <c r="AP92" s="281">
        <v>0.25</v>
      </c>
      <c r="AQ92" s="282" t="s">
        <v>381</v>
      </c>
      <c r="AR92" s="283">
        <v>250000000</v>
      </c>
      <c r="AS92" s="279"/>
      <c r="AT92" s="279"/>
      <c r="AU92" s="280">
        <f t="shared" si="45"/>
        <v>0</v>
      </c>
      <c r="AV92" s="280">
        <f t="shared" si="46"/>
        <v>0</v>
      </c>
      <c r="AW92" s="280">
        <f t="shared" si="47"/>
        <v>0</v>
      </c>
      <c r="AX92" s="280">
        <f t="shared" si="48"/>
        <v>0</v>
      </c>
      <c r="AY92" s="281">
        <v>0.25</v>
      </c>
      <c r="AZ92" s="282" t="s">
        <v>381</v>
      </c>
      <c r="BA92" s="283">
        <v>250000000</v>
      </c>
      <c r="BB92" s="279"/>
      <c r="BC92" s="279"/>
      <c r="BD92" s="281">
        <f t="shared" si="49"/>
        <v>0</v>
      </c>
      <c r="BE92" s="281">
        <f t="shared" si="50"/>
        <v>0</v>
      </c>
      <c r="BF92" s="281">
        <f t="shared" si="51"/>
        <v>0</v>
      </c>
      <c r="BG92" s="281">
        <f t="shared" si="52"/>
        <v>0</v>
      </c>
      <c r="BH92" s="205">
        <f t="shared" si="34"/>
        <v>0</v>
      </c>
      <c r="BI92" s="205">
        <f t="shared" si="35"/>
        <v>0</v>
      </c>
      <c r="BJ92" s="205">
        <f t="shared" si="36"/>
        <v>0</v>
      </c>
      <c r="BK92" s="205">
        <f t="shared" si="37"/>
        <v>0</v>
      </c>
      <c r="BL92" s="205">
        <f t="shared" si="53"/>
        <v>0</v>
      </c>
      <c r="BM92" s="205">
        <f t="shared" si="54"/>
        <v>0</v>
      </c>
      <c r="BN92" s="205">
        <f t="shared" si="38"/>
        <v>0</v>
      </c>
      <c r="BO92" s="205">
        <f t="shared" si="39"/>
        <v>0</v>
      </c>
      <c r="BP92" s="206"/>
      <c r="BQ92" s="277">
        <v>7</v>
      </c>
      <c r="BR92" s="208">
        <f t="shared" si="40"/>
        <v>0.58333333333333337</v>
      </c>
      <c r="BS92" s="219" t="str">
        <f t="shared" si="55"/>
        <v>Efectuar los tramites asociados al pago de las Transferencias de la ADRES</v>
      </c>
      <c r="BT92" s="195">
        <f t="shared" si="28"/>
        <v>583333333.33333337</v>
      </c>
      <c r="BU92" s="196"/>
      <c r="BV92" s="196"/>
      <c r="BW92" s="196"/>
      <c r="BX92" s="196"/>
      <c r="BY92" s="196"/>
      <c r="BZ92" s="19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146"/>
      <c r="CX92" s="146"/>
      <c r="CY92" s="146"/>
      <c r="CZ92" s="146"/>
      <c r="DA92" s="146"/>
      <c r="DB92" s="146"/>
      <c r="DC92" s="146"/>
      <c r="DD92" s="146"/>
      <c r="DE92" s="146"/>
      <c r="DF92" s="146"/>
      <c r="DG92" s="146"/>
      <c r="DH92" s="146"/>
      <c r="DI92" s="146"/>
      <c r="DJ92" s="146"/>
      <c r="DK92" s="146"/>
      <c r="DL92" s="146"/>
      <c r="DM92" s="146"/>
      <c r="DN92" s="146"/>
      <c r="DO92" s="146"/>
      <c r="DP92" s="146"/>
      <c r="DQ92" s="146"/>
      <c r="DR92" s="146"/>
      <c r="DS92" s="146"/>
      <c r="DT92" s="146"/>
      <c r="DU92" s="146"/>
      <c r="DV92" s="146"/>
      <c r="DW92" s="146"/>
      <c r="DX92" s="146"/>
      <c r="DY92" s="146"/>
      <c r="DZ92" s="146"/>
      <c r="EA92" s="146"/>
      <c r="EB92" s="146"/>
      <c r="EC92" s="146"/>
      <c r="ED92" s="146"/>
      <c r="EE92" s="146"/>
      <c r="EF92" s="146"/>
      <c r="EG92" s="146"/>
      <c r="EH92" s="146"/>
      <c r="EI92" s="146"/>
      <c r="EJ92" s="146"/>
      <c r="EK92" s="146"/>
      <c r="EL92" s="146"/>
      <c r="EM92" s="146"/>
      <c r="EN92" s="146"/>
      <c r="EO92" s="146"/>
      <c r="EP92" s="146"/>
      <c r="EQ92" s="146"/>
      <c r="ER92" s="146"/>
      <c r="ES92" s="146"/>
      <c r="ET92" s="146"/>
      <c r="EU92" s="146"/>
      <c r="EV92" s="146"/>
      <c r="EW92" s="146"/>
      <c r="EX92" s="146"/>
      <c r="EY92" s="146"/>
      <c r="EZ92" s="146"/>
      <c r="FA92" s="146"/>
      <c r="FB92" s="146"/>
      <c r="FC92" s="146"/>
      <c r="FD92" s="146"/>
      <c r="FE92" s="146"/>
      <c r="FF92" s="146"/>
      <c r="FG92" s="146"/>
      <c r="FH92" s="146"/>
      <c r="FI92" s="146"/>
      <c r="FJ92" s="146"/>
      <c r="FK92" s="146"/>
      <c r="FL92" s="146"/>
      <c r="FM92" s="146"/>
      <c r="FN92" s="146"/>
      <c r="FO92" s="146"/>
      <c r="FP92" s="146"/>
      <c r="FQ92" s="146"/>
      <c r="FR92" s="146"/>
      <c r="FS92" s="146"/>
      <c r="FT92" s="146"/>
      <c r="FU92" s="146"/>
      <c r="FV92" s="146"/>
      <c r="FW92" s="146"/>
      <c r="FX92" s="146"/>
      <c r="FY92" s="146"/>
      <c r="FZ92" s="146"/>
      <c r="GA92" s="146"/>
      <c r="GB92" s="146"/>
      <c r="GC92" s="146"/>
      <c r="GD92" s="146"/>
      <c r="GE92" s="146"/>
      <c r="GF92" s="146"/>
      <c r="GG92" s="146"/>
      <c r="GH92" s="146"/>
      <c r="GI92" s="146"/>
      <c r="GJ92" s="146"/>
      <c r="GK92" s="146"/>
      <c r="GL92" s="146"/>
      <c r="GM92" s="146"/>
      <c r="GN92" s="146"/>
      <c r="GO92" s="146"/>
      <c r="GP92" s="146"/>
      <c r="GQ92" s="146"/>
      <c r="GR92" s="146"/>
      <c r="GS92" s="146"/>
      <c r="GT92" s="146"/>
      <c r="GU92" s="146"/>
      <c r="GV92" s="146"/>
      <c r="GW92" s="146"/>
      <c r="GX92" s="146"/>
      <c r="GY92" s="146"/>
      <c r="GZ92" s="146"/>
      <c r="HA92" s="146"/>
      <c r="HB92" s="146"/>
      <c r="HC92" s="146"/>
      <c r="HD92" s="146"/>
      <c r="HE92" s="146"/>
      <c r="HF92" s="146"/>
      <c r="HG92" s="146"/>
      <c r="HH92" s="146"/>
      <c r="HI92" s="146"/>
      <c r="HJ92" s="146"/>
      <c r="HK92" s="146"/>
      <c r="HL92" s="146"/>
      <c r="HM92" s="146"/>
      <c r="HN92" s="146"/>
      <c r="HO92" s="146"/>
      <c r="HP92" s="146"/>
      <c r="HQ92" s="146"/>
      <c r="HR92" s="146"/>
      <c r="HS92" s="146"/>
      <c r="HT92" s="146"/>
      <c r="HU92" s="146"/>
      <c r="HV92" s="146"/>
      <c r="HW92" s="146"/>
      <c r="HX92" s="146"/>
      <c r="HY92" s="146"/>
      <c r="HZ92" s="146"/>
      <c r="IA92" s="146"/>
    </row>
    <row r="93" spans="1:235" s="159" customFormat="1" ht="99.75" x14ac:dyDescent="0.25">
      <c r="A93" s="197">
        <v>11700</v>
      </c>
      <c r="B93" s="194" t="s">
        <v>29</v>
      </c>
      <c r="C93" s="198" t="s">
        <v>328</v>
      </c>
      <c r="D93" s="194" t="s">
        <v>256</v>
      </c>
      <c r="E93" s="198" t="s">
        <v>330</v>
      </c>
      <c r="F93" s="194" t="s">
        <v>380</v>
      </c>
      <c r="G93" s="209" t="s">
        <v>123</v>
      </c>
      <c r="H93" s="216">
        <v>1</v>
      </c>
      <c r="I93" s="198" t="s">
        <v>753</v>
      </c>
      <c r="J93" s="194" t="s">
        <v>754</v>
      </c>
      <c r="K93" s="210">
        <v>13118070672</v>
      </c>
      <c r="L93" s="211">
        <v>1</v>
      </c>
      <c r="M93" s="194" t="s">
        <v>46</v>
      </c>
      <c r="N93" s="194" t="s">
        <v>68</v>
      </c>
      <c r="O93" s="194" t="s">
        <v>37</v>
      </c>
      <c r="P93" s="194" t="s">
        <v>38</v>
      </c>
      <c r="Q93" s="194" t="s">
        <v>219</v>
      </c>
      <c r="R93" s="194" t="s">
        <v>379</v>
      </c>
      <c r="S93" s="194" t="s">
        <v>99</v>
      </c>
      <c r="T93" s="211">
        <v>1</v>
      </c>
      <c r="U93" s="212" t="str">
        <f t="shared" si="41"/>
        <v>Efectuar los tramites asociados a la ejecución de otros recursos asignados a la ADRES</v>
      </c>
      <c r="V93" s="213">
        <f t="shared" si="41"/>
        <v>13118070672</v>
      </c>
      <c r="W93" s="222" t="s">
        <v>114</v>
      </c>
      <c r="X93" s="281">
        <v>0.25</v>
      </c>
      <c r="Y93" s="282" t="s">
        <v>386</v>
      </c>
      <c r="Z93" s="283">
        <f>+X93*V93</f>
        <v>3279517668</v>
      </c>
      <c r="AA93" s="279"/>
      <c r="AB93" s="279"/>
      <c r="AC93" s="280">
        <f t="shared" si="42"/>
        <v>0</v>
      </c>
      <c r="AD93" s="280">
        <f t="shared" si="43"/>
        <v>0</v>
      </c>
      <c r="AE93" s="280">
        <f t="shared" si="29"/>
        <v>0</v>
      </c>
      <c r="AF93" s="280">
        <f t="shared" si="30"/>
        <v>0</v>
      </c>
      <c r="AG93" s="281">
        <v>0.25</v>
      </c>
      <c r="AH93" s="282" t="s">
        <v>386</v>
      </c>
      <c r="AI93" s="283">
        <v>3279517668</v>
      </c>
      <c r="AJ93" s="279"/>
      <c r="AK93" s="279"/>
      <c r="AL93" s="280">
        <f t="shared" si="44"/>
        <v>0</v>
      </c>
      <c r="AM93" s="280">
        <f t="shared" si="31"/>
        <v>0</v>
      </c>
      <c r="AN93" s="280">
        <f t="shared" si="32"/>
        <v>0</v>
      </c>
      <c r="AO93" s="280">
        <f t="shared" si="33"/>
        <v>0</v>
      </c>
      <c r="AP93" s="281">
        <v>0.25</v>
      </c>
      <c r="AQ93" s="282" t="s">
        <v>386</v>
      </c>
      <c r="AR93" s="283">
        <v>3279517668</v>
      </c>
      <c r="AS93" s="279"/>
      <c r="AT93" s="279"/>
      <c r="AU93" s="280">
        <f t="shared" si="45"/>
        <v>0</v>
      </c>
      <c r="AV93" s="280">
        <f t="shared" si="46"/>
        <v>0</v>
      </c>
      <c r="AW93" s="280">
        <f t="shared" si="47"/>
        <v>0</v>
      </c>
      <c r="AX93" s="280">
        <f t="shared" si="48"/>
        <v>0</v>
      </c>
      <c r="AY93" s="281">
        <v>0.25</v>
      </c>
      <c r="AZ93" s="282" t="s">
        <v>386</v>
      </c>
      <c r="BA93" s="283">
        <v>3279517668</v>
      </c>
      <c r="BB93" s="279"/>
      <c r="BC93" s="279"/>
      <c r="BD93" s="281">
        <f t="shared" si="49"/>
        <v>0</v>
      </c>
      <c r="BE93" s="281">
        <f t="shared" si="50"/>
        <v>0</v>
      </c>
      <c r="BF93" s="281">
        <f t="shared" si="51"/>
        <v>0</v>
      </c>
      <c r="BG93" s="281">
        <f t="shared" si="52"/>
        <v>0</v>
      </c>
      <c r="BH93" s="205">
        <f t="shared" si="34"/>
        <v>0</v>
      </c>
      <c r="BI93" s="205">
        <f t="shared" si="35"/>
        <v>0</v>
      </c>
      <c r="BJ93" s="205">
        <f t="shared" si="36"/>
        <v>0</v>
      </c>
      <c r="BK93" s="205">
        <f t="shared" si="37"/>
        <v>0</v>
      </c>
      <c r="BL93" s="205">
        <f t="shared" si="53"/>
        <v>0</v>
      </c>
      <c r="BM93" s="205">
        <f t="shared" si="54"/>
        <v>0</v>
      </c>
      <c r="BN93" s="205">
        <f t="shared" si="38"/>
        <v>0</v>
      </c>
      <c r="BO93" s="205">
        <f t="shared" si="39"/>
        <v>0</v>
      </c>
      <c r="BP93" s="206"/>
      <c r="BQ93" s="277">
        <v>7</v>
      </c>
      <c r="BR93" s="208">
        <f t="shared" si="40"/>
        <v>0.58333333333333337</v>
      </c>
      <c r="BS93" s="219" t="str">
        <f t="shared" si="55"/>
        <v>Efectuar los tramites asociados a la ejecución de otros recursos asignados a la ADRES</v>
      </c>
      <c r="BT93" s="195">
        <f t="shared" si="28"/>
        <v>7652207892</v>
      </c>
      <c r="BU93" s="196"/>
      <c r="BV93" s="196"/>
      <c r="BW93" s="196"/>
      <c r="BX93" s="196"/>
      <c r="BY93" s="196"/>
      <c r="BZ93" s="196"/>
      <c r="CA93" s="146"/>
      <c r="CB93" s="146"/>
      <c r="CC93" s="146"/>
      <c r="CD93" s="146"/>
      <c r="CE93" s="146"/>
      <c r="CF93" s="146"/>
      <c r="CG93" s="146"/>
      <c r="CH93" s="146"/>
      <c r="CI93" s="146"/>
      <c r="CJ93" s="146"/>
      <c r="CK93" s="146"/>
      <c r="CL93" s="146"/>
      <c r="CM93" s="146"/>
      <c r="CN93" s="146"/>
      <c r="CO93" s="146"/>
      <c r="CP93" s="146"/>
      <c r="CQ93" s="146"/>
      <c r="CR93" s="146"/>
      <c r="CS93" s="146"/>
      <c r="CT93" s="146"/>
      <c r="CU93" s="146"/>
      <c r="CV93" s="146"/>
      <c r="CW93" s="146"/>
      <c r="CX93" s="146"/>
      <c r="CY93" s="146"/>
      <c r="CZ93" s="146"/>
      <c r="DA93" s="146"/>
      <c r="DB93" s="146"/>
      <c r="DC93" s="146"/>
      <c r="DD93" s="146"/>
      <c r="DE93" s="146"/>
      <c r="DF93" s="146"/>
      <c r="DG93" s="146"/>
      <c r="DH93" s="146"/>
      <c r="DI93" s="146"/>
      <c r="DJ93" s="146"/>
      <c r="DK93" s="146"/>
      <c r="DL93" s="146"/>
      <c r="DM93" s="146"/>
      <c r="DN93" s="146"/>
      <c r="DO93" s="146"/>
      <c r="DP93" s="146"/>
      <c r="DQ93" s="146"/>
      <c r="DR93" s="146"/>
      <c r="DS93" s="146"/>
      <c r="DT93" s="146"/>
      <c r="DU93" s="146"/>
      <c r="DV93" s="146"/>
      <c r="DW93" s="146"/>
      <c r="DX93" s="146"/>
      <c r="DY93" s="146"/>
      <c r="DZ93" s="146"/>
      <c r="EA93" s="146"/>
      <c r="EB93" s="146"/>
      <c r="EC93" s="146"/>
      <c r="ED93" s="146"/>
      <c r="EE93" s="146"/>
      <c r="EF93" s="146"/>
      <c r="EG93" s="146"/>
      <c r="EH93" s="146"/>
      <c r="EI93" s="146"/>
      <c r="EJ93" s="146"/>
      <c r="EK93" s="146"/>
      <c r="EL93" s="146"/>
      <c r="EM93" s="146"/>
      <c r="EN93" s="146"/>
      <c r="EO93" s="146"/>
      <c r="EP93" s="146"/>
      <c r="EQ93" s="146"/>
      <c r="ER93" s="146"/>
      <c r="ES93" s="146"/>
      <c r="ET93" s="146"/>
      <c r="EU93" s="146"/>
      <c r="EV93" s="146"/>
      <c r="EW93" s="146"/>
      <c r="EX93" s="146"/>
      <c r="EY93" s="146"/>
      <c r="EZ93" s="146"/>
      <c r="FA93" s="146"/>
      <c r="FB93" s="146"/>
      <c r="FC93" s="146"/>
      <c r="FD93" s="146"/>
      <c r="FE93" s="146"/>
      <c r="FF93" s="146"/>
      <c r="FG93" s="146"/>
      <c r="FH93" s="146"/>
      <c r="FI93" s="146"/>
      <c r="FJ93" s="146"/>
      <c r="FK93" s="146"/>
      <c r="FL93" s="146"/>
      <c r="FM93" s="146"/>
      <c r="FN93" s="146"/>
      <c r="FO93" s="146"/>
      <c r="FP93" s="146"/>
      <c r="FQ93" s="146"/>
      <c r="FR93" s="146"/>
      <c r="FS93" s="146"/>
      <c r="FT93" s="146"/>
      <c r="FU93" s="146"/>
      <c r="FV93" s="146"/>
      <c r="FW93" s="146"/>
      <c r="FX93" s="146"/>
      <c r="FY93" s="146"/>
      <c r="FZ93" s="146"/>
      <c r="GA93" s="146"/>
      <c r="GB93" s="146"/>
      <c r="GC93" s="146"/>
      <c r="GD93" s="146"/>
      <c r="GE93" s="146"/>
      <c r="GF93" s="146"/>
      <c r="GG93" s="146"/>
      <c r="GH93" s="146"/>
      <c r="GI93" s="146"/>
      <c r="GJ93" s="146"/>
      <c r="GK93" s="146"/>
      <c r="GL93" s="146"/>
      <c r="GM93" s="146"/>
      <c r="GN93" s="146"/>
      <c r="GO93" s="146"/>
      <c r="GP93" s="146"/>
      <c r="GQ93" s="146"/>
      <c r="GR93" s="146"/>
      <c r="GS93" s="146"/>
      <c r="GT93" s="146"/>
      <c r="GU93" s="146"/>
      <c r="GV93" s="146"/>
      <c r="GW93" s="146"/>
      <c r="GX93" s="146"/>
      <c r="GY93" s="146"/>
      <c r="GZ93" s="146"/>
      <c r="HA93" s="146"/>
      <c r="HB93" s="146"/>
      <c r="HC93" s="146"/>
      <c r="HD93" s="146"/>
      <c r="HE93" s="146"/>
      <c r="HF93" s="146"/>
      <c r="HG93" s="146"/>
      <c r="HH93" s="146"/>
      <c r="HI93" s="146"/>
      <c r="HJ93" s="146"/>
      <c r="HK93" s="146"/>
      <c r="HL93" s="146"/>
      <c r="HM93" s="146"/>
      <c r="HN93" s="146"/>
      <c r="HO93" s="146"/>
      <c r="HP93" s="146"/>
      <c r="HQ93" s="146"/>
      <c r="HR93" s="146"/>
      <c r="HS93" s="146"/>
      <c r="HT93" s="146"/>
      <c r="HU93" s="146"/>
      <c r="HV93" s="146"/>
      <c r="HW93" s="146"/>
      <c r="HX93" s="146"/>
      <c r="HY93" s="146"/>
      <c r="HZ93" s="146"/>
      <c r="IA93" s="146"/>
    </row>
    <row r="94" spans="1:235" s="154" customFormat="1" ht="99.75" x14ac:dyDescent="0.25">
      <c r="A94" s="197">
        <v>11700</v>
      </c>
      <c r="B94" s="194" t="s">
        <v>29</v>
      </c>
      <c r="C94" s="198" t="s">
        <v>328</v>
      </c>
      <c r="D94" s="194" t="s">
        <v>256</v>
      </c>
      <c r="E94" s="198" t="s">
        <v>383</v>
      </c>
      <c r="F94" s="194" t="s">
        <v>382</v>
      </c>
      <c r="G94" s="209" t="s">
        <v>384</v>
      </c>
      <c r="H94" s="198">
        <v>12</v>
      </c>
      <c r="I94" s="198" t="s">
        <v>388</v>
      </c>
      <c r="J94" s="194" t="s">
        <v>381</v>
      </c>
      <c r="K94" s="210">
        <v>0</v>
      </c>
      <c r="L94" s="211">
        <v>1</v>
      </c>
      <c r="M94" s="194" t="s">
        <v>46</v>
      </c>
      <c r="N94" s="194" t="s">
        <v>68</v>
      </c>
      <c r="O94" s="194" t="s">
        <v>37</v>
      </c>
      <c r="P94" s="194" t="s">
        <v>38</v>
      </c>
      <c r="Q94" s="194" t="s">
        <v>219</v>
      </c>
      <c r="R94" s="194" t="s">
        <v>626</v>
      </c>
      <c r="S94" s="194" t="s">
        <v>99</v>
      </c>
      <c r="T94" s="198">
        <v>12</v>
      </c>
      <c r="U94" s="212" t="str">
        <f t="shared" si="41"/>
        <v>Seguimiento a la ejecución presupuestal, PAC y Reservas</v>
      </c>
      <c r="V94" s="213">
        <f t="shared" si="41"/>
        <v>0</v>
      </c>
      <c r="W94" s="214" t="s">
        <v>117</v>
      </c>
      <c r="X94" s="215">
        <v>3</v>
      </c>
      <c r="Y94" s="214" t="s">
        <v>381</v>
      </c>
      <c r="Z94" s="210">
        <v>0</v>
      </c>
      <c r="AA94" s="196"/>
      <c r="AB94" s="196"/>
      <c r="AC94" s="204">
        <f t="shared" si="42"/>
        <v>0</v>
      </c>
      <c r="AD94" s="204" t="e">
        <f t="shared" si="43"/>
        <v>#DIV/0!</v>
      </c>
      <c r="AE94" s="204">
        <f t="shared" si="29"/>
        <v>0</v>
      </c>
      <c r="AF94" s="204" t="e">
        <f t="shared" si="30"/>
        <v>#DIV/0!</v>
      </c>
      <c r="AG94" s="215">
        <v>3</v>
      </c>
      <c r="AH94" s="214" t="s">
        <v>381</v>
      </c>
      <c r="AI94" s="210">
        <v>0</v>
      </c>
      <c r="AJ94" s="196"/>
      <c r="AK94" s="196"/>
      <c r="AL94" s="204">
        <f t="shared" si="44"/>
        <v>0</v>
      </c>
      <c r="AM94" s="204" t="e">
        <f t="shared" si="31"/>
        <v>#DIV/0!</v>
      </c>
      <c r="AN94" s="204">
        <f t="shared" si="32"/>
        <v>0</v>
      </c>
      <c r="AO94" s="204" t="e">
        <f t="shared" si="33"/>
        <v>#DIV/0!</v>
      </c>
      <c r="AP94" s="215">
        <v>3</v>
      </c>
      <c r="AQ94" s="214" t="s">
        <v>381</v>
      </c>
      <c r="AR94" s="210">
        <v>0</v>
      </c>
      <c r="AS94" s="196"/>
      <c r="AT94" s="196"/>
      <c r="AU94" s="204">
        <f t="shared" si="45"/>
        <v>0</v>
      </c>
      <c r="AV94" s="204" t="e">
        <f t="shared" si="46"/>
        <v>#DIV/0!</v>
      </c>
      <c r="AW94" s="204">
        <f t="shared" si="47"/>
        <v>0</v>
      </c>
      <c r="AX94" s="204" t="e">
        <f t="shared" si="48"/>
        <v>#DIV/0!</v>
      </c>
      <c r="AY94" s="215">
        <v>3</v>
      </c>
      <c r="AZ94" s="214" t="s">
        <v>381</v>
      </c>
      <c r="BA94" s="210">
        <v>0</v>
      </c>
      <c r="BB94" s="196"/>
      <c r="BC94" s="196"/>
      <c r="BD94" s="216">
        <f t="shared" si="49"/>
        <v>0</v>
      </c>
      <c r="BE94" s="216" t="e">
        <f t="shared" si="50"/>
        <v>#DIV/0!</v>
      </c>
      <c r="BF94" s="216">
        <f t="shared" si="51"/>
        <v>0</v>
      </c>
      <c r="BG94" s="216" t="e">
        <f t="shared" si="52"/>
        <v>#DIV/0!</v>
      </c>
      <c r="BH94" s="207">
        <f t="shared" si="34"/>
        <v>0</v>
      </c>
      <c r="BI94" s="207" t="str">
        <f t="shared" si="35"/>
        <v>No Prog ni Ejec</v>
      </c>
      <c r="BJ94" s="207">
        <f t="shared" si="36"/>
        <v>0</v>
      </c>
      <c r="BK94" s="207" t="str">
        <f t="shared" si="37"/>
        <v>No Prog ni Ejec</v>
      </c>
      <c r="BL94" s="207">
        <f t="shared" si="53"/>
        <v>0</v>
      </c>
      <c r="BM94" s="207" t="str">
        <f t="shared" si="54"/>
        <v>No Prog ni Ejec</v>
      </c>
      <c r="BN94" s="207">
        <f t="shared" si="38"/>
        <v>0</v>
      </c>
      <c r="BO94" s="207" t="str">
        <f t="shared" si="39"/>
        <v>No Prog ni Ejec</v>
      </c>
      <c r="BP94" s="206"/>
      <c r="BQ94" s="277">
        <v>7</v>
      </c>
      <c r="BR94" s="218">
        <f t="shared" si="40"/>
        <v>7</v>
      </c>
      <c r="BS94" s="219" t="str">
        <f t="shared" si="55"/>
        <v>Seguimiento a la ejecución presupuestal, PAC y Reservas</v>
      </c>
      <c r="BT94" s="195">
        <f t="shared" si="28"/>
        <v>0</v>
      </c>
      <c r="BU94" s="196"/>
      <c r="BV94" s="196"/>
      <c r="BW94" s="196"/>
      <c r="BX94" s="196"/>
      <c r="BY94" s="196"/>
      <c r="BZ94" s="19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146"/>
      <c r="CX94" s="146"/>
      <c r="CY94" s="146"/>
      <c r="CZ94" s="146"/>
      <c r="DA94" s="146"/>
      <c r="DB94" s="146"/>
      <c r="DC94" s="146"/>
      <c r="DD94" s="146"/>
      <c r="DE94" s="146"/>
      <c r="DF94" s="146"/>
      <c r="DG94" s="146"/>
      <c r="DH94" s="146"/>
      <c r="DI94" s="146"/>
      <c r="DJ94" s="146"/>
      <c r="DK94" s="146"/>
      <c r="DL94" s="146"/>
      <c r="DM94" s="146"/>
      <c r="DN94" s="146"/>
      <c r="DO94" s="146"/>
      <c r="DP94" s="146"/>
      <c r="DQ94" s="146"/>
      <c r="DR94" s="146"/>
      <c r="DS94" s="146"/>
      <c r="DT94" s="146"/>
      <c r="DU94" s="146"/>
      <c r="DV94" s="146"/>
      <c r="DW94" s="146"/>
      <c r="DX94" s="146"/>
      <c r="DY94" s="146"/>
      <c r="DZ94" s="146"/>
      <c r="EA94" s="146"/>
      <c r="EB94" s="146"/>
      <c r="EC94" s="146"/>
      <c r="ED94" s="146"/>
      <c r="EE94" s="146"/>
      <c r="EF94" s="146"/>
      <c r="EG94" s="146"/>
      <c r="EH94" s="146"/>
      <c r="EI94" s="146"/>
      <c r="EJ94" s="146"/>
      <c r="EK94" s="146"/>
      <c r="EL94" s="146"/>
      <c r="EM94" s="146"/>
      <c r="EN94" s="146"/>
      <c r="EO94" s="146"/>
      <c r="EP94" s="146"/>
      <c r="EQ94" s="146"/>
      <c r="ER94" s="146"/>
      <c r="ES94" s="146"/>
      <c r="ET94" s="146"/>
      <c r="EU94" s="146"/>
      <c r="EV94" s="146"/>
      <c r="EW94" s="146"/>
      <c r="EX94" s="146"/>
      <c r="EY94" s="146"/>
      <c r="EZ94" s="146"/>
      <c r="FA94" s="146"/>
      <c r="FB94" s="146"/>
      <c r="FC94" s="146"/>
      <c r="FD94" s="146"/>
      <c r="FE94" s="146"/>
      <c r="FF94" s="146"/>
      <c r="FG94" s="146"/>
      <c r="FH94" s="146"/>
      <c r="FI94" s="146"/>
      <c r="FJ94" s="146"/>
      <c r="FK94" s="146"/>
      <c r="FL94" s="146"/>
      <c r="FM94" s="146"/>
      <c r="FN94" s="146"/>
      <c r="FO94" s="146"/>
      <c r="FP94" s="146"/>
      <c r="FQ94" s="146"/>
      <c r="FR94" s="146"/>
      <c r="FS94" s="146"/>
      <c r="FT94" s="146"/>
      <c r="FU94" s="146"/>
      <c r="FV94" s="146"/>
      <c r="FW94" s="146"/>
      <c r="FX94" s="146"/>
      <c r="FY94" s="146"/>
      <c r="FZ94" s="146"/>
      <c r="GA94" s="146"/>
      <c r="GB94" s="146"/>
      <c r="GC94" s="146"/>
      <c r="GD94" s="146"/>
      <c r="GE94" s="146"/>
      <c r="GF94" s="146"/>
      <c r="GG94" s="146"/>
      <c r="GH94" s="146"/>
      <c r="GI94" s="146"/>
      <c r="GJ94" s="146"/>
      <c r="GK94" s="146"/>
      <c r="GL94" s="146"/>
      <c r="GM94" s="146"/>
      <c r="GN94" s="146"/>
      <c r="GO94" s="146"/>
      <c r="GP94" s="146"/>
      <c r="GQ94" s="146"/>
      <c r="GR94" s="146"/>
      <c r="GS94" s="146"/>
      <c r="GT94" s="146"/>
      <c r="GU94" s="146"/>
      <c r="GV94" s="146"/>
      <c r="GW94" s="146"/>
      <c r="GX94" s="146"/>
      <c r="GY94" s="146"/>
      <c r="GZ94" s="146"/>
      <c r="HA94" s="146"/>
      <c r="HB94" s="146"/>
      <c r="HC94" s="146"/>
      <c r="HD94" s="146"/>
      <c r="HE94" s="146"/>
      <c r="HF94" s="146"/>
      <c r="HG94" s="146"/>
      <c r="HH94" s="146"/>
      <c r="HI94" s="146"/>
      <c r="HJ94" s="146"/>
      <c r="HK94" s="146"/>
      <c r="HL94" s="146"/>
      <c r="HM94" s="146"/>
      <c r="HN94" s="146"/>
      <c r="HO94" s="146"/>
      <c r="HP94" s="146"/>
      <c r="HQ94" s="146"/>
      <c r="HR94" s="146"/>
      <c r="HS94" s="146"/>
      <c r="HT94" s="146"/>
      <c r="HU94" s="146"/>
      <c r="HV94" s="146"/>
      <c r="HW94" s="146"/>
      <c r="HX94" s="146"/>
      <c r="HY94" s="146"/>
      <c r="HZ94" s="146"/>
      <c r="IA94" s="146"/>
    </row>
    <row r="95" spans="1:235" s="154" customFormat="1" ht="99.75" x14ac:dyDescent="0.25">
      <c r="A95" s="197">
        <v>11700</v>
      </c>
      <c r="B95" s="194" t="s">
        <v>29</v>
      </c>
      <c r="C95" s="198" t="s">
        <v>328</v>
      </c>
      <c r="D95" s="194" t="s">
        <v>256</v>
      </c>
      <c r="E95" s="198" t="s">
        <v>385</v>
      </c>
      <c r="F95" s="194" t="s">
        <v>387</v>
      </c>
      <c r="G95" s="209" t="s">
        <v>384</v>
      </c>
      <c r="H95" s="198">
        <v>4</v>
      </c>
      <c r="I95" s="198" t="s">
        <v>389</v>
      </c>
      <c r="J95" s="194" t="s">
        <v>386</v>
      </c>
      <c r="K95" s="210">
        <v>0</v>
      </c>
      <c r="L95" s="211">
        <v>1</v>
      </c>
      <c r="M95" s="194" t="s">
        <v>46</v>
      </c>
      <c r="N95" s="194" t="s">
        <v>68</v>
      </c>
      <c r="O95" s="194" t="s">
        <v>37</v>
      </c>
      <c r="P95" s="194" t="s">
        <v>38</v>
      </c>
      <c r="Q95" s="194" t="s">
        <v>219</v>
      </c>
      <c r="R95" s="194" t="s">
        <v>627</v>
      </c>
      <c r="S95" s="194" t="s">
        <v>99</v>
      </c>
      <c r="T95" s="198">
        <v>4</v>
      </c>
      <c r="U95" s="212" t="str">
        <f t="shared" si="41"/>
        <v>Informes Estados Financieros (Balance General y Estado de Resultados) de la UGG</v>
      </c>
      <c r="V95" s="213">
        <f t="shared" si="41"/>
        <v>0</v>
      </c>
      <c r="W95" s="214" t="s">
        <v>117</v>
      </c>
      <c r="X95" s="215">
        <v>1</v>
      </c>
      <c r="Y95" s="214" t="s">
        <v>386</v>
      </c>
      <c r="Z95" s="210">
        <v>0</v>
      </c>
      <c r="AA95" s="196"/>
      <c r="AB95" s="196"/>
      <c r="AC95" s="204">
        <f t="shared" si="42"/>
        <v>0</v>
      </c>
      <c r="AD95" s="204" t="e">
        <f t="shared" si="43"/>
        <v>#DIV/0!</v>
      </c>
      <c r="AE95" s="204">
        <f t="shared" si="29"/>
        <v>0</v>
      </c>
      <c r="AF95" s="204" t="e">
        <f t="shared" si="30"/>
        <v>#DIV/0!</v>
      </c>
      <c r="AG95" s="215">
        <v>1</v>
      </c>
      <c r="AH95" s="214" t="s">
        <v>386</v>
      </c>
      <c r="AI95" s="210">
        <v>0</v>
      </c>
      <c r="AJ95" s="196"/>
      <c r="AK95" s="196"/>
      <c r="AL95" s="204">
        <f t="shared" si="44"/>
        <v>0</v>
      </c>
      <c r="AM95" s="204" t="e">
        <f t="shared" si="31"/>
        <v>#DIV/0!</v>
      </c>
      <c r="AN95" s="204">
        <f t="shared" si="32"/>
        <v>0</v>
      </c>
      <c r="AO95" s="204" t="e">
        <f t="shared" si="33"/>
        <v>#DIV/0!</v>
      </c>
      <c r="AP95" s="215">
        <v>1</v>
      </c>
      <c r="AQ95" s="214" t="s">
        <v>386</v>
      </c>
      <c r="AR95" s="210">
        <v>0</v>
      </c>
      <c r="AS95" s="196"/>
      <c r="AT95" s="196"/>
      <c r="AU95" s="204">
        <f t="shared" si="45"/>
        <v>0</v>
      </c>
      <c r="AV95" s="204" t="e">
        <f t="shared" si="46"/>
        <v>#DIV/0!</v>
      </c>
      <c r="AW95" s="204">
        <f t="shared" si="47"/>
        <v>0</v>
      </c>
      <c r="AX95" s="204" t="e">
        <f t="shared" si="48"/>
        <v>#DIV/0!</v>
      </c>
      <c r="AY95" s="215">
        <v>1</v>
      </c>
      <c r="AZ95" s="214" t="s">
        <v>386</v>
      </c>
      <c r="BA95" s="210">
        <v>0</v>
      </c>
      <c r="BB95" s="196"/>
      <c r="BC95" s="196"/>
      <c r="BD95" s="216">
        <f t="shared" si="49"/>
        <v>0</v>
      </c>
      <c r="BE95" s="216" t="e">
        <f t="shared" si="50"/>
        <v>#DIV/0!</v>
      </c>
      <c r="BF95" s="216">
        <f t="shared" si="51"/>
        <v>0</v>
      </c>
      <c r="BG95" s="216" t="e">
        <f t="shared" si="52"/>
        <v>#DIV/0!</v>
      </c>
      <c r="BH95" s="207">
        <f t="shared" si="34"/>
        <v>0</v>
      </c>
      <c r="BI95" s="207" t="str">
        <f t="shared" si="35"/>
        <v>No Prog ni Ejec</v>
      </c>
      <c r="BJ95" s="207">
        <f t="shared" si="36"/>
        <v>0</v>
      </c>
      <c r="BK95" s="207" t="str">
        <f t="shared" si="37"/>
        <v>No Prog ni Ejec</v>
      </c>
      <c r="BL95" s="207">
        <f t="shared" si="53"/>
        <v>0</v>
      </c>
      <c r="BM95" s="207" t="str">
        <f t="shared" si="54"/>
        <v>No Prog ni Ejec</v>
      </c>
      <c r="BN95" s="207">
        <f t="shared" si="38"/>
        <v>0</v>
      </c>
      <c r="BO95" s="207" t="str">
        <f t="shared" si="39"/>
        <v>No Prog ni Ejec</v>
      </c>
      <c r="BP95" s="206"/>
      <c r="BQ95" s="277">
        <v>7</v>
      </c>
      <c r="BR95" s="218">
        <f t="shared" si="40"/>
        <v>2.3333333333333335</v>
      </c>
      <c r="BS95" s="219" t="str">
        <f t="shared" si="55"/>
        <v>Informes Estados Financieros (Balance General y Estado de Resultados) de la UGG</v>
      </c>
      <c r="BT95" s="195">
        <f t="shared" si="28"/>
        <v>0</v>
      </c>
      <c r="BU95" s="196"/>
      <c r="BV95" s="196"/>
      <c r="BW95" s="196"/>
      <c r="BX95" s="196"/>
      <c r="BY95" s="196"/>
      <c r="BZ95" s="196"/>
      <c r="CA95" s="146"/>
      <c r="CB95" s="146"/>
      <c r="CC95" s="146"/>
      <c r="CD95" s="146"/>
      <c r="CE95" s="146"/>
      <c r="CF95" s="146"/>
      <c r="CG95" s="146"/>
      <c r="CH95" s="146"/>
      <c r="CI95" s="146"/>
      <c r="CJ95" s="146"/>
      <c r="CK95" s="146"/>
      <c r="CL95" s="146"/>
      <c r="CM95" s="146"/>
      <c r="CN95" s="146"/>
      <c r="CO95" s="146"/>
      <c r="CP95" s="146"/>
      <c r="CQ95" s="146"/>
      <c r="CR95" s="146"/>
      <c r="CS95" s="146"/>
      <c r="CT95" s="146"/>
      <c r="CU95" s="146"/>
      <c r="CV95" s="146"/>
      <c r="CW95" s="146"/>
      <c r="CX95" s="146"/>
      <c r="CY95" s="146"/>
      <c r="CZ95" s="146"/>
      <c r="DA95" s="146"/>
      <c r="DB95" s="146"/>
      <c r="DC95" s="146"/>
      <c r="DD95" s="146"/>
      <c r="DE95" s="146"/>
      <c r="DF95" s="146"/>
      <c r="DG95" s="146"/>
      <c r="DH95" s="146"/>
      <c r="DI95" s="146"/>
      <c r="DJ95" s="146"/>
      <c r="DK95" s="146"/>
      <c r="DL95" s="146"/>
      <c r="DM95" s="146"/>
      <c r="DN95" s="146"/>
      <c r="DO95" s="146"/>
      <c r="DP95" s="146"/>
      <c r="DQ95" s="146"/>
      <c r="DR95" s="146"/>
      <c r="DS95" s="146"/>
      <c r="DT95" s="146"/>
      <c r="DU95" s="146"/>
      <c r="DV95" s="146"/>
      <c r="DW95" s="146"/>
      <c r="DX95" s="146"/>
      <c r="DY95" s="146"/>
      <c r="DZ95" s="146"/>
      <c r="EA95" s="146"/>
      <c r="EB95" s="146"/>
      <c r="EC95" s="146"/>
      <c r="ED95" s="146"/>
      <c r="EE95" s="146"/>
      <c r="EF95" s="146"/>
      <c r="EG95" s="146"/>
      <c r="EH95" s="146"/>
      <c r="EI95" s="146"/>
      <c r="EJ95" s="146"/>
      <c r="EK95" s="146"/>
      <c r="EL95" s="146"/>
      <c r="EM95" s="146"/>
      <c r="EN95" s="146"/>
      <c r="EO95" s="146"/>
      <c r="EP95" s="146"/>
      <c r="EQ95" s="146"/>
      <c r="ER95" s="146"/>
      <c r="ES95" s="146"/>
      <c r="ET95" s="146"/>
      <c r="EU95" s="146"/>
      <c r="EV95" s="146"/>
      <c r="EW95" s="146"/>
      <c r="EX95" s="146"/>
      <c r="EY95" s="146"/>
      <c r="EZ95" s="146"/>
      <c r="FA95" s="146"/>
      <c r="FB95" s="146"/>
      <c r="FC95" s="146"/>
      <c r="FD95" s="146"/>
      <c r="FE95" s="146"/>
      <c r="FF95" s="146"/>
      <c r="FG95" s="146"/>
      <c r="FH95" s="146"/>
      <c r="FI95" s="146"/>
      <c r="FJ95" s="146"/>
      <c r="FK95" s="146"/>
      <c r="FL95" s="146"/>
      <c r="FM95" s="146"/>
      <c r="FN95" s="146"/>
      <c r="FO95" s="146"/>
      <c r="FP95" s="146"/>
      <c r="FQ95" s="146"/>
      <c r="FR95" s="146"/>
      <c r="FS95" s="146"/>
      <c r="FT95" s="146"/>
      <c r="FU95" s="146"/>
      <c r="FV95" s="146"/>
      <c r="FW95" s="146"/>
      <c r="FX95" s="146"/>
      <c r="FY95" s="146"/>
      <c r="FZ95" s="146"/>
      <c r="GA95" s="146"/>
      <c r="GB95" s="146"/>
      <c r="GC95" s="146"/>
      <c r="GD95" s="146"/>
      <c r="GE95" s="146"/>
      <c r="GF95" s="146"/>
      <c r="GG95" s="146"/>
      <c r="GH95" s="146"/>
      <c r="GI95" s="146"/>
      <c r="GJ95" s="146"/>
      <c r="GK95" s="146"/>
      <c r="GL95" s="146"/>
      <c r="GM95" s="146"/>
      <c r="GN95" s="146"/>
      <c r="GO95" s="146"/>
      <c r="GP95" s="146"/>
      <c r="GQ95" s="146"/>
      <c r="GR95" s="146"/>
      <c r="GS95" s="146"/>
      <c r="GT95" s="146"/>
      <c r="GU95" s="146"/>
      <c r="GV95" s="146"/>
      <c r="GW95" s="146"/>
      <c r="GX95" s="146"/>
      <c r="GY95" s="146"/>
      <c r="GZ95" s="146"/>
      <c r="HA95" s="146"/>
      <c r="HB95" s="146"/>
      <c r="HC95" s="146"/>
      <c r="HD95" s="146"/>
      <c r="HE95" s="146"/>
      <c r="HF95" s="146"/>
      <c r="HG95" s="146"/>
      <c r="HH95" s="146"/>
      <c r="HI95" s="146"/>
      <c r="HJ95" s="146"/>
      <c r="HK95" s="146"/>
      <c r="HL95" s="146"/>
      <c r="HM95" s="146"/>
      <c r="HN95" s="146"/>
      <c r="HO95" s="146"/>
      <c r="HP95" s="146"/>
      <c r="HQ95" s="146"/>
      <c r="HR95" s="146"/>
      <c r="HS95" s="146"/>
      <c r="HT95" s="146"/>
      <c r="HU95" s="146"/>
      <c r="HV95" s="146"/>
      <c r="HW95" s="146"/>
      <c r="HX95" s="146"/>
      <c r="HY95" s="146"/>
      <c r="HZ95" s="146"/>
      <c r="IA95" s="146"/>
    </row>
    <row r="96" spans="1:235" s="154" customFormat="1" ht="99.75" x14ac:dyDescent="0.25">
      <c r="A96" s="197">
        <v>11700</v>
      </c>
      <c r="B96" s="194" t="s">
        <v>29</v>
      </c>
      <c r="C96" s="198" t="s">
        <v>328</v>
      </c>
      <c r="D96" s="194" t="s">
        <v>256</v>
      </c>
      <c r="E96" s="198" t="s">
        <v>391</v>
      </c>
      <c r="F96" s="194" t="s">
        <v>393</v>
      </c>
      <c r="G96" s="209" t="s">
        <v>384</v>
      </c>
      <c r="H96" s="198">
        <v>4</v>
      </c>
      <c r="I96" s="198" t="s">
        <v>392</v>
      </c>
      <c r="J96" s="194" t="s">
        <v>390</v>
      </c>
      <c r="K96" s="210">
        <v>0</v>
      </c>
      <c r="L96" s="211">
        <v>1</v>
      </c>
      <c r="M96" s="194" t="s">
        <v>46</v>
      </c>
      <c r="N96" s="194" t="s">
        <v>68</v>
      </c>
      <c r="O96" s="194" t="s">
        <v>37</v>
      </c>
      <c r="P96" s="194" t="s">
        <v>38</v>
      </c>
      <c r="Q96" s="194" t="s">
        <v>219</v>
      </c>
      <c r="R96" s="194" t="s">
        <v>628</v>
      </c>
      <c r="S96" s="194" t="s">
        <v>99</v>
      </c>
      <c r="T96" s="198">
        <v>4</v>
      </c>
      <c r="U96" s="212" t="str">
        <f t="shared" si="41"/>
        <v>Informes Operaciones Reciprocas</v>
      </c>
      <c r="V96" s="213">
        <f t="shared" si="41"/>
        <v>0</v>
      </c>
      <c r="W96" s="214" t="s">
        <v>117</v>
      </c>
      <c r="X96" s="215">
        <v>1</v>
      </c>
      <c r="Y96" s="214" t="s">
        <v>390</v>
      </c>
      <c r="Z96" s="210">
        <v>0</v>
      </c>
      <c r="AA96" s="196"/>
      <c r="AB96" s="196"/>
      <c r="AC96" s="204">
        <f t="shared" si="42"/>
        <v>0</v>
      </c>
      <c r="AD96" s="204" t="e">
        <f t="shared" si="43"/>
        <v>#DIV/0!</v>
      </c>
      <c r="AE96" s="204">
        <f t="shared" si="29"/>
        <v>0</v>
      </c>
      <c r="AF96" s="204" t="e">
        <f t="shared" si="30"/>
        <v>#DIV/0!</v>
      </c>
      <c r="AG96" s="215">
        <v>1</v>
      </c>
      <c r="AH96" s="214" t="s">
        <v>390</v>
      </c>
      <c r="AI96" s="210">
        <v>0</v>
      </c>
      <c r="AJ96" s="196"/>
      <c r="AK96" s="196"/>
      <c r="AL96" s="204">
        <f t="shared" si="44"/>
        <v>0</v>
      </c>
      <c r="AM96" s="204" t="e">
        <f t="shared" si="31"/>
        <v>#DIV/0!</v>
      </c>
      <c r="AN96" s="204">
        <f t="shared" si="32"/>
        <v>0</v>
      </c>
      <c r="AO96" s="204" t="e">
        <f t="shared" si="33"/>
        <v>#DIV/0!</v>
      </c>
      <c r="AP96" s="215">
        <v>1</v>
      </c>
      <c r="AQ96" s="214" t="s">
        <v>390</v>
      </c>
      <c r="AR96" s="210">
        <v>0</v>
      </c>
      <c r="AS96" s="196"/>
      <c r="AT96" s="196"/>
      <c r="AU96" s="204">
        <f t="shared" si="45"/>
        <v>0</v>
      </c>
      <c r="AV96" s="204" t="e">
        <f t="shared" si="46"/>
        <v>#DIV/0!</v>
      </c>
      <c r="AW96" s="204">
        <f t="shared" si="47"/>
        <v>0</v>
      </c>
      <c r="AX96" s="204" t="e">
        <f t="shared" si="48"/>
        <v>#DIV/0!</v>
      </c>
      <c r="AY96" s="215">
        <v>1</v>
      </c>
      <c r="AZ96" s="214" t="s">
        <v>390</v>
      </c>
      <c r="BA96" s="210">
        <v>0</v>
      </c>
      <c r="BB96" s="196"/>
      <c r="BC96" s="196"/>
      <c r="BD96" s="216">
        <f t="shared" si="49"/>
        <v>0</v>
      </c>
      <c r="BE96" s="216" t="e">
        <f t="shared" si="50"/>
        <v>#DIV/0!</v>
      </c>
      <c r="BF96" s="216">
        <f t="shared" si="51"/>
        <v>0</v>
      </c>
      <c r="BG96" s="216" t="e">
        <f t="shared" si="52"/>
        <v>#DIV/0!</v>
      </c>
      <c r="BH96" s="207">
        <f t="shared" si="34"/>
        <v>0</v>
      </c>
      <c r="BI96" s="207" t="str">
        <f t="shared" si="35"/>
        <v>No Prog ni Ejec</v>
      </c>
      <c r="BJ96" s="207">
        <f t="shared" si="36"/>
        <v>0</v>
      </c>
      <c r="BK96" s="207" t="str">
        <f t="shared" si="37"/>
        <v>No Prog ni Ejec</v>
      </c>
      <c r="BL96" s="207">
        <f t="shared" si="53"/>
        <v>0</v>
      </c>
      <c r="BM96" s="207" t="str">
        <f t="shared" si="54"/>
        <v>No Prog ni Ejec</v>
      </c>
      <c r="BN96" s="207">
        <f t="shared" si="38"/>
        <v>0</v>
      </c>
      <c r="BO96" s="207" t="str">
        <f t="shared" si="39"/>
        <v>No Prog ni Ejec</v>
      </c>
      <c r="BP96" s="206"/>
      <c r="BQ96" s="277">
        <v>7</v>
      </c>
      <c r="BR96" s="218">
        <f t="shared" si="40"/>
        <v>2.3333333333333335</v>
      </c>
      <c r="BS96" s="219" t="str">
        <f t="shared" si="55"/>
        <v>Informes Operaciones Reciprocas</v>
      </c>
      <c r="BT96" s="195">
        <f t="shared" si="28"/>
        <v>0</v>
      </c>
      <c r="BU96" s="196"/>
      <c r="BV96" s="196"/>
      <c r="BW96" s="196"/>
      <c r="BX96" s="196"/>
      <c r="BY96" s="196"/>
      <c r="BZ96" s="196"/>
      <c r="CA96" s="146"/>
      <c r="CB96" s="146"/>
      <c r="CC96" s="146"/>
      <c r="CD96" s="146"/>
      <c r="CE96" s="146"/>
      <c r="CF96" s="146"/>
      <c r="CG96" s="146"/>
      <c r="CH96" s="146"/>
      <c r="CI96" s="146"/>
      <c r="CJ96" s="146"/>
      <c r="CK96" s="146"/>
      <c r="CL96" s="146"/>
      <c r="CM96" s="146"/>
      <c r="CN96" s="146"/>
      <c r="CO96" s="146"/>
      <c r="CP96" s="146"/>
      <c r="CQ96" s="146"/>
      <c r="CR96" s="146"/>
      <c r="CS96" s="146"/>
      <c r="CT96" s="146"/>
      <c r="CU96" s="146"/>
      <c r="CV96" s="146"/>
      <c r="CW96" s="146"/>
      <c r="CX96" s="146"/>
      <c r="CY96" s="146"/>
      <c r="CZ96" s="146"/>
      <c r="DA96" s="146"/>
      <c r="DB96" s="146"/>
      <c r="DC96" s="146"/>
      <c r="DD96" s="146"/>
      <c r="DE96" s="146"/>
      <c r="DF96" s="146"/>
      <c r="DG96" s="146"/>
      <c r="DH96" s="146"/>
      <c r="DI96" s="146"/>
      <c r="DJ96" s="146"/>
      <c r="DK96" s="146"/>
      <c r="DL96" s="146"/>
      <c r="DM96" s="146"/>
      <c r="DN96" s="146"/>
      <c r="DO96" s="146"/>
      <c r="DP96" s="146"/>
      <c r="DQ96" s="146"/>
      <c r="DR96" s="146"/>
      <c r="DS96" s="146"/>
      <c r="DT96" s="146"/>
      <c r="DU96" s="146"/>
      <c r="DV96" s="146"/>
      <c r="DW96" s="146"/>
      <c r="DX96" s="146"/>
      <c r="DY96" s="146"/>
      <c r="DZ96" s="146"/>
      <c r="EA96" s="146"/>
      <c r="EB96" s="146"/>
      <c r="EC96" s="146"/>
      <c r="ED96" s="146"/>
      <c r="EE96" s="146"/>
      <c r="EF96" s="146"/>
      <c r="EG96" s="146"/>
      <c r="EH96" s="146"/>
      <c r="EI96" s="146"/>
      <c r="EJ96" s="146"/>
      <c r="EK96" s="146"/>
      <c r="EL96" s="146"/>
      <c r="EM96" s="146"/>
      <c r="EN96" s="146"/>
      <c r="EO96" s="146"/>
      <c r="EP96" s="146"/>
      <c r="EQ96" s="146"/>
      <c r="ER96" s="146"/>
      <c r="ES96" s="146"/>
      <c r="ET96" s="146"/>
      <c r="EU96" s="146"/>
      <c r="EV96" s="146"/>
      <c r="EW96" s="146"/>
      <c r="EX96" s="146"/>
      <c r="EY96" s="146"/>
      <c r="EZ96" s="146"/>
      <c r="FA96" s="146"/>
      <c r="FB96" s="146"/>
      <c r="FC96" s="146"/>
      <c r="FD96" s="146"/>
      <c r="FE96" s="146"/>
      <c r="FF96" s="146"/>
      <c r="FG96" s="146"/>
      <c r="FH96" s="146"/>
      <c r="FI96" s="146"/>
      <c r="FJ96" s="146"/>
      <c r="FK96" s="146"/>
      <c r="FL96" s="146"/>
      <c r="FM96" s="146"/>
      <c r="FN96" s="146"/>
      <c r="FO96" s="146"/>
      <c r="FP96" s="146"/>
      <c r="FQ96" s="146"/>
      <c r="FR96" s="146"/>
      <c r="FS96" s="146"/>
      <c r="FT96" s="146"/>
      <c r="FU96" s="146"/>
      <c r="FV96" s="146"/>
      <c r="FW96" s="146"/>
      <c r="FX96" s="146"/>
      <c r="FY96" s="146"/>
      <c r="FZ96" s="146"/>
      <c r="GA96" s="146"/>
      <c r="GB96" s="146"/>
      <c r="GC96" s="146"/>
      <c r="GD96" s="146"/>
      <c r="GE96" s="146"/>
      <c r="GF96" s="146"/>
      <c r="GG96" s="146"/>
      <c r="GH96" s="146"/>
      <c r="GI96" s="146"/>
      <c r="GJ96" s="146"/>
      <c r="GK96" s="146"/>
      <c r="GL96" s="146"/>
      <c r="GM96" s="146"/>
      <c r="GN96" s="146"/>
      <c r="GO96" s="146"/>
      <c r="GP96" s="146"/>
      <c r="GQ96" s="146"/>
      <c r="GR96" s="146"/>
      <c r="GS96" s="146"/>
      <c r="GT96" s="146"/>
      <c r="GU96" s="146"/>
      <c r="GV96" s="146"/>
      <c r="GW96" s="146"/>
      <c r="GX96" s="146"/>
      <c r="GY96" s="146"/>
      <c r="GZ96" s="146"/>
      <c r="HA96" s="146"/>
      <c r="HB96" s="146"/>
      <c r="HC96" s="146"/>
      <c r="HD96" s="146"/>
      <c r="HE96" s="146"/>
      <c r="HF96" s="146"/>
      <c r="HG96" s="146"/>
      <c r="HH96" s="146"/>
      <c r="HI96" s="146"/>
      <c r="HJ96" s="146"/>
      <c r="HK96" s="146"/>
      <c r="HL96" s="146"/>
      <c r="HM96" s="146"/>
      <c r="HN96" s="146"/>
      <c r="HO96" s="146"/>
      <c r="HP96" s="146"/>
      <c r="HQ96" s="146"/>
      <c r="HR96" s="146"/>
      <c r="HS96" s="146"/>
      <c r="HT96" s="146"/>
      <c r="HU96" s="146"/>
      <c r="HV96" s="146"/>
      <c r="HW96" s="146"/>
      <c r="HX96" s="146"/>
      <c r="HY96" s="146"/>
      <c r="HZ96" s="146"/>
      <c r="IA96" s="146"/>
    </row>
    <row r="97" spans="1:235" s="154" customFormat="1" ht="99.75" x14ac:dyDescent="0.25">
      <c r="A97" s="197">
        <v>11700</v>
      </c>
      <c r="B97" s="194" t="s">
        <v>29</v>
      </c>
      <c r="C97" s="198" t="s">
        <v>328</v>
      </c>
      <c r="D97" s="194" t="s">
        <v>256</v>
      </c>
      <c r="E97" s="198" t="s">
        <v>394</v>
      </c>
      <c r="F97" s="194" t="s">
        <v>395</v>
      </c>
      <c r="G97" s="209" t="s">
        <v>123</v>
      </c>
      <c r="H97" s="216">
        <v>1</v>
      </c>
      <c r="I97" s="198" t="s">
        <v>396</v>
      </c>
      <c r="J97" s="194" t="s">
        <v>397</v>
      </c>
      <c r="K97" s="210">
        <v>0</v>
      </c>
      <c r="L97" s="211">
        <v>1</v>
      </c>
      <c r="M97" s="194" t="s">
        <v>46</v>
      </c>
      <c r="N97" s="194" t="s">
        <v>68</v>
      </c>
      <c r="O97" s="194" t="s">
        <v>37</v>
      </c>
      <c r="P97" s="194" t="s">
        <v>38</v>
      </c>
      <c r="Q97" s="194" t="s">
        <v>219</v>
      </c>
      <c r="R97" s="194" t="s">
        <v>398</v>
      </c>
      <c r="S97" s="194" t="s">
        <v>99</v>
      </c>
      <c r="T97" s="211">
        <v>1</v>
      </c>
      <c r="U97" s="212" t="str">
        <f t="shared" si="41"/>
        <v xml:space="preserve">Tramite de pago de las Cuentas de Cobro con Soportes Documentales radicadas en el mes </v>
      </c>
      <c r="V97" s="213">
        <f t="shared" si="41"/>
        <v>0</v>
      </c>
      <c r="W97" s="214" t="s">
        <v>117</v>
      </c>
      <c r="X97" s="216">
        <v>0.25</v>
      </c>
      <c r="Y97" s="214" t="s">
        <v>397</v>
      </c>
      <c r="Z97" s="210">
        <v>0</v>
      </c>
      <c r="AA97" s="196"/>
      <c r="AB97" s="196"/>
      <c r="AC97" s="204">
        <f t="shared" si="42"/>
        <v>0</v>
      </c>
      <c r="AD97" s="204" t="e">
        <f t="shared" si="43"/>
        <v>#DIV/0!</v>
      </c>
      <c r="AE97" s="204">
        <f t="shared" si="29"/>
        <v>0</v>
      </c>
      <c r="AF97" s="204" t="e">
        <f t="shared" si="30"/>
        <v>#DIV/0!</v>
      </c>
      <c r="AG97" s="216">
        <v>0.25</v>
      </c>
      <c r="AH97" s="214" t="s">
        <v>397</v>
      </c>
      <c r="AI97" s="210">
        <v>0</v>
      </c>
      <c r="AJ97" s="196"/>
      <c r="AK97" s="196"/>
      <c r="AL97" s="204">
        <f t="shared" si="44"/>
        <v>0</v>
      </c>
      <c r="AM97" s="204" t="e">
        <f t="shared" si="31"/>
        <v>#DIV/0!</v>
      </c>
      <c r="AN97" s="204">
        <f t="shared" si="32"/>
        <v>0</v>
      </c>
      <c r="AO97" s="204" t="e">
        <f t="shared" si="33"/>
        <v>#DIV/0!</v>
      </c>
      <c r="AP97" s="216">
        <v>0.25</v>
      </c>
      <c r="AQ97" s="214" t="s">
        <v>397</v>
      </c>
      <c r="AR97" s="210">
        <v>0</v>
      </c>
      <c r="AS97" s="196"/>
      <c r="AT97" s="196"/>
      <c r="AU97" s="204">
        <f t="shared" si="45"/>
        <v>0</v>
      </c>
      <c r="AV97" s="204" t="e">
        <f t="shared" si="46"/>
        <v>#DIV/0!</v>
      </c>
      <c r="AW97" s="204">
        <f t="shared" si="47"/>
        <v>0</v>
      </c>
      <c r="AX97" s="204" t="e">
        <f t="shared" si="48"/>
        <v>#DIV/0!</v>
      </c>
      <c r="AY97" s="216">
        <v>0.25</v>
      </c>
      <c r="AZ97" s="214" t="s">
        <v>397</v>
      </c>
      <c r="BA97" s="210">
        <v>0</v>
      </c>
      <c r="BB97" s="196"/>
      <c r="BC97" s="196"/>
      <c r="BD97" s="216">
        <f t="shared" si="49"/>
        <v>0</v>
      </c>
      <c r="BE97" s="216" t="e">
        <f t="shared" si="50"/>
        <v>#DIV/0!</v>
      </c>
      <c r="BF97" s="216">
        <f t="shared" si="51"/>
        <v>0</v>
      </c>
      <c r="BG97" s="216" t="e">
        <f t="shared" si="52"/>
        <v>#DIV/0!</v>
      </c>
      <c r="BH97" s="207">
        <f t="shared" si="34"/>
        <v>0</v>
      </c>
      <c r="BI97" s="207" t="str">
        <f t="shared" si="35"/>
        <v>No Prog ni Ejec</v>
      </c>
      <c r="BJ97" s="207">
        <f t="shared" si="36"/>
        <v>0</v>
      </c>
      <c r="BK97" s="207" t="str">
        <f t="shared" si="37"/>
        <v>No Prog ni Ejec</v>
      </c>
      <c r="BL97" s="207">
        <f t="shared" si="53"/>
        <v>0</v>
      </c>
      <c r="BM97" s="207" t="str">
        <f t="shared" si="54"/>
        <v>No Prog ni Ejec</v>
      </c>
      <c r="BN97" s="207">
        <f t="shared" si="38"/>
        <v>0</v>
      </c>
      <c r="BO97" s="207" t="str">
        <f t="shared" si="39"/>
        <v>No Prog ni Ejec</v>
      </c>
      <c r="BP97" s="206"/>
      <c r="BQ97" s="277">
        <v>7</v>
      </c>
      <c r="BR97" s="208">
        <f t="shared" si="40"/>
        <v>0.58333333333333337</v>
      </c>
      <c r="BS97" s="219" t="str">
        <f t="shared" si="55"/>
        <v xml:space="preserve">Tramite de pago de las Cuentas de Cobro con Soportes Documentales radicadas en el mes </v>
      </c>
      <c r="BT97" s="195">
        <f t="shared" si="28"/>
        <v>0</v>
      </c>
      <c r="BU97" s="196"/>
      <c r="BV97" s="196"/>
      <c r="BW97" s="196"/>
      <c r="BX97" s="196"/>
      <c r="BY97" s="196"/>
      <c r="BZ97" s="196"/>
      <c r="CA97" s="146"/>
      <c r="CB97" s="146"/>
      <c r="CC97" s="146"/>
      <c r="CD97" s="146"/>
      <c r="CE97" s="146"/>
      <c r="CF97" s="146"/>
      <c r="CG97" s="146"/>
      <c r="CH97" s="146"/>
      <c r="CI97" s="146"/>
      <c r="CJ97" s="146"/>
      <c r="CK97" s="146"/>
      <c r="CL97" s="146"/>
      <c r="CM97" s="146"/>
      <c r="CN97" s="146"/>
      <c r="CO97" s="146"/>
      <c r="CP97" s="146"/>
      <c r="CQ97" s="146"/>
      <c r="CR97" s="146"/>
      <c r="CS97" s="146"/>
      <c r="CT97" s="146"/>
      <c r="CU97" s="146"/>
      <c r="CV97" s="146"/>
      <c r="CW97" s="146"/>
      <c r="CX97" s="146"/>
      <c r="CY97" s="146"/>
      <c r="CZ97" s="146"/>
      <c r="DA97" s="146"/>
      <c r="DB97" s="146"/>
      <c r="DC97" s="146"/>
      <c r="DD97" s="146"/>
      <c r="DE97" s="146"/>
      <c r="DF97" s="146"/>
      <c r="DG97" s="146"/>
      <c r="DH97" s="146"/>
      <c r="DI97" s="146"/>
      <c r="DJ97" s="146"/>
      <c r="DK97" s="146"/>
      <c r="DL97" s="146"/>
      <c r="DM97" s="146"/>
      <c r="DN97" s="146"/>
      <c r="DO97" s="146"/>
      <c r="DP97" s="146"/>
      <c r="DQ97" s="146"/>
      <c r="DR97" s="146"/>
      <c r="DS97" s="146"/>
      <c r="DT97" s="146"/>
      <c r="DU97" s="146"/>
      <c r="DV97" s="146"/>
      <c r="DW97" s="146"/>
      <c r="DX97" s="146"/>
      <c r="DY97" s="146"/>
      <c r="DZ97" s="146"/>
      <c r="EA97" s="146"/>
      <c r="EB97" s="146"/>
      <c r="EC97" s="146"/>
      <c r="ED97" s="146"/>
      <c r="EE97" s="146"/>
      <c r="EF97" s="146"/>
      <c r="EG97" s="146"/>
      <c r="EH97" s="146"/>
      <c r="EI97" s="146"/>
      <c r="EJ97" s="146"/>
      <c r="EK97" s="146"/>
      <c r="EL97" s="146"/>
      <c r="EM97" s="146"/>
      <c r="EN97" s="146"/>
      <c r="EO97" s="146"/>
      <c r="EP97" s="146"/>
      <c r="EQ97" s="146"/>
      <c r="ER97" s="146"/>
      <c r="ES97" s="146"/>
      <c r="ET97" s="146"/>
      <c r="EU97" s="146"/>
      <c r="EV97" s="146"/>
      <c r="EW97" s="146"/>
      <c r="EX97" s="146"/>
      <c r="EY97" s="146"/>
      <c r="EZ97" s="146"/>
      <c r="FA97" s="146"/>
      <c r="FB97" s="146"/>
      <c r="FC97" s="146"/>
      <c r="FD97" s="146"/>
      <c r="FE97" s="146"/>
      <c r="FF97" s="146"/>
      <c r="FG97" s="146"/>
      <c r="FH97" s="146"/>
      <c r="FI97" s="146"/>
      <c r="FJ97" s="146"/>
      <c r="FK97" s="146"/>
      <c r="FL97" s="146"/>
      <c r="FM97" s="146"/>
      <c r="FN97" s="146"/>
      <c r="FO97" s="146"/>
      <c r="FP97" s="146"/>
      <c r="FQ97" s="146"/>
      <c r="FR97" s="146"/>
      <c r="FS97" s="146"/>
      <c r="FT97" s="146"/>
      <c r="FU97" s="146"/>
      <c r="FV97" s="146"/>
      <c r="FW97" s="146"/>
      <c r="FX97" s="146"/>
      <c r="FY97" s="146"/>
      <c r="FZ97" s="146"/>
      <c r="GA97" s="146"/>
      <c r="GB97" s="146"/>
      <c r="GC97" s="146"/>
      <c r="GD97" s="146"/>
      <c r="GE97" s="146"/>
      <c r="GF97" s="146"/>
      <c r="GG97" s="146"/>
      <c r="GH97" s="146"/>
      <c r="GI97" s="146"/>
      <c r="GJ97" s="146"/>
      <c r="GK97" s="146"/>
      <c r="GL97" s="146"/>
      <c r="GM97" s="146"/>
      <c r="GN97" s="146"/>
      <c r="GO97" s="146"/>
      <c r="GP97" s="146"/>
      <c r="GQ97" s="146"/>
      <c r="GR97" s="146"/>
      <c r="GS97" s="146"/>
      <c r="GT97" s="146"/>
      <c r="GU97" s="146"/>
      <c r="GV97" s="146"/>
      <c r="GW97" s="146"/>
      <c r="GX97" s="146"/>
      <c r="GY97" s="146"/>
      <c r="GZ97" s="146"/>
      <c r="HA97" s="146"/>
      <c r="HB97" s="146"/>
      <c r="HC97" s="146"/>
      <c r="HD97" s="146"/>
      <c r="HE97" s="146"/>
      <c r="HF97" s="146"/>
      <c r="HG97" s="146"/>
      <c r="HH97" s="146"/>
      <c r="HI97" s="146"/>
      <c r="HJ97" s="146"/>
      <c r="HK97" s="146"/>
      <c r="HL97" s="146"/>
      <c r="HM97" s="146"/>
      <c r="HN97" s="146"/>
      <c r="HO97" s="146"/>
      <c r="HP97" s="146"/>
      <c r="HQ97" s="146"/>
      <c r="HR97" s="146"/>
      <c r="HS97" s="146"/>
      <c r="HT97" s="146"/>
      <c r="HU97" s="146"/>
      <c r="HV97" s="146"/>
      <c r="HW97" s="146"/>
      <c r="HX97" s="146"/>
      <c r="HY97" s="146"/>
      <c r="HZ97" s="146"/>
      <c r="IA97" s="146"/>
    </row>
    <row r="98" spans="1:235" s="156" customFormat="1" ht="99.75" x14ac:dyDescent="0.25">
      <c r="A98" s="197">
        <v>11700</v>
      </c>
      <c r="B98" s="194" t="s">
        <v>29</v>
      </c>
      <c r="C98" s="198" t="s">
        <v>328</v>
      </c>
      <c r="D98" s="194" t="s">
        <v>256</v>
      </c>
      <c r="E98" s="198" t="s">
        <v>399</v>
      </c>
      <c r="F98" s="194" t="s">
        <v>400</v>
      </c>
      <c r="G98" s="209" t="s">
        <v>123</v>
      </c>
      <c r="H98" s="216">
        <v>1</v>
      </c>
      <c r="I98" s="198" t="s">
        <v>403</v>
      </c>
      <c r="J98" s="194" t="s">
        <v>405</v>
      </c>
      <c r="K98" s="210">
        <v>319126980</v>
      </c>
      <c r="L98" s="211">
        <v>1</v>
      </c>
      <c r="M98" s="194" t="s">
        <v>51</v>
      </c>
      <c r="N98" s="194" t="s">
        <v>56</v>
      </c>
      <c r="O98" s="194" t="s">
        <v>37</v>
      </c>
      <c r="P98" s="194" t="s">
        <v>40</v>
      </c>
      <c r="Q98" s="194" t="s">
        <v>217</v>
      </c>
      <c r="R98" s="201" t="s">
        <v>402</v>
      </c>
      <c r="S98" s="194" t="s">
        <v>111</v>
      </c>
      <c r="T98" s="211">
        <v>1</v>
      </c>
      <c r="U98" s="212" t="str">
        <f t="shared" si="41"/>
        <v>Trámites  Precontractuales y Contractuales Adelantados de conformidad con Plan de Adquisiciones de la Dirección.</v>
      </c>
      <c r="V98" s="213">
        <f t="shared" si="41"/>
        <v>319126980</v>
      </c>
      <c r="W98" s="222" t="s">
        <v>114</v>
      </c>
      <c r="X98" s="216">
        <v>0.25</v>
      </c>
      <c r="Y98" s="214" t="s">
        <v>405</v>
      </c>
      <c r="Z98" s="210">
        <f>+V98*X98</f>
        <v>79781745</v>
      </c>
      <c r="AA98" s="196"/>
      <c r="AB98" s="196"/>
      <c r="AC98" s="204">
        <f t="shared" si="42"/>
        <v>0</v>
      </c>
      <c r="AD98" s="204">
        <f>+(AB98/Z98)</f>
        <v>0</v>
      </c>
      <c r="AE98" s="204">
        <f t="shared" si="29"/>
        <v>0</v>
      </c>
      <c r="AF98" s="204">
        <f t="shared" si="30"/>
        <v>0</v>
      </c>
      <c r="AG98" s="216">
        <v>0.25</v>
      </c>
      <c r="AH98" s="214" t="s">
        <v>405</v>
      </c>
      <c r="AI98" s="210">
        <v>79781745</v>
      </c>
      <c r="AJ98" s="196"/>
      <c r="AK98" s="196"/>
      <c r="AL98" s="204">
        <f t="shared" si="44"/>
        <v>0</v>
      </c>
      <c r="AM98" s="204">
        <f t="shared" si="31"/>
        <v>0</v>
      </c>
      <c r="AN98" s="204">
        <f t="shared" si="32"/>
        <v>0</v>
      </c>
      <c r="AO98" s="204">
        <f t="shared" si="33"/>
        <v>0</v>
      </c>
      <c r="AP98" s="216">
        <v>0.25</v>
      </c>
      <c r="AQ98" s="214" t="s">
        <v>405</v>
      </c>
      <c r="AR98" s="210">
        <v>79781745</v>
      </c>
      <c r="AS98" s="196"/>
      <c r="AT98" s="196"/>
      <c r="AU98" s="204">
        <f t="shared" si="45"/>
        <v>0</v>
      </c>
      <c r="AV98" s="204">
        <f t="shared" si="46"/>
        <v>0</v>
      </c>
      <c r="AW98" s="204">
        <f t="shared" si="47"/>
        <v>0</v>
      </c>
      <c r="AX98" s="204">
        <f t="shared" si="48"/>
        <v>0</v>
      </c>
      <c r="AY98" s="216">
        <v>0.25</v>
      </c>
      <c r="AZ98" s="214" t="s">
        <v>405</v>
      </c>
      <c r="BA98" s="210">
        <v>79781745</v>
      </c>
      <c r="BB98" s="196"/>
      <c r="BC98" s="196"/>
      <c r="BD98" s="216">
        <f t="shared" si="49"/>
        <v>0</v>
      </c>
      <c r="BE98" s="216">
        <f t="shared" si="50"/>
        <v>0</v>
      </c>
      <c r="BF98" s="216">
        <f t="shared" si="51"/>
        <v>0</v>
      </c>
      <c r="BG98" s="216">
        <f t="shared" si="52"/>
        <v>0</v>
      </c>
      <c r="BH98" s="223">
        <f t="shared" si="34"/>
        <v>0</v>
      </c>
      <c r="BI98" s="223">
        <f t="shared" si="35"/>
        <v>0</v>
      </c>
      <c r="BJ98" s="223">
        <f t="shared" si="36"/>
        <v>0</v>
      </c>
      <c r="BK98" s="223">
        <f t="shared" si="37"/>
        <v>0</v>
      </c>
      <c r="BL98" s="223">
        <f t="shared" si="53"/>
        <v>0</v>
      </c>
      <c r="BM98" s="223">
        <f t="shared" si="54"/>
        <v>0</v>
      </c>
      <c r="BN98" s="223">
        <f t="shared" si="38"/>
        <v>0</v>
      </c>
      <c r="BO98" s="223">
        <f t="shared" si="39"/>
        <v>0</v>
      </c>
      <c r="BP98" s="206"/>
      <c r="BQ98" s="277">
        <v>7</v>
      </c>
      <c r="BR98" s="208">
        <f t="shared" si="40"/>
        <v>0.58333333333333337</v>
      </c>
      <c r="BS98" s="219" t="str">
        <f t="shared" si="55"/>
        <v>Trámites  Precontractuales y Contractuales Adelantados de conformidad con Plan de Adquisiciones de la Dirección.</v>
      </c>
      <c r="BT98" s="195">
        <f t="shared" si="28"/>
        <v>186157405</v>
      </c>
      <c r="BU98" s="196"/>
      <c r="BV98" s="196"/>
      <c r="BW98" s="196"/>
      <c r="BX98" s="196"/>
      <c r="BY98" s="196"/>
      <c r="BZ98" s="196"/>
      <c r="CA98" s="146"/>
      <c r="CB98" s="146"/>
      <c r="CC98" s="146"/>
      <c r="CD98" s="146"/>
      <c r="CE98" s="146"/>
      <c r="CF98" s="146"/>
      <c r="CG98" s="146"/>
      <c r="CH98" s="146"/>
      <c r="CI98" s="146"/>
      <c r="CJ98" s="146"/>
      <c r="CK98" s="146"/>
      <c r="CL98" s="146"/>
      <c r="CM98" s="146"/>
      <c r="CN98" s="146"/>
      <c r="CO98" s="146"/>
      <c r="CP98" s="146"/>
      <c r="CQ98" s="146"/>
      <c r="CR98" s="146"/>
      <c r="CS98" s="146"/>
      <c r="CT98" s="146"/>
      <c r="CU98" s="146"/>
      <c r="CV98" s="146"/>
      <c r="CW98" s="146"/>
      <c r="CX98" s="146"/>
      <c r="CY98" s="146"/>
      <c r="CZ98" s="146"/>
      <c r="DA98" s="146"/>
      <c r="DB98" s="146"/>
      <c r="DC98" s="146"/>
      <c r="DD98" s="146"/>
      <c r="DE98" s="146"/>
      <c r="DF98" s="146"/>
      <c r="DG98" s="146"/>
      <c r="DH98" s="146"/>
      <c r="DI98" s="146"/>
      <c r="DJ98" s="146"/>
      <c r="DK98" s="146"/>
      <c r="DL98" s="146"/>
      <c r="DM98" s="146"/>
      <c r="DN98" s="146"/>
      <c r="DO98" s="146"/>
      <c r="DP98" s="146"/>
      <c r="DQ98" s="146"/>
      <c r="DR98" s="146"/>
      <c r="DS98" s="146"/>
      <c r="DT98" s="146"/>
      <c r="DU98" s="146"/>
      <c r="DV98" s="146"/>
      <c r="DW98" s="146"/>
      <c r="DX98" s="146"/>
      <c r="DY98" s="146"/>
      <c r="DZ98" s="146"/>
      <c r="EA98" s="146"/>
      <c r="EB98" s="146"/>
      <c r="EC98" s="146"/>
      <c r="ED98" s="146"/>
      <c r="EE98" s="146"/>
      <c r="EF98" s="146"/>
      <c r="EG98" s="146"/>
      <c r="EH98" s="146"/>
      <c r="EI98" s="146"/>
      <c r="EJ98" s="146"/>
      <c r="EK98" s="146"/>
      <c r="EL98" s="146"/>
      <c r="EM98" s="146"/>
      <c r="EN98" s="146"/>
      <c r="EO98" s="146"/>
      <c r="EP98" s="146"/>
      <c r="EQ98" s="146"/>
      <c r="ER98" s="146"/>
      <c r="ES98" s="146"/>
      <c r="ET98" s="146"/>
      <c r="EU98" s="146"/>
      <c r="EV98" s="146"/>
      <c r="EW98" s="146"/>
      <c r="EX98" s="146"/>
      <c r="EY98" s="146"/>
      <c r="EZ98" s="146"/>
      <c r="FA98" s="146"/>
      <c r="FB98" s="146"/>
      <c r="FC98" s="146"/>
      <c r="FD98" s="146"/>
      <c r="FE98" s="146"/>
      <c r="FF98" s="146"/>
      <c r="FG98" s="146"/>
      <c r="FH98" s="146"/>
      <c r="FI98" s="146"/>
      <c r="FJ98" s="146"/>
      <c r="FK98" s="146"/>
      <c r="FL98" s="146"/>
      <c r="FM98" s="146"/>
      <c r="FN98" s="146"/>
      <c r="FO98" s="146"/>
      <c r="FP98" s="146"/>
      <c r="FQ98" s="146"/>
      <c r="FR98" s="146"/>
      <c r="FS98" s="146"/>
      <c r="FT98" s="146"/>
      <c r="FU98" s="146"/>
      <c r="FV98" s="146"/>
      <c r="FW98" s="146"/>
      <c r="FX98" s="146"/>
      <c r="FY98" s="146"/>
      <c r="FZ98" s="146"/>
      <c r="GA98" s="146"/>
      <c r="GB98" s="146"/>
      <c r="GC98" s="146"/>
      <c r="GD98" s="146"/>
      <c r="GE98" s="146"/>
      <c r="GF98" s="146"/>
      <c r="GG98" s="146"/>
      <c r="GH98" s="146"/>
      <c r="GI98" s="146"/>
      <c r="GJ98" s="146"/>
      <c r="GK98" s="146"/>
      <c r="GL98" s="146"/>
      <c r="GM98" s="146"/>
      <c r="GN98" s="146"/>
      <c r="GO98" s="146"/>
      <c r="GP98" s="146"/>
      <c r="GQ98" s="146"/>
      <c r="GR98" s="146"/>
      <c r="GS98" s="146"/>
      <c r="GT98" s="146"/>
      <c r="GU98" s="146"/>
      <c r="GV98" s="146"/>
      <c r="GW98" s="146"/>
      <c r="GX98" s="146"/>
      <c r="GY98" s="146"/>
      <c r="GZ98" s="146"/>
      <c r="HA98" s="146"/>
      <c r="HB98" s="146"/>
      <c r="HC98" s="146"/>
      <c r="HD98" s="146"/>
      <c r="HE98" s="146"/>
      <c r="HF98" s="146"/>
      <c r="HG98" s="146"/>
      <c r="HH98" s="146"/>
      <c r="HI98" s="146"/>
      <c r="HJ98" s="146"/>
      <c r="HK98" s="146"/>
      <c r="HL98" s="146"/>
      <c r="HM98" s="146"/>
      <c r="HN98" s="146"/>
      <c r="HO98" s="146"/>
      <c r="HP98" s="146"/>
      <c r="HQ98" s="146"/>
      <c r="HR98" s="146"/>
      <c r="HS98" s="146"/>
      <c r="HT98" s="146"/>
      <c r="HU98" s="146"/>
      <c r="HV98" s="146"/>
      <c r="HW98" s="146"/>
      <c r="HX98" s="146"/>
      <c r="HY98" s="146"/>
      <c r="HZ98" s="146"/>
      <c r="IA98" s="146"/>
    </row>
    <row r="99" spans="1:235" s="153" customFormat="1" ht="99.75" x14ac:dyDescent="0.25">
      <c r="A99" s="197">
        <v>11700</v>
      </c>
      <c r="B99" s="194" t="s">
        <v>29</v>
      </c>
      <c r="C99" s="198" t="s">
        <v>328</v>
      </c>
      <c r="D99" s="194" t="s">
        <v>256</v>
      </c>
      <c r="E99" s="198" t="s">
        <v>401</v>
      </c>
      <c r="F99" s="194" t="s">
        <v>563</v>
      </c>
      <c r="G99" s="209" t="s">
        <v>123</v>
      </c>
      <c r="H99" s="216">
        <v>1</v>
      </c>
      <c r="I99" s="198" t="s">
        <v>404</v>
      </c>
      <c r="J99" s="194" t="s">
        <v>564</v>
      </c>
      <c r="K99" s="210">
        <v>0</v>
      </c>
      <c r="L99" s="211">
        <v>1</v>
      </c>
      <c r="M99" s="194" t="s">
        <v>51</v>
      </c>
      <c r="N99" s="194" t="s">
        <v>56</v>
      </c>
      <c r="O99" s="194" t="s">
        <v>37</v>
      </c>
      <c r="P99" s="194" t="s">
        <v>40</v>
      </c>
      <c r="Q99" s="194" t="s">
        <v>217</v>
      </c>
      <c r="R99" s="194" t="s">
        <v>808</v>
      </c>
      <c r="S99" s="194" t="s">
        <v>111</v>
      </c>
      <c r="T99" s="211">
        <v>1</v>
      </c>
      <c r="U99" s="212" t="str">
        <f t="shared" si="41"/>
        <v xml:space="preserve">No de Actos de cierre y/ o liquidaciones elaboradas / No. De Contratos terminados. </v>
      </c>
      <c r="V99" s="213">
        <f t="shared" si="41"/>
        <v>0</v>
      </c>
      <c r="W99" s="214" t="s">
        <v>117</v>
      </c>
      <c r="X99" s="216">
        <v>0.25</v>
      </c>
      <c r="Y99" s="214" t="s">
        <v>564</v>
      </c>
      <c r="Z99" s="210">
        <v>0</v>
      </c>
      <c r="AA99" s="196"/>
      <c r="AB99" s="196"/>
      <c r="AC99" s="204">
        <f t="shared" si="42"/>
        <v>0</v>
      </c>
      <c r="AD99" s="204" t="e">
        <f t="shared" si="43"/>
        <v>#DIV/0!</v>
      </c>
      <c r="AE99" s="204">
        <f t="shared" si="29"/>
        <v>0</v>
      </c>
      <c r="AF99" s="204" t="e">
        <f t="shared" si="30"/>
        <v>#DIV/0!</v>
      </c>
      <c r="AG99" s="216">
        <v>0.25</v>
      </c>
      <c r="AH99" s="214" t="s">
        <v>564</v>
      </c>
      <c r="AI99" s="210">
        <v>0</v>
      </c>
      <c r="AJ99" s="196"/>
      <c r="AK99" s="196"/>
      <c r="AL99" s="204">
        <f t="shared" si="44"/>
        <v>0</v>
      </c>
      <c r="AM99" s="204" t="e">
        <f t="shared" si="31"/>
        <v>#DIV/0!</v>
      </c>
      <c r="AN99" s="204">
        <f t="shared" si="32"/>
        <v>0</v>
      </c>
      <c r="AO99" s="204" t="e">
        <f t="shared" si="33"/>
        <v>#DIV/0!</v>
      </c>
      <c r="AP99" s="216">
        <v>0.25</v>
      </c>
      <c r="AQ99" s="214" t="s">
        <v>564</v>
      </c>
      <c r="AR99" s="210">
        <v>0</v>
      </c>
      <c r="AS99" s="196"/>
      <c r="AT99" s="196"/>
      <c r="AU99" s="204">
        <f t="shared" si="45"/>
        <v>0</v>
      </c>
      <c r="AV99" s="204" t="e">
        <f t="shared" si="46"/>
        <v>#DIV/0!</v>
      </c>
      <c r="AW99" s="204">
        <f t="shared" si="47"/>
        <v>0</v>
      </c>
      <c r="AX99" s="204" t="e">
        <f t="shared" si="48"/>
        <v>#DIV/0!</v>
      </c>
      <c r="AY99" s="216">
        <v>0.25</v>
      </c>
      <c r="AZ99" s="214" t="s">
        <v>564</v>
      </c>
      <c r="BA99" s="210">
        <v>0</v>
      </c>
      <c r="BB99" s="196"/>
      <c r="BC99" s="196"/>
      <c r="BD99" s="216">
        <f t="shared" si="49"/>
        <v>0</v>
      </c>
      <c r="BE99" s="216" t="e">
        <f t="shared" si="50"/>
        <v>#DIV/0!</v>
      </c>
      <c r="BF99" s="216">
        <f t="shared" si="51"/>
        <v>0</v>
      </c>
      <c r="BG99" s="216" t="e">
        <f t="shared" si="52"/>
        <v>#DIV/0!</v>
      </c>
      <c r="BH99" s="217">
        <f t="shared" si="34"/>
        <v>0</v>
      </c>
      <c r="BI99" s="217" t="str">
        <f t="shared" si="35"/>
        <v>No Prog ni Ejec</v>
      </c>
      <c r="BJ99" s="217">
        <f t="shared" si="36"/>
        <v>0</v>
      </c>
      <c r="BK99" s="217" t="str">
        <f t="shared" si="37"/>
        <v>No Prog ni Ejec</v>
      </c>
      <c r="BL99" s="217">
        <f t="shared" si="53"/>
        <v>0</v>
      </c>
      <c r="BM99" s="217" t="str">
        <f t="shared" si="54"/>
        <v>No Prog ni Ejec</v>
      </c>
      <c r="BN99" s="217">
        <f t="shared" si="38"/>
        <v>0</v>
      </c>
      <c r="BO99" s="217" t="str">
        <f t="shared" si="39"/>
        <v>No Prog ni Ejec</v>
      </c>
      <c r="BP99" s="206"/>
      <c r="BQ99" s="277">
        <v>7</v>
      </c>
      <c r="BR99" s="208">
        <f t="shared" si="40"/>
        <v>0.58333333333333337</v>
      </c>
      <c r="BS99" s="219" t="str">
        <f t="shared" si="55"/>
        <v xml:space="preserve">No de Actos de cierre y/ o liquidaciones elaboradas / No. De Contratos terminados. </v>
      </c>
      <c r="BT99" s="195">
        <f t="shared" si="28"/>
        <v>0</v>
      </c>
      <c r="BU99" s="196"/>
      <c r="BV99" s="196"/>
      <c r="BW99" s="196"/>
      <c r="BX99" s="196"/>
      <c r="BY99" s="196"/>
      <c r="BZ99" s="196"/>
      <c r="CA99" s="146"/>
      <c r="CB99" s="146"/>
      <c r="CC99" s="146"/>
      <c r="CD99" s="146"/>
      <c r="CE99" s="146"/>
      <c r="CF99" s="146"/>
      <c r="CG99" s="146"/>
      <c r="CH99" s="146"/>
      <c r="CI99" s="146"/>
      <c r="CJ99" s="146"/>
      <c r="CK99" s="146"/>
      <c r="CL99" s="146"/>
      <c r="CM99" s="146"/>
      <c r="CN99" s="146"/>
      <c r="CO99" s="146"/>
      <c r="CP99" s="146"/>
      <c r="CQ99" s="146"/>
      <c r="CR99" s="146"/>
      <c r="CS99" s="146"/>
      <c r="CT99" s="146"/>
      <c r="CU99" s="146"/>
      <c r="CV99" s="146"/>
      <c r="CW99" s="146"/>
      <c r="CX99" s="146"/>
      <c r="CY99" s="146"/>
      <c r="CZ99" s="146"/>
      <c r="DA99" s="146"/>
      <c r="DB99" s="146"/>
      <c r="DC99" s="146"/>
      <c r="DD99" s="146"/>
      <c r="DE99" s="146"/>
      <c r="DF99" s="146"/>
      <c r="DG99" s="146"/>
      <c r="DH99" s="146"/>
      <c r="DI99" s="146"/>
      <c r="DJ99" s="146"/>
      <c r="DK99" s="146"/>
      <c r="DL99" s="146"/>
      <c r="DM99" s="146"/>
      <c r="DN99" s="146"/>
      <c r="DO99" s="146"/>
      <c r="DP99" s="146"/>
      <c r="DQ99" s="146"/>
      <c r="DR99" s="146"/>
      <c r="DS99" s="146"/>
      <c r="DT99" s="146"/>
      <c r="DU99" s="146"/>
      <c r="DV99" s="146"/>
      <c r="DW99" s="146"/>
      <c r="DX99" s="146"/>
      <c r="DY99" s="146"/>
      <c r="DZ99" s="146"/>
      <c r="EA99" s="146"/>
      <c r="EB99" s="146"/>
      <c r="EC99" s="146"/>
      <c r="ED99" s="146"/>
      <c r="EE99" s="146"/>
      <c r="EF99" s="146"/>
      <c r="EG99" s="146"/>
      <c r="EH99" s="146"/>
      <c r="EI99" s="146"/>
      <c r="EJ99" s="146"/>
      <c r="EK99" s="146"/>
      <c r="EL99" s="146"/>
      <c r="EM99" s="146"/>
      <c r="EN99" s="146"/>
      <c r="EO99" s="146"/>
      <c r="EP99" s="146"/>
      <c r="EQ99" s="146"/>
      <c r="ER99" s="146"/>
      <c r="ES99" s="146"/>
      <c r="ET99" s="146"/>
      <c r="EU99" s="146"/>
      <c r="EV99" s="146"/>
      <c r="EW99" s="146"/>
      <c r="EX99" s="146"/>
      <c r="EY99" s="146"/>
      <c r="EZ99" s="146"/>
      <c r="FA99" s="146"/>
      <c r="FB99" s="146"/>
      <c r="FC99" s="146"/>
      <c r="FD99" s="146"/>
      <c r="FE99" s="146"/>
      <c r="FF99" s="146"/>
      <c r="FG99" s="146"/>
      <c r="FH99" s="146"/>
      <c r="FI99" s="146"/>
      <c r="FJ99" s="146"/>
      <c r="FK99" s="146"/>
      <c r="FL99" s="146"/>
      <c r="FM99" s="146"/>
      <c r="FN99" s="146"/>
      <c r="FO99" s="146"/>
      <c r="FP99" s="146"/>
      <c r="FQ99" s="146"/>
      <c r="FR99" s="146"/>
      <c r="FS99" s="146"/>
      <c r="FT99" s="146"/>
      <c r="FU99" s="146"/>
      <c r="FV99" s="146"/>
      <c r="FW99" s="146"/>
      <c r="FX99" s="146"/>
      <c r="FY99" s="146"/>
      <c r="FZ99" s="146"/>
      <c r="GA99" s="146"/>
      <c r="GB99" s="146"/>
      <c r="GC99" s="146"/>
      <c r="GD99" s="146"/>
      <c r="GE99" s="146"/>
      <c r="GF99" s="146"/>
      <c r="GG99" s="146"/>
      <c r="GH99" s="146"/>
      <c r="GI99" s="146"/>
      <c r="GJ99" s="146"/>
      <c r="GK99" s="146"/>
      <c r="GL99" s="146"/>
      <c r="GM99" s="146"/>
      <c r="GN99" s="146"/>
      <c r="GO99" s="146"/>
      <c r="GP99" s="146"/>
      <c r="GQ99" s="146"/>
      <c r="GR99" s="146"/>
      <c r="GS99" s="146"/>
      <c r="GT99" s="146"/>
      <c r="GU99" s="146"/>
      <c r="GV99" s="146"/>
      <c r="GW99" s="146"/>
      <c r="GX99" s="146"/>
      <c r="GY99" s="146"/>
      <c r="GZ99" s="146"/>
      <c r="HA99" s="146"/>
      <c r="HB99" s="146"/>
      <c r="HC99" s="146"/>
      <c r="HD99" s="146"/>
      <c r="HE99" s="146"/>
      <c r="HF99" s="146"/>
      <c r="HG99" s="146"/>
      <c r="HH99" s="146"/>
      <c r="HI99" s="146"/>
      <c r="HJ99" s="146"/>
      <c r="HK99" s="146"/>
      <c r="HL99" s="146"/>
      <c r="HM99" s="146"/>
      <c r="HN99" s="146"/>
      <c r="HO99" s="146"/>
      <c r="HP99" s="146"/>
      <c r="HQ99" s="146"/>
      <c r="HR99" s="146"/>
      <c r="HS99" s="146"/>
      <c r="HT99" s="146"/>
      <c r="HU99" s="146"/>
      <c r="HV99" s="146"/>
      <c r="HW99" s="146"/>
      <c r="HX99" s="146"/>
      <c r="HY99" s="146"/>
      <c r="HZ99" s="146"/>
      <c r="IA99" s="146"/>
    </row>
    <row r="100" spans="1:235" s="159" customFormat="1" ht="99.75" x14ac:dyDescent="0.25">
      <c r="A100" s="197">
        <v>11700</v>
      </c>
      <c r="B100" s="194" t="s">
        <v>29</v>
      </c>
      <c r="C100" s="198" t="s">
        <v>328</v>
      </c>
      <c r="D100" s="194" t="s">
        <v>256</v>
      </c>
      <c r="E100" s="198" t="s">
        <v>407</v>
      </c>
      <c r="F100" s="194" t="s">
        <v>661</v>
      </c>
      <c r="G100" s="209" t="s">
        <v>123</v>
      </c>
      <c r="H100" s="216">
        <v>1</v>
      </c>
      <c r="I100" s="198" t="s">
        <v>409</v>
      </c>
      <c r="J100" s="194" t="s">
        <v>660</v>
      </c>
      <c r="K100" s="210">
        <v>400000000</v>
      </c>
      <c r="L100" s="211">
        <v>1</v>
      </c>
      <c r="M100" s="194" t="s">
        <v>45</v>
      </c>
      <c r="N100" s="194" t="s">
        <v>54</v>
      </c>
      <c r="O100" s="194" t="s">
        <v>37</v>
      </c>
      <c r="P100" s="194" t="s">
        <v>38</v>
      </c>
      <c r="Q100" s="194" t="s">
        <v>218</v>
      </c>
      <c r="R100" s="194" t="s">
        <v>664</v>
      </c>
      <c r="S100" s="194" t="s">
        <v>104</v>
      </c>
      <c r="T100" s="227">
        <v>9</v>
      </c>
      <c r="U100" s="212" t="str">
        <f t="shared" si="41"/>
        <v>Realizar capacitación y fortalecimiento de las competencias laborales de los funcionarios</v>
      </c>
      <c r="V100" s="213">
        <f t="shared" si="41"/>
        <v>400000000</v>
      </c>
      <c r="W100" s="222" t="s">
        <v>114</v>
      </c>
      <c r="X100" s="284">
        <v>3</v>
      </c>
      <c r="Y100" s="282" t="s">
        <v>660</v>
      </c>
      <c r="Z100" s="283">
        <v>100000000</v>
      </c>
      <c r="AA100" s="279"/>
      <c r="AB100" s="279"/>
      <c r="AC100" s="280">
        <f t="shared" si="42"/>
        <v>0</v>
      </c>
      <c r="AD100" s="280">
        <f t="shared" si="43"/>
        <v>0</v>
      </c>
      <c r="AE100" s="280">
        <f t="shared" si="29"/>
        <v>0</v>
      </c>
      <c r="AF100" s="280">
        <f t="shared" si="30"/>
        <v>0</v>
      </c>
      <c r="AG100" s="284">
        <v>2</v>
      </c>
      <c r="AH100" s="282" t="s">
        <v>660</v>
      </c>
      <c r="AI100" s="283">
        <v>100000000</v>
      </c>
      <c r="AJ100" s="279"/>
      <c r="AK100" s="279"/>
      <c r="AL100" s="280">
        <f t="shared" si="44"/>
        <v>0</v>
      </c>
      <c r="AM100" s="280">
        <f t="shared" si="31"/>
        <v>0</v>
      </c>
      <c r="AN100" s="280">
        <f t="shared" si="32"/>
        <v>0</v>
      </c>
      <c r="AO100" s="280">
        <f t="shared" si="33"/>
        <v>0</v>
      </c>
      <c r="AP100" s="284">
        <v>2</v>
      </c>
      <c r="AQ100" s="282" t="s">
        <v>660</v>
      </c>
      <c r="AR100" s="283">
        <v>100000000</v>
      </c>
      <c r="AS100" s="279"/>
      <c r="AT100" s="279"/>
      <c r="AU100" s="280">
        <f t="shared" si="45"/>
        <v>0</v>
      </c>
      <c r="AV100" s="280">
        <f t="shared" si="46"/>
        <v>0</v>
      </c>
      <c r="AW100" s="280">
        <f t="shared" si="47"/>
        <v>0</v>
      </c>
      <c r="AX100" s="280">
        <f t="shared" si="48"/>
        <v>0</v>
      </c>
      <c r="AY100" s="284">
        <v>2</v>
      </c>
      <c r="AZ100" s="282" t="s">
        <v>660</v>
      </c>
      <c r="BA100" s="283">
        <v>100000000</v>
      </c>
      <c r="BB100" s="279"/>
      <c r="BC100" s="279"/>
      <c r="BD100" s="281">
        <f t="shared" si="49"/>
        <v>0</v>
      </c>
      <c r="BE100" s="281">
        <f t="shared" si="50"/>
        <v>0</v>
      </c>
      <c r="BF100" s="281">
        <f t="shared" si="51"/>
        <v>0</v>
      </c>
      <c r="BG100" s="281">
        <f t="shared" si="52"/>
        <v>0</v>
      </c>
      <c r="BH100" s="205">
        <f t="shared" si="34"/>
        <v>0</v>
      </c>
      <c r="BI100" s="205">
        <f t="shared" si="35"/>
        <v>0</v>
      </c>
      <c r="BJ100" s="205">
        <f t="shared" si="36"/>
        <v>0</v>
      </c>
      <c r="BK100" s="205">
        <f t="shared" si="37"/>
        <v>0</v>
      </c>
      <c r="BL100" s="205">
        <f t="shared" si="53"/>
        <v>0</v>
      </c>
      <c r="BM100" s="205">
        <f t="shared" si="54"/>
        <v>0</v>
      </c>
      <c r="BN100" s="205">
        <f t="shared" si="38"/>
        <v>0</v>
      </c>
      <c r="BO100" s="205">
        <f t="shared" si="39"/>
        <v>0</v>
      </c>
      <c r="BP100" s="206"/>
      <c r="BQ100" s="277">
        <v>7</v>
      </c>
      <c r="BR100" s="208">
        <f t="shared" si="40"/>
        <v>5.666666666666667</v>
      </c>
      <c r="BS100" s="219" t="str">
        <f t="shared" si="55"/>
        <v>Realizar capacitación y fortalecimiento de las competencias laborales de los funcionarios</v>
      </c>
      <c r="BT100" s="195">
        <f t="shared" si="28"/>
        <v>233333333.33333334</v>
      </c>
      <c r="BU100" s="196"/>
      <c r="BV100" s="196"/>
      <c r="BW100" s="196"/>
      <c r="BX100" s="196"/>
      <c r="BY100" s="196"/>
      <c r="BZ100" s="196"/>
      <c r="CA100" s="146"/>
      <c r="CB100" s="146"/>
      <c r="CC100" s="146"/>
      <c r="CD100" s="146"/>
      <c r="CE100" s="146"/>
      <c r="CF100" s="146"/>
      <c r="CG100" s="146"/>
      <c r="CH100" s="146"/>
      <c r="CI100" s="146"/>
      <c r="CJ100" s="146"/>
      <c r="CK100" s="146"/>
      <c r="CL100" s="146"/>
      <c r="CM100" s="146"/>
      <c r="CN100" s="146"/>
      <c r="CO100" s="146"/>
      <c r="CP100" s="146"/>
      <c r="CQ100" s="146"/>
      <c r="CR100" s="146"/>
      <c r="CS100" s="146"/>
      <c r="CT100" s="146"/>
      <c r="CU100" s="146"/>
      <c r="CV100" s="146"/>
      <c r="CW100" s="146"/>
      <c r="CX100" s="146"/>
      <c r="CY100" s="146"/>
      <c r="CZ100" s="146"/>
      <c r="DA100" s="146"/>
      <c r="DB100" s="146"/>
      <c r="DC100" s="146"/>
      <c r="DD100" s="146"/>
      <c r="DE100" s="146"/>
      <c r="DF100" s="146"/>
      <c r="DG100" s="146"/>
      <c r="DH100" s="146"/>
      <c r="DI100" s="146"/>
      <c r="DJ100" s="146"/>
      <c r="DK100" s="146"/>
      <c r="DL100" s="146"/>
      <c r="DM100" s="146"/>
      <c r="DN100" s="146"/>
      <c r="DO100" s="146"/>
      <c r="DP100" s="146"/>
      <c r="DQ100" s="146"/>
      <c r="DR100" s="146"/>
      <c r="DS100" s="146"/>
      <c r="DT100" s="146"/>
      <c r="DU100" s="146"/>
      <c r="DV100" s="146"/>
      <c r="DW100" s="146"/>
      <c r="DX100" s="146"/>
      <c r="DY100" s="146"/>
      <c r="DZ100" s="146"/>
      <c r="EA100" s="146"/>
      <c r="EB100" s="146"/>
      <c r="EC100" s="146"/>
      <c r="ED100" s="146"/>
      <c r="EE100" s="146"/>
      <c r="EF100" s="146"/>
      <c r="EG100" s="146"/>
      <c r="EH100" s="146"/>
      <c r="EI100" s="146"/>
      <c r="EJ100" s="146"/>
      <c r="EK100" s="146"/>
      <c r="EL100" s="146"/>
      <c r="EM100" s="146"/>
      <c r="EN100" s="146"/>
      <c r="EO100" s="146"/>
      <c r="EP100" s="146"/>
      <c r="EQ100" s="146"/>
      <c r="ER100" s="146"/>
      <c r="ES100" s="146"/>
      <c r="ET100" s="146"/>
      <c r="EU100" s="146"/>
      <c r="EV100" s="146"/>
      <c r="EW100" s="146"/>
      <c r="EX100" s="146"/>
      <c r="EY100" s="146"/>
      <c r="EZ100" s="146"/>
      <c r="FA100" s="146"/>
      <c r="FB100" s="146"/>
      <c r="FC100" s="146"/>
      <c r="FD100" s="146"/>
      <c r="FE100" s="146"/>
      <c r="FF100" s="146"/>
      <c r="FG100" s="146"/>
      <c r="FH100" s="146"/>
      <c r="FI100" s="146"/>
      <c r="FJ100" s="146"/>
      <c r="FK100" s="146"/>
      <c r="FL100" s="146"/>
      <c r="FM100" s="146"/>
      <c r="FN100" s="146"/>
      <c r="FO100" s="146"/>
      <c r="FP100" s="146"/>
      <c r="FQ100" s="146"/>
      <c r="FR100" s="146"/>
      <c r="FS100" s="146"/>
      <c r="FT100" s="146"/>
      <c r="FU100" s="146"/>
      <c r="FV100" s="146"/>
      <c r="FW100" s="146"/>
      <c r="FX100" s="146"/>
      <c r="FY100" s="146"/>
      <c r="FZ100" s="146"/>
      <c r="GA100" s="146"/>
      <c r="GB100" s="146"/>
      <c r="GC100" s="146"/>
      <c r="GD100" s="146"/>
      <c r="GE100" s="146"/>
      <c r="GF100" s="146"/>
      <c r="GG100" s="146"/>
      <c r="GH100" s="146"/>
      <c r="GI100" s="146"/>
      <c r="GJ100" s="146"/>
      <c r="GK100" s="146"/>
      <c r="GL100" s="146"/>
      <c r="GM100" s="146"/>
      <c r="GN100" s="146"/>
      <c r="GO100" s="146"/>
      <c r="GP100" s="146"/>
      <c r="GQ100" s="146"/>
      <c r="GR100" s="146"/>
      <c r="GS100" s="146"/>
      <c r="GT100" s="146"/>
      <c r="GU100" s="146"/>
      <c r="GV100" s="146"/>
      <c r="GW100" s="146"/>
      <c r="GX100" s="146"/>
      <c r="GY100" s="146"/>
      <c r="GZ100" s="146"/>
      <c r="HA100" s="146"/>
      <c r="HB100" s="146"/>
      <c r="HC100" s="146"/>
      <c r="HD100" s="146"/>
      <c r="HE100" s="146"/>
      <c r="HF100" s="146"/>
      <c r="HG100" s="146"/>
      <c r="HH100" s="146"/>
      <c r="HI100" s="146"/>
      <c r="HJ100" s="146"/>
      <c r="HK100" s="146"/>
      <c r="HL100" s="146"/>
      <c r="HM100" s="146"/>
      <c r="HN100" s="146"/>
      <c r="HO100" s="146"/>
      <c r="HP100" s="146"/>
      <c r="HQ100" s="146"/>
      <c r="HR100" s="146"/>
      <c r="HS100" s="146"/>
      <c r="HT100" s="146"/>
      <c r="HU100" s="146"/>
      <c r="HV100" s="146"/>
      <c r="HW100" s="146"/>
      <c r="HX100" s="146"/>
      <c r="HY100" s="146"/>
      <c r="HZ100" s="146"/>
      <c r="IA100" s="146"/>
    </row>
    <row r="101" spans="1:235" s="156" customFormat="1" ht="99.75" x14ac:dyDescent="0.25">
      <c r="A101" s="197">
        <v>11700</v>
      </c>
      <c r="B101" s="194" t="s">
        <v>29</v>
      </c>
      <c r="C101" s="198" t="s">
        <v>328</v>
      </c>
      <c r="D101" s="194" t="s">
        <v>256</v>
      </c>
      <c r="E101" s="198" t="s">
        <v>407</v>
      </c>
      <c r="F101" s="194" t="s">
        <v>662</v>
      </c>
      <c r="G101" s="209" t="s">
        <v>123</v>
      </c>
      <c r="H101" s="216">
        <v>1</v>
      </c>
      <c r="I101" s="198" t="s">
        <v>629</v>
      </c>
      <c r="J101" s="194" t="s">
        <v>663</v>
      </c>
      <c r="K101" s="210">
        <v>400000000</v>
      </c>
      <c r="L101" s="211">
        <v>1</v>
      </c>
      <c r="M101" s="194" t="s">
        <v>45</v>
      </c>
      <c r="N101" s="194" t="s">
        <v>54</v>
      </c>
      <c r="O101" s="194" t="s">
        <v>37</v>
      </c>
      <c r="P101" s="194" t="s">
        <v>38</v>
      </c>
      <c r="Q101" s="194" t="s">
        <v>218</v>
      </c>
      <c r="R101" s="194" t="s">
        <v>411</v>
      </c>
      <c r="S101" s="194" t="s">
        <v>104</v>
      </c>
      <c r="T101" s="211">
        <v>1</v>
      </c>
      <c r="U101" s="212" t="str">
        <f t="shared" si="41"/>
        <v>Realizar actividades para fortalecer la calidad de vida de los servidores públicos de la entidad, así como el clima organizacional</v>
      </c>
      <c r="V101" s="213">
        <f t="shared" si="41"/>
        <v>400000000</v>
      </c>
      <c r="W101" s="222" t="s">
        <v>114</v>
      </c>
      <c r="X101" s="216">
        <v>0.25</v>
      </c>
      <c r="Y101" s="214" t="s">
        <v>663</v>
      </c>
      <c r="Z101" s="210">
        <v>80000000</v>
      </c>
      <c r="AA101" s="196"/>
      <c r="AB101" s="196"/>
      <c r="AC101" s="204">
        <f t="shared" si="42"/>
        <v>0</v>
      </c>
      <c r="AD101" s="204">
        <f t="shared" si="43"/>
        <v>0</v>
      </c>
      <c r="AE101" s="204">
        <f t="shared" si="29"/>
        <v>0</v>
      </c>
      <c r="AF101" s="204">
        <f t="shared" si="30"/>
        <v>0</v>
      </c>
      <c r="AG101" s="216">
        <v>0.25</v>
      </c>
      <c r="AH101" s="214" t="s">
        <v>663</v>
      </c>
      <c r="AI101" s="210">
        <v>120000000</v>
      </c>
      <c r="AJ101" s="196"/>
      <c r="AK101" s="196"/>
      <c r="AL101" s="204">
        <f t="shared" si="44"/>
        <v>0</v>
      </c>
      <c r="AM101" s="204">
        <f t="shared" si="31"/>
        <v>0</v>
      </c>
      <c r="AN101" s="204">
        <f t="shared" si="32"/>
        <v>0</v>
      </c>
      <c r="AO101" s="204">
        <f t="shared" si="33"/>
        <v>0</v>
      </c>
      <c r="AP101" s="216">
        <v>0.25</v>
      </c>
      <c r="AQ101" s="214" t="s">
        <v>663</v>
      </c>
      <c r="AR101" s="210">
        <v>80000000</v>
      </c>
      <c r="AS101" s="196"/>
      <c r="AT101" s="196"/>
      <c r="AU101" s="204">
        <f t="shared" si="45"/>
        <v>0</v>
      </c>
      <c r="AV101" s="204">
        <f t="shared" si="46"/>
        <v>0</v>
      </c>
      <c r="AW101" s="204">
        <f t="shared" si="47"/>
        <v>0</v>
      </c>
      <c r="AX101" s="204">
        <f t="shared" si="48"/>
        <v>0</v>
      </c>
      <c r="AY101" s="216">
        <v>0.25</v>
      </c>
      <c r="AZ101" s="214" t="s">
        <v>663</v>
      </c>
      <c r="BA101" s="210">
        <v>120000000</v>
      </c>
      <c r="BB101" s="196"/>
      <c r="BC101" s="196"/>
      <c r="BD101" s="216">
        <f t="shared" si="49"/>
        <v>0</v>
      </c>
      <c r="BE101" s="216">
        <f t="shared" si="50"/>
        <v>0</v>
      </c>
      <c r="BF101" s="216">
        <f t="shared" si="51"/>
        <v>0</v>
      </c>
      <c r="BG101" s="216">
        <f t="shared" si="52"/>
        <v>0</v>
      </c>
      <c r="BH101" s="223">
        <f t="shared" si="34"/>
        <v>0</v>
      </c>
      <c r="BI101" s="223">
        <f t="shared" si="35"/>
        <v>0</v>
      </c>
      <c r="BJ101" s="223">
        <f t="shared" si="36"/>
        <v>0</v>
      </c>
      <c r="BK101" s="223">
        <f t="shared" si="37"/>
        <v>0</v>
      </c>
      <c r="BL101" s="223">
        <f t="shared" si="53"/>
        <v>0</v>
      </c>
      <c r="BM101" s="223">
        <f t="shared" si="54"/>
        <v>0</v>
      </c>
      <c r="BN101" s="223">
        <f t="shared" si="38"/>
        <v>0</v>
      </c>
      <c r="BO101" s="223">
        <f t="shared" si="39"/>
        <v>0</v>
      </c>
      <c r="BP101" s="206"/>
      <c r="BQ101" s="277">
        <v>7</v>
      </c>
      <c r="BR101" s="208">
        <f t="shared" si="40"/>
        <v>0.58333333333333337</v>
      </c>
      <c r="BS101" s="219" t="str">
        <f t="shared" si="55"/>
        <v>Realizar actividades para fortalecer la calidad de vida de los servidores públicos de la entidad, así como el clima organizacional</v>
      </c>
      <c r="BT101" s="195">
        <f t="shared" si="28"/>
        <v>226666666.66666666</v>
      </c>
      <c r="BU101" s="196"/>
      <c r="BV101" s="196"/>
      <c r="BW101" s="196"/>
      <c r="BX101" s="196"/>
      <c r="BY101" s="196"/>
      <c r="BZ101" s="196"/>
      <c r="CA101" s="146"/>
      <c r="CB101" s="146"/>
      <c r="CC101" s="146"/>
      <c r="CD101" s="146"/>
      <c r="CE101" s="146"/>
      <c r="CF101" s="146"/>
      <c r="CG101" s="146"/>
      <c r="CH101" s="146"/>
      <c r="CI101" s="146"/>
      <c r="CJ101" s="146"/>
      <c r="CK101" s="146"/>
      <c r="CL101" s="146"/>
      <c r="CM101" s="146"/>
      <c r="CN101" s="146"/>
      <c r="CO101" s="146"/>
      <c r="CP101" s="146"/>
      <c r="CQ101" s="146"/>
      <c r="CR101" s="146"/>
      <c r="CS101" s="146"/>
      <c r="CT101" s="146"/>
      <c r="CU101" s="146"/>
      <c r="CV101" s="146"/>
      <c r="CW101" s="146"/>
      <c r="CX101" s="146"/>
      <c r="CY101" s="146"/>
      <c r="CZ101" s="146"/>
      <c r="DA101" s="146"/>
      <c r="DB101" s="146"/>
      <c r="DC101" s="146"/>
      <c r="DD101" s="146"/>
      <c r="DE101" s="146"/>
      <c r="DF101" s="146"/>
      <c r="DG101" s="146"/>
      <c r="DH101" s="146"/>
      <c r="DI101" s="146"/>
      <c r="DJ101" s="146"/>
      <c r="DK101" s="146"/>
      <c r="DL101" s="146"/>
      <c r="DM101" s="146"/>
      <c r="DN101" s="146"/>
      <c r="DO101" s="146"/>
      <c r="DP101" s="146"/>
      <c r="DQ101" s="146"/>
      <c r="DR101" s="146"/>
      <c r="DS101" s="146"/>
      <c r="DT101" s="146"/>
      <c r="DU101" s="146"/>
      <c r="DV101" s="146"/>
      <c r="DW101" s="146"/>
      <c r="DX101" s="146"/>
      <c r="DY101" s="146"/>
      <c r="DZ101" s="146"/>
      <c r="EA101" s="146"/>
      <c r="EB101" s="146"/>
      <c r="EC101" s="146"/>
      <c r="ED101" s="146"/>
      <c r="EE101" s="146"/>
      <c r="EF101" s="146"/>
      <c r="EG101" s="146"/>
      <c r="EH101" s="146"/>
      <c r="EI101" s="146"/>
      <c r="EJ101" s="146"/>
      <c r="EK101" s="146"/>
      <c r="EL101" s="146"/>
      <c r="EM101" s="146"/>
      <c r="EN101" s="146"/>
      <c r="EO101" s="146"/>
      <c r="EP101" s="146"/>
      <c r="EQ101" s="146"/>
      <c r="ER101" s="146"/>
      <c r="ES101" s="146"/>
      <c r="ET101" s="146"/>
      <c r="EU101" s="146"/>
      <c r="EV101" s="146"/>
      <c r="EW101" s="146"/>
      <c r="EX101" s="146"/>
      <c r="EY101" s="146"/>
      <c r="EZ101" s="146"/>
      <c r="FA101" s="146"/>
      <c r="FB101" s="146"/>
      <c r="FC101" s="146"/>
      <c r="FD101" s="146"/>
      <c r="FE101" s="146"/>
      <c r="FF101" s="146"/>
      <c r="FG101" s="146"/>
      <c r="FH101" s="146"/>
      <c r="FI101" s="146"/>
      <c r="FJ101" s="146"/>
      <c r="FK101" s="146"/>
      <c r="FL101" s="146"/>
      <c r="FM101" s="146"/>
      <c r="FN101" s="146"/>
      <c r="FO101" s="146"/>
      <c r="FP101" s="146"/>
      <c r="FQ101" s="146"/>
      <c r="FR101" s="146"/>
      <c r="FS101" s="146"/>
      <c r="FT101" s="146"/>
      <c r="FU101" s="146"/>
      <c r="FV101" s="146"/>
      <c r="FW101" s="146"/>
      <c r="FX101" s="146"/>
      <c r="FY101" s="146"/>
      <c r="FZ101" s="146"/>
      <c r="GA101" s="146"/>
      <c r="GB101" s="146"/>
      <c r="GC101" s="146"/>
      <c r="GD101" s="146"/>
      <c r="GE101" s="146"/>
      <c r="GF101" s="146"/>
      <c r="GG101" s="146"/>
      <c r="GH101" s="146"/>
      <c r="GI101" s="146"/>
      <c r="GJ101" s="146"/>
      <c r="GK101" s="146"/>
      <c r="GL101" s="146"/>
      <c r="GM101" s="146"/>
      <c r="GN101" s="146"/>
      <c r="GO101" s="146"/>
      <c r="GP101" s="146"/>
      <c r="GQ101" s="146"/>
      <c r="GR101" s="146"/>
      <c r="GS101" s="146"/>
      <c r="GT101" s="146"/>
      <c r="GU101" s="146"/>
      <c r="GV101" s="146"/>
      <c r="GW101" s="146"/>
      <c r="GX101" s="146"/>
      <c r="GY101" s="146"/>
      <c r="GZ101" s="146"/>
      <c r="HA101" s="146"/>
      <c r="HB101" s="146"/>
      <c r="HC101" s="146"/>
      <c r="HD101" s="146"/>
      <c r="HE101" s="146"/>
      <c r="HF101" s="146"/>
      <c r="HG101" s="146"/>
      <c r="HH101" s="146"/>
      <c r="HI101" s="146"/>
      <c r="HJ101" s="146"/>
      <c r="HK101" s="146"/>
      <c r="HL101" s="146"/>
      <c r="HM101" s="146"/>
      <c r="HN101" s="146"/>
      <c r="HO101" s="146"/>
      <c r="HP101" s="146"/>
      <c r="HQ101" s="146"/>
      <c r="HR101" s="146"/>
      <c r="HS101" s="146"/>
      <c r="HT101" s="146"/>
      <c r="HU101" s="146"/>
      <c r="HV101" s="146"/>
      <c r="HW101" s="146"/>
      <c r="HX101" s="146"/>
      <c r="HY101" s="146"/>
      <c r="HZ101" s="146"/>
      <c r="IA101" s="146"/>
    </row>
    <row r="102" spans="1:235" s="153" customFormat="1" ht="99.75" x14ac:dyDescent="0.25">
      <c r="A102" s="197">
        <v>11700</v>
      </c>
      <c r="B102" s="194" t="s">
        <v>29</v>
      </c>
      <c r="C102" s="198" t="s">
        <v>328</v>
      </c>
      <c r="D102" s="194" t="s">
        <v>256</v>
      </c>
      <c r="E102" s="198" t="s">
        <v>412</v>
      </c>
      <c r="F102" s="194" t="s">
        <v>413</v>
      </c>
      <c r="G102" s="209" t="s">
        <v>123</v>
      </c>
      <c r="H102" s="216">
        <v>1</v>
      </c>
      <c r="I102" s="198" t="s">
        <v>416</v>
      </c>
      <c r="J102" s="194" t="s">
        <v>565</v>
      </c>
      <c r="K102" s="210">
        <v>6000000</v>
      </c>
      <c r="L102" s="211">
        <v>1</v>
      </c>
      <c r="M102" s="194" t="s">
        <v>45</v>
      </c>
      <c r="N102" s="194" t="s">
        <v>54</v>
      </c>
      <c r="O102" s="194" t="s">
        <v>37</v>
      </c>
      <c r="P102" s="194" t="s">
        <v>38</v>
      </c>
      <c r="Q102" s="194" t="s">
        <v>218</v>
      </c>
      <c r="R102" s="194" t="s">
        <v>182</v>
      </c>
      <c r="S102" s="194" t="s">
        <v>104</v>
      </c>
      <c r="T102" s="211">
        <v>1</v>
      </c>
      <c r="U102" s="212" t="str">
        <f t="shared" si="41"/>
        <v>Realización de Exámenes de Salud Ocupacional (pre-ocupacionales, exámenes médicos post-ocupacionales y exámenes médicos post-incapacidad)</v>
      </c>
      <c r="V102" s="213">
        <f t="shared" si="41"/>
        <v>6000000</v>
      </c>
      <c r="W102" s="222" t="s">
        <v>114</v>
      </c>
      <c r="X102" s="216">
        <v>0.25</v>
      </c>
      <c r="Y102" s="214" t="s">
        <v>565</v>
      </c>
      <c r="Z102" s="210">
        <v>1500000</v>
      </c>
      <c r="AA102" s="196"/>
      <c r="AB102" s="196"/>
      <c r="AC102" s="204">
        <f t="shared" si="42"/>
        <v>0</v>
      </c>
      <c r="AD102" s="204">
        <f t="shared" si="43"/>
        <v>0</v>
      </c>
      <c r="AE102" s="204">
        <f t="shared" si="29"/>
        <v>0</v>
      </c>
      <c r="AF102" s="204">
        <f t="shared" si="30"/>
        <v>0</v>
      </c>
      <c r="AG102" s="216">
        <v>0.25</v>
      </c>
      <c r="AH102" s="214" t="s">
        <v>565</v>
      </c>
      <c r="AI102" s="210">
        <v>1500000</v>
      </c>
      <c r="AJ102" s="196"/>
      <c r="AK102" s="196"/>
      <c r="AL102" s="204">
        <f t="shared" si="44"/>
        <v>0</v>
      </c>
      <c r="AM102" s="204">
        <f t="shared" si="31"/>
        <v>0</v>
      </c>
      <c r="AN102" s="204">
        <f t="shared" si="32"/>
        <v>0</v>
      </c>
      <c r="AO102" s="204">
        <f t="shared" si="33"/>
        <v>0</v>
      </c>
      <c r="AP102" s="216">
        <v>0.25</v>
      </c>
      <c r="AQ102" s="214" t="s">
        <v>565</v>
      </c>
      <c r="AR102" s="210">
        <v>1500000</v>
      </c>
      <c r="AS102" s="196"/>
      <c r="AT102" s="196"/>
      <c r="AU102" s="204">
        <f t="shared" si="45"/>
        <v>0</v>
      </c>
      <c r="AV102" s="204">
        <f t="shared" si="46"/>
        <v>0</v>
      </c>
      <c r="AW102" s="204">
        <f t="shared" si="47"/>
        <v>0</v>
      </c>
      <c r="AX102" s="204">
        <f t="shared" si="48"/>
        <v>0</v>
      </c>
      <c r="AY102" s="216">
        <v>0.25</v>
      </c>
      <c r="AZ102" s="214" t="s">
        <v>565</v>
      </c>
      <c r="BA102" s="210">
        <v>1500000</v>
      </c>
      <c r="BB102" s="196"/>
      <c r="BC102" s="196"/>
      <c r="BD102" s="216">
        <f t="shared" si="49"/>
        <v>0</v>
      </c>
      <c r="BE102" s="216">
        <f t="shared" si="50"/>
        <v>0</v>
      </c>
      <c r="BF102" s="216">
        <f t="shared" si="51"/>
        <v>0</v>
      </c>
      <c r="BG102" s="216">
        <f t="shared" si="52"/>
        <v>0</v>
      </c>
      <c r="BH102" s="217">
        <f t="shared" si="34"/>
        <v>0</v>
      </c>
      <c r="BI102" s="217">
        <f t="shared" si="35"/>
        <v>0</v>
      </c>
      <c r="BJ102" s="217">
        <f t="shared" si="36"/>
        <v>0</v>
      </c>
      <c r="BK102" s="217">
        <f t="shared" si="37"/>
        <v>0</v>
      </c>
      <c r="BL102" s="217">
        <f t="shared" si="53"/>
        <v>0</v>
      </c>
      <c r="BM102" s="217">
        <f t="shared" si="54"/>
        <v>0</v>
      </c>
      <c r="BN102" s="217">
        <f t="shared" si="38"/>
        <v>0</v>
      </c>
      <c r="BO102" s="217">
        <f t="shared" si="39"/>
        <v>0</v>
      </c>
      <c r="BP102" s="206"/>
      <c r="BQ102" s="277">
        <v>7</v>
      </c>
      <c r="BR102" s="208">
        <f t="shared" si="40"/>
        <v>0.58333333333333337</v>
      </c>
      <c r="BS102" s="219" t="str">
        <f t="shared" si="55"/>
        <v>Realización de Exámenes de Salud Ocupacional (pre-ocupacionales, exámenes médicos post-ocupacionales y exámenes médicos post-incapacidad)</v>
      </c>
      <c r="BT102" s="195">
        <f t="shared" si="28"/>
        <v>3500000</v>
      </c>
      <c r="BU102" s="196"/>
      <c r="BV102" s="196"/>
      <c r="BW102" s="196"/>
      <c r="BX102" s="196"/>
      <c r="BY102" s="196"/>
      <c r="BZ102" s="196"/>
      <c r="CA102" s="146"/>
      <c r="CB102" s="146"/>
      <c r="CC102" s="146"/>
      <c r="CD102" s="146"/>
      <c r="CE102" s="146"/>
      <c r="CF102" s="146"/>
      <c r="CG102" s="146"/>
      <c r="CH102" s="146"/>
      <c r="CI102" s="146"/>
      <c r="CJ102" s="146"/>
      <c r="CK102" s="146"/>
      <c r="CL102" s="146"/>
      <c r="CM102" s="146"/>
      <c r="CN102" s="146"/>
      <c r="CO102" s="146"/>
      <c r="CP102" s="146"/>
      <c r="CQ102" s="146"/>
      <c r="CR102" s="146"/>
      <c r="CS102" s="146"/>
      <c r="CT102" s="146"/>
      <c r="CU102" s="146"/>
      <c r="CV102" s="146"/>
      <c r="CW102" s="146"/>
      <c r="CX102" s="146"/>
      <c r="CY102" s="146"/>
      <c r="CZ102" s="146"/>
      <c r="DA102" s="146"/>
      <c r="DB102" s="146"/>
      <c r="DC102" s="146"/>
      <c r="DD102" s="146"/>
      <c r="DE102" s="146"/>
      <c r="DF102" s="146"/>
      <c r="DG102" s="146"/>
      <c r="DH102" s="146"/>
      <c r="DI102" s="146"/>
      <c r="DJ102" s="146"/>
      <c r="DK102" s="146"/>
      <c r="DL102" s="146"/>
      <c r="DM102" s="146"/>
      <c r="DN102" s="146"/>
      <c r="DO102" s="146"/>
      <c r="DP102" s="146"/>
      <c r="DQ102" s="146"/>
      <c r="DR102" s="146"/>
      <c r="DS102" s="146"/>
      <c r="DT102" s="146"/>
      <c r="DU102" s="146"/>
      <c r="DV102" s="146"/>
      <c r="DW102" s="146"/>
      <c r="DX102" s="146"/>
      <c r="DY102" s="146"/>
      <c r="DZ102" s="146"/>
      <c r="EA102" s="146"/>
      <c r="EB102" s="146"/>
      <c r="EC102" s="146"/>
      <c r="ED102" s="146"/>
      <c r="EE102" s="146"/>
      <c r="EF102" s="146"/>
      <c r="EG102" s="146"/>
      <c r="EH102" s="146"/>
      <c r="EI102" s="146"/>
      <c r="EJ102" s="146"/>
      <c r="EK102" s="146"/>
      <c r="EL102" s="146"/>
      <c r="EM102" s="146"/>
      <c r="EN102" s="146"/>
      <c r="EO102" s="146"/>
      <c r="EP102" s="146"/>
      <c r="EQ102" s="146"/>
      <c r="ER102" s="146"/>
      <c r="ES102" s="146"/>
      <c r="ET102" s="146"/>
      <c r="EU102" s="146"/>
      <c r="EV102" s="146"/>
      <c r="EW102" s="146"/>
      <c r="EX102" s="146"/>
      <c r="EY102" s="146"/>
      <c r="EZ102" s="146"/>
      <c r="FA102" s="146"/>
      <c r="FB102" s="146"/>
      <c r="FC102" s="146"/>
      <c r="FD102" s="146"/>
      <c r="FE102" s="146"/>
      <c r="FF102" s="146"/>
      <c r="FG102" s="146"/>
      <c r="FH102" s="146"/>
      <c r="FI102" s="146"/>
      <c r="FJ102" s="146"/>
      <c r="FK102" s="146"/>
      <c r="FL102" s="146"/>
      <c r="FM102" s="146"/>
      <c r="FN102" s="146"/>
      <c r="FO102" s="146"/>
      <c r="FP102" s="146"/>
      <c r="FQ102" s="146"/>
      <c r="FR102" s="146"/>
      <c r="FS102" s="146"/>
      <c r="FT102" s="146"/>
      <c r="FU102" s="146"/>
      <c r="FV102" s="146"/>
      <c r="FW102" s="146"/>
      <c r="FX102" s="146"/>
      <c r="FY102" s="146"/>
      <c r="FZ102" s="146"/>
      <c r="GA102" s="146"/>
      <c r="GB102" s="146"/>
      <c r="GC102" s="146"/>
      <c r="GD102" s="146"/>
      <c r="GE102" s="146"/>
      <c r="GF102" s="146"/>
      <c r="GG102" s="146"/>
      <c r="GH102" s="146"/>
      <c r="GI102" s="146"/>
      <c r="GJ102" s="146"/>
      <c r="GK102" s="146"/>
      <c r="GL102" s="146"/>
      <c r="GM102" s="146"/>
      <c r="GN102" s="146"/>
      <c r="GO102" s="146"/>
      <c r="GP102" s="146"/>
      <c r="GQ102" s="146"/>
      <c r="GR102" s="146"/>
      <c r="GS102" s="146"/>
      <c r="GT102" s="146"/>
      <c r="GU102" s="146"/>
      <c r="GV102" s="146"/>
      <c r="GW102" s="146"/>
      <c r="GX102" s="146"/>
      <c r="GY102" s="146"/>
      <c r="GZ102" s="146"/>
      <c r="HA102" s="146"/>
      <c r="HB102" s="146"/>
      <c r="HC102" s="146"/>
      <c r="HD102" s="146"/>
      <c r="HE102" s="146"/>
      <c r="HF102" s="146"/>
      <c r="HG102" s="146"/>
      <c r="HH102" s="146"/>
      <c r="HI102" s="146"/>
      <c r="HJ102" s="146"/>
      <c r="HK102" s="146"/>
      <c r="HL102" s="146"/>
      <c r="HM102" s="146"/>
      <c r="HN102" s="146"/>
      <c r="HO102" s="146"/>
      <c r="HP102" s="146"/>
      <c r="HQ102" s="146"/>
      <c r="HR102" s="146"/>
      <c r="HS102" s="146"/>
      <c r="HT102" s="146"/>
      <c r="HU102" s="146"/>
      <c r="HV102" s="146"/>
      <c r="HW102" s="146"/>
      <c r="HX102" s="146"/>
      <c r="HY102" s="146"/>
      <c r="HZ102" s="146"/>
      <c r="IA102" s="146"/>
    </row>
    <row r="103" spans="1:235" s="156" customFormat="1" ht="99.75" x14ac:dyDescent="0.25">
      <c r="A103" s="197">
        <v>11700</v>
      </c>
      <c r="B103" s="194" t="s">
        <v>29</v>
      </c>
      <c r="C103" s="198" t="s">
        <v>328</v>
      </c>
      <c r="D103" s="194" t="s">
        <v>256</v>
      </c>
      <c r="E103" s="198" t="s">
        <v>414</v>
      </c>
      <c r="F103" s="194" t="s">
        <v>408</v>
      </c>
      <c r="G103" s="209" t="s">
        <v>124</v>
      </c>
      <c r="H103" s="198">
        <v>12</v>
      </c>
      <c r="I103" s="198" t="s">
        <v>415</v>
      </c>
      <c r="J103" s="194" t="s">
        <v>417</v>
      </c>
      <c r="K103" s="210">
        <v>62099999.999999993</v>
      </c>
      <c r="L103" s="211">
        <v>1</v>
      </c>
      <c r="M103" s="194" t="s">
        <v>45</v>
      </c>
      <c r="N103" s="194" t="s">
        <v>54</v>
      </c>
      <c r="O103" s="194" t="s">
        <v>37</v>
      </c>
      <c r="P103" s="194" t="s">
        <v>38</v>
      </c>
      <c r="Q103" s="194" t="s">
        <v>218</v>
      </c>
      <c r="R103" s="194" t="s">
        <v>658</v>
      </c>
      <c r="S103" s="194" t="s">
        <v>104</v>
      </c>
      <c r="T103" s="198">
        <v>12</v>
      </c>
      <c r="U103" s="212" t="str">
        <f t="shared" si="41"/>
        <v>Generar y Liquidar Nomina ADRES</v>
      </c>
      <c r="V103" s="213">
        <f t="shared" si="41"/>
        <v>62099999.999999993</v>
      </c>
      <c r="W103" s="222" t="s">
        <v>114</v>
      </c>
      <c r="X103" s="215">
        <v>3</v>
      </c>
      <c r="Y103" s="214" t="s">
        <v>417</v>
      </c>
      <c r="Z103" s="210">
        <v>15524999.999999998</v>
      </c>
      <c r="AA103" s="196"/>
      <c r="AB103" s="196"/>
      <c r="AC103" s="204">
        <f t="shared" si="42"/>
        <v>0</v>
      </c>
      <c r="AD103" s="204">
        <f t="shared" si="43"/>
        <v>0</v>
      </c>
      <c r="AE103" s="204">
        <f t="shared" si="29"/>
        <v>0</v>
      </c>
      <c r="AF103" s="204">
        <f t="shared" si="30"/>
        <v>0</v>
      </c>
      <c r="AG103" s="215">
        <v>3</v>
      </c>
      <c r="AH103" s="214" t="s">
        <v>417</v>
      </c>
      <c r="AI103" s="210">
        <v>15524999.999999998</v>
      </c>
      <c r="AJ103" s="196"/>
      <c r="AK103" s="196"/>
      <c r="AL103" s="204">
        <f t="shared" si="44"/>
        <v>0</v>
      </c>
      <c r="AM103" s="204">
        <f t="shared" si="31"/>
        <v>0</v>
      </c>
      <c r="AN103" s="204">
        <f t="shared" si="32"/>
        <v>0</v>
      </c>
      <c r="AO103" s="204">
        <f t="shared" si="33"/>
        <v>0</v>
      </c>
      <c r="AP103" s="215">
        <v>3</v>
      </c>
      <c r="AQ103" s="214" t="s">
        <v>417</v>
      </c>
      <c r="AR103" s="210">
        <v>15524999.999999998</v>
      </c>
      <c r="AS103" s="196"/>
      <c r="AT103" s="196"/>
      <c r="AU103" s="204">
        <f t="shared" si="45"/>
        <v>0</v>
      </c>
      <c r="AV103" s="204">
        <f t="shared" si="46"/>
        <v>0</v>
      </c>
      <c r="AW103" s="204">
        <f t="shared" si="47"/>
        <v>0</v>
      </c>
      <c r="AX103" s="204">
        <f t="shared" si="48"/>
        <v>0</v>
      </c>
      <c r="AY103" s="215">
        <v>3</v>
      </c>
      <c r="AZ103" s="214" t="s">
        <v>417</v>
      </c>
      <c r="BA103" s="210">
        <v>15524999.999999998</v>
      </c>
      <c r="BB103" s="196"/>
      <c r="BC103" s="196"/>
      <c r="BD103" s="216">
        <f t="shared" si="49"/>
        <v>0</v>
      </c>
      <c r="BE103" s="216">
        <f t="shared" si="50"/>
        <v>0</v>
      </c>
      <c r="BF103" s="216">
        <f t="shared" si="51"/>
        <v>0</v>
      </c>
      <c r="BG103" s="216">
        <f t="shared" si="52"/>
        <v>0</v>
      </c>
      <c r="BH103" s="223">
        <f t="shared" si="34"/>
        <v>0</v>
      </c>
      <c r="BI103" s="223">
        <f t="shared" si="35"/>
        <v>0</v>
      </c>
      <c r="BJ103" s="223">
        <f t="shared" si="36"/>
        <v>0</v>
      </c>
      <c r="BK103" s="223">
        <f t="shared" si="37"/>
        <v>0</v>
      </c>
      <c r="BL103" s="223">
        <f t="shared" si="53"/>
        <v>0</v>
      </c>
      <c r="BM103" s="223">
        <f t="shared" si="54"/>
        <v>0</v>
      </c>
      <c r="BN103" s="223">
        <f t="shared" si="38"/>
        <v>0</v>
      </c>
      <c r="BO103" s="223">
        <f t="shared" si="39"/>
        <v>0</v>
      </c>
      <c r="BP103" s="206"/>
      <c r="BQ103" s="277">
        <v>7</v>
      </c>
      <c r="BR103" s="218">
        <f t="shared" si="40"/>
        <v>7</v>
      </c>
      <c r="BS103" s="219" t="str">
        <f t="shared" si="55"/>
        <v>Generar y Liquidar Nomina ADRES</v>
      </c>
      <c r="BT103" s="195">
        <f t="shared" si="28"/>
        <v>36224999.999999993</v>
      </c>
      <c r="BU103" s="196"/>
      <c r="BV103" s="196"/>
      <c r="BW103" s="196"/>
      <c r="BX103" s="196"/>
      <c r="BY103" s="196"/>
      <c r="BZ103" s="196"/>
      <c r="CA103" s="146"/>
      <c r="CB103" s="146"/>
      <c r="CC103" s="146"/>
      <c r="CD103" s="146"/>
      <c r="CE103" s="146"/>
      <c r="CF103" s="146"/>
      <c r="CG103" s="146"/>
      <c r="CH103" s="146"/>
      <c r="CI103" s="146"/>
      <c r="CJ103" s="146"/>
      <c r="CK103" s="146"/>
      <c r="CL103" s="146"/>
      <c r="CM103" s="146"/>
      <c r="CN103" s="146"/>
      <c r="CO103" s="146"/>
      <c r="CP103" s="146"/>
      <c r="CQ103" s="146"/>
      <c r="CR103" s="146"/>
      <c r="CS103" s="146"/>
      <c r="CT103" s="146"/>
      <c r="CU103" s="146"/>
      <c r="CV103" s="146"/>
      <c r="CW103" s="146"/>
      <c r="CX103" s="146"/>
      <c r="CY103" s="146"/>
      <c r="CZ103" s="146"/>
      <c r="DA103" s="146"/>
      <c r="DB103" s="146"/>
      <c r="DC103" s="146"/>
      <c r="DD103" s="146"/>
      <c r="DE103" s="146"/>
      <c r="DF103" s="146"/>
      <c r="DG103" s="146"/>
      <c r="DH103" s="146"/>
      <c r="DI103" s="146"/>
      <c r="DJ103" s="146"/>
      <c r="DK103" s="146"/>
      <c r="DL103" s="146"/>
      <c r="DM103" s="146"/>
      <c r="DN103" s="146"/>
      <c r="DO103" s="146"/>
      <c r="DP103" s="146"/>
      <c r="DQ103" s="146"/>
      <c r="DR103" s="146"/>
      <c r="DS103" s="146"/>
      <c r="DT103" s="146"/>
      <c r="DU103" s="146"/>
      <c r="DV103" s="146"/>
      <c r="DW103" s="146"/>
      <c r="DX103" s="146"/>
      <c r="DY103" s="146"/>
      <c r="DZ103" s="146"/>
      <c r="EA103" s="146"/>
      <c r="EB103" s="146"/>
      <c r="EC103" s="146"/>
      <c r="ED103" s="146"/>
      <c r="EE103" s="146"/>
      <c r="EF103" s="146"/>
      <c r="EG103" s="146"/>
      <c r="EH103" s="146"/>
      <c r="EI103" s="146"/>
      <c r="EJ103" s="146"/>
      <c r="EK103" s="146"/>
      <c r="EL103" s="146"/>
      <c r="EM103" s="146"/>
      <c r="EN103" s="146"/>
      <c r="EO103" s="146"/>
      <c r="EP103" s="146"/>
      <c r="EQ103" s="146"/>
      <c r="ER103" s="146"/>
      <c r="ES103" s="146"/>
      <c r="ET103" s="146"/>
      <c r="EU103" s="146"/>
      <c r="EV103" s="146"/>
      <c r="EW103" s="146"/>
      <c r="EX103" s="146"/>
      <c r="EY103" s="146"/>
      <c r="EZ103" s="146"/>
      <c r="FA103" s="146"/>
      <c r="FB103" s="146"/>
      <c r="FC103" s="146"/>
      <c r="FD103" s="146"/>
      <c r="FE103" s="146"/>
      <c r="FF103" s="146"/>
      <c r="FG103" s="146"/>
      <c r="FH103" s="146"/>
      <c r="FI103" s="146"/>
      <c r="FJ103" s="146"/>
      <c r="FK103" s="146"/>
      <c r="FL103" s="146"/>
      <c r="FM103" s="146"/>
      <c r="FN103" s="146"/>
      <c r="FO103" s="146"/>
      <c r="FP103" s="146"/>
      <c r="FQ103" s="146"/>
      <c r="FR103" s="146"/>
      <c r="FS103" s="146"/>
      <c r="FT103" s="146"/>
      <c r="FU103" s="146"/>
      <c r="FV103" s="146"/>
      <c r="FW103" s="146"/>
      <c r="FX103" s="146"/>
      <c r="FY103" s="146"/>
      <c r="FZ103" s="146"/>
      <c r="GA103" s="146"/>
      <c r="GB103" s="146"/>
      <c r="GC103" s="146"/>
      <c r="GD103" s="146"/>
      <c r="GE103" s="146"/>
      <c r="GF103" s="146"/>
      <c r="GG103" s="146"/>
      <c r="GH103" s="146"/>
      <c r="GI103" s="146"/>
      <c r="GJ103" s="146"/>
      <c r="GK103" s="146"/>
      <c r="GL103" s="146"/>
      <c r="GM103" s="146"/>
      <c r="GN103" s="146"/>
      <c r="GO103" s="146"/>
      <c r="GP103" s="146"/>
      <c r="GQ103" s="146"/>
      <c r="GR103" s="146"/>
      <c r="GS103" s="146"/>
      <c r="GT103" s="146"/>
      <c r="GU103" s="146"/>
      <c r="GV103" s="146"/>
      <c r="GW103" s="146"/>
      <c r="GX103" s="146"/>
      <c r="GY103" s="146"/>
      <c r="GZ103" s="146"/>
      <c r="HA103" s="146"/>
      <c r="HB103" s="146"/>
      <c r="HC103" s="146"/>
      <c r="HD103" s="146"/>
      <c r="HE103" s="146"/>
      <c r="HF103" s="146"/>
      <c r="HG103" s="146"/>
      <c r="HH103" s="146"/>
      <c r="HI103" s="146"/>
      <c r="HJ103" s="146"/>
      <c r="HK103" s="146"/>
      <c r="HL103" s="146"/>
      <c r="HM103" s="146"/>
      <c r="HN103" s="146"/>
      <c r="HO103" s="146"/>
      <c r="HP103" s="146"/>
      <c r="HQ103" s="146"/>
      <c r="HR103" s="146"/>
      <c r="HS103" s="146"/>
      <c r="HT103" s="146"/>
      <c r="HU103" s="146"/>
      <c r="HV103" s="146"/>
      <c r="HW103" s="146"/>
      <c r="HX103" s="146"/>
      <c r="HY103" s="146"/>
      <c r="HZ103" s="146"/>
      <c r="IA103" s="146"/>
    </row>
    <row r="104" spans="1:235" s="152" customFormat="1" ht="99.75" x14ac:dyDescent="0.25">
      <c r="A104" s="197">
        <v>11700</v>
      </c>
      <c r="B104" s="194" t="s">
        <v>29</v>
      </c>
      <c r="C104" s="198" t="s">
        <v>328</v>
      </c>
      <c r="D104" s="194" t="s">
        <v>256</v>
      </c>
      <c r="E104" s="198" t="s">
        <v>418</v>
      </c>
      <c r="F104" s="201" t="s">
        <v>819</v>
      </c>
      <c r="G104" s="209" t="s">
        <v>659</v>
      </c>
      <c r="H104" s="216">
        <v>1</v>
      </c>
      <c r="I104" s="198" t="s">
        <v>420</v>
      </c>
      <c r="J104" s="201" t="s">
        <v>820</v>
      </c>
      <c r="K104" s="210">
        <v>27880404</v>
      </c>
      <c r="L104" s="211">
        <v>1</v>
      </c>
      <c r="M104" s="194" t="s">
        <v>45</v>
      </c>
      <c r="N104" s="194" t="s">
        <v>54</v>
      </c>
      <c r="O104" s="194" t="s">
        <v>37</v>
      </c>
      <c r="P104" s="194" t="s">
        <v>38</v>
      </c>
      <c r="Q104" s="194" t="s">
        <v>218</v>
      </c>
      <c r="R104" s="201" t="s">
        <v>822</v>
      </c>
      <c r="S104" s="194" t="s">
        <v>104</v>
      </c>
      <c r="T104" s="216">
        <v>1</v>
      </c>
      <c r="U104" s="212" t="str">
        <f t="shared" si="41"/>
        <v>Consolidar, organizar y actualizar los expedientes de hojas de vida de los funcionarios de planta de la ADRES</v>
      </c>
      <c r="V104" s="213">
        <f t="shared" si="41"/>
        <v>27880404</v>
      </c>
      <c r="W104" s="222" t="s">
        <v>114</v>
      </c>
      <c r="X104" s="216">
        <v>0.25</v>
      </c>
      <c r="Y104" s="214" t="s">
        <v>566</v>
      </c>
      <c r="Z104" s="210">
        <v>6970101</v>
      </c>
      <c r="AA104" s="196"/>
      <c r="AB104" s="196"/>
      <c r="AC104" s="204">
        <f t="shared" si="42"/>
        <v>0</v>
      </c>
      <c r="AD104" s="204">
        <f t="shared" si="43"/>
        <v>0</v>
      </c>
      <c r="AE104" s="204">
        <f t="shared" si="29"/>
        <v>0</v>
      </c>
      <c r="AF104" s="204">
        <f t="shared" si="30"/>
        <v>0</v>
      </c>
      <c r="AG104" s="216">
        <v>0.25</v>
      </c>
      <c r="AH104" s="214" t="s">
        <v>566</v>
      </c>
      <c r="AI104" s="210">
        <v>6970101</v>
      </c>
      <c r="AJ104" s="196"/>
      <c r="AK104" s="196">
        <v>0</v>
      </c>
      <c r="AL104" s="204">
        <f t="shared" si="44"/>
        <v>0</v>
      </c>
      <c r="AM104" s="204">
        <f t="shared" si="31"/>
        <v>0</v>
      </c>
      <c r="AN104" s="204">
        <f t="shared" si="32"/>
        <v>0</v>
      </c>
      <c r="AO104" s="204">
        <f t="shared" si="33"/>
        <v>0</v>
      </c>
      <c r="AP104" s="216">
        <v>0.25</v>
      </c>
      <c r="AQ104" s="214" t="s">
        <v>566</v>
      </c>
      <c r="AR104" s="210">
        <v>6970101</v>
      </c>
      <c r="AS104" s="196">
        <v>0</v>
      </c>
      <c r="AT104" s="196"/>
      <c r="AU104" s="204">
        <f t="shared" si="45"/>
        <v>0</v>
      </c>
      <c r="AV104" s="204">
        <f t="shared" si="46"/>
        <v>0</v>
      </c>
      <c r="AW104" s="204">
        <f t="shared" si="47"/>
        <v>0</v>
      </c>
      <c r="AX104" s="204">
        <f t="shared" si="48"/>
        <v>0</v>
      </c>
      <c r="AY104" s="216">
        <v>0.25</v>
      </c>
      <c r="AZ104" s="214" t="s">
        <v>566</v>
      </c>
      <c r="BA104" s="210">
        <v>6970101</v>
      </c>
      <c r="BB104" s="196"/>
      <c r="BC104" s="196"/>
      <c r="BD104" s="216">
        <f t="shared" si="49"/>
        <v>0</v>
      </c>
      <c r="BE104" s="216">
        <f t="shared" si="50"/>
        <v>0</v>
      </c>
      <c r="BF104" s="216">
        <f t="shared" si="51"/>
        <v>0</v>
      </c>
      <c r="BG104" s="216">
        <f t="shared" si="52"/>
        <v>0</v>
      </c>
      <c r="BH104" s="243">
        <f t="shared" si="34"/>
        <v>0</v>
      </c>
      <c r="BI104" s="243">
        <f t="shared" si="35"/>
        <v>0</v>
      </c>
      <c r="BJ104" s="243">
        <f t="shared" si="36"/>
        <v>0</v>
      </c>
      <c r="BK104" s="243">
        <f t="shared" si="37"/>
        <v>0</v>
      </c>
      <c r="BL104" s="243">
        <f t="shared" si="53"/>
        <v>0</v>
      </c>
      <c r="BM104" s="243">
        <f t="shared" si="54"/>
        <v>0</v>
      </c>
      <c r="BN104" s="243">
        <f t="shared" si="38"/>
        <v>0</v>
      </c>
      <c r="BO104" s="243">
        <f t="shared" si="39"/>
        <v>0</v>
      </c>
      <c r="BP104" s="206"/>
      <c r="BQ104" s="277">
        <v>7</v>
      </c>
      <c r="BR104" s="208">
        <f t="shared" si="40"/>
        <v>0.58333333333333337</v>
      </c>
      <c r="BS104" s="219" t="str">
        <f t="shared" si="55"/>
        <v>Consolidar, organizar y actualizar los expedientes de hojas de vida de los funcionarios de planta de la ADRES</v>
      </c>
      <c r="BT104" s="195">
        <f t="shared" si="28"/>
        <v>16263569</v>
      </c>
      <c r="BU104" s="196"/>
      <c r="BV104" s="196"/>
      <c r="BW104" s="196"/>
      <c r="BX104" s="196"/>
      <c r="BY104" s="196"/>
      <c r="BZ104" s="196"/>
      <c r="CA104" s="146"/>
      <c r="CB104" s="146"/>
      <c r="CC104" s="146"/>
      <c r="CD104" s="146"/>
      <c r="CE104" s="146"/>
      <c r="CF104" s="146"/>
      <c r="CG104" s="146"/>
      <c r="CH104" s="146"/>
      <c r="CI104" s="146"/>
      <c r="CJ104" s="146"/>
      <c r="CK104" s="146"/>
      <c r="CL104" s="146"/>
      <c r="CM104" s="146"/>
      <c r="CN104" s="146"/>
      <c r="CO104" s="146"/>
      <c r="CP104" s="146"/>
      <c r="CQ104" s="146"/>
      <c r="CR104" s="146"/>
      <c r="CS104" s="146"/>
      <c r="CT104" s="146"/>
      <c r="CU104" s="146"/>
      <c r="CV104" s="146"/>
      <c r="CW104" s="146"/>
      <c r="CX104" s="146"/>
      <c r="CY104" s="146"/>
      <c r="CZ104" s="146"/>
      <c r="DA104" s="146"/>
      <c r="DB104" s="146"/>
      <c r="DC104" s="146"/>
      <c r="DD104" s="146"/>
      <c r="DE104" s="146"/>
      <c r="DF104" s="146"/>
      <c r="DG104" s="146"/>
      <c r="DH104" s="146"/>
      <c r="DI104" s="146"/>
      <c r="DJ104" s="146"/>
      <c r="DK104" s="146"/>
      <c r="DL104" s="146"/>
      <c r="DM104" s="146"/>
      <c r="DN104" s="146"/>
      <c r="DO104" s="146"/>
      <c r="DP104" s="146"/>
      <c r="DQ104" s="146"/>
      <c r="DR104" s="146"/>
      <c r="DS104" s="146"/>
      <c r="DT104" s="146"/>
      <c r="DU104" s="146"/>
      <c r="DV104" s="146"/>
      <c r="DW104" s="146"/>
      <c r="DX104" s="146"/>
      <c r="DY104" s="146"/>
      <c r="DZ104" s="146"/>
      <c r="EA104" s="146"/>
      <c r="EB104" s="146"/>
      <c r="EC104" s="146"/>
      <c r="ED104" s="146"/>
      <c r="EE104" s="146"/>
      <c r="EF104" s="146"/>
      <c r="EG104" s="146"/>
      <c r="EH104" s="146"/>
      <c r="EI104" s="146"/>
      <c r="EJ104" s="146"/>
      <c r="EK104" s="146"/>
      <c r="EL104" s="146"/>
      <c r="EM104" s="146"/>
      <c r="EN104" s="146"/>
      <c r="EO104" s="146"/>
      <c r="EP104" s="146"/>
      <c r="EQ104" s="146"/>
      <c r="ER104" s="146"/>
      <c r="ES104" s="146"/>
      <c r="ET104" s="146"/>
      <c r="EU104" s="146"/>
      <c r="EV104" s="146"/>
      <c r="EW104" s="146"/>
      <c r="EX104" s="146"/>
      <c r="EY104" s="146"/>
      <c r="EZ104" s="146"/>
      <c r="FA104" s="146"/>
      <c r="FB104" s="146"/>
      <c r="FC104" s="146"/>
      <c r="FD104" s="146"/>
      <c r="FE104" s="146"/>
      <c r="FF104" s="146"/>
      <c r="FG104" s="146"/>
      <c r="FH104" s="146"/>
      <c r="FI104" s="146"/>
      <c r="FJ104" s="146"/>
      <c r="FK104" s="146"/>
      <c r="FL104" s="146"/>
      <c r="FM104" s="146"/>
      <c r="FN104" s="146"/>
      <c r="FO104" s="146"/>
      <c r="FP104" s="146"/>
      <c r="FQ104" s="146"/>
      <c r="FR104" s="146"/>
      <c r="FS104" s="146"/>
      <c r="FT104" s="146"/>
      <c r="FU104" s="146"/>
      <c r="FV104" s="146"/>
      <c r="FW104" s="146"/>
      <c r="FX104" s="146"/>
      <c r="FY104" s="146"/>
      <c r="FZ104" s="146"/>
      <c r="GA104" s="146"/>
      <c r="GB104" s="146"/>
      <c r="GC104" s="146"/>
      <c r="GD104" s="146"/>
      <c r="GE104" s="146"/>
      <c r="GF104" s="146"/>
      <c r="GG104" s="146"/>
      <c r="GH104" s="146"/>
      <c r="GI104" s="146"/>
      <c r="GJ104" s="146"/>
      <c r="GK104" s="146"/>
      <c r="GL104" s="146"/>
      <c r="GM104" s="146"/>
      <c r="GN104" s="146"/>
      <c r="GO104" s="146"/>
      <c r="GP104" s="146"/>
      <c r="GQ104" s="146"/>
      <c r="GR104" s="146"/>
      <c r="GS104" s="146"/>
      <c r="GT104" s="146"/>
      <c r="GU104" s="146"/>
      <c r="GV104" s="146"/>
      <c r="GW104" s="146"/>
      <c r="GX104" s="146"/>
      <c r="GY104" s="146"/>
      <c r="GZ104" s="146"/>
      <c r="HA104" s="146"/>
      <c r="HB104" s="146"/>
      <c r="HC104" s="146"/>
      <c r="HD104" s="146"/>
      <c r="HE104" s="146"/>
      <c r="HF104" s="146"/>
      <c r="HG104" s="146"/>
      <c r="HH104" s="146"/>
      <c r="HI104" s="146"/>
      <c r="HJ104" s="146"/>
      <c r="HK104" s="146"/>
      <c r="HL104" s="146"/>
      <c r="HM104" s="146"/>
      <c r="HN104" s="146"/>
      <c r="HO104" s="146"/>
      <c r="HP104" s="146"/>
      <c r="HQ104" s="146"/>
      <c r="HR104" s="146"/>
      <c r="HS104" s="146"/>
      <c r="HT104" s="146"/>
      <c r="HU104" s="146"/>
      <c r="HV104" s="146"/>
      <c r="HW104" s="146"/>
      <c r="HX104" s="146"/>
      <c r="HY104" s="146"/>
      <c r="HZ104" s="146"/>
      <c r="IA104" s="146"/>
    </row>
    <row r="105" spans="1:235" s="152" customFormat="1" ht="99.75" x14ac:dyDescent="0.25">
      <c r="A105" s="197">
        <v>11700</v>
      </c>
      <c r="B105" s="194" t="s">
        <v>29</v>
      </c>
      <c r="C105" s="198" t="s">
        <v>328</v>
      </c>
      <c r="D105" s="194" t="s">
        <v>256</v>
      </c>
      <c r="E105" s="198" t="s">
        <v>418</v>
      </c>
      <c r="F105" s="194" t="s">
        <v>419</v>
      </c>
      <c r="G105" s="209"/>
      <c r="H105" s="216">
        <v>1</v>
      </c>
      <c r="I105" s="198" t="s">
        <v>630</v>
      </c>
      <c r="J105" s="194" t="s">
        <v>421</v>
      </c>
      <c r="K105" s="210">
        <v>48960000</v>
      </c>
      <c r="L105" s="211">
        <v>1</v>
      </c>
      <c r="M105" s="194" t="s">
        <v>45</v>
      </c>
      <c r="N105" s="194" t="s">
        <v>54</v>
      </c>
      <c r="O105" s="194" t="s">
        <v>37</v>
      </c>
      <c r="P105" s="194" t="s">
        <v>38</v>
      </c>
      <c r="Q105" s="194" t="s">
        <v>218</v>
      </c>
      <c r="R105" s="194" t="s">
        <v>379</v>
      </c>
      <c r="S105" s="194" t="s">
        <v>104</v>
      </c>
      <c r="T105" s="216">
        <v>1</v>
      </c>
      <c r="U105" s="212" t="str">
        <f t="shared" si="41"/>
        <v>Expedición de Certificaciones de Personal</v>
      </c>
      <c r="V105" s="213">
        <f t="shared" si="41"/>
        <v>48960000</v>
      </c>
      <c r="W105" s="222" t="s">
        <v>114</v>
      </c>
      <c r="X105" s="216">
        <v>0.25</v>
      </c>
      <c r="Y105" s="214" t="s">
        <v>421</v>
      </c>
      <c r="Z105" s="210">
        <v>12240000</v>
      </c>
      <c r="AA105" s="196"/>
      <c r="AB105" s="196"/>
      <c r="AC105" s="204">
        <f t="shared" si="42"/>
        <v>0</v>
      </c>
      <c r="AD105" s="204">
        <f t="shared" si="43"/>
        <v>0</v>
      </c>
      <c r="AE105" s="204">
        <f t="shared" si="29"/>
        <v>0</v>
      </c>
      <c r="AF105" s="204">
        <f t="shared" si="30"/>
        <v>0</v>
      </c>
      <c r="AG105" s="216">
        <v>0.25</v>
      </c>
      <c r="AH105" s="214" t="s">
        <v>421</v>
      </c>
      <c r="AI105" s="210">
        <v>12240000</v>
      </c>
      <c r="AJ105" s="196"/>
      <c r="AK105" s="196"/>
      <c r="AL105" s="204">
        <f t="shared" si="44"/>
        <v>0</v>
      </c>
      <c r="AM105" s="204">
        <f t="shared" si="31"/>
        <v>0</v>
      </c>
      <c r="AN105" s="204">
        <f t="shared" si="32"/>
        <v>0</v>
      </c>
      <c r="AO105" s="204">
        <f t="shared" si="33"/>
        <v>0</v>
      </c>
      <c r="AP105" s="216">
        <v>0.25</v>
      </c>
      <c r="AQ105" s="214" t="s">
        <v>421</v>
      </c>
      <c r="AR105" s="210">
        <v>12240000</v>
      </c>
      <c r="AS105" s="196"/>
      <c r="AT105" s="196"/>
      <c r="AU105" s="204">
        <f t="shared" si="45"/>
        <v>0</v>
      </c>
      <c r="AV105" s="204">
        <f t="shared" si="46"/>
        <v>0</v>
      </c>
      <c r="AW105" s="204">
        <f t="shared" si="47"/>
        <v>0</v>
      </c>
      <c r="AX105" s="204">
        <f t="shared" si="48"/>
        <v>0</v>
      </c>
      <c r="AY105" s="216">
        <v>0.25</v>
      </c>
      <c r="AZ105" s="214" t="s">
        <v>421</v>
      </c>
      <c r="BA105" s="210">
        <v>12240000</v>
      </c>
      <c r="BB105" s="196"/>
      <c r="BC105" s="196"/>
      <c r="BD105" s="216">
        <f t="shared" si="49"/>
        <v>0</v>
      </c>
      <c r="BE105" s="216">
        <f t="shared" si="50"/>
        <v>0</v>
      </c>
      <c r="BF105" s="216">
        <f t="shared" si="51"/>
        <v>0</v>
      </c>
      <c r="BG105" s="216">
        <f t="shared" si="52"/>
        <v>0</v>
      </c>
      <c r="BH105" s="243">
        <f t="shared" si="34"/>
        <v>0</v>
      </c>
      <c r="BI105" s="243">
        <f t="shared" si="35"/>
        <v>0</v>
      </c>
      <c r="BJ105" s="243">
        <f t="shared" si="36"/>
        <v>0</v>
      </c>
      <c r="BK105" s="243">
        <f t="shared" si="37"/>
        <v>0</v>
      </c>
      <c r="BL105" s="243">
        <f t="shared" si="53"/>
        <v>0</v>
      </c>
      <c r="BM105" s="243">
        <f t="shared" si="54"/>
        <v>0</v>
      </c>
      <c r="BN105" s="243">
        <f t="shared" si="38"/>
        <v>0</v>
      </c>
      <c r="BO105" s="243">
        <f t="shared" si="39"/>
        <v>0</v>
      </c>
      <c r="BP105" s="206"/>
      <c r="BQ105" s="277">
        <v>7</v>
      </c>
      <c r="BR105" s="208">
        <f t="shared" si="40"/>
        <v>0.58333333333333337</v>
      </c>
      <c r="BS105" s="219" t="str">
        <f t="shared" si="55"/>
        <v>Expedición de Certificaciones de Personal</v>
      </c>
      <c r="BT105" s="195">
        <f t="shared" si="28"/>
        <v>28560000</v>
      </c>
      <c r="BU105" s="196"/>
      <c r="BV105" s="196"/>
      <c r="BW105" s="196"/>
      <c r="BX105" s="196"/>
      <c r="BY105" s="196"/>
      <c r="BZ105" s="196"/>
      <c r="CA105" s="146"/>
      <c r="CB105" s="146"/>
      <c r="CC105" s="146"/>
      <c r="CD105" s="146"/>
      <c r="CE105" s="146"/>
      <c r="CF105" s="146"/>
      <c r="CG105" s="146"/>
      <c r="CH105" s="146"/>
      <c r="CI105" s="146"/>
      <c r="CJ105" s="146"/>
      <c r="CK105" s="146"/>
      <c r="CL105" s="146"/>
      <c r="CM105" s="146"/>
      <c r="CN105" s="146"/>
      <c r="CO105" s="146"/>
      <c r="CP105" s="146"/>
      <c r="CQ105" s="146"/>
      <c r="CR105" s="146"/>
      <c r="CS105" s="146"/>
      <c r="CT105" s="146"/>
      <c r="CU105" s="146"/>
      <c r="CV105" s="146"/>
      <c r="CW105" s="146"/>
      <c r="CX105" s="146"/>
      <c r="CY105" s="146"/>
      <c r="CZ105" s="146"/>
      <c r="DA105" s="146"/>
      <c r="DB105" s="146"/>
      <c r="DC105" s="146"/>
      <c r="DD105" s="146"/>
      <c r="DE105" s="146"/>
      <c r="DF105" s="146"/>
      <c r="DG105" s="146"/>
      <c r="DH105" s="146"/>
      <c r="DI105" s="146"/>
      <c r="DJ105" s="146"/>
      <c r="DK105" s="146"/>
      <c r="DL105" s="146"/>
      <c r="DM105" s="146"/>
      <c r="DN105" s="146"/>
      <c r="DO105" s="146"/>
      <c r="DP105" s="146"/>
      <c r="DQ105" s="146"/>
      <c r="DR105" s="146"/>
      <c r="DS105" s="146"/>
      <c r="DT105" s="146"/>
      <c r="DU105" s="146"/>
      <c r="DV105" s="146"/>
      <c r="DW105" s="146"/>
      <c r="DX105" s="146"/>
      <c r="DY105" s="146"/>
      <c r="DZ105" s="146"/>
      <c r="EA105" s="146"/>
      <c r="EB105" s="146"/>
      <c r="EC105" s="146"/>
      <c r="ED105" s="146"/>
      <c r="EE105" s="146"/>
      <c r="EF105" s="146"/>
      <c r="EG105" s="146"/>
      <c r="EH105" s="146"/>
      <c r="EI105" s="146"/>
      <c r="EJ105" s="146"/>
      <c r="EK105" s="146"/>
      <c r="EL105" s="146"/>
      <c r="EM105" s="146"/>
      <c r="EN105" s="146"/>
      <c r="EO105" s="146"/>
      <c r="EP105" s="146"/>
      <c r="EQ105" s="146"/>
      <c r="ER105" s="146"/>
      <c r="ES105" s="146"/>
      <c r="ET105" s="146"/>
      <c r="EU105" s="146"/>
      <c r="EV105" s="146"/>
      <c r="EW105" s="146"/>
      <c r="EX105" s="146"/>
      <c r="EY105" s="146"/>
      <c r="EZ105" s="146"/>
      <c r="FA105" s="146"/>
      <c r="FB105" s="146"/>
      <c r="FC105" s="146"/>
      <c r="FD105" s="146"/>
      <c r="FE105" s="146"/>
      <c r="FF105" s="146"/>
      <c r="FG105" s="146"/>
      <c r="FH105" s="146"/>
      <c r="FI105" s="146"/>
      <c r="FJ105" s="146"/>
      <c r="FK105" s="146"/>
      <c r="FL105" s="146"/>
      <c r="FM105" s="146"/>
      <c r="FN105" s="146"/>
      <c r="FO105" s="146"/>
      <c r="FP105" s="146"/>
      <c r="FQ105" s="146"/>
      <c r="FR105" s="146"/>
      <c r="FS105" s="146"/>
      <c r="FT105" s="146"/>
      <c r="FU105" s="146"/>
      <c r="FV105" s="146"/>
      <c r="FW105" s="146"/>
      <c r="FX105" s="146"/>
      <c r="FY105" s="146"/>
      <c r="FZ105" s="146"/>
      <c r="GA105" s="146"/>
      <c r="GB105" s="146"/>
      <c r="GC105" s="146"/>
      <c r="GD105" s="146"/>
      <c r="GE105" s="146"/>
      <c r="GF105" s="146"/>
      <c r="GG105" s="146"/>
      <c r="GH105" s="146"/>
      <c r="GI105" s="146"/>
      <c r="GJ105" s="146"/>
      <c r="GK105" s="146"/>
      <c r="GL105" s="146"/>
      <c r="GM105" s="146"/>
      <c r="GN105" s="146"/>
      <c r="GO105" s="146"/>
      <c r="GP105" s="146"/>
      <c r="GQ105" s="146"/>
      <c r="GR105" s="146"/>
      <c r="GS105" s="146"/>
      <c r="GT105" s="146"/>
      <c r="GU105" s="146"/>
      <c r="GV105" s="146"/>
      <c r="GW105" s="146"/>
      <c r="GX105" s="146"/>
      <c r="GY105" s="146"/>
      <c r="GZ105" s="146"/>
      <c r="HA105" s="146"/>
      <c r="HB105" s="146"/>
      <c r="HC105" s="146"/>
      <c r="HD105" s="146"/>
      <c r="HE105" s="146"/>
      <c r="HF105" s="146"/>
      <c r="HG105" s="146"/>
      <c r="HH105" s="146"/>
      <c r="HI105" s="146"/>
      <c r="HJ105" s="146"/>
      <c r="HK105" s="146"/>
      <c r="HL105" s="146"/>
      <c r="HM105" s="146"/>
      <c r="HN105" s="146"/>
      <c r="HO105" s="146"/>
      <c r="HP105" s="146"/>
      <c r="HQ105" s="146"/>
      <c r="HR105" s="146"/>
      <c r="HS105" s="146"/>
      <c r="HT105" s="146"/>
      <c r="HU105" s="146"/>
      <c r="HV105" s="146"/>
      <c r="HW105" s="146"/>
      <c r="HX105" s="146"/>
      <c r="HY105" s="146"/>
      <c r="HZ105" s="146"/>
      <c r="IA105" s="146"/>
    </row>
    <row r="106" spans="1:235" s="155" customFormat="1" ht="99.75" x14ac:dyDescent="0.25">
      <c r="A106" s="197">
        <v>11700</v>
      </c>
      <c r="B106" s="194" t="s">
        <v>29</v>
      </c>
      <c r="C106" s="198" t="s">
        <v>328</v>
      </c>
      <c r="D106" s="194" t="s">
        <v>256</v>
      </c>
      <c r="E106" s="198" t="s">
        <v>422</v>
      </c>
      <c r="F106" s="194" t="s">
        <v>755</v>
      </c>
      <c r="G106" s="209" t="s">
        <v>123</v>
      </c>
      <c r="H106" s="211">
        <v>1</v>
      </c>
      <c r="I106" s="198" t="s">
        <v>423</v>
      </c>
      <c r="J106" s="194" t="s">
        <v>756</v>
      </c>
      <c r="K106" s="210">
        <v>100000000</v>
      </c>
      <c r="L106" s="211">
        <v>1</v>
      </c>
      <c r="M106" s="194" t="s">
        <v>48</v>
      </c>
      <c r="N106" s="194" t="s">
        <v>68</v>
      </c>
      <c r="O106" s="194" t="s">
        <v>37</v>
      </c>
      <c r="P106" s="194" t="s">
        <v>38</v>
      </c>
      <c r="Q106" s="194" t="s">
        <v>229</v>
      </c>
      <c r="R106" s="194" t="s">
        <v>670</v>
      </c>
      <c r="S106" s="194" t="s">
        <v>99</v>
      </c>
      <c r="T106" s="216">
        <v>1</v>
      </c>
      <c r="U106" s="212" t="str">
        <f t="shared" si="41"/>
        <v>Publicación Actos Administrativos Diario Oficial y diario de amplia circulación</v>
      </c>
      <c r="V106" s="213">
        <f t="shared" si="41"/>
        <v>100000000</v>
      </c>
      <c r="W106" s="222" t="s">
        <v>114</v>
      </c>
      <c r="X106" s="216">
        <v>0</v>
      </c>
      <c r="Y106" s="214" t="s">
        <v>424</v>
      </c>
      <c r="Z106" s="210">
        <v>0</v>
      </c>
      <c r="AA106" s="196"/>
      <c r="AB106" s="196"/>
      <c r="AC106" s="204" t="e">
        <f t="shared" si="42"/>
        <v>#DIV/0!</v>
      </c>
      <c r="AD106" s="204" t="e">
        <f t="shared" si="43"/>
        <v>#DIV/0!</v>
      </c>
      <c r="AE106" s="204">
        <f t="shared" si="29"/>
        <v>0</v>
      </c>
      <c r="AF106" s="204">
        <f t="shared" si="30"/>
        <v>0</v>
      </c>
      <c r="AG106" s="216">
        <v>0.5</v>
      </c>
      <c r="AH106" s="214" t="s">
        <v>424</v>
      </c>
      <c r="AI106" s="210">
        <v>50000000</v>
      </c>
      <c r="AJ106" s="196"/>
      <c r="AK106" s="196"/>
      <c r="AL106" s="204">
        <f t="shared" si="44"/>
        <v>0</v>
      </c>
      <c r="AM106" s="204">
        <f t="shared" si="31"/>
        <v>0</v>
      </c>
      <c r="AN106" s="204">
        <f t="shared" si="32"/>
        <v>0</v>
      </c>
      <c r="AO106" s="204">
        <f t="shared" si="33"/>
        <v>0</v>
      </c>
      <c r="AP106" s="216"/>
      <c r="AQ106" s="214" t="s">
        <v>424</v>
      </c>
      <c r="AR106" s="210">
        <v>0</v>
      </c>
      <c r="AS106" s="196"/>
      <c r="AT106" s="196"/>
      <c r="AU106" s="204" t="e">
        <f t="shared" si="45"/>
        <v>#DIV/0!</v>
      </c>
      <c r="AV106" s="204" t="e">
        <f t="shared" si="46"/>
        <v>#DIV/0!</v>
      </c>
      <c r="AW106" s="204">
        <f t="shared" si="47"/>
        <v>0</v>
      </c>
      <c r="AX106" s="204">
        <f t="shared" si="48"/>
        <v>0</v>
      </c>
      <c r="AY106" s="216">
        <v>0.5</v>
      </c>
      <c r="AZ106" s="214" t="s">
        <v>424</v>
      </c>
      <c r="BA106" s="210">
        <v>50000000</v>
      </c>
      <c r="BB106" s="196"/>
      <c r="BC106" s="196"/>
      <c r="BD106" s="216">
        <f t="shared" si="49"/>
        <v>0</v>
      </c>
      <c r="BE106" s="216">
        <f t="shared" si="50"/>
        <v>0</v>
      </c>
      <c r="BF106" s="216">
        <f t="shared" si="51"/>
        <v>0</v>
      </c>
      <c r="BG106" s="216">
        <f t="shared" si="52"/>
        <v>0</v>
      </c>
      <c r="BH106" s="228" t="str">
        <f t="shared" si="34"/>
        <v>No Prog ni Ejec</v>
      </c>
      <c r="BI106" s="228" t="str">
        <f t="shared" si="35"/>
        <v>No Prog ni Ejec</v>
      </c>
      <c r="BJ106" s="228">
        <f t="shared" si="36"/>
        <v>0</v>
      </c>
      <c r="BK106" s="228">
        <f t="shared" si="37"/>
        <v>0</v>
      </c>
      <c r="BL106" s="228" t="str">
        <f t="shared" si="53"/>
        <v>No Prog ni Ejec</v>
      </c>
      <c r="BM106" s="228" t="str">
        <f t="shared" si="54"/>
        <v>No Prog ni Ejec</v>
      </c>
      <c r="BN106" s="228">
        <f t="shared" si="38"/>
        <v>0</v>
      </c>
      <c r="BO106" s="228">
        <f t="shared" si="39"/>
        <v>0</v>
      </c>
      <c r="BP106" s="206"/>
      <c r="BQ106" s="277">
        <v>7</v>
      </c>
      <c r="BR106" s="208">
        <f t="shared" si="40"/>
        <v>0.5</v>
      </c>
      <c r="BS106" s="219" t="str">
        <f t="shared" si="55"/>
        <v>Publicación Actos Administrativos Diario Oficial y diario de amplia circulación</v>
      </c>
      <c r="BT106" s="195">
        <f t="shared" si="28"/>
        <v>50000000</v>
      </c>
      <c r="BU106" s="196"/>
      <c r="BV106" s="196"/>
      <c r="BW106" s="196"/>
      <c r="BX106" s="196"/>
      <c r="BY106" s="196"/>
      <c r="BZ106" s="196"/>
      <c r="CA106" s="146"/>
      <c r="CB106" s="146"/>
      <c r="CC106" s="146"/>
      <c r="CD106" s="146"/>
      <c r="CE106" s="146"/>
      <c r="CF106" s="146"/>
      <c r="CG106" s="146"/>
      <c r="CH106" s="146"/>
      <c r="CI106" s="146"/>
      <c r="CJ106" s="146"/>
      <c r="CK106" s="146"/>
      <c r="CL106" s="146"/>
      <c r="CM106" s="146"/>
      <c r="CN106" s="146"/>
      <c r="CO106" s="146"/>
      <c r="CP106" s="146"/>
      <c r="CQ106" s="146"/>
      <c r="CR106" s="146"/>
      <c r="CS106" s="146"/>
      <c r="CT106" s="146"/>
      <c r="CU106" s="146"/>
      <c r="CV106" s="146"/>
      <c r="CW106" s="146"/>
      <c r="CX106" s="146"/>
      <c r="CY106" s="146"/>
      <c r="CZ106" s="146"/>
      <c r="DA106" s="146"/>
      <c r="DB106" s="146"/>
      <c r="DC106" s="146"/>
      <c r="DD106" s="146"/>
      <c r="DE106" s="146"/>
      <c r="DF106" s="146"/>
      <c r="DG106" s="146"/>
      <c r="DH106" s="146"/>
      <c r="DI106" s="146"/>
      <c r="DJ106" s="146"/>
      <c r="DK106" s="146"/>
      <c r="DL106" s="146"/>
      <c r="DM106" s="146"/>
      <c r="DN106" s="146"/>
      <c r="DO106" s="146"/>
      <c r="DP106" s="146"/>
      <c r="DQ106" s="146"/>
      <c r="DR106" s="146"/>
      <c r="DS106" s="146"/>
      <c r="DT106" s="146"/>
      <c r="DU106" s="146"/>
      <c r="DV106" s="146"/>
      <c r="DW106" s="146"/>
      <c r="DX106" s="146"/>
      <c r="DY106" s="146"/>
      <c r="DZ106" s="146"/>
      <c r="EA106" s="146"/>
      <c r="EB106" s="146"/>
      <c r="EC106" s="146"/>
      <c r="ED106" s="146"/>
      <c r="EE106" s="146"/>
      <c r="EF106" s="146"/>
      <c r="EG106" s="146"/>
      <c r="EH106" s="146"/>
      <c r="EI106" s="146"/>
      <c r="EJ106" s="146"/>
      <c r="EK106" s="146"/>
      <c r="EL106" s="146"/>
      <c r="EM106" s="146"/>
      <c r="EN106" s="146"/>
      <c r="EO106" s="146"/>
      <c r="EP106" s="146"/>
      <c r="EQ106" s="146"/>
      <c r="ER106" s="146"/>
      <c r="ES106" s="146"/>
      <c r="ET106" s="146"/>
      <c r="EU106" s="146"/>
      <c r="EV106" s="146"/>
      <c r="EW106" s="146"/>
      <c r="EX106" s="146"/>
      <c r="EY106" s="146"/>
      <c r="EZ106" s="146"/>
      <c r="FA106" s="146"/>
      <c r="FB106" s="146"/>
      <c r="FC106" s="146"/>
      <c r="FD106" s="146"/>
      <c r="FE106" s="146"/>
      <c r="FF106" s="146"/>
      <c r="FG106" s="146"/>
      <c r="FH106" s="146"/>
      <c r="FI106" s="146"/>
      <c r="FJ106" s="146"/>
      <c r="FK106" s="146"/>
      <c r="FL106" s="146"/>
      <c r="FM106" s="146"/>
      <c r="FN106" s="146"/>
      <c r="FO106" s="146"/>
      <c r="FP106" s="146"/>
      <c r="FQ106" s="146"/>
      <c r="FR106" s="146"/>
      <c r="FS106" s="146"/>
      <c r="FT106" s="146"/>
      <c r="FU106" s="146"/>
      <c r="FV106" s="146"/>
      <c r="FW106" s="146"/>
      <c r="FX106" s="146"/>
      <c r="FY106" s="146"/>
      <c r="FZ106" s="146"/>
      <c r="GA106" s="146"/>
      <c r="GB106" s="146"/>
      <c r="GC106" s="146"/>
      <c r="GD106" s="146"/>
      <c r="GE106" s="146"/>
      <c r="GF106" s="146"/>
      <c r="GG106" s="146"/>
      <c r="GH106" s="146"/>
      <c r="GI106" s="146"/>
      <c r="GJ106" s="146"/>
      <c r="GK106" s="146"/>
      <c r="GL106" s="146"/>
      <c r="GM106" s="146"/>
      <c r="GN106" s="146"/>
      <c r="GO106" s="146"/>
      <c r="GP106" s="146"/>
      <c r="GQ106" s="146"/>
      <c r="GR106" s="146"/>
      <c r="GS106" s="146"/>
      <c r="GT106" s="146"/>
      <c r="GU106" s="146"/>
      <c r="GV106" s="146"/>
      <c r="GW106" s="146"/>
      <c r="GX106" s="146"/>
      <c r="GY106" s="146"/>
      <c r="GZ106" s="146"/>
      <c r="HA106" s="146"/>
      <c r="HB106" s="146"/>
      <c r="HC106" s="146"/>
      <c r="HD106" s="146"/>
      <c r="HE106" s="146"/>
      <c r="HF106" s="146"/>
      <c r="HG106" s="146"/>
      <c r="HH106" s="146"/>
      <c r="HI106" s="146"/>
      <c r="HJ106" s="146"/>
      <c r="HK106" s="146"/>
      <c r="HL106" s="146"/>
      <c r="HM106" s="146"/>
      <c r="HN106" s="146"/>
      <c r="HO106" s="146"/>
      <c r="HP106" s="146"/>
      <c r="HQ106" s="146"/>
      <c r="HR106" s="146"/>
      <c r="HS106" s="146"/>
      <c r="HT106" s="146"/>
      <c r="HU106" s="146"/>
      <c r="HV106" s="146"/>
      <c r="HW106" s="146"/>
      <c r="HX106" s="146"/>
      <c r="HY106" s="146"/>
      <c r="HZ106" s="146"/>
      <c r="IA106" s="146"/>
    </row>
    <row r="107" spans="1:235" s="154" customFormat="1" ht="99.75" x14ac:dyDescent="0.25">
      <c r="A107" s="197">
        <v>11700</v>
      </c>
      <c r="B107" s="194" t="s">
        <v>29</v>
      </c>
      <c r="C107" s="198" t="s">
        <v>328</v>
      </c>
      <c r="D107" s="194" t="s">
        <v>256</v>
      </c>
      <c r="E107" s="198" t="s">
        <v>425</v>
      </c>
      <c r="F107" s="194" t="s">
        <v>426</v>
      </c>
      <c r="G107" s="209" t="s">
        <v>123</v>
      </c>
      <c r="H107" s="216">
        <v>1</v>
      </c>
      <c r="I107" s="198" t="s">
        <v>427</v>
      </c>
      <c r="J107" s="194" t="s">
        <v>428</v>
      </c>
      <c r="K107" s="210">
        <v>4583312678.8699999</v>
      </c>
      <c r="L107" s="211">
        <v>1</v>
      </c>
      <c r="M107" s="194" t="s">
        <v>51</v>
      </c>
      <c r="N107" s="194" t="s">
        <v>56</v>
      </c>
      <c r="O107" s="194" t="s">
        <v>37</v>
      </c>
      <c r="P107" s="194" t="s">
        <v>41</v>
      </c>
      <c r="Q107" s="194" t="s">
        <v>222</v>
      </c>
      <c r="R107" s="194" t="s">
        <v>379</v>
      </c>
      <c r="S107" s="194" t="s">
        <v>99</v>
      </c>
      <c r="T107" s="211">
        <v>1</v>
      </c>
      <c r="U107" s="212" t="str">
        <f t="shared" si="41"/>
        <v>Funcionamiento continuo de las instalaciones de la ADRES</v>
      </c>
      <c r="V107" s="213">
        <f t="shared" si="41"/>
        <v>4583312678.8699999</v>
      </c>
      <c r="W107" s="222" t="s">
        <v>114</v>
      </c>
      <c r="X107" s="216">
        <v>0.2</v>
      </c>
      <c r="Y107" s="214" t="s">
        <v>428</v>
      </c>
      <c r="Z107" s="210">
        <f>+V107*X107</f>
        <v>916662535.77400005</v>
      </c>
      <c r="AA107" s="196"/>
      <c r="AB107" s="196"/>
      <c r="AC107" s="204">
        <f t="shared" si="42"/>
        <v>0</v>
      </c>
      <c r="AD107" s="204">
        <f t="shared" si="43"/>
        <v>0</v>
      </c>
      <c r="AE107" s="204">
        <f t="shared" si="29"/>
        <v>0</v>
      </c>
      <c r="AF107" s="204">
        <f t="shared" si="30"/>
        <v>0</v>
      </c>
      <c r="AG107" s="216">
        <v>0.2</v>
      </c>
      <c r="AH107" s="214" t="s">
        <v>428</v>
      </c>
      <c r="AI107" s="210">
        <v>916662535.77400005</v>
      </c>
      <c r="AJ107" s="196"/>
      <c r="AK107" s="196"/>
      <c r="AL107" s="204">
        <f t="shared" si="44"/>
        <v>0</v>
      </c>
      <c r="AM107" s="204">
        <f t="shared" si="31"/>
        <v>0</v>
      </c>
      <c r="AN107" s="204">
        <f t="shared" si="32"/>
        <v>0</v>
      </c>
      <c r="AO107" s="204">
        <f t="shared" si="33"/>
        <v>0</v>
      </c>
      <c r="AP107" s="216">
        <v>0.3</v>
      </c>
      <c r="AQ107" s="214" t="s">
        <v>428</v>
      </c>
      <c r="AR107" s="210">
        <f>+AP107*V107</f>
        <v>1374993803.661</v>
      </c>
      <c r="AS107" s="196"/>
      <c r="AT107" s="196"/>
      <c r="AU107" s="204">
        <f t="shared" si="45"/>
        <v>0</v>
      </c>
      <c r="AV107" s="204">
        <f t="shared" si="46"/>
        <v>0</v>
      </c>
      <c r="AW107" s="204">
        <f t="shared" si="47"/>
        <v>0</v>
      </c>
      <c r="AX107" s="204">
        <f t="shared" si="48"/>
        <v>0</v>
      </c>
      <c r="AY107" s="216">
        <v>0.3</v>
      </c>
      <c r="AZ107" s="214" t="s">
        <v>428</v>
      </c>
      <c r="BA107" s="210">
        <v>1374993803.661</v>
      </c>
      <c r="BB107" s="196"/>
      <c r="BC107" s="196"/>
      <c r="BD107" s="216">
        <f t="shared" si="49"/>
        <v>0</v>
      </c>
      <c r="BE107" s="216">
        <f t="shared" si="50"/>
        <v>0</v>
      </c>
      <c r="BF107" s="216">
        <f t="shared" si="51"/>
        <v>0</v>
      </c>
      <c r="BG107" s="216">
        <f t="shared" si="52"/>
        <v>0</v>
      </c>
      <c r="BH107" s="207">
        <f t="shared" si="34"/>
        <v>0</v>
      </c>
      <c r="BI107" s="207">
        <f t="shared" si="35"/>
        <v>0</v>
      </c>
      <c r="BJ107" s="207">
        <f t="shared" si="36"/>
        <v>0</v>
      </c>
      <c r="BK107" s="207">
        <f t="shared" si="37"/>
        <v>0</v>
      </c>
      <c r="BL107" s="207">
        <f t="shared" si="53"/>
        <v>0</v>
      </c>
      <c r="BM107" s="207">
        <f t="shared" si="54"/>
        <v>0</v>
      </c>
      <c r="BN107" s="207">
        <f t="shared" si="38"/>
        <v>0</v>
      </c>
      <c r="BO107" s="207">
        <f t="shared" si="39"/>
        <v>0</v>
      </c>
      <c r="BP107" s="206" t="s">
        <v>769</v>
      </c>
      <c r="BQ107" s="277">
        <v>7</v>
      </c>
      <c r="BR107" s="208">
        <f t="shared" si="40"/>
        <v>0.5</v>
      </c>
      <c r="BS107" s="219" t="str">
        <f t="shared" si="55"/>
        <v>Funcionamiento continuo de las instalaciones de la ADRES</v>
      </c>
      <c r="BT107" s="195">
        <f t="shared" si="28"/>
        <v>2291656339.4349999</v>
      </c>
      <c r="BU107" s="196"/>
      <c r="BV107" s="196"/>
      <c r="BW107" s="196"/>
      <c r="BX107" s="196"/>
      <c r="BY107" s="196"/>
      <c r="BZ107" s="196"/>
      <c r="CA107" s="146"/>
      <c r="CB107" s="146"/>
      <c r="CC107" s="146"/>
      <c r="CD107" s="146"/>
      <c r="CE107" s="146"/>
      <c r="CF107" s="146"/>
      <c r="CG107" s="146"/>
      <c r="CH107" s="146"/>
      <c r="CI107" s="146"/>
      <c r="CJ107" s="146"/>
      <c r="CK107" s="146"/>
      <c r="CL107" s="146"/>
      <c r="CM107" s="146"/>
      <c r="CN107" s="146"/>
      <c r="CO107" s="146"/>
      <c r="CP107" s="146"/>
      <c r="CQ107" s="146"/>
      <c r="CR107" s="146"/>
      <c r="CS107" s="146"/>
      <c r="CT107" s="146"/>
      <c r="CU107" s="146"/>
      <c r="CV107" s="146"/>
      <c r="CW107" s="146"/>
      <c r="CX107" s="146"/>
      <c r="CY107" s="146"/>
      <c r="CZ107" s="146"/>
      <c r="DA107" s="146"/>
      <c r="DB107" s="146"/>
      <c r="DC107" s="146"/>
      <c r="DD107" s="146"/>
      <c r="DE107" s="146"/>
      <c r="DF107" s="146"/>
      <c r="DG107" s="146"/>
      <c r="DH107" s="146"/>
      <c r="DI107" s="146"/>
      <c r="DJ107" s="146"/>
      <c r="DK107" s="146"/>
      <c r="DL107" s="146"/>
      <c r="DM107" s="146"/>
      <c r="DN107" s="146"/>
      <c r="DO107" s="146"/>
      <c r="DP107" s="146"/>
      <c r="DQ107" s="146"/>
      <c r="DR107" s="146"/>
      <c r="DS107" s="146"/>
      <c r="DT107" s="146"/>
      <c r="DU107" s="146"/>
      <c r="DV107" s="146"/>
      <c r="DW107" s="146"/>
      <c r="DX107" s="146"/>
      <c r="DY107" s="146"/>
      <c r="DZ107" s="146"/>
      <c r="EA107" s="146"/>
      <c r="EB107" s="146"/>
      <c r="EC107" s="146"/>
      <c r="ED107" s="146"/>
      <c r="EE107" s="146"/>
      <c r="EF107" s="146"/>
      <c r="EG107" s="146"/>
      <c r="EH107" s="146"/>
      <c r="EI107" s="146"/>
      <c r="EJ107" s="146"/>
      <c r="EK107" s="146"/>
      <c r="EL107" s="146"/>
      <c r="EM107" s="146"/>
      <c r="EN107" s="146"/>
      <c r="EO107" s="146"/>
      <c r="EP107" s="146"/>
      <c r="EQ107" s="146"/>
      <c r="ER107" s="146"/>
      <c r="ES107" s="146"/>
      <c r="ET107" s="146"/>
      <c r="EU107" s="146"/>
      <c r="EV107" s="146"/>
      <c r="EW107" s="146"/>
      <c r="EX107" s="146"/>
      <c r="EY107" s="146"/>
      <c r="EZ107" s="146"/>
      <c r="FA107" s="146"/>
      <c r="FB107" s="146"/>
      <c r="FC107" s="146"/>
      <c r="FD107" s="146"/>
      <c r="FE107" s="146"/>
      <c r="FF107" s="146"/>
      <c r="FG107" s="146"/>
      <c r="FH107" s="146"/>
      <c r="FI107" s="146"/>
      <c r="FJ107" s="146"/>
      <c r="FK107" s="146"/>
      <c r="FL107" s="146"/>
      <c r="FM107" s="146"/>
      <c r="FN107" s="146"/>
      <c r="FO107" s="146"/>
      <c r="FP107" s="146"/>
      <c r="FQ107" s="146"/>
      <c r="FR107" s="146"/>
      <c r="FS107" s="146"/>
      <c r="FT107" s="146"/>
      <c r="FU107" s="146"/>
      <c r="FV107" s="146"/>
      <c r="FW107" s="146"/>
      <c r="FX107" s="146"/>
      <c r="FY107" s="146"/>
      <c r="FZ107" s="146"/>
      <c r="GA107" s="146"/>
      <c r="GB107" s="146"/>
      <c r="GC107" s="146"/>
      <c r="GD107" s="146"/>
      <c r="GE107" s="146"/>
      <c r="GF107" s="146"/>
      <c r="GG107" s="146"/>
      <c r="GH107" s="146"/>
      <c r="GI107" s="146"/>
      <c r="GJ107" s="146"/>
      <c r="GK107" s="146"/>
      <c r="GL107" s="146"/>
      <c r="GM107" s="146"/>
      <c r="GN107" s="146"/>
      <c r="GO107" s="146"/>
      <c r="GP107" s="146"/>
      <c r="GQ107" s="146"/>
      <c r="GR107" s="146"/>
      <c r="GS107" s="146"/>
      <c r="GT107" s="146"/>
      <c r="GU107" s="146"/>
      <c r="GV107" s="146"/>
      <c r="GW107" s="146"/>
      <c r="GX107" s="146"/>
      <c r="GY107" s="146"/>
      <c r="GZ107" s="146"/>
      <c r="HA107" s="146"/>
      <c r="HB107" s="146"/>
      <c r="HC107" s="146"/>
      <c r="HD107" s="146"/>
      <c r="HE107" s="146"/>
      <c r="HF107" s="146"/>
      <c r="HG107" s="146"/>
      <c r="HH107" s="146"/>
      <c r="HI107" s="146"/>
      <c r="HJ107" s="146"/>
      <c r="HK107" s="146"/>
      <c r="HL107" s="146"/>
      <c r="HM107" s="146"/>
      <c r="HN107" s="146"/>
      <c r="HO107" s="146"/>
      <c r="HP107" s="146"/>
      <c r="HQ107" s="146"/>
      <c r="HR107" s="146"/>
      <c r="HS107" s="146"/>
      <c r="HT107" s="146"/>
      <c r="HU107" s="146"/>
      <c r="HV107" s="146"/>
      <c r="HW107" s="146"/>
      <c r="HX107" s="146"/>
      <c r="HY107" s="146"/>
      <c r="HZ107" s="146"/>
      <c r="IA107" s="146"/>
    </row>
    <row r="108" spans="1:235" s="154" customFormat="1" ht="99.75" x14ac:dyDescent="0.25">
      <c r="A108" s="197">
        <v>11700</v>
      </c>
      <c r="B108" s="194" t="s">
        <v>29</v>
      </c>
      <c r="C108" s="198" t="s">
        <v>328</v>
      </c>
      <c r="D108" s="194" t="s">
        <v>256</v>
      </c>
      <c r="E108" s="198" t="s">
        <v>429</v>
      </c>
      <c r="F108" s="194" t="s">
        <v>430</v>
      </c>
      <c r="G108" s="209" t="s">
        <v>123</v>
      </c>
      <c r="H108" s="216">
        <v>1</v>
      </c>
      <c r="I108" s="198" t="s">
        <v>457</v>
      </c>
      <c r="J108" s="194" t="s">
        <v>761</v>
      </c>
      <c r="K108" s="210">
        <v>570000000</v>
      </c>
      <c r="L108" s="211">
        <v>1</v>
      </c>
      <c r="M108" s="194" t="s">
        <v>51</v>
      </c>
      <c r="N108" s="194" t="s">
        <v>56</v>
      </c>
      <c r="O108" s="194" t="s">
        <v>37</v>
      </c>
      <c r="P108" s="194" t="s">
        <v>41</v>
      </c>
      <c r="Q108" s="194" t="s">
        <v>222</v>
      </c>
      <c r="R108" s="194" t="s">
        <v>657</v>
      </c>
      <c r="S108" s="194" t="s">
        <v>99</v>
      </c>
      <c r="T108" s="216">
        <v>1</v>
      </c>
      <c r="U108" s="212" t="str">
        <f t="shared" si="41"/>
        <v xml:space="preserve">Suministro de Tiquetes Aéreos y Viáticos </v>
      </c>
      <c r="V108" s="213">
        <f t="shared" si="41"/>
        <v>570000000</v>
      </c>
      <c r="W108" s="222" t="s">
        <v>114</v>
      </c>
      <c r="X108" s="216">
        <v>0.25</v>
      </c>
      <c r="Y108" s="214" t="s">
        <v>761</v>
      </c>
      <c r="Z108" s="210">
        <f>+X108*V108</f>
        <v>142500000</v>
      </c>
      <c r="AA108" s="196"/>
      <c r="AB108" s="196"/>
      <c r="AC108" s="204">
        <f t="shared" si="42"/>
        <v>0</v>
      </c>
      <c r="AD108" s="204">
        <f t="shared" si="43"/>
        <v>0</v>
      </c>
      <c r="AE108" s="204">
        <f t="shared" si="29"/>
        <v>0</v>
      </c>
      <c r="AF108" s="204">
        <f t="shared" si="30"/>
        <v>0</v>
      </c>
      <c r="AG108" s="216">
        <v>0.25</v>
      </c>
      <c r="AH108" s="214" t="s">
        <v>761</v>
      </c>
      <c r="AI108" s="210">
        <f>+AG108*V108</f>
        <v>142500000</v>
      </c>
      <c r="AJ108" s="196"/>
      <c r="AK108" s="196"/>
      <c r="AL108" s="204">
        <f t="shared" si="44"/>
        <v>0</v>
      </c>
      <c r="AM108" s="204">
        <f t="shared" si="31"/>
        <v>0</v>
      </c>
      <c r="AN108" s="204">
        <f t="shared" si="32"/>
        <v>0</v>
      </c>
      <c r="AO108" s="204">
        <f t="shared" si="33"/>
        <v>0</v>
      </c>
      <c r="AP108" s="216">
        <v>0.25</v>
      </c>
      <c r="AQ108" s="214" t="s">
        <v>761</v>
      </c>
      <c r="AR108" s="210">
        <f>+AP108*V108</f>
        <v>142500000</v>
      </c>
      <c r="AS108" s="196"/>
      <c r="AT108" s="196"/>
      <c r="AU108" s="204">
        <f t="shared" si="45"/>
        <v>0</v>
      </c>
      <c r="AV108" s="204">
        <f t="shared" si="46"/>
        <v>0</v>
      </c>
      <c r="AW108" s="204">
        <f t="shared" si="47"/>
        <v>0</v>
      </c>
      <c r="AX108" s="204">
        <f t="shared" si="48"/>
        <v>0</v>
      </c>
      <c r="AY108" s="216">
        <v>0.25</v>
      </c>
      <c r="AZ108" s="214" t="s">
        <v>761</v>
      </c>
      <c r="BA108" s="210">
        <f>+AY108*V108</f>
        <v>142500000</v>
      </c>
      <c r="BB108" s="196"/>
      <c r="BC108" s="196"/>
      <c r="BD108" s="216">
        <f t="shared" si="49"/>
        <v>0</v>
      </c>
      <c r="BE108" s="216">
        <f t="shared" si="50"/>
        <v>0</v>
      </c>
      <c r="BF108" s="216">
        <f t="shared" si="51"/>
        <v>0</v>
      </c>
      <c r="BG108" s="216">
        <f t="shared" si="52"/>
        <v>0</v>
      </c>
      <c r="BH108" s="207">
        <f t="shared" si="34"/>
        <v>0</v>
      </c>
      <c r="BI108" s="207">
        <f t="shared" si="35"/>
        <v>0</v>
      </c>
      <c r="BJ108" s="207">
        <f t="shared" si="36"/>
        <v>0</v>
      </c>
      <c r="BK108" s="207">
        <f t="shared" si="37"/>
        <v>0</v>
      </c>
      <c r="BL108" s="207">
        <f t="shared" si="53"/>
        <v>0</v>
      </c>
      <c r="BM108" s="207">
        <f t="shared" si="54"/>
        <v>0</v>
      </c>
      <c r="BN108" s="207">
        <f t="shared" si="38"/>
        <v>0</v>
      </c>
      <c r="BO108" s="207">
        <f t="shared" si="39"/>
        <v>0</v>
      </c>
      <c r="BP108" s="206"/>
      <c r="BQ108" s="277">
        <v>7</v>
      </c>
      <c r="BR108" s="208">
        <f t="shared" si="40"/>
        <v>0.58333333333333337</v>
      </c>
      <c r="BS108" s="219" t="str">
        <f t="shared" si="55"/>
        <v xml:space="preserve">Suministro de Tiquetes Aéreos y Viáticos </v>
      </c>
      <c r="BT108" s="195">
        <f t="shared" si="28"/>
        <v>332500000</v>
      </c>
      <c r="BU108" s="196"/>
      <c r="BV108" s="196"/>
      <c r="BW108" s="196"/>
      <c r="BX108" s="196"/>
      <c r="BY108" s="196"/>
      <c r="BZ108" s="196"/>
      <c r="CA108" s="146"/>
      <c r="CB108" s="146"/>
      <c r="CC108" s="146"/>
      <c r="CD108" s="146"/>
      <c r="CE108" s="146"/>
      <c r="CF108" s="146"/>
      <c r="CG108" s="146"/>
      <c r="CH108" s="146"/>
      <c r="CI108" s="146"/>
      <c r="CJ108" s="146"/>
      <c r="CK108" s="146"/>
      <c r="CL108" s="146"/>
      <c r="CM108" s="146"/>
      <c r="CN108" s="146"/>
      <c r="CO108" s="146"/>
      <c r="CP108" s="146"/>
      <c r="CQ108" s="146"/>
      <c r="CR108" s="146"/>
      <c r="CS108" s="146"/>
      <c r="CT108" s="146"/>
      <c r="CU108" s="146"/>
      <c r="CV108" s="146"/>
      <c r="CW108" s="146"/>
      <c r="CX108" s="146"/>
      <c r="CY108" s="146"/>
      <c r="CZ108" s="146"/>
      <c r="DA108" s="146"/>
      <c r="DB108" s="146"/>
      <c r="DC108" s="146"/>
      <c r="DD108" s="146"/>
      <c r="DE108" s="146"/>
      <c r="DF108" s="146"/>
      <c r="DG108" s="146"/>
      <c r="DH108" s="146"/>
      <c r="DI108" s="146"/>
      <c r="DJ108" s="146"/>
      <c r="DK108" s="146"/>
      <c r="DL108" s="146"/>
      <c r="DM108" s="146"/>
      <c r="DN108" s="146"/>
      <c r="DO108" s="146"/>
      <c r="DP108" s="146"/>
      <c r="DQ108" s="146"/>
      <c r="DR108" s="146"/>
      <c r="DS108" s="146"/>
      <c r="DT108" s="146"/>
      <c r="DU108" s="146"/>
      <c r="DV108" s="146"/>
      <c r="DW108" s="146"/>
      <c r="DX108" s="146"/>
      <c r="DY108" s="146"/>
      <c r="DZ108" s="146"/>
      <c r="EA108" s="146"/>
      <c r="EB108" s="146"/>
      <c r="EC108" s="146"/>
      <c r="ED108" s="146"/>
      <c r="EE108" s="146"/>
      <c r="EF108" s="146"/>
      <c r="EG108" s="146"/>
      <c r="EH108" s="146"/>
      <c r="EI108" s="146"/>
      <c r="EJ108" s="146"/>
      <c r="EK108" s="146"/>
      <c r="EL108" s="146"/>
      <c r="EM108" s="146"/>
      <c r="EN108" s="146"/>
      <c r="EO108" s="146"/>
      <c r="EP108" s="146"/>
      <c r="EQ108" s="146"/>
      <c r="ER108" s="146"/>
      <c r="ES108" s="146"/>
      <c r="ET108" s="146"/>
      <c r="EU108" s="146"/>
      <c r="EV108" s="146"/>
      <c r="EW108" s="146"/>
      <c r="EX108" s="146"/>
      <c r="EY108" s="146"/>
      <c r="EZ108" s="146"/>
      <c r="FA108" s="146"/>
      <c r="FB108" s="146"/>
      <c r="FC108" s="146"/>
      <c r="FD108" s="146"/>
      <c r="FE108" s="146"/>
      <c r="FF108" s="146"/>
      <c r="FG108" s="146"/>
      <c r="FH108" s="146"/>
      <c r="FI108" s="146"/>
      <c r="FJ108" s="146"/>
      <c r="FK108" s="146"/>
      <c r="FL108" s="146"/>
      <c r="FM108" s="146"/>
      <c r="FN108" s="146"/>
      <c r="FO108" s="146"/>
      <c r="FP108" s="146"/>
      <c r="FQ108" s="146"/>
      <c r="FR108" s="146"/>
      <c r="FS108" s="146"/>
      <c r="FT108" s="146"/>
      <c r="FU108" s="146"/>
      <c r="FV108" s="146"/>
      <c r="FW108" s="146"/>
      <c r="FX108" s="146"/>
      <c r="FY108" s="146"/>
      <c r="FZ108" s="146"/>
      <c r="GA108" s="146"/>
      <c r="GB108" s="146"/>
      <c r="GC108" s="146"/>
      <c r="GD108" s="146"/>
      <c r="GE108" s="146"/>
      <c r="GF108" s="146"/>
      <c r="GG108" s="146"/>
      <c r="GH108" s="146"/>
      <c r="GI108" s="146"/>
      <c r="GJ108" s="146"/>
      <c r="GK108" s="146"/>
      <c r="GL108" s="146"/>
      <c r="GM108" s="146"/>
      <c r="GN108" s="146"/>
      <c r="GO108" s="146"/>
      <c r="GP108" s="146"/>
      <c r="GQ108" s="146"/>
      <c r="GR108" s="146"/>
      <c r="GS108" s="146"/>
      <c r="GT108" s="146"/>
      <c r="GU108" s="146"/>
      <c r="GV108" s="146"/>
      <c r="GW108" s="146"/>
      <c r="GX108" s="146"/>
      <c r="GY108" s="146"/>
      <c r="GZ108" s="146"/>
      <c r="HA108" s="146"/>
      <c r="HB108" s="146"/>
      <c r="HC108" s="146"/>
      <c r="HD108" s="146"/>
      <c r="HE108" s="146"/>
      <c r="HF108" s="146"/>
      <c r="HG108" s="146"/>
      <c r="HH108" s="146"/>
      <c r="HI108" s="146"/>
      <c r="HJ108" s="146"/>
      <c r="HK108" s="146"/>
      <c r="HL108" s="146"/>
      <c r="HM108" s="146"/>
      <c r="HN108" s="146"/>
      <c r="HO108" s="146"/>
      <c r="HP108" s="146"/>
      <c r="HQ108" s="146"/>
      <c r="HR108" s="146"/>
      <c r="HS108" s="146"/>
      <c r="HT108" s="146"/>
      <c r="HU108" s="146"/>
      <c r="HV108" s="146"/>
      <c r="HW108" s="146"/>
      <c r="HX108" s="146"/>
      <c r="HY108" s="146"/>
      <c r="HZ108" s="146"/>
      <c r="IA108" s="146"/>
    </row>
    <row r="109" spans="1:235" s="156" customFormat="1" ht="99.75" x14ac:dyDescent="0.25">
      <c r="A109" s="197">
        <v>11700</v>
      </c>
      <c r="B109" s="194" t="s">
        <v>29</v>
      </c>
      <c r="C109" s="198" t="s">
        <v>328</v>
      </c>
      <c r="D109" s="194" t="s">
        <v>256</v>
      </c>
      <c r="E109" s="198" t="s">
        <v>431</v>
      </c>
      <c r="F109" s="194" t="s">
        <v>433</v>
      </c>
      <c r="G109" s="209" t="s">
        <v>123</v>
      </c>
      <c r="H109" s="211">
        <v>1</v>
      </c>
      <c r="I109" s="198" t="s">
        <v>432</v>
      </c>
      <c r="J109" s="194" t="s">
        <v>434</v>
      </c>
      <c r="K109" s="210">
        <v>1170191442</v>
      </c>
      <c r="L109" s="211">
        <v>1</v>
      </c>
      <c r="M109" s="194" t="s">
        <v>46</v>
      </c>
      <c r="N109" s="194" t="s">
        <v>59</v>
      </c>
      <c r="O109" s="194" t="s">
        <v>37</v>
      </c>
      <c r="P109" s="194" t="s">
        <v>40</v>
      </c>
      <c r="Q109" s="194" t="s">
        <v>221</v>
      </c>
      <c r="R109" s="194" t="s">
        <v>643</v>
      </c>
      <c r="S109" s="194" t="s">
        <v>99</v>
      </c>
      <c r="T109" s="244">
        <v>1</v>
      </c>
      <c r="U109" s="212" t="str">
        <f t="shared" si="41"/>
        <v xml:space="preserve">Garantizar la gestión de correspondencia de la entidad </v>
      </c>
      <c r="V109" s="213">
        <f t="shared" si="41"/>
        <v>1170191442</v>
      </c>
      <c r="W109" s="222" t="s">
        <v>114</v>
      </c>
      <c r="X109" s="216">
        <v>0.25</v>
      </c>
      <c r="Y109" s="214" t="s">
        <v>434</v>
      </c>
      <c r="Z109" s="210">
        <v>292547860.5</v>
      </c>
      <c r="AA109" s="196"/>
      <c r="AB109" s="196"/>
      <c r="AC109" s="204">
        <f t="shared" si="42"/>
        <v>0</v>
      </c>
      <c r="AD109" s="204">
        <f t="shared" si="43"/>
        <v>0</v>
      </c>
      <c r="AE109" s="204">
        <f t="shared" si="29"/>
        <v>0</v>
      </c>
      <c r="AF109" s="204">
        <f t="shared" si="30"/>
        <v>0</v>
      </c>
      <c r="AG109" s="216">
        <v>0.25</v>
      </c>
      <c r="AH109" s="214" t="s">
        <v>434</v>
      </c>
      <c r="AI109" s="210">
        <v>292547860.5</v>
      </c>
      <c r="AJ109" s="196"/>
      <c r="AK109" s="196"/>
      <c r="AL109" s="204">
        <f t="shared" si="44"/>
        <v>0</v>
      </c>
      <c r="AM109" s="204">
        <f t="shared" si="31"/>
        <v>0</v>
      </c>
      <c r="AN109" s="204">
        <f t="shared" si="32"/>
        <v>0</v>
      </c>
      <c r="AO109" s="204">
        <f t="shared" si="33"/>
        <v>0</v>
      </c>
      <c r="AP109" s="216">
        <v>0.25</v>
      </c>
      <c r="AQ109" s="214" t="s">
        <v>434</v>
      </c>
      <c r="AR109" s="210">
        <v>292547860.5</v>
      </c>
      <c r="AS109" s="196"/>
      <c r="AT109" s="196"/>
      <c r="AU109" s="204">
        <f t="shared" si="45"/>
        <v>0</v>
      </c>
      <c r="AV109" s="204">
        <f t="shared" si="46"/>
        <v>0</v>
      </c>
      <c r="AW109" s="204">
        <f t="shared" si="47"/>
        <v>0</v>
      </c>
      <c r="AX109" s="204">
        <f t="shared" si="48"/>
        <v>0</v>
      </c>
      <c r="AY109" s="216">
        <v>0.25</v>
      </c>
      <c r="AZ109" s="214" t="s">
        <v>434</v>
      </c>
      <c r="BA109" s="210">
        <v>292547860.5</v>
      </c>
      <c r="BB109" s="196"/>
      <c r="BC109" s="196"/>
      <c r="BD109" s="216">
        <f t="shared" si="49"/>
        <v>0</v>
      </c>
      <c r="BE109" s="216">
        <f t="shared" si="50"/>
        <v>0</v>
      </c>
      <c r="BF109" s="216">
        <f t="shared" si="51"/>
        <v>0</v>
      </c>
      <c r="BG109" s="216">
        <f t="shared" si="52"/>
        <v>0</v>
      </c>
      <c r="BH109" s="223">
        <f t="shared" si="34"/>
        <v>0</v>
      </c>
      <c r="BI109" s="223">
        <f t="shared" si="35"/>
        <v>0</v>
      </c>
      <c r="BJ109" s="223">
        <f t="shared" si="36"/>
        <v>0</v>
      </c>
      <c r="BK109" s="223">
        <f t="shared" si="37"/>
        <v>0</v>
      </c>
      <c r="BL109" s="223">
        <f t="shared" si="53"/>
        <v>0</v>
      </c>
      <c r="BM109" s="223">
        <f t="shared" si="54"/>
        <v>0</v>
      </c>
      <c r="BN109" s="223">
        <f t="shared" si="38"/>
        <v>0</v>
      </c>
      <c r="BO109" s="223">
        <f t="shared" si="39"/>
        <v>0</v>
      </c>
      <c r="BP109" s="206"/>
      <c r="BQ109" s="277">
        <v>7</v>
      </c>
      <c r="BR109" s="208">
        <f t="shared" si="40"/>
        <v>0.58333333333333337</v>
      </c>
      <c r="BS109" s="219" t="str">
        <f t="shared" si="55"/>
        <v xml:space="preserve">Garantizar la gestión de correspondencia de la entidad </v>
      </c>
      <c r="BT109" s="195">
        <f t="shared" si="28"/>
        <v>682611674.5</v>
      </c>
      <c r="BU109" s="196"/>
      <c r="BV109" s="196"/>
      <c r="BW109" s="196"/>
      <c r="BX109" s="196"/>
      <c r="BY109" s="196"/>
      <c r="BZ109" s="196"/>
      <c r="CA109" s="146"/>
      <c r="CB109" s="146"/>
      <c r="CC109" s="146"/>
      <c r="CD109" s="146"/>
      <c r="CE109" s="146"/>
      <c r="CF109" s="146"/>
      <c r="CG109" s="146"/>
      <c r="CH109" s="146"/>
      <c r="CI109" s="146"/>
      <c r="CJ109" s="146"/>
      <c r="CK109" s="146"/>
      <c r="CL109" s="146"/>
      <c r="CM109" s="146"/>
      <c r="CN109" s="146"/>
      <c r="CO109" s="146"/>
      <c r="CP109" s="146"/>
      <c r="CQ109" s="146"/>
      <c r="CR109" s="146"/>
      <c r="CS109" s="146"/>
      <c r="CT109" s="146"/>
      <c r="CU109" s="146"/>
      <c r="CV109" s="146"/>
      <c r="CW109" s="146"/>
      <c r="CX109" s="146"/>
      <c r="CY109" s="146"/>
      <c r="CZ109" s="146"/>
      <c r="DA109" s="146"/>
      <c r="DB109" s="146"/>
      <c r="DC109" s="146"/>
      <c r="DD109" s="146"/>
      <c r="DE109" s="146"/>
      <c r="DF109" s="146"/>
      <c r="DG109" s="146"/>
      <c r="DH109" s="146"/>
      <c r="DI109" s="146"/>
      <c r="DJ109" s="146"/>
      <c r="DK109" s="146"/>
      <c r="DL109" s="146"/>
      <c r="DM109" s="146"/>
      <c r="DN109" s="146"/>
      <c r="DO109" s="146"/>
      <c r="DP109" s="146"/>
      <c r="DQ109" s="146"/>
      <c r="DR109" s="146"/>
      <c r="DS109" s="146"/>
      <c r="DT109" s="146"/>
      <c r="DU109" s="146"/>
      <c r="DV109" s="146"/>
      <c r="DW109" s="146"/>
      <c r="DX109" s="146"/>
      <c r="DY109" s="146"/>
      <c r="DZ109" s="146"/>
      <c r="EA109" s="146"/>
      <c r="EB109" s="146"/>
      <c r="EC109" s="146"/>
      <c r="ED109" s="146"/>
      <c r="EE109" s="146"/>
      <c r="EF109" s="146"/>
      <c r="EG109" s="146"/>
      <c r="EH109" s="146"/>
      <c r="EI109" s="146"/>
      <c r="EJ109" s="146"/>
      <c r="EK109" s="146"/>
      <c r="EL109" s="146"/>
      <c r="EM109" s="146"/>
      <c r="EN109" s="146"/>
      <c r="EO109" s="146"/>
      <c r="EP109" s="146"/>
      <c r="EQ109" s="146"/>
      <c r="ER109" s="146"/>
      <c r="ES109" s="146"/>
      <c r="ET109" s="146"/>
      <c r="EU109" s="146"/>
      <c r="EV109" s="146"/>
      <c r="EW109" s="146"/>
      <c r="EX109" s="146"/>
      <c r="EY109" s="146"/>
      <c r="EZ109" s="146"/>
      <c r="FA109" s="146"/>
      <c r="FB109" s="146"/>
      <c r="FC109" s="146"/>
      <c r="FD109" s="146"/>
      <c r="FE109" s="146"/>
      <c r="FF109" s="146"/>
      <c r="FG109" s="146"/>
      <c r="FH109" s="146"/>
      <c r="FI109" s="146"/>
      <c r="FJ109" s="146"/>
      <c r="FK109" s="146"/>
      <c r="FL109" s="146"/>
      <c r="FM109" s="146"/>
      <c r="FN109" s="146"/>
      <c r="FO109" s="146"/>
      <c r="FP109" s="146"/>
      <c r="FQ109" s="146"/>
      <c r="FR109" s="146"/>
      <c r="FS109" s="146"/>
      <c r="FT109" s="146"/>
      <c r="FU109" s="146"/>
      <c r="FV109" s="146"/>
      <c r="FW109" s="146"/>
      <c r="FX109" s="146"/>
      <c r="FY109" s="146"/>
      <c r="FZ109" s="146"/>
      <c r="GA109" s="146"/>
      <c r="GB109" s="146"/>
      <c r="GC109" s="146"/>
      <c r="GD109" s="146"/>
      <c r="GE109" s="146"/>
      <c r="GF109" s="146"/>
      <c r="GG109" s="146"/>
      <c r="GH109" s="146"/>
      <c r="GI109" s="146"/>
      <c r="GJ109" s="146"/>
      <c r="GK109" s="146"/>
      <c r="GL109" s="146"/>
      <c r="GM109" s="146"/>
      <c r="GN109" s="146"/>
      <c r="GO109" s="146"/>
      <c r="GP109" s="146"/>
      <c r="GQ109" s="146"/>
      <c r="GR109" s="146"/>
      <c r="GS109" s="146"/>
      <c r="GT109" s="146"/>
      <c r="GU109" s="146"/>
      <c r="GV109" s="146"/>
      <c r="GW109" s="146"/>
      <c r="GX109" s="146"/>
      <c r="GY109" s="146"/>
      <c r="GZ109" s="146"/>
      <c r="HA109" s="146"/>
      <c r="HB109" s="146"/>
      <c r="HC109" s="146"/>
      <c r="HD109" s="146"/>
      <c r="HE109" s="146"/>
      <c r="HF109" s="146"/>
      <c r="HG109" s="146"/>
      <c r="HH109" s="146"/>
      <c r="HI109" s="146"/>
      <c r="HJ109" s="146"/>
      <c r="HK109" s="146"/>
      <c r="HL109" s="146"/>
      <c r="HM109" s="146"/>
      <c r="HN109" s="146"/>
      <c r="HO109" s="146"/>
      <c r="HP109" s="146"/>
      <c r="HQ109" s="146"/>
      <c r="HR109" s="146"/>
      <c r="HS109" s="146"/>
      <c r="HT109" s="146"/>
      <c r="HU109" s="146"/>
      <c r="HV109" s="146"/>
      <c r="HW109" s="146"/>
      <c r="HX109" s="146"/>
      <c r="HY109" s="146"/>
      <c r="HZ109" s="146"/>
      <c r="IA109" s="146"/>
    </row>
    <row r="110" spans="1:235" s="159" customFormat="1" ht="99.75" x14ac:dyDescent="0.25">
      <c r="A110" s="197">
        <v>11700</v>
      </c>
      <c r="B110" s="194" t="s">
        <v>29</v>
      </c>
      <c r="C110" s="198" t="s">
        <v>328</v>
      </c>
      <c r="D110" s="194" t="s">
        <v>256</v>
      </c>
      <c r="E110" s="198" t="s">
        <v>644</v>
      </c>
      <c r="F110" s="194" t="s">
        <v>652</v>
      </c>
      <c r="G110" s="209" t="s">
        <v>123</v>
      </c>
      <c r="H110" s="211">
        <v>1</v>
      </c>
      <c r="I110" s="198" t="s">
        <v>645</v>
      </c>
      <c r="J110" s="194" t="s">
        <v>653</v>
      </c>
      <c r="K110" s="210">
        <v>538238487.5</v>
      </c>
      <c r="L110" s="211">
        <v>1</v>
      </c>
      <c r="M110" s="194" t="s">
        <v>46</v>
      </c>
      <c r="N110" s="194" t="s">
        <v>59</v>
      </c>
      <c r="O110" s="194" t="s">
        <v>37</v>
      </c>
      <c r="P110" s="194" t="s">
        <v>40</v>
      </c>
      <c r="Q110" s="194" t="s">
        <v>220</v>
      </c>
      <c r="R110" s="194" t="s">
        <v>654</v>
      </c>
      <c r="S110" s="194" t="s">
        <v>101</v>
      </c>
      <c r="T110" s="244">
        <v>1</v>
      </c>
      <c r="U110" s="212" t="str">
        <f t="shared" si="41"/>
        <v>Garantizar la gestión de Servicio al ciudadano de la entidad  por los diferentes canales  de atención.</v>
      </c>
      <c r="V110" s="213">
        <f t="shared" si="41"/>
        <v>538238487.5</v>
      </c>
      <c r="W110" s="222" t="s">
        <v>114</v>
      </c>
      <c r="X110" s="281">
        <v>0.25</v>
      </c>
      <c r="Y110" s="282" t="s">
        <v>417</v>
      </c>
      <c r="Z110" s="283">
        <f>+X110*V110</f>
        <v>134559621.875</v>
      </c>
      <c r="AA110" s="279"/>
      <c r="AB110" s="279"/>
      <c r="AC110" s="280">
        <f t="shared" si="42"/>
        <v>0</v>
      </c>
      <c r="AD110" s="280">
        <f t="shared" si="43"/>
        <v>0</v>
      </c>
      <c r="AE110" s="280">
        <f t="shared" si="29"/>
        <v>0</v>
      </c>
      <c r="AF110" s="280">
        <f t="shared" si="30"/>
        <v>0</v>
      </c>
      <c r="AG110" s="281">
        <v>0.25</v>
      </c>
      <c r="AH110" s="282" t="s">
        <v>417</v>
      </c>
      <c r="AI110" s="283">
        <v>134559621.875</v>
      </c>
      <c r="AJ110" s="279"/>
      <c r="AK110" s="279"/>
      <c r="AL110" s="280">
        <f t="shared" si="44"/>
        <v>0</v>
      </c>
      <c r="AM110" s="280">
        <f t="shared" si="31"/>
        <v>0</v>
      </c>
      <c r="AN110" s="280">
        <f t="shared" si="32"/>
        <v>0</v>
      </c>
      <c r="AO110" s="280">
        <f t="shared" si="33"/>
        <v>0</v>
      </c>
      <c r="AP110" s="281">
        <v>0.25</v>
      </c>
      <c r="AQ110" s="282" t="s">
        <v>417</v>
      </c>
      <c r="AR110" s="283">
        <v>134559621.875</v>
      </c>
      <c r="AS110" s="279"/>
      <c r="AT110" s="279"/>
      <c r="AU110" s="280">
        <f t="shared" si="45"/>
        <v>0</v>
      </c>
      <c r="AV110" s="280">
        <f t="shared" si="46"/>
        <v>0</v>
      </c>
      <c r="AW110" s="280">
        <f t="shared" si="47"/>
        <v>0</v>
      </c>
      <c r="AX110" s="280">
        <f t="shared" si="48"/>
        <v>0</v>
      </c>
      <c r="AY110" s="281">
        <v>0.25</v>
      </c>
      <c r="AZ110" s="282" t="s">
        <v>417</v>
      </c>
      <c r="BA110" s="283">
        <v>134559621.875</v>
      </c>
      <c r="BB110" s="279"/>
      <c r="BC110" s="279"/>
      <c r="BD110" s="281">
        <f t="shared" si="49"/>
        <v>0</v>
      </c>
      <c r="BE110" s="281">
        <f t="shared" si="50"/>
        <v>0</v>
      </c>
      <c r="BF110" s="281">
        <f t="shared" si="51"/>
        <v>0</v>
      </c>
      <c r="BG110" s="281">
        <f t="shared" si="52"/>
        <v>0</v>
      </c>
      <c r="BH110" s="205">
        <f t="shared" si="34"/>
        <v>0</v>
      </c>
      <c r="BI110" s="205">
        <f t="shared" si="35"/>
        <v>0</v>
      </c>
      <c r="BJ110" s="205">
        <f t="shared" si="36"/>
        <v>0</v>
      </c>
      <c r="BK110" s="205">
        <f t="shared" si="37"/>
        <v>0</v>
      </c>
      <c r="BL110" s="205">
        <f t="shared" si="53"/>
        <v>0</v>
      </c>
      <c r="BM110" s="205">
        <f t="shared" si="54"/>
        <v>0</v>
      </c>
      <c r="BN110" s="205">
        <f t="shared" si="38"/>
        <v>0</v>
      </c>
      <c r="BO110" s="205">
        <f t="shared" si="39"/>
        <v>0</v>
      </c>
      <c r="BP110" s="206"/>
      <c r="BQ110" s="277">
        <v>11</v>
      </c>
      <c r="BR110" s="208">
        <f t="shared" si="40"/>
        <v>0.58333333333333337</v>
      </c>
      <c r="BS110" s="219" t="str">
        <f t="shared" si="55"/>
        <v>Garantizar la gestión de Servicio al ciudadano de la entidad  por los diferentes canales  de atención.</v>
      </c>
      <c r="BT110" s="195">
        <f t="shared" si="28"/>
        <v>313972451.04166669</v>
      </c>
      <c r="BU110" s="196"/>
      <c r="BV110" s="196"/>
      <c r="BW110" s="196"/>
      <c r="BX110" s="196"/>
      <c r="BY110" s="196"/>
      <c r="BZ110" s="196"/>
      <c r="CA110" s="146"/>
      <c r="CB110" s="146"/>
      <c r="CC110" s="146"/>
      <c r="CD110" s="146"/>
      <c r="CE110" s="146"/>
      <c r="CF110" s="146"/>
      <c r="CG110" s="146"/>
      <c r="CH110" s="146"/>
      <c r="CI110" s="146"/>
      <c r="CJ110" s="146"/>
      <c r="CK110" s="146"/>
      <c r="CL110" s="146"/>
      <c r="CM110" s="146"/>
      <c r="CN110" s="146"/>
      <c r="CO110" s="146"/>
      <c r="CP110" s="146"/>
      <c r="CQ110" s="146"/>
      <c r="CR110" s="146"/>
      <c r="CS110" s="146"/>
      <c r="CT110" s="146"/>
      <c r="CU110" s="146"/>
      <c r="CV110" s="146"/>
      <c r="CW110" s="146"/>
      <c r="CX110" s="146"/>
      <c r="CY110" s="146"/>
      <c r="CZ110" s="146"/>
      <c r="DA110" s="146"/>
      <c r="DB110" s="146"/>
      <c r="DC110" s="146"/>
      <c r="DD110" s="146"/>
      <c r="DE110" s="146"/>
      <c r="DF110" s="146"/>
      <c r="DG110" s="146"/>
      <c r="DH110" s="146"/>
      <c r="DI110" s="146"/>
      <c r="DJ110" s="146"/>
      <c r="DK110" s="146"/>
      <c r="DL110" s="146"/>
      <c r="DM110" s="146"/>
      <c r="DN110" s="146"/>
      <c r="DO110" s="146"/>
      <c r="DP110" s="146"/>
      <c r="DQ110" s="146"/>
      <c r="DR110" s="146"/>
      <c r="DS110" s="146"/>
      <c r="DT110" s="146"/>
      <c r="DU110" s="146"/>
      <c r="DV110" s="146"/>
      <c r="DW110" s="146"/>
      <c r="DX110" s="146"/>
      <c r="DY110" s="146"/>
      <c r="DZ110" s="146"/>
      <c r="EA110" s="146"/>
      <c r="EB110" s="146"/>
      <c r="EC110" s="146"/>
      <c r="ED110" s="146"/>
      <c r="EE110" s="146"/>
      <c r="EF110" s="146"/>
      <c r="EG110" s="146"/>
      <c r="EH110" s="146"/>
      <c r="EI110" s="146"/>
      <c r="EJ110" s="146"/>
      <c r="EK110" s="146"/>
      <c r="EL110" s="146"/>
      <c r="EM110" s="146"/>
      <c r="EN110" s="146"/>
      <c r="EO110" s="146"/>
      <c r="EP110" s="146"/>
      <c r="EQ110" s="146"/>
      <c r="ER110" s="146"/>
      <c r="ES110" s="146"/>
      <c r="ET110" s="146"/>
      <c r="EU110" s="146"/>
      <c r="EV110" s="146"/>
      <c r="EW110" s="146"/>
      <c r="EX110" s="146"/>
      <c r="EY110" s="146"/>
      <c r="EZ110" s="146"/>
      <c r="FA110" s="146"/>
      <c r="FB110" s="146"/>
      <c r="FC110" s="146"/>
      <c r="FD110" s="146"/>
      <c r="FE110" s="146"/>
      <c r="FF110" s="146"/>
      <c r="FG110" s="146"/>
      <c r="FH110" s="146"/>
      <c r="FI110" s="146"/>
      <c r="FJ110" s="146"/>
      <c r="FK110" s="146"/>
      <c r="FL110" s="146"/>
      <c r="FM110" s="146"/>
      <c r="FN110" s="146"/>
      <c r="FO110" s="146"/>
      <c r="FP110" s="146"/>
      <c r="FQ110" s="146"/>
      <c r="FR110" s="146"/>
      <c r="FS110" s="146"/>
      <c r="FT110" s="146"/>
      <c r="FU110" s="146"/>
      <c r="FV110" s="146"/>
      <c r="FW110" s="146"/>
      <c r="FX110" s="146"/>
      <c r="FY110" s="146"/>
      <c r="FZ110" s="146"/>
      <c r="GA110" s="146"/>
      <c r="GB110" s="146"/>
      <c r="GC110" s="146"/>
      <c r="GD110" s="146"/>
      <c r="GE110" s="146"/>
      <c r="GF110" s="146"/>
      <c r="GG110" s="146"/>
      <c r="GH110" s="146"/>
      <c r="GI110" s="146"/>
      <c r="GJ110" s="146"/>
      <c r="GK110" s="146"/>
      <c r="GL110" s="146"/>
      <c r="GM110" s="146"/>
      <c r="GN110" s="146"/>
      <c r="GO110" s="146"/>
      <c r="GP110" s="146"/>
      <c r="GQ110" s="146"/>
      <c r="GR110" s="146"/>
      <c r="GS110" s="146"/>
      <c r="GT110" s="146"/>
      <c r="GU110" s="146"/>
      <c r="GV110" s="146"/>
      <c r="GW110" s="146"/>
      <c r="GX110" s="146"/>
      <c r="GY110" s="146"/>
      <c r="GZ110" s="146"/>
      <c r="HA110" s="146"/>
      <c r="HB110" s="146"/>
      <c r="HC110" s="146"/>
      <c r="HD110" s="146"/>
      <c r="HE110" s="146"/>
      <c r="HF110" s="146"/>
      <c r="HG110" s="146"/>
      <c r="HH110" s="146"/>
      <c r="HI110" s="146"/>
      <c r="HJ110" s="146"/>
      <c r="HK110" s="146"/>
      <c r="HL110" s="146"/>
      <c r="HM110" s="146"/>
      <c r="HN110" s="146"/>
      <c r="HO110" s="146"/>
      <c r="HP110" s="146"/>
      <c r="HQ110" s="146"/>
      <c r="HR110" s="146"/>
      <c r="HS110" s="146"/>
      <c r="HT110" s="146"/>
      <c r="HU110" s="146"/>
      <c r="HV110" s="146"/>
      <c r="HW110" s="146"/>
      <c r="HX110" s="146"/>
      <c r="HY110" s="146"/>
      <c r="HZ110" s="146"/>
      <c r="IA110" s="146"/>
    </row>
    <row r="111" spans="1:235" s="154" customFormat="1" ht="171" x14ac:dyDescent="0.25">
      <c r="A111" s="197">
        <v>11700</v>
      </c>
      <c r="B111" s="194" t="s">
        <v>29</v>
      </c>
      <c r="C111" s="198" t="s">
        <v>328</v>
      </c>
      <c r="D111" s="194" t="s">
        <v>256</v>
      </c>
      <c r="E111" s="198" t="s">
        <v>650</v>
      </c>
      <c r="F111" s="194" t="s">
        <v>655</v>
      </c>
      <c r="G111" s="209" t="s">
        <v>123</v>
      </c>
      <c r="H111" s="211">
        <v>1</v>
      </c>
      <c r="I111" s="198" t="s">
        <v>651</v>
      </c>
      <c r="J111" s="194" t="s">
        <v>656</v>
      </c>
      <c r="K111" s="210">
        <v>48960000</v>
      </c>
      <c r="L111" s="211">
        <v>1</v>
      </c>
      <c r="M111" s="194" t="s">
        <v>46</v>
      </c>
      <c r="N111" s="194" t="s">
        <v>59</v>
      </c>
      <c r="O111" s="194" t="s">
        <v>37</v>
      </c>
      <c r="P111" s="194" t="s">
        <v>40</v>
      </c>
      <c r="Q111" s="194" t="s">
        <v>220</v>
      </c>
      <c r="R111" s="201" t="s">
        <v>821</v>
      </c>
      <c r="S111" s="194" t="s">
        <v>101</v>
      </c>
      <c r="T111" s="244">
        <v>1</v>
      </c>
      <c r="U111" s="212" t="str">
        <f t="shared" si="41"/>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V111" s="213">
        <f t="shared" si="41"/>
        <v>48960000</v>
      </c>
      <c r="W111" s="222" t="s">
        <v>114</v>
      </c>
      <c r="X111" s="216">
        <v>0.25</v>
      </c>
      <c r="Y111" s="214" t="s">
        <v>656</v>
      </c>
      <c r="Z111" s="210">
        <v>12240000</v>
      </c>
      <c r="AA111" s="196"/>
      <c r="AB111" s="196"/>
      <c r="AC111" s="204">
        <f t="shared" si="42"/>
        <v>0</v>
      </c>
      <c r="AD111" s="204">
        <f t="shared" si="43"/>
        <v>0</v>
      </c>
      <c r="AE111" s="204">
        <f t="shared" si="29"/>
        <v>0</v>
      </c>
      <c r="AF111" s="204">
        <f t="shared" si="30"/>
        <v>0</v>
      </c>
      <c r="AG111" s="216">
        <v>0.25</v>
      </c>
      <c r="AH111" s="214" t="s">
        <v>656</v>
      </c>
      <c r="AI111" s="210">
        <v>12240000</v>
      </c>
      <c r="AJ111" s="196"/>
      <c r="AK111" s="196"/>
      <c r="AL111" s="204">
        <f t="shared" si="44"/>
        <v>0</v>
      </c>
      <c r="AM111" s="204">
        <f t="shared" si="31"/>
        <v>0</v>
      </c>
      <c r="AN111" s="204">
        <f t="shared" si="32"/>
        <v>0</v>
      </c>
      <c r="AO111" s="204">
        <f t="shared" si="33"/>
        <v>0</v>
      </c>
      <c r="AP111" s="216">
        <v>0.25</v>
      </c>
      <c r="AQ111" s="214" t="s">
        <v>656</v>
      </c>
      <c r="AR111" s="210">
        <v>12240000</v>
      </c>
      <c r="AS111" s="196"/>
      <c r="AT111" s="196"/>
      <c r="AU111" s="204">
        <f t="shared" si="45"/>
        <v>0</v>
      </c>
      <c r="AV111" s="204">
        <f t="shared" si="46"/>
        <v>0</v>
      </c>
      <c r="AW111" s="204">
        <f t="shared" si="47"/>
        <v>0</v>
      </c>
      <c r="AX111" s="204">
        <f t="shared" si="48"/>
        <v>0</v>
      </c>
      <c r="AY111" s="216">
        <v>0.25</v>
      </c>
      <c r="AZ111" s="214" t="s">
        <v>656</v>
      </c>
      <c r="BA111" s="210">
        <v>12240000</v>
      </c>
      <c r="BB111" s="196"/>
      <c r="BC111" s="196"/>
      <c r="BD111" s="216">
        <f t="shared" si="49"/>
        <v>0</v>
      </c>
      <c r="BE111" s="216">
        <f t="shared" si="50"/>
        <v>0</v>
      </c>
      <c r="BF111" s="216">
        <f t="shared" si="51"/>
        <v>0</v>
      </c>
      <c r="BG111" s="216">
        <f t="shared" si="52"/>
        <v>0</v>
      </c>
      <c r="BH111" s="207">
        <f t="shared" si="34"/>
        <v>0</v>
      </c>
      <c r="BI111" s="207">
        <f t="shared" si="35"/>
        <v>0</v>
      </c>
      <c r="BJ111" s="207">
        <f t="shared" si="36"/>
        <v>0</v>
      </c>
      <c r="BK111" s="207">
        <f t="shared" si="37"/>
        <v>0</v>
      </c>
      <c r="BL111" s="207">
        <f t="shared" si="53"/>
        <v>0</v>
      </c>
      <c r="BM111" s="207">
        <f t="shared" si="54"/>
        <v>0</v>
      </c>
      <c r="BN111" s="207">
        <f t="shared" si="38"/>
        <v>0</v>
      </c>
      <c r="BO111" s="207">
        <f t="shared" si="39"/>
        <v>0</v>
      </c>
      <c r="BP111" s="206"/>
      <c r="BQ111" s="277">
        <v>11</v>
      </c>
      <c r="BR111" s="208">
        <f t="shared" si="40"/>
        <v>0.58333333333333337</v>
      </c>
      <c r="BS111" s="219" t="str">
        <f t="shared" si="55"/>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BT111" s="195">
        <f t="shared" si="28"/>
        <v>28560000</v>
      </c>
      <c r="BU111" s="196"/>
      <c r="BV111" s="196"/>
      <c r="BW111" s="196"/>
      <c r="BX111" s="196"/>
      <c r="BY111" s="196"/>
      <c r="BZ111" s="196"/>
      <c r="CA111" s="146"/>
      <c r="CB111" s="146"/>
      <c r="CC111" s="146"/>
      <c r="CD111" s="146"/>
      <c r="CE111" s="146"/>
      <c r="CF111" s="146"/>
      <c r="CG111" s="146"/>
      <c r="CH111" s="146"/>
      <c r="CI111" s="146"/>
      <c r="CJ111" s="146"/>
      <c r="CK111" s="146"/>
      <c r="CL111" s="146"/>
      <c r="CM111" s="146"/>
      <c r="CN111" s="146"/>
      <c r="CO111" s="146"/>
      <c r="CP111" s="146"/>
      <c r="CQ111" s="146"/>
      <c r="CR111" s="146"/>
      <c r="CS111" s="146"/>
      <c r="CT111" s="146"/>
      <c r="CU111" s="146"/>
      <c r="CV111" s="146"/>
      <c r="CW111" s="146"/>
      <c r="CX111" s="146"/>
      <c r="CY111" s="146"/>
      <c r="CZ111" s="146"/>
      <c r="DA111" s="146"/>
      <c r="DB111" s="146"/>
      <c r="DC111" s="146"/>
      <c r="DD111" s="146"/>
      <c r="DE111" s="146"/>
      <c r="DF111" s="146"/>
      <c r="DG111" s="146"/>
      <c r="DH111" s="146"/>
      <c r="DI111" s="146"/>
      <c r="DJ111" s="146"/>
      <c r="DK111" s="146"/>
      <c r="DL111" s="146"/>
      <c r="DM111" s="146"/>
      <c r="DN111" s="146"/>
      <c r="DO111" s="146"/>
      <c r="DP111" s="146"/>
      <c r="DQ111" s="146"/>
      <c r="DR111" s="146"/>
      <c r="DS111" s="146"/>
      <c r="DT111" s="146"/>
      <c r="DU111" s="146"/>
      <c r="DV111" s="146"/>
      <c r="DW111" s="146"/>
      <c r="DX111" s="146"/>
      <c r="DY111" s="146"/>
      <c r="DZ111" s="146"/>
      <c r="EA111" s="146"/>
      <c r="EB111" s="146"/>
      <c r="EC111" s="146"/>
      <c r="ED111" s="146"/>
      <c r="EE111" s="146"/>
      <c r="EF111" s="146"/>
      <c r="EG111" s="146"/>
      <c r="EH111" s="146"/>
      <c r="EI111" s="146"/>
      <c r="EJ111" s="146"/>
      <c r="EK111" s="146"/>
      <c r="EL111" s="146"/>
      <c r="EM111" s="146"/>
      <c r="EN111" s="146"/>
      <c r="EO111" s="146"/>
      <c r="EP111" s="146"/>
      <c r="EQ111" s="146"/>
      <c r="ER111" s="146"/>
      <c r="ES111" s="146"/>
      <c r="ET111" s="146"/>
      <c r="EU111" s="146"/>
      <c r="EV111" s="146"/>
      <c r="EW111" s="146"/>
      <c r="EX111" s="146"/>
      <c r="EY111" s="146"/>
      <c r="EZ111" s="146"/>
      <c r="FA111" s="146"/>
      <c r="FB111" s="146"/>
      <c r="FC111" s="146"/>
      <c r="FD111" s="146"/>
      <c r="FE111" s="146"/>
      <c r="FF111" s="146"/>
      <c r="FG111" s="146"/>
      <c r="FH111" s="146"/>
      <c r="FI111" s="146"/>
      <c r="FJ111" s="146"/>
      <c r="FK111" s="146"/>
      <c r="FL111" s="146"/>
      <c r="FM111" s="146"/>
      <c r="FN111" s="146"/>
      <c r="FO111" s="146"/>
      <c r="FP111" s="146"/>
      <c r="FQ111" s="146"/>
      <c r="FR111" s="146"/>
      <c r="FS111" s="146"/>
      <c r="FT111" s="146"/>
      <c r="FU111" s="146"/>
      <c r="FV111" s="146"/>
      <c r="FW111" s="146"/>
      <c r="FX111" s="146"/>
      <c r="FY111" s="146"/>
      <c r="FZ111" s="146"/>
      <c r="GA111" s="146"/>
      <c r="GB111" s="146"/>
      <c r="GC111" s="146"/>
      <c r="GD111" s="146"/>
      <c r="GE111" s="146"/>
      <c r="GF111" s="146"/>
      <c r="GG111" s="146"/>
      <c r="GH111" s="146"/>
      <c r="GI111" s="146"/>
      <c r="GJ111" s="146"/>
      <c r="GK111" s="146"/>
      <c r="GL111" s="146"/>
      <c r="GM111" s="146"/>
      <c r="GN111" s="146"/>
      <c r="GO111" s="146"/>
      <c r="GP111" s="146"/>
      <c r="GQ111" s="146"/>
      <c r="GR111" s="146"/>
      <c r="GS111" s="146"/>
      <c r="GT111" s="146"/>
      <c r="GU111" s="146"/>
      <c r="GV111" s="146"/>
      <c r="GW111" s="146"/>
      <c r="GX111" s="146"/>
      <c r="GY111" s="146"/>
      <c r="GZ111" s="146"/>
      <c r="HA111" s="146"/>
      <c r="HB111" s="146"/>
      <c r="HC111" s="146"/>
      <c r="HD111" s="146"/>
      <c r="HE111" s="146"/>
      <c r="HF111" s="146"/>
      <c r="HG111" s="146"/>
      <c r="HH111" s="146"/>
      <c r="HI111" s="146"/>
      <c r="HJ111" s="146"/>
      <c r="HK111" s="146"/>
      <c r="HL111" s="146"/>
      <c r="HM111" s="146"/>
      <c r="HN111" s="146"/>
      <c r="HO111" s="146"/>
      <c r="HP111" s="146"/>
      <c r="HQ111" s="146"/>
      <c r="HR111" s="146"/>
      <c r="HS111" s="146"/>
      <c r="HT111" s="146"/>
      <c r="HU111" s="146"/>
      <c r="HV111" s="146"/>
      <c r="HW111" s="146"/>
      <c r="HX111" s="146"/>
      <c r="HY111" s="146"/>
      <c r="HZ111" s="146"/>
      <c r="IA111" s="146"/>
    </row>
    <row r="112" spans="1:235" s="156" customFormat="1" ht="99.75" x14ac:dyDescent="0.25">
      <c r="A112" s="197">
        <v>11700</v>
      </c>
      <c r="B112" s="194" t="s">
        <v>29</v>
      </c>
      <c r="C112" s="198" t="s">
        <v>328</v>
      </c>
      <c r="D112" s="194" t="s">
        <v>256</v>
      </c>
      <c r="E112" s="245" t="s">
        <v>817</v>
      </c>
      <c r="F112" s="194" t="s">
        <v>646</v>
      </c>
      <c r="G112" s="209" t="s">
        <v>123</v>
      </c>
      <c r="H112" s="216">
        <v>1</v>
      </c>
      <c r="I112" s="198" t="s">
        <v>716</v>
      </c>
      <c r="J112" s="194" t="s">
        <v>762</v>
      </c>
      <c r="K112" s="210">
        <v>2423788854</v>
      </c>
      <c r="L112" s="211">
        <v>1</v>
      </c>
      <c r="M112" s="194" t="s">
        <v>46</v>
      </c>
      <c r="N112" s="194" t="s">
        <v>59</v>
      </c>
      <c r="O112" s="194" t="s">
        <v>37</v>
      </c>
      <c r="P112" s="194" t="s">
        <v>40</v>
      </c>
      <c r="Q112" s="194" t="s">
        <v>221</v>
      </c>
      <c r="R112" s="194" t="s">
        <v>648</v>
      </c>
      <c r="S112" s="194" t="s">
        <v>99</v>
      </c>
      <c r="T112" s="244">
        <v>1</v>
      </c>
      <c r="U112" s="212" t="str">
        <f t="shared" si="41"/>
        <v xml:space="preserve">Prestar los servicios especializados en gestión documental de administración, custodia, conservación, consulta, préstamo en soporte físico y magnético </v>
      </c>
      <c r="V112" s="213">
        <f t="shared" si="41"/>
        <v>2423788854</v>
      </c>
      <c r="W112" s="222" t="s">
        <v>114</v>
      </c>
      <c r="X112" s="216">
        <v>0.25</v>
      </c>
      <c r="Y112" s="214" t="s">
        <v>649</v>
      </c>
      <c r="Z112" s="210">
        <v>513255963</v>
      </c>
      <c r="AA112" s="196"/>
      <c r="AB112" s="196"/>
      <c r="AC112" s="204">
        <f t="shared" si="42"/>
        <v>0</v>
      </c>
      <c r="AD112" s="204">
        <f t="shared" si="43"/>
        <v>0</v>
      </c>
      <c r="AE112" s="204">
        <f t="shared" si="29"/>
        <v>0</v>
      </c>
      <c r="AF112" s="204">
        <f t="shared" si="30"/>
        <v>0</v>
      </c>
      <c r="AG112" s="216">
        <v>0.25</v>
      </c>
      <c r="AH112" s="214" t="s">
        <v>649</v>
      </c>
      <c r="AI112" s="210">
        <v>884020965</v>
      </c>
      <c r="AJ112" s="196"/>
      <c r="AK112" s="196"/>
      <c r="AL112" s="204">
        <f t="shared" si="44"/>
        <v>0</v>
      </c>
      <c r="AM112" s="204">
        <f t="shared" si="31"/>
        <v>0</v>
      </c>
      <c r="AN112" s="204">
        <f t="shared" si="32"/>
        <v>0</v>
      </c>
      <c r="AO112" s="204">
        <f t="shared" si="33"/>
        <v>0</v>
      </c>
      <c r="AP112" s="216">
        <v>0.25</v>
      </c>
      <c r="AQ112" s="214" t="s">
        <v>649</v>
      </c>
      <c r="AR112" s="210">
        <v>513255963</v>
      </c>
      <c r="AS112" s="196"/>
      <c r="AT112" s="196"/>
      <c r="AU112" s="204">
        <f t="shared" si="45"/>
        <v>0</v>
      </c>
      <c r="AV112" s="204">
        <f t="shared" si="46"/>
        <v>0</v>
      </c>
      <c r="AW112" s="204">
        <f t="shared" si="47"/>
        <v>0</v>
      </c>
      <c r="AX112" s="204">
        <f t="shared" si="48"/>
        <v>0</v>
      </c>
      <c r="AY112" s="216">
        <v>0.25</v>
      </c>
      <c r="AZ112" s="214" t="s">
        <v>649</v>
      </c>
      <c r="BA112" s="210">
        <v>513255963</v>
      </c>
      <c r="BB112" s="196"/>
      <c r="BC112" s="196"/>
      <c r="BD112" s="216">
        <f t="shared" si="49"/>
        <v>0</v>
      </c>
      <c r="BE112" s="216">
        <f t="shared" si="50"/>
        <v>0</v>
      </c>
      <c r="BF112" s="216">
        <f t="shared" si="51"/>
        <v>0</v>
      </c>
      <c r="BG112" s="216">
        <f t="shared" si="52"/>
        <v>0</v>
      </c>
      <c r="BH112" s="223">
        <f t="shared" si="34"/>
        <v>0</v>
      </c>
      <c r="BI112" s="223">
        <f t="shared" si="35"/>
        <v>0</v>
      </c>
      <c r="BJ112" s="223">
        <f t="shared" si="36"/>
        <v>0</v>
      </c>
      <c r="BK112" s="223">
        <f t="shared" si="37"/>
        <v>0</v>
      </c>
      <c r="BL112" s="223">
        <f t="shared" si="53"/>
        <v>0</v>
      </c>
      <c r="BM112" s="223">
        <f t="shared" si="54"/>
        <v>0</v>
      </c>
      <c r="BN112" s="223">
        <f t="shared" si="38"/>
        <v>0</v>
      </c>
      <c r="BO112" s="223">
        <f t="shared" si="39"/>
        <v>0</v>
      </c>
      <c r="BP112" s="206"/>
      <c r="BQ112" s="277">
        <v>12</v>
      </c>
      <c r="BR112" s="208">
        <f t="shared" si="40"/>
        <v>0.58333333333333337</v>
      </c>
      <c r="BS112" s="219" t="str">
        <f t="shared" si="55"/>
        <v xml:space="preserve">Prestar los servicios especializados en gestión documental de administración, custodia, conservación, consulta, préstamo en soporte físico y magnético </v>
      </c>
      <c r="BT112" s="195">
        <f t="shared" si="28"/>
        <v>1568362249</v>
      </c>
      <c r="BU112" s="196"/>
      <c r="BV112" s="196"/>
      <c r="BW112" s="196"/>
      <c r="BX112" s="196"/>
      <c r="BY112" s="196"/>
      <c r="BZ112" s="196"/>
      <c r="CA112" s="146"/>
      <c r="CB112" s="146"/>
      <c r="CC112" s="146"/>
      <c r="CD112" s="146"/>
      <c r="CE112" s="146"/>
      <c r="CF112" s="146"/>
      <c r="CG112" s="146"/>
      <c r="CH112" s="146"/>
      <c r="CI112" s="146"/>
      <c r="CJ112" s="146"/>
      <c r="CK112" s="146"/>
      <c r="CL112" s="146"/>
      <c r="CM112" s="146"/>
      <c r="CN112" s="146"/>
      <c r="CO112" s="146"/>
      <c r="CP112" s="146"/>
      <c r="CQ112" s="146"/>
      <c r="CR112" s="146"/>
      <c r="CS112" s="146"/>
      <c r="CT112" s="146"/>
      <c r="CU112" s="146"/>
      <c r="CV112" s="146"/>
      <c r="CW112" s="146"/>
      <c r="CX112" s="146"/>
      <c r="CY112" s="146"/>
      <c r="CZ112" s="146"/>
      <c r="DA112" s="146"/>
      <c r="DB112" s="146"/>
      <c r="DC112" s="146"/>
      <c r="DD112" s="146"/>
      <c r="DE112" s="146"/>
      <c r="DF112" s="146"/>
      <c r="DG112" s="146"/>
      <c r="DH112" s="146"/>
      <c r="DI112" s="146"/>
      <c r="DJ112" s="146"/>
      <c r="DK112" s="146"/>
      <c r="DL112" s="146"/>
      <c r="DM112" s="146"/>
      <c r="DN112" s="146"/>
      <c r="DO112" s="146"/>
      <c r="DP112" s="146"/>
      <c r="DQ112" s="146"/>
      <c r="DR112" s="146"/>
      <c r="DS112" s="146"/>
      <c r="DT112" s="146"/>
      <c r="DU112" s="146"/>
      <c r="DV112" s="146"/>
      <c r="DW112" s="146"/>
      <c r="DX112" s="146"/>
      <c r="DY112" s="146"/>
      <c r="DZ112" s="146"/>
      <c r="EA112" s="146"/>
      <c r="EB112" s="146"/>
      <c r="EC112" s="146"/>
      <c r="ED112" s="146"/>
      <c r="EE112" s="146"/>
      <c r="EF112" s="146"/>
      <c r="EG112" s="146"/>
      <c r="EH112" s="146"/>
      <c r="EI112" s="146"/>
      <c r="EJ112" s="146"/>
      <c r="EK112" s="146"/>
      <c r="EL112" s="146"/>
      <c r="EM112" s="146"/>
      <c r="EN112" s="146"/>
      <c r="EO112" s="146"/>
      <c r="EP112" s="146"/>
      <c r="EQ112" s="146"/>
      <c r="ER112" s="146"/>
      <c r="ES112" s="146"/>
      <c r="ET112" s="146"/>
      <c r="EU112" s="146"/>
      <c r="EV112" s="146"/>
      <c r="EW112" s="146"/>
      <c r="EX112" s="146"/>
      <c r="EY112" s="146"/>
      <c r="EZ112" s="146"/>
      <c r="FA112" s="146"/>
      <c r="FB112" s="146"/>
      <c r="FC112" s="146"/>
      <c r="FD112" s="146"/>
      <c r="FE112" s="146"/>
      <c r="FF112" s="146"/>
      <c r="FG112" s="146"/>
      <c r="FH112" s="146"/>
      <c r="FI112" s="146"/>
      <c r="FJ112" s="146"/>
      <c r="FK112" s="146"/>
      <c r="FL112" s="146"/>
      <c r="FM112" s="146"/>
      <c r="FN112" s="146"/>
      <c r="FO112" s="146"/>
      <c r="FP112" s="146"/>
      <c r="FQ112" s="146"/>
      <c r="FR112" s="146"/>
      <c r="FS112" s="146"/>
      <c r="FT112" s="146"/>
      <c r="FU112" s="146"/>
      <c r="FV112" s="146"/>
      <c r="FW112" s="146"/>
      <c r="FX112" s="146"/>
      <c r="FY112" s="146"/>
      <c r="FZ112" s="146"/>
      <c r="GA112" s="146"/>
      <c r="GB112" s="146"/>
      <c r="GC112" s="146"/>
      <c r="GD112" s="146"/>
      <c r="GE112" s="146"/>
      <c r="GF112" s="146"/>
      <c r="GG112" s="146"/>
      <c r="GH112" s="146"/>
      <c r="GI112" s="146"/>
      <c r="GJ112" s="146"/>
      <c r="GK112" s="146"/>
      <c r="GL112" s="146"/>
      <c r="GM112" s="146"/>
      <c r="GN112" s="146"/>
      <c r="GO112" s="146"/>
      <c r="GP112" s="146"/>
      <c r="GQ112" s="146"/>
      <c r="GR112" s="146"/>
      <c r="GS112" s="146"/>
      <c r="GT112" s="146"/>
      <c r="GU112" s="146"/>
      <c r="GV112" s="146"/>
      <c r="GW112" s="146"/>
      <c r="GX112" s="146"/>
      <c r="GY112" s="146"/>
      <c r="GZ112" s="146"/>
      <c r="HA112" s="146"/>
      <c r="HB112" s="146"/>
      <c r="HC112" s="146"/>
      <c r="HD112" s="146"/>
      <c r="HE112" s="146"/>
      <c r="HF112" s="146"/>
      <c r="HG112" s="146"/>
      <c r="HH112" s="146"/>
      <c r="HI112" s="146"/>
      <c r="HJ112" s="146"/>
      <c r="HK112" s="146"/>
      <c r="HL112" s="146"/>
      <c r="HM112" s="146"/>
      <c r="HN112" s="146"/>
      <c r="HO112" s="146"/>
      <c r="HP112" s="146"/>
      <c r="HQ112" s="146"/>
      <c r="HR112" s="146"/>
      <c r="HS112" s="146"/>
      <c r="HT112" s="146"/>
      <c r="HU112" s="146"/>
      <c r="HV112" s="146"/>
      <c r="HW112" s="146"/>
      <c r="HX112" s="146"/>
      <c r="HY112" s="146"/>
      <c r="HZ112" s="146"/>
      <c r="IA112" s="146"/>
    </row>
    <row r="113" spans="1:235" s="153" customFormat="1" ht="57" x14ac:dyDescent="0.25">
      <c r="A113" s="197">
        <v>11800</v>
      </c>
      <c r="B113" s="194" t="s">
        <v>5</v>
      </c>
      <c r="C113" s="198" t="s">
        <v>319</v>
      </c>
      <c r="D113" s="194" t="s">
        <v>153</v>
      </c>
      <c r="E113" s="198" t="s">
        <v>320</v>
      </c>
      <c r="F113" s="194" t="s">
        <v>133</v>
      </c>
      <c r="G113" s="209" t="s">
        <v>124</v>
      </c>
      <c r="H113" s="198">
        <v>4</v>
      </c>
      <c r="I113" s="198" t="s">
        <v>321</v>
      </c>
      <c r="J113" s="194" t="s">
        <v>24</v>
      </c>
      <c r="K113" s="210">
        <v>0</v>
      </c>
      <c r="L113" s="211">
        <v>1</v>
      </c>
      <c r="M113" s="194" t="s">
        <v>51</v>
      </c>
      <c r="N113" s="194" t="s">
        <v>68</v>
      </c>
      <c r="O113" s="194" t="s">
        <v>21</v>
      </c>
      <c r="P113" s="194" t="s">
        <v>36</v>
      </c>
      <c r="Q113" s="194" t="s">
        <v>75</v>
      </c>
      <c r="R113" s="194" t="s">
        <v>631</v>
      </c>
      <c r="S113" s="194" t="s">
        <v>98</v>
      </c>
      <c r="T113" s="221">
        <v>4</v>
      </c>
      <c r="U113" s="212" t="str">
        <f t="shared" si="41"/>
        <v>Reportar el cumplimiento del Plan de Acción de la Dependencia</v>
      </c>
      <c r="V113" s="213">
        <f t="shared" si="41"/>
        <v>0</v>
      </c>
      <c r="W113" s="214" t="s">
        <v>117</v>
      </c>
      <c r="X113" s="215">
        <v>1</v>
      </c>
      <c r="Y113" s="214" t="s">
        <v>24</v>
      </c>
      <c r="Z113" s="210">
        <v>0</v>
      </c>
      <c r="AA113" s="196"/>
      <c r="AB113" s="196"/>
      <c r="AC113" s="204">
        <f t="shared" si="42"/>
        <v>0</v>
      </c>
      <c r="AD113" s="204" t="e">
        <f t="shared" si="43"/>
        <v>#DIV/0!</v>
      </c>
      <c r="AE113" s="204">
        <f t="shared" si="29"/>
        <v>0</v>
      </c>
      <c r="AF113" s="204" t="e">
        <f t="shared" si="30"/>
        <v>#DIV/0!</v>
      </c>
      <c r="AG113" s="215">
        <v>1</v>
      </c>
      <c r="AH113" s="214" t="s">
        <v>24</v>
      </c>
      <c r="AI113" s="210">
        <v>0</v>
      </c>
      <c r="AJ113" s="196"/>
      <c r="AK113" s="196"/>
      <c r="AL113" s="204">
        <f t="shared" si="44"/>
        <v>0</v>
      </c>
      <c r="AM113" s="204" t="e">
        <f t="shared" si="31"/>
        <v>#DIV/0!</v>
      </c>
      <c r="AN113" s="204">
        <f t="shared" si="32"/>
        <v>0</v>
      </c>
      <c r="AO113" s="204" t="e">
        <f t="shared" si="33"/>
        <v>#DIV/0!</v>
      </c>
      <c r="AP113" s="215">
        <v>1</v>
      </c>
      <c r="AQ113" s="214" t="s">
        <v>24</v>
      </c>
      <c r="AR113" s="210">
        <v>0</v>
      </c>
      <c r="AS113" s="196"/>
      <c r="AT113" s="196"/>
      <c r="AU113" s="204">
        <f t="shared" si="45"/>
        <v>0</v>
      </c>
      <c r="AV113" s="204" t="e">
        <f t="shared" si="46"/>
        <v>#DIV/0!</v>
      </c>
      <c r="AW113" s="204">
        <f t="shared" si="47"/>
        <v>0</v>
      </c>
      <c r="AX113" s="204" t="e">
        <f t="shared" si="48"/>
        <v>#DIV/0!</v>
      </c>
      <c r="AY113" s="215">
        <v>1</v>
      </c>
      <c r="AZ113" s="214" t="s">
        <v>24</v>
      </c>
      <c r="BA113" s="210">
        <v>0</v>
      </c>
      <c r="BB113" s="196"/>
      <c r="BC113" s="196"/>
      <c r="BD113" s="216">
        <f t="shared" si="49"/>
        <v>0</v>
      </c>
      <c r="BE113" s="216" t="e">
        <f t="shared" si="50"/>
        <v>#DIV/0!</v>
      </c>
      <c r="BF113" s="216">
        <f t="shared" si="51"/>
        <v>0</v>
      </c>
      <c r="BG113" s="216" t="e">
        <f t="shared" si="52"/>
        <v>#DIV/0!</v>
      </c>
      <c r="BH113" s="217">
        <f t="shared" si="34"/>
        <v>0</v>
      </c>
      <c r="BI113" s="217" t="str">
        <f t="shared" si="35"/>
        <v>No Prog ni Ejec</v>
      </c>
      <c r="BJ113" s="217">
        <f t="shared" si="36"/>
        <v>0</v>
      </c>
      <c r="BK113" s="217" t="str">
        <f t="shared" si="37"/>
        <v>No Prog ni Ejec</v>
      </c>
      <c r="BL113" s="217">
        <f t="shared" si="53"/>
        <v>0</v>
      </c>
      <c r="BM113" s="217" t="str">
        <f t="shared" si="54"/>
        <v>No Prog ni Ejec</v>
      </c>
      <c r="BN113" s="217">
        <f t="shared" si="38"/>
        <v>0</v>
      </c>
      <c r="BO113" s="217" t="str">
        <f t="shared" si="39"/>
        <v>No Prog ni Ejec</v>
      </c>
      <c r="BP113" s="206"/>
      <c r="BQ113" s="277">
        <v>5</v>
      </c>
      <c r="BR113" s="218">
        <f t="shared" si="40"/>
        <v>2.3333333333333335</v>
      </c>
      <c r="BS113" s="219" t="str">
        <f t="shared" si="55"/>
        <v>Reportar el cumplimiento del Plan de Acción de la Dependencia</v>
      </c>
      <c r="BT113" s="195">
        <f t="shared" si="28"/>
        <v>0</v>
      </c>
      <c r="BU113" s="196"/>
      <c r="BV113" s="196"/>
      <c r="BW113" s="196"/>
      <c r="BX113" s="196"/>
      <c r="BY113" s="196"/>
      <c r="BZ113" s="196"/>
      <c r="CA113" s="146"/>
      <c r="CB113" s="146"/>
      <c r="CC113" s="146"/>
      <c r="CD113" s="146"/>
      <c r="CE113" s="146"/>
      <c r="CF113" s="146"/>
      <c r="CG113" s="146"/>
      <c r="CH113" s="146"/>
      <c r="CI113" s="146"/>
      <c r="CJ113" s="146"/>
      <c r="CK113" s="146"/>
      <c r="CL113" s="146"/>
      <c r="CM113" s="146"/>
      <c r="CN113" s="146"/>
      <c r="CO113" s="146"/>
      <c r="CP113" s="146"/>
      <c r="CQ113" s="146"/>
      <c r="CR113" s="146"/>
      <c r="CS113" s="146"/>
      <c r="CT113" s="146"/>
      <c r="CU113" s="146"/>
      <c r="CV113" s="146"/>
      <c r="CW113" s="146"/>
      <c r="CX113" s="146"/>
      <c r="CY113" s="146"/>
      <c r="CZ113" s="146"/>
      <c r="DA113" s="146"/>
      <c r="DB113" s="146"/>
      <c r="DC113" s="146"/>
      <c r="DD113" s="146"/>
      <c r="DE113" s="146"/>
      <c r="DF113" s="146"/>
      <c r="DG113" s="146"/>
      <c r="DH113" s="146"/>
      <c r="DI113" s="146"/>
      <c r="DJ113" s="146"/>
      <c r="DK113" s="146"/>
      <c r="DL113" s="146"/>
      <c r="DM113" s="146"/>
      <c r="DN113" s="146"/>
      <c r="DO113" s="146"/>
      <c r="DP113" s="146"/>
      <c r="DQ113" s="146"/>
      <c r="DR113" s="146"/>
      <c r="DS113" s="146"/>
      <c r="DT113" s="146"/>
      <c r="DU113" s="146"/>
      <c r="DV113" s="146"/>
      <c r="DW113" s="146"/>
      <c r="DX113" s="146"/>
      <c r="DY113" s="146"/>
      <c r="DZ113" s="146"/>
      <c r="EA113" s="146"/>
      <c r="EB113" s="146"/>
      <c r="EC113" s="146"/>
      <c r="ED113" s="146"/>
      <c r="EE113" s="146"/>
      <c r="EF113" s="146"/>
      <c r="EG113" s="146"/>
      <c r="EH113" s="146"/>
      <c r="EI113" s="146"/>
      <c r="EJ113" s="146"/>
      <c r="EK113" s="146"/>
      <c r="EL113" s="146"/>
      <c r="EM113" s="146"/>
      <c r="EN113" s="146"/>
      <c r="EO113" s="146"/>
      <c r="EP113" s="146"/>
      <c r="EQ113" s="146"/>
      <c r="ER113" s="146"/>
      <c r="ES113" s="146"/>
      <c r="ET113" s="146"/>
      <c r="EU113" s="146"/>
      <c r="EV113" s="146"/>
      <c r="EW113" s="146"/>
      <c r="EX113" s="146"/>
      <c r="EY113" s="146"/>
      <c r="EZ113" s="146"/>
      <c r="FA113" s="146"/>
      <c r="FB113" s="146"/>
      <c r="FC113" s="146"/>
      <c r="FD113" s="146"/>
      <c r="FE113" s="146"/>
      <c r="FF113" s="146"/>
      <c r="FG113" s="146"/>
      <c r="FH113" s="146"/>
      <c r="FI113" s="146"/>
      <c r="FJ113" s="146"/>
      <c r="FK113" s="146"/>
      <c r="FL113" s="146"/>
      <c r="FM113" s="146"/>
      <c r="FN113" s="146"/>
      <c r="FO113" s="146"/>
      <c r="FP113" s="146"/>
      <c r="FQ113" s="146"/>
      <c r="FR113" s="146"/>
      <c r="FS113" s="146"/>
      <c r="FT113" s="146"/>
      <c r="FU113" s="146"/>
      <c r="FV113" s="146"/>
      <c r="FW113" s="146"/>
      <c r="FX113" s="146"/>
      <c r="FY113" s="146"/>
      <c r="FZ113" s="146"/>
      <c r="GA113" s="146"/>
      <c r="GB113" s="146"/>
      <c r="GC113" s="146"/>
      <c r="GD113" s="146"/>
      <c r="GE113" s="146"/>
      <c r="GF113" s="146"/>
      <c r="GG113" s="146"/>
      <c r="GH113" s="146"/>
      <c r="GI113" s="146"/>
      <c r="GJ113" s="146"/>
      <c r="GK113" s="146"/>
      <c r="GL113" s="146"/>
      <c r="GM113" s="146"/>
      <c r="GN113" s="146"/>
      <c r="GO113" s="146"/>
      <c r="GP113" s="146"/>
      <c r="GQ113" s="146"/>
      <c r="GR113" s="146"/>
      <c r="GS113" s="146"/>
      <c r="GT113" s="146"/>
      <c r="GU113" s="146"/>
      <c r="GV113" s="146"/>
      <c r="GW113" s="146"/>
      <c r="GX113" s="146"/>
      <c r="GY113" s="146"/>
      <c r="GZ113" s="146"/>
      <c r="HA113" s="146"/>
      <c r="HB113" s="146"/>
      <c r="HC113" s="146"/>
      <c r="HD113" s="146"/>
      <c r="HE113" s="146"/>
      <c r="HF113" s="146"/>
      <c r="HG113" s="146"/>
      <c r="HH113" s="146"/>
      <c r="HI113" s="146"/>
      <c r="HJ113" s="146"/>
      <c r="HK113" s="146"/>
      <c r="HL113" s="146"/>
      <c r="HM113" s="146"/>
      <c r="HN113" s="146"/>
      <c r="HO113" s="146"/>
      <c r="HP113" s="146"/>
      <c r="HQ113" s="146"/>
      <c r="HR113" s="146"/>
      <c r="HS113" s="146"/>
      <c r="HT113" s="146"/>
      <c r="HU113" s="146"/>
      <c r="HV113" s="146"/>
      <c r="HW113" s="146"/>
      <c r="HX113" s="146"/>
      <c r="HY113" s="146"/>
      <c r="HZ113" s="146"/>
      <c r="IA113" s="146"/>
    </row>
    <row r="114" spans="1:235" s="153" customFormat="1" ht="99.75" x14ac:dyDescent="0.25">
      <c r="A114" s="197">
        <v>11800</v>
      </c>
      <c r="B114" s="194" t="s">
        <v>5</v>
      </c>
      <c r="C114" s="198" t="s">
        <v>322</v>
      </c>
      <c r="D114" s="194" t="s">
        <v>256</v>
      </c>
      <c r="E114" s="198" t="s">
        <v>323</v>
      </c>
      <c r="F114" s="194" t="s">
        <v>159</v>
      </c>
      <c r="G114" s="209" t="s">
        <v>123</v>
      </c>
      <c r="H114" s="216">
        <v>1</v>
      </c>
      <c r="I114" s="198" t="s">
        <v>326</v>
      </c>
      <c r="J114" s="194" t="s">
        <v>677</v>
      </c>
      <c r="K114" s="210">
        <v>0</v>
      </c>
      <c r="L114" s="211">
        <v>1</v>
      </c>
      <c r="M114" s="194" t="s">
        <v>51</v>
      </c>
      <c r="N114" s="194" t="s">
        <v>68</v>
      </c>
      <c r="O114" s="194" t="s">
        <v>21</v>
      </c>
      <c r="P114" s="194" t="s">
        <v>36</v>
      </c>
      <c r="Q114" s="194" t="s">
        <v>75</v>
      </c>
      <c r="R114" s="194" t="s">
        <v>672</v>
      </c>
      <c r="S114" s="194" t="s">
        <v>98</v>
      </c>
      <c r="T114" s="211">
        <v>1</v>
      </c>
      <c r="U114" s="212" t="str">
        <f t="shared" si="41"/>
        <v xml:space="preserve">Formular los proceso y procedimientos en el marco del MIPG
</v>
      </c>
      <c r="V114" s="213">
        <f t="shared" si="41"/>
        <v>0</v>
      </c>
      <c r="W114" s="214" t="s">
        <v>117</v>
      </c>
      <c r="X114" s="216">
        <v>0.25</v>
      </c>
      <c r="Y114" s="214" t="s">
        <v>677</v>
      </c>
      <c r="Z114" s="210">
        <v>0</v>
      </c>
      <c r="AA114" s="196"/>
      <c r="AB114" s="196"/>
      <c r="AC114" s="204">
        <f t="shared" si="42"/>
        <v>0</v>
      </c>
      <c r="AD114" s="204" t="e">
        <f t="shared" si="43"/>
        <v>#DIV/0!</v>
      </c>
      <c r="AE114" s="204">
        <f t="shared" si="29"/>
        <v>0</v>
      </c>
      <c r="AF114" s="204" t="e">
        <f t="shared" si="30"/>
        <v>#DIV/0!</v>
      </c>
      <c r="AG114" s="216">
        <v>0.25</v>
      </c>
      <c r="AH114" s="214" t="s">
        <v>677</v>
      </c>
      <c r="AI114" s="210">
        <v>0</v>
      </c>
      <c r="AJ114" s="196"/>
      <c r="AK114" s="196"/>
      <c r="AL114" s="204">
        <f t="shared" si="44"/>
        <v>0</v>
      </c>
      <c r="AM114" s="204" t="e">
        <f t="shared" si="31"/>
        <v>#DIV/0!</v>
      </c>
      <c r="AN114" s="204">
        <f t="shared" si="32"/>
        <v>0</v>
      </c>
      <c r="AO114" s="204" t="e">
        <f t="shared" si="33"/>
        <v>#DIV/0!</v>
      </c>
      <c r="AP114" s="216">
        <v>0.25</v>
      </c>
      <c r="AQ114" s="214" t="s">
        <v>677</v>
      </c>
      <c r="AR114" s="210">
        <v>0</v>
      </c>
      <c r="AS114" s="196"/>
      <c r="AT114" s="196"/>
      <c r="AU114" s="204">
        <f t="shared" si="45"/>
        <v>0</v>
      </c>
      <c r="AV114" s="204" t="e">
        <f t="shared" si="46"/>
        <v>#DIV/0!</v>
      </c>
      <c r="AW114" s="204">
        <f t="shared" si="47"/>
        <v>0</v>
      </c>
      <c r="AX114" s="204" t="e">
        <f t="shared" si="48"/>
        <v>#DIV/0!</v>
      </c>
      <c r="AY114" s="216">
        <v>0.25</v>
      </c>
      <c r="AZ114" s="214" t="s">
        <v>677</v>
      </c>
      <c r="BA114" s="210">
        <v>0</v>
      </c>
      <c r="BB114" s="196"/>
      <c r="BC114" s="196"/>
      <c r="BD114" s="216">
        <f t="shared" si="49"/>
        <v>0</v>
      </c>
      <c r="BE114" s="216" t="e">
        <f t="shared" si="50"/>
        <v>#DIV/0!</v>
      </c>
      <c r="BF114" s="216">
        <f t="shared" si="51"/>
        <v>0</v>
      </c>
      <c r="BG114" s="216" t="e">
        <f t="shared" si="52"/>
        <v>#DIV/0!</v>
      </c>
      <c r="BH114" s="217">
        <f t="shared" si="34"/>
        <v>0</v>
      </c>
      <c r="BI114" s="217" t="str">
        <f t="shared" si="35"/>
        <v>No Prog ni Ejec</v>
      </c>
      <c r="BJ114" s="217">
        <f t="shared" si="36"/>
        <v>0</v>
      </c>
      <c r="BK114" s="217" t="str">
        <f t="shared" si="37"/>
        <v>No Prog ni Ejec</v>
      </c>
      <c r="BL114" s="217">
        <f t="shared" si="53"/>
        <v>0</v>
      </c>
      <c r="BM114" s="217" t="str">
        <f t="shared" si="54"/>
        <v>No Prog ni Ejec</v>
      </c>
      <c r="BN114" s="217">
        <f t="shared" si="38"/>
        <v>0</v>
      </c>
      <c r="BO114" s="217" t="str">
        <f t="shared" si="39"/>
        <v>No Prog ni Ejec</v>
      </c>
      <c r="BP114" s="206"/>
      <c r="BQ114" s="277">
        <v>5</v>
      </c>
      <c r="BR114" s="208">
        <f t="shared" si="40"/>
        <v>0.58333333333333337</v>
      </c>
      <c r="BS114" s="219" t="str">
        <f t="shared" si="55"/>
        <v xml:space="preserve">Formular los proceso y procedimientos en el marco del MIPG
</v>
      </c>
      <c r="BT114" s="195">
        <f t="shared" si="28"/>
        <v>0</v>
      </c>
      <c r="BU114" s="196"/>
      <c r="BV114" s="196"/>
      <c r="BW114" s="196"/>
      <c r="BX114" s="196"/>
      <c r="BY114" s="196"/>
      <c r="BZ114" s="196"/>
      <c r="CA114" s="146"/>
      <c r="CB114" s="146"/>
      <c r="CC114" s="146"/>
      <c r="CD114" s="146"/>
      <c r="CE114" s="146"/>
      <c r="CF114" s="146"/>
      <c r="CG114" s="146"/>
      <c r="CH114" s="146"/>
      <c r="CI114" s="146"/>
      <c r="CJ114" s="146"/>
      <c r="CK114" s="146"/>
      <c r="CL114" s="146"/>
      <c r="CM114" s="146"/>
      <c r="CN114" s="146"/>
      <c r="CO114" s="146"/>
      <c r="CP114" s="146"/>
      <c r="CQ114" s="146"/>
      <c r="CR114" s="146"/>
      <c r="CS114" s="146"/>
      <c r="CT114" s="146"/>
      <c r="CU114" s="146"/>
      <c r="CV114" s="146"/>
      <c r="CW114" s="146"/>
      <c r="CX114" s="146"/>
      <c r="CY114" s="146"/>
      <c r="CZ114" s="146"/>
      <c r="DA114" s="146"/>
      <c r="DB114" s="146"/>
      <c r="DC114" s="146"/>
      <c r="DD114" s="146"/>
      <c r="DE114" s="146"/>
      <c r="DF114" s="146"/>
      <c r="DG114" s="146"/>
      <c r="DH114" s="146"/>
      <c r="DI114" s="146"/>
      <c r="DJ114" s="146"/>
      <c r="DK114" s="146"/>
      <c r="DL114" s="146"/>
      <c r="DM114" s="146"/>
      <c r="DN114" s="146"/>
      <c r="DO114" s="146"/>
      <c r="DP114" s="146"/>
      <c r="DQ114" s="146"/>
      <c r="DR114" s="146"/>
      <c r="DS114" s="146"/>
      <c r="DT114" s="146"/>
      <c r="DU114" s="146"/>
      <c r="DV114" s="146"/>
      <c r="DW114" s="146"/>
      <c r="DX114" s="146"/>
      <c r="DY114" s="146"/>
      <c r="DZ114" s="146"/>
      <c r="EA114" s="146"/>
      <c r="EB114" s="146"/>
      <c r="EC114" s="146"/>
      <c r="ED114" s="146"/>
      <c r="EE114" s="146"/>
      <c r="EF114" s="146"/>
      <c r="EG114" s="146"/>
      <c r="EH114" s="146"/>
      <c r="EI114" s="146"/>
      <c r="EJ114" s="146"/>
      <c r="EK114" s="146"/>
      <c r="EL114" s="146"/>
      <c r="EM114" s="146"/>
      <c r="EN114" s="146"/>
      <c r="EO114" s="146"/>
      <c r="EP114" s="146"/>
      <c r="EQ114" s="146"/>
      <c r="ER114" s="146"/>
      <c r="ES114" s="146"/>
      <c r="ET114" s="146"/>
      <c r="EU114" s="146"/>
      <c r="EV114" s="146"/>
      <c r="EW114" s="146"/>
      <c r="EX114" s="146"/>
      <c r="EY114" s="146"/>
      <c r="EZ114" s="146"/>
      <c r="FA114" s="146"/>
      <c r="FB114" s="146"/>
      <c r="FC114" s="146"/>
      <c r="FD114" s="146"/>
      <c r="FE114" s="146"/>
      <c r="FF114" s="146"/>
      <c r="FG114" s="146"/>
      <c r="FH114" s="146"/>
      <c r="FI114" s="146"/>
      <c r="FJ114" s="146"/>
      <c r="FK114" s="146"/>
      <c r="FL114" s="146"/>
      <c r="FM114" s="146"/>
      <c r="FN114" s="146"/>
      <c r="FO114" s="146"/>
      <c r="FP114" s="146"/>
      <c r="FQ114" s="146"/>
      <c r="FR114" s="146"/>
      <c r="FS114" s="146"/>
      <c r="FT114" s="146"/>
      <c r="FU114" s="146"/>
      <c r="FV114" s="146"/>
      <c r="FW114" s="146"/>
      <c r="FX114" s="146"/>
      <c r="FY114" s="146"/>
      <c r="FZ114" s="146"/>
      <c r="GA114" s="146"/>
      <c r="GB114" s="146"/>
      <c r="GC114" s="146"/>
      <c r="GD114" s="146"/>
      <c r="GE114" s="146"/>
      <c r="GF114" s="146"/>
      <c r="GG114" s="146"/>
      <c r="GH114" s="146"/>
      <c r="GI114" s="146"/>
      <c r="GJ114" s="146"/>
      <c r="GK114" s="146"/>
      <c r="GL114" s="146"/>
      <c r="GM114" s="146"/>
      <c r="GN114" s="146"/>
      <c r="GO114" s="146"/>
      <c r="GP114" s="146"/>
      <c r="GQ114" s="146"/>
      <c r="GR114" s="146"/>
      <c r="GS114" s="146"/>
      <c r="GT114" s="146"/>
      <c r="GU114" s="146"/>
      <c r="GV114" s="146"/>
      <c r="GW114" s="146"/>
      <c r="GX114" s="146"/>
      <c r="GY114" s="146"/>
      <c r="GZ114" s="146"/>
      <c r="HA114" s="146"/>
      <c r="HB114" s="146"/>
      <c r="HC114" s="146"/>
      <c r="HD114" s="146"/>
      <c r="HE114" s="146"/>
      <c r="HF114" s="146"/>
      <c r="HG114" s="146"/>
      <c r="HH114" s="146"/>
      <c r="HI114" s="146"/>
      <c r="HJ114" s="146"/>
      <c r="HK114" s="146"/>
      <c r="HL114" s="146"/>
      <c r="HM114" s="146"/>
      <c r="HN114" s="146"/>
      <c r="HO114" s="146"/>
      <c r="HP114" s="146"/>
      <c r="HQ114" s="146"/>
      <c r="HR114" s="146"/>
      <c r="HS114" s="146"/>
      <c r="HT114" s="146"/>
      <c r="HU114" s="146"/>
      <c r="HV114" s="146"/>
      <c r="HW114" s="146"/>
      <c r="HX114" s="146"/>
      <c r="HY114" s="146"/>
      <c r="HZ114" s="146"/>
      <c r="IA114" s="146"/>
    </row>
    <row r="115" spans="1:235" s="153" customFormat="1" ht="99.75" x14ac:dyDescent="0.25">
      <c r="A115" s="197">
        <v>11800</v>
      </c>
      <c r="B115" s="194" t="s">
        <v>5</v>
      </c>
      <c r="C115" s="198" t="s">
        <v>322</v>
      </c>
      <c r="D115" s="194" t="s">
        <v>256</v>
      </c>
      <c r="E115" s="198" t="s">
        <v>325</v>
      </c>
      <c r="F115" s="194" t="s">
        <v>127</v>
      </c>
      <c r="G115" s="209" t="s">
        <v>123</v>
      </c>
      <c r="H115" s="211">
        <v>1</v>
      </c>
      <c r="I115" s="198" t="s">
        <v>327</v>
      </c>
      <c r="J115" s="194" t="s">
        <v>128</v>
      </c>
      <c r="K115" s="210">
        <v>0</v>
      </c>
      <c r="L115" s="211">
        <v>1</v>
      </c>
      <c r="M115" s="194" t="s">
        <v>51</v>
      </c>
      <c r="N115" s="194" t="s">
        <v>68</v>
      </c>
      <c r="O115" s="194" t="s">
        <v>21</v>
      </c>
      <c r="P115" s="194" t="s">
        <v>36</v>
      </c>
      <c r="Q115" s="194" t="s">
        <v>75</v>
      </c>
      <c r="R115" s="194" t="s">
        <v>570</v>
      </c>
      <c r="S115" s="194" t="s">
        <v>98</v>
      </c>
      <c r="T115" s="211">
        <v>1</v>
      </c>
      <c r="U115" s="212" t="str">
        <f t="shared" si="41"/>
        <v>Remitir informes trimestrales de los indicadores formulados y las acciones de mejoras</v>
      </c>
      <c r="V115" s="213">
        <f t="shared" si="41"/>
        <v>0</v>
      </c>
      <c r="W115" s="214" t="s">
        <v>117</v>
      </c>
      <c r="X115" s="216">
        <v>0</v>
      </c>
      <c r="Y115" s="214" t="s">
        <v>128</v>
      </c>
      <c r="Z115" s="210">
        <v>0</v>
      </c>
      <c r="AA115" s="196"/>
      <c r="AB115" s="196"/>
      <c r="AC115" s="204" t="e">
        <f t="shared" si="42"/>
        <v>#DIV/0!</v>
      </c>
      <c r="AD115" s="204" t="e">
        <f t="shared" si="43"/>
        <v>#DIV/0!</v>
      </c>
      <c r="AE115" s="204">
        <f t="shared" si="29"/>
        <v>0</v>
      </c>
      <c r="AF115" s="204" t="e">
        <f t="shared" si="30"/>
        <v>#DIV/0!</v>
      </c>
      <c r="AG115" s="216">
        <v>0</v>
      </c>
      <c r="AH115" s="214" t="s">
        <v>128</v>
      </c>
      <c r="AI115" s="210">
        <v>0</v>
      </c>
      <c r="AJ115" s="196"/>
      <c r="AK115" s="196"/>
      <c r="AL115" s="204" t="e">
        <f t="shared" si="44"/>
        <v>#DIV/0!</v>
      </c>
      <c r="AM115" s="204" t="e">
        <f t="shared" si="31"/>
        <v>#DIV/0!</v>
      </c>
      <c r="AN115" s="204">
        <f t="shared" si="32"/>
        <v>0</v>
      </c>
      <c r="AO115" s="204" t="e">
        <f t="shared" si="33"/>
        <v>#DIV/0!</v>
      </c>
      <c r="AP115" s="216">
        <v>0</v>
      </c>
      <c r="AQ115" s="214" t="s">
        <v>128</v>
      </c>
      <c r="AR115" s="210">
        <v>0</v>
      </c>
      <c r="AS115" s="196"/>
      <c r="AT115" s="196"/>
      <c r="AU115" s="204" t="e">
        <f t="shared" si="45"/>
        <v>#DIV/0!</v>
      </c>
      <c r="AV115" s="204" t="e">
        <f t="shared" si="46"/>
        <v>#DIV/0!</v>
      </c>
      <c r="AW115" s="204">
        <f t="shared" si="47"/>
        <v>0</v>
      </c>
      <c r="AX115" s="204" t="e">
        <f t="shared" si="48"/>
        <v>#DIV/0!</v>
      </c>
      <c r="AY115" s="216">
        <v>1</v>
      </c>
      <c r="AZ115" s="214" t="s">
        <v>128</v>
      </c>
      <c r="BA115" s="210">
        <v>0</v>
      </c>
      <c r="BB115" s="196"/>
      <c r="BC115" s="196"/>
      <c r="BD115" s="216">
        <f t="shared" si="49"/>
        <v>0</v>
      </c>
      <c r="BE115" s="216" t="e">
        <f t="shared" si="50"/>
        <v>#DIV/0!</v>
      </c>
      <c r="BF115" s="216">
        <f t="shared" si="51"/>
        <v>0</v>
      </c>
      <c r="BG115" s="216" t="e">
        <f t="shared" si="52"/>
        <v>#DIV/0!</v>
      </c>
      <c r="BH115" s="217" t="str">
        <f t="shared" si="34"/>
        <v>No Prog ni Ejec</v>
      </c>
      <c r="BI115" s="217" t="str">
        <f t="shared" si="35"/>
        <v>No Prog ni Ejec</v>
      </c>
      <c r="BJ115" s="217" t="str">
        <f t="shared" si="36"/>
        <v>No Prog ni Ejec</v>
      </c>
      <c r="BK115" s="217" t="str">
        <f t="shared" si="37"/>
        <v>No Prog ni Ejec</v>
      </c>
      <c r="BL115" s="217" t="str">
        <f t="shared" si="53"/>
        <v>No Prog ni Ejec</v>
      </c>
      <c r="BM115" s="217" t="str">
        <f t="shared" si="54"/>
        <v>No Prog ni Ejec</v>
      </c>
      <c r="BN115" s="217">
        <f t="shared" si="38"/>
        <v>0</v>
      </c>
      <c r="BO115" s="217" t="str">
        <f t="shared" si="39"/>
        <v>No Prog ni Ejec</v>
      </c>
      <c r="BP115" s="206"/>
      <c r="BQ115" s="277">
        <v>5</v>
      </c>
      <c r="BR115" s="208">
        <f t="shared" si="40"/>
        <v>0</v>
      </c>
      <c r="BS115" s="219" t="str">
        <f t="shared" si="55"/>
        <v>Remitir informes trimestrales de los indicadores formulados y las acciones de mejoras</v>
      </c>
      <c r="BT115" s="195">
        <f t="shared" si="28"/>
        <v>0</v>
      </c>
      <c r="BU115" s="196"/>
      <c r="BV115" s="196"/>
      <c r="BW115" s="196"/>
      <c r="BX115" s="196"/>
      <c r="BY115" s="196"/>
      <c r="BZ115" s="196"/>
      <c r="CA115" s="146"/>
      <c r="CB115" s="146"/>
      <c r="CC115" s="146"/>
      <c r="CD115" s="146"/>
      <c r="CE115" s="146"/>
      <c r="CF115" s="146"/>
      <c r="CG115" s="146"/>
      <c r="CH115" s="146"/>
      <c r="CI115" s="146"/>
      <c r="CJ115" s="146"/>
      <c r="CK115" s="146"/>
      <c r="CL115" s="146"/>
      <c r="CM115" s="146"/>
      <c r="CN115" s="146"/>
      <c r="CO115" s="146"/>
      <c r="CP115" s="146"/>
      <c r="CQ115" s="146"/>
      <c r="CR115" s="146"/>
      <c r="CS115" s="146"/>
      <c r="CT115" s="146"/>
      <c r="CU115" s="146"/>
      <c r="CV115" s="146"/>
      <c r="CW115" s="146"/>
      <c r="CX115" s="146"/>
      <c r="CY115" s="146"/>
      <c r="CZ115" s="146"/>
      <c r="DA115" s="146"/>
      <c r="DB115" s="146"/>
      <c r="DC115" s="146"/>
      <c r="DD115" s="146"/>
      <c r="DE115" s="146"/>
      <c r="DF115" s="146"/>
      <c r="DG115" s="146"/>
      <c r="DH115" s="146"/>
      <c r="DI115" s="146"/>
      <c r="DJ115" s="146"/>
      <c r="DK115" s="146"/>
      <c r="DL115" s="146"/>
      <c r="DM115" s="146"/>
      <c r="DN115" s="146"/>
      <c r="DO115" s="146"/>
      <c r="DP115" s="146"/>
      <c r="DQ115" s="146"/>
      <c r="DR115" s="146"/>
      <c r="DS115" s="146"/>
      <c r="DT115" s="146"/>
      <c r="DU115" s="146"/>
      <c r="DV115" s="146"/>
      <c r="DW115" s="146"/>
      <c r="DX115" s="146"/>
      <c r="DY115" s="146"/>
      <c r="DZ115" s="146"/>
      <c r="EA115" s="146"/>
      <c r="EB115" s="146"/>
      <c r="EC115" s="146"/>
      <c r="ED115" s="146"/>
      <c r="EE115" s="146"/>
      <c r="EF115" s="146"/>
      <c r="EG115" s="146"/>
      <c r="EH115" s="146"/>
      <c r="EI115" s="146"/>
      <c r="EJ115" s="146"/>
      <c r="EK115" s="146"/>
      <c r="EL115" s="146"/>
      <c r="EM115" s="146"/>
      <c r="EN115" s="146"/>
      <c r="EO115" s="146"/>
      <c r="EP115" s="146"/>
      <c r="EQ115" s="146"/>
      <c r="ER115" s="146"/>
      <c r="ES115" s="146"/>
      <c r="ET115" s="146"/>
      <c r="EU115" s="146"/>
      <c r="EV115" s="146"/>
      <c r="EW115" s="146"/>
      <c r="EX115" s="146"/>
      <c r="EY115" s="146"/>
      <c r="EZ115" s="146"/>
      <c r="FA115" s="146"/>
      <c r="FB115" s="146"/>
      <c r="FC115" s="146"/>
      <c r="FD115" s="146"/>
      <c r="FE115" s="146"/>
      <c r="FF115" s="146"/>
      <c r="FG115" s="146"/>
      <c r="FH115" s="146"/>
      <c r="FI115" s="146"/>
      <c r="FJ115" s="146"/>
      <c r="FK115" s="146"/>
      <c r="FL115" s="146"/>
      <c r="FM115" s="146"/>
      <c r="FN115" s="146"/>
      <c r="FO115" s="146"/>
      <c r="FP115" s="146"/>
      <c r="FQ115" s="146"/>
      <c r="FR115" s="146"/>
      <c r="FS115" s="146"/>
      <c r="FT115" s="146"/>
      <c r="FU115" s="146"/>
      <c r="FV115" s="146"/>
      <c r="FW115" s="146"/>
      <c r="FX115" s="146"/>
      <c r="FY115" s="146"/>
      <c r="FZ115" s="146"/>
      <c r="GA115" s="146"/>
      <c r="GB115" s="146"/>
      <c r="GC115" s="146"/>
      <c r="GD115" s="146"/>
      <c r="GE115" s="146"/>
      <c r="GF115" s="146"/>
      <c r="GG115" s="146"/>
      <c r="GH115" s="146"/>
      <c r="GI115" s="146"/>
      <c r="GJ115" s="146"/>
      <c r="GK115" s="146"/>
      <c r="GL115" s="146"/>
      <c r="GM115" s="146"/>
      <c r="GN115" s="146"/>
      <c r="GO115" s="146"/>
      <c r="GP115" s="146"/>
      <c r="GQ115" s="146"/>
      <c r="GR115" s="146"/>
      <c r="GS115" s="146"/>
      <c r="GT115" s="146"/>
      <c r="GU115" s="146"/>
      <c r="GV115" s="146"/>
      <c r="GW115" s="146"/>
      <c r="GX115" s="146"/>
      <c r="GY115" s="146"/>
      <c r="GZ115" s="146"/>
      <c r="HA115" s="146"/>
      <c r="HB115" s="146"/>
      <c r="HC115" s="146"/>
      <c r="HD115" s="146"/>
      <c r="HE115" s="146"/>
      <c r="HF115" s="146"/>
      <c r="HG115" s="146"/>
      <c r="HH115" s="146"/>
      <c r="HI115" s="146"/>
      <c r="HJ115" s="146"/>
      <c r="HK115" s="146"/>
      <c r="HL115" s="146"/>
      <c r="HM115" s="146"/>
      <c r="HN115" s="146"/>
      <c r="HO115" s="146"/>
      <c r="HP115" s="146"/>
      <c r="HQ115" s="146"/>
      <c r="HR115" s="146"/>
      <c r="HS115" s="146"/>
      <c r="HT115" s="146"/>
      <c r="HU115" s="146"/>
      <c r="HV115" s="146"/>
      <c r="HW115" s="146"/>
      <c r="HX115" s="146"/>
      <c r="HY115" s="146"/>
      <c r="HZ115" s="146"/>
      <c r="IA115" s="146"/>
    </row>
    <row r="116" spans="1:235" s="153" customFormat="1" ht="99.75" x14ac:dyDescent="0.25">
      <c r="A116" s="197">
        <v>11800</v>
      </c>
      <c r="B116" s="194" t="s">
        <v>5</v>
      </c>
      <c r="C116" s="198" t="s">
        <v>333</v>
      </c>
      <c r="D116" s="194" t="s">
        <v>256</v>
      </c>
      <c r="E116" s="198" t="s">
        <v>324</v>
      </c>
      <c r="F116" s="201" t="s">
        <v>678</v>
      </c>
      <c r="G116" s="209" t="s">
        <v>123</v>
      </c>
      <c r="H116" s="246">
        <v>1</v>
      </c>
      <c r="I116" s="198" t="s">
        <v>339</v>
      </c>
      <c r="J116" s="194" t="s">
        <v>334</v>
      </c>
      <c r="K116" s="210">
        <v>0</v>
      </c>
      <c r="L116" s="211">
        <v>1</v>
      </c>
      <c r="M116" s="194" t="s">
        <v>50</v>
      </c>
      <c r="N116" s="194" t="s">
        <v>64</v>
      </c>
      <c r="O116" s="194" t="s">
        <v>37</v>
      </c>
      <c r="P116" s="194" t="s">
        <v>39</v>
      </c>
      <c r="Q116" s="194" t="s">
        <v>230</v>
      </c>
      <c r="R116" s="201" t="s">
        <v>342</v>
      </c>
      <c r="S116" s="194" t="s">
        <v>105</v>
      </c>
      <c r="T116" s="211">
        <v>1</v>
      </c>
      <c r="U116" s="212" t="str">
        <f t="shared" si="41"/>
        <v>Realizar las auditorías internas, de acuerdo a lo programado para la vigencia.</v>
      </c>
      <c r="V116" s="213">
        <f t="shared" si="41"/>
        <v>0</v>
      </c>
      <c r="W116" s="214" t="s">
        <v>117</v>
      </c>
      <c r="X116" s="216">
        <v>0.25</v>
      </c>
      <c r="Y116" s="214" t="s">
        <v>334</v>
      </c>
      <c r="Z116" s="210">
        <v>0</v>
      </c>
      <c r="AA116" s="196"/>
      <c r="AB116" s="196"/>
      <c r="AC116" s="204">
        <f t="shared" si="42"/>
        <v>0</v>
      </c>
      <c r="AD116" s="204" t="e">
        <f t="shared" si="43"/>
        <v>#DIV/0!</v>
      </c>
      <c r="AE116" s="204">
        <f t="shared" si="29"/>
        <v>0</v>
      </c>
      <c r="AF116" s="204" t="e">
        <f t="shared" si="30"/>
        <v>#DIV/0!</v>
      </c>
      <c r="AG116" s="216">
        <v>0.25</v>
      </c>
      <c r="AH116" s="214" t="s">
        <v>334</v>
      </c>
      <c r="AI116" s="210">
        <v>0</v>
      </c>
      <c r="AJ116" s="196"/>
      <c r="AK116" s="196"/>
      <c r="AL116" s="204">
        <f t="shared" si="44"/>
        <v>0</v>
      </c>
      <c r="AM116" s="204" t="e">
        <f t="shared" si="31"/>
        <v>#DIV/0!</v>
      </c>
      <c r="AN116" s="204">
        <f t="shared" si="32"/>
        <v>0</v>
      </c>
      <c r="AO116" s="204" t="e">
        <f t="shared" si="33"/>
        <v>#DIV/0!</v>
      </c>
      <c r="AP116" s="216">
        <v>0.25</v>
      </c>
      <c r="AQ116" s="214" t="s">
        <v>334</v>
      </c>
      <c r="AR116" s="210">
        <v>0</v>
      </c>
      <c r="AS116" s="196"/>
      <c r="AT116" s="196"/>
      <c r="AU116" s="204">
        <f t="shared" si="45"/>
        <v>0</v>
      </c>
      <c r="AV116" s="204" t="e">
        <f t="shared" si="46"/>
        <v>#DIV/0!</v>
      </c>
      <c r="AW116" s="204">
        <f t="shared" si="47"/>
        <v>0</v>
      </c>
      <c r="AX116" s="204" t="e">
        <f t="shared" si="48"/>
        <v>#DIV/0!</v>
      </c>
      <c r="AY116" s="216">
        <v>0.25</v>
      </c>
      <c r="AZ116" s="214" t="s">
        <v>334</v>
      </c>
      <c r="BA116" s="210">
        <v>0</v>
      </c>
      <c r="BB116" s="196"/>
      <c r="BC116" s="196"/>
      <c r="BD116" s="216">
        <f t="shared" si="49"/>
        <v>0</v>
      </c>
      <c r="BE116" s="216" t="e">
        <f t="shared" si="50"/>
        <v>#DIV/0!</v>
      </c>
      <c r="BF116" s="216">
        <f t="shared" si="51"/>
        <v>0</v>
      </c>
      <c r="BG116" s="216" t="e">
        <f t="shared" si="52"/>
        <v>#DIV/0!</v>
      </c>
      <c r="BH116" s="217">
        <f t="shared" si="34"/>
        <v>0</v>
      </c>
      <c r="BI116" s="217" t="str">
        <f t="shared" si="35"/>
        <v>No Prog ni Ejec</v>
      </c>
      <c r="BJ116" s="217">
        <f t="shared" si="36"/>
        <v>0</v>
      </c>
      <c r="BK116" s="217" t="str">
        <f t="shared" si="37"/>
        <v>No Prog ni Ejec</v>
      </c>
      <c r="BL116" s="217">
        <f t="shared" si="53"/>
        <v>0</v>
      </c>
      <c r="BM116" s="217" t="str">
        <f t="shared" si="54"/>
        <v>No Prog ni Ejec</v>
      </c>
      <c r="BN116" s="217">
        <f t="shared" si="38"/>
        <v>0</v>
      </c>
      <c r="BO116" s="217" t="str">
        <f t="shared" si="39"/>
        <v>No Prog ni Ejec</v>
      </c>
      <c r="BP116" s="206"/>
      <c r="BQ116" s="277">
        <v>7</v>
      </c>
      <c r="BR116" s="208">
        <f t="shared" si="40"/>
        <v>0.58333333333333337</v>
      </c>
      <c r="BS116" s="219" t="str">
        <f t="shared" si="55"/>
        <v>Realizar las auditorías internas, de acuerdo a lo programado para la vigencia.</v>
      </c>
      <c r="BT116" s="195">
        <f t="shared" si="28"/>
        <v>0</v>
      </c>
      <c r="BU116" s="196"/>
      <c r="BV116" s="196"/>
      <c r="BW116" s="196"/>
      <c r="BX116" s="196"/>
      <c r="BY116" s="196"/>
      <c r="BZ116" s="196"/>
      <c r="CA116" s="146"/>
      <c r="CB116" s="146"/>
      <c r="CC116" s="146"/>
      <c r="CD116" s="146"/>
      <c r="CE116" s="146"/>
      <c r="CF116" s="146"/>
      <c r="CG116" s="146"/>
      <c r="CH116" s="146"/>
      <c r="CI116" s="146"/>
      <c r="CJ116" s="146"/>
      <c r="CK116" s="146"/>
      <c r="CL116" s="146"/>
      <c r="CM116" s="146"/>
      <c r="CN116" s="146"/>
      <c r="CO116" s="146"/>
      <c r="CP116" s="146"/>
      <c r="CQ116" s="146"/>
      <c r="CR116" s="146"/>
      <c r="CS116" s="146"/>
      <c r="CT116" s="146"/>
      <c r="CU116" s="146"/>
      <c r="CV116" s="146"/>
      <c r="CW116" s="146"/>
      <c r="CX116" s="146"/>
      <c r="CY116" s="146"/>
      <c r="CZ116" s="146"/>
      <c r="DA116" s="146"/>
      <c r="DB116" s="146"/>
      <c r="DC116" s="146"/>
      <c r="DD116" s="146"/>
      <c r="DE116" s="146"/>
      <c r="DF116" s="146"/>
      <c r="DG116" s="146"/>
      <c r="DH116" s="146"/>
      <c r="DI116" s="146"/>
      <c r="DJ116" s="146"/>
      <c r="DK116" s="146"/>
      <c r="DL116" s="146"/>
      <c r="DM116" s="146"/>
      <c r="DN116" s="146"/>
      <c r="DO116" s="146"/>
      <c r="DP116" s="146"/>
      <c r="DQ116" s="146"/>
      <c r="DR116" s="146"/>
      <c r="DS116" s="146"/>
      <c r="DT116" s="146"/>
      <c r="DU116" s="146"/>
      <c r="DV116" s="146"/>
      <c r="DW116" s="146"/>
      <c r="DX116" s="146"/>
      <c r="DY116" s="146"/>
      <c r="DZ116" s="146"/>
      <c r="EA116" s="146"/>
      <c r="EB116" s="146"/>
      <c r="EC116" s="146"/>
      <c r="ED116" s="146"/>
      <c r="EE116" s="146"/>
      <c r="EF116" s="146"/>
      <c r="EG116" s="146"/>
      <c r="EH116" s="146"/>
      <c r="EI116" s="146"/>
      <c r="EJ116" s="146"/>
      <c r="EK116" s="146"/>
      <c r="EL116" s="146"/>
      <c r="EM116" s="146"/>
      <c r="EN116" s="146"/>
      <c r="EO116" s="146"/>
      <c r="EP116" s="146"/>
      <c r="EQ116" s="146"/>
      <c r="ER116" s="146"/>
      <c r="ES116" s="146"/>
      <c r="ET116" s="146"/>
      <c r="EU116" s="146"/>
      <c r="EV116" s="146"/>
      <c r="EW116" s="146"/>
      <c r="EX116" s="146"/>
      <c r="EY116" s="146"/>
      <c r="EZ116" s="146"/>
      <c r="FA116" s="146"/>
      <c r="FB116" s="146"/>
      <c r="FC116" s="146"/>
      <c r="FD116" s="146"/>
      <c r="FE116" s="146"/>
      <c r="FF116" s="146"/>
      <c r="FG116" s="146"/>
      <c r="FH116" s="146"/>
      <c r="FI116" s="146"/>
      <c r="FJ116" s="146"/>
      <c r="FK116" s="146"/>
      <c r="FL116" s="146"/>
      <c r="FM116" s="146"/>
      <c r="FN116" s="146"/>
      <c r="FO116" s="146"/>
      <c r="FP116" s="146"/>
      <c r="FQ116" s="146"/>
      <c r="FR116" s="146"/>
      <c r="FS116" s="146"/>
      <c r="FT116" s="146"/>
      <c r="FU116" s="146"/>
      <c r="FV116" s="146"/>
      <c r="FW116" s="146"/>
      <c r="FX116" s="146"/>
      <c r="FY116" s="146"/>
      <c r="FZ116" s="146"/>
      <c r="GA116" s="146"/>
      <c r="GB116" s="146"/>
      <c r="GC116" s="146"/>
      <c r="GD116" s="146"/>
      <c r="GE116" s="146"/>
      <c r="GF116" s="146"/>
      <c r="GG116" s="146"/>
      <c r="GH116" s="146"/>
      <c r="GI116" s="146"/>
      <c r="GJ116" s="146"/>
      <c r="GK116" s="146"/>
      <c r="GL116" s="146"/>
      <c r="GM116" s="146"/>
      <c r="GN116" s="146"/>
      <c r="GO116" s="146"/>
      <c r="GP116" s="146"/>
      <c r="GQ116" s="146"/>
      <c r="GR116" s="146"/>
      <c r="GS116" s="146"/>
      <c r="GT116" s="146"/>
      <c r="GU116" s="146"/>
      <c r="GV116" s="146"/>
      <c r="GW116" s="146"/>
      <c r="GX116" s="146"/>
      <c r="GY116" s="146"/>
      <c r="GZ116" s="146"/>
      <c r="HA116" s="146"/>
      <c r="HB116" s="146"/>
      <c r="HC116" s="146"/>
      <c r="HD116" s="146"/>
      <c r="HE116" s="146"/>
      <c r="HF116" s="146"/>
      <c r="HG116" s="146"/>
      <c r="HH116" s="146"/>
      <c r="HI116" s="146"/>
      <c r="HJ116" s="146"/>
      <c r="HK116" s="146"/>
      <c r="HL116" s="146"/>
      <c r="HM116" s="146"/>
      <c r="HN116" s="146"/>
      <c r="HO116" s="146"/>
      <c r="HP116" s="146"/>
      <c r="HQ116" s="146"/>
      <c r="HR116" s="146"/>
      <c r="HS116" s="146"/>
      <c r="HT116" s="146"/>
      <c r="HU116" s="146"/>
      <c r="HV116" s="146"/>
      <c r="HW116" s="146"/>
      <c r="HX116" s="146"/>
      <c r="HY116" s="146"/>
      <c r="HZ116" s="146"/>
      <c r="IA116" s="146"/>
    </row>
    <row r="117" spans="1:235" s="153" customFormat="1" ht="99.75" x14ac:dyDescent="0.25">
      <c r="A117" s="197">
        <v>11800</v>
      </c>
      <c r="B117" s="194" t="s">
        <v>5</v>
      </c>
      <c r="C117" s="198" t="s">
        <v>345</v>
      </c>
      <c r="D117" s="194" t="s">
        <v>256</v>
      </c>
      <c r="E117" s="198" t="s">
        <v>552</v>
      </c>
      <c r="F117" s="194" t="s">
        <v>679</v>
      </c>
      <c r="G117" s="209" t="s">
        <v>123</v>
      </c>
      <c r="H117" s="246">
        <v>1</v>
      </c>
      <c r="I117" s="198" t="s">
        <v>553</v>
      </c>
      <c r="J117" s="194" t="s">
        <v>335</v>
      </c>
      <c r="K117" s="210">
        <v>0</v>
      </c>
      <c r="L117" s="211">
        <v>1</v>
      </c>
      <c r="M117" s="194" t="s">
        <v>50</v>
      </c>
      <c r="N117" s="194" t="s">
        <v>64</v>
      </c>
      <c r="O117" s="194" t="s">
        <v>37</v>
      </c>
      <c r="P117" s="194" t="s">
        <v>39</v>
      </c>
      <c r="Q117" s="194" t="s">
        <v>230</v>
      </c>
      <c r="R117" s="194" t="s">
        <v>343</v>
      </c>
      <c r="S117" s="194" t="s">
        <v>105</v>
      </c>
      <c r="T117" s="211">
        <v>1</v>
      </c>
      <c r="U117" s="212" t="str">
        <f t="shared" si="41"/>
        <v>Dar respuesta a requerimientos de carácter interno en el marco de la normatividad vigente</v>
      </c>
      <c r="V117" s="213">
        <f t="shared" si="41"/>
        <v>0</v>
      </c>
      <c r="W117" s="214" t="s">
        <v>117</v>
      </c>
      <c r="X117" s="216">
        <v>0.25</v>
      </c>
      <c r="Y117" s="214" t="s">
        <v>335</v>
      </c>
      <c r="Z117" s="210">
        <v>0</v>
      </c>
      <c r="AA117" s="196"/>
      <c r="AB117" s="196"/>
      <c r="AC117" s="204">
        <f t="shared" si="42"/>
        <v>0</v>
      </c>
      <c r="AD117" s="204" t="e">
        <f t="shared" si="43"/>
        <v>#DIV/0!</v>
      </c>
      <c r="AE117" s="204">
        <f t="shared" si="29"/>
        <v>0</v>
      </c>
      <c r="AF117" s="204" t="e">
        <f t="shared" si="30"/>
        <v>#DIV/0!</v>
      </c>
      <c r="AG117" s="216">
        <v>0.25</v>
      </c>
      <c r="AH117" s="214" t="s">
        <v>335</v>
      </c>
      <c r="AI117" s="210">
        <v>0</v>
      </c>
      <c r="AJ117" s="196"/>
      <c r="AK117" s="196"/>
      <c r="AL117" s="204">
        <f t="shared" si="44"/>
        <v>0</v>
      </c>
      <c r="AM117" s="204" t="e">
        <f t="shared" si="31"/>
        <v>#DIV/0!</v>
      </c>
      <c r="AN117" s="204">
        <f t="shared" si="32"/>
        <v>0</v>
      </c>
      <c r="AO117" s="204" t="e">
        <f t="shared" si="33"/>
        <v>#DIV/0!</v>
      </c>
      <c r="AP117" s="216">
        <v>0.25</v>
      </c>
      <c r="AQ117" s="214" t="s">
        <v>335</v>
      </c>
      <c r="AR117" s="210">
        <v>0</v>
      </c>
      <c r="AS117" s="196"/>
      <c r="AT117" s="196"/>
      <c r="AU117" s="204">
        <f t="shared" si="45"/>
        <v>0</v>
      </c>
      <c r="AV117" s="204" t="e">
        <f t="shared" si="46"/>
        <v>#DIV/0!</v>
      </c>
      <c r="AW117" s="204">
        <f t="shared" si="47"/>
        <v>0</v>
      </c>
      <c r="AX117" s="204" t="e">
        <f t="shared" si="48"/>
        <v>#DIV/0!</v>
      </c>
      <c r="AY117" s="216">
        <v>0.25</v>
      </c>
      <c r="AZ117" s="214" t="s">
        <v>335</v>
      </c>
      <c r="BA117" s="210">
        <v>0</v>
      </c>
      <c r="BB117" s="196"/>
      <c r="BC117" s="196"/>
      <c r="BD117" s="216">
        <f t="shared" si="49"/>
        <v>0</v>
      </c>
      <c r="BE117" s="216" t="e">
        <f t="shared" si="50"/>
        <v>#DIV/0!</v>
      </c>
      <c r="BF117" s="216">
        <f t="shared" si="51"/>
        <v>0</v>
      </c>
      <c r="BG117" s="216" t="e">
        <f t="shared" si="52"/>
        <v>#DIV/0!</v>
      </c>
      <c r="BH117" s="217">
        <f t="shared" si="34"/>
        <v>0</v>
      </c>
      <c r="BI117" s="217" t="str">
        <f t="shared" si="35"/>
        <v>No Prog ni Ejec</v>
      </c>
      <c r="BJ117" s="217">
        <f t="shared" si="36"/>
        <v>0</v>
      </c>
      <c r="BK117" s="217" t="str">
        <f t="shared" si="37"/>
        <v>No Prog ni Ejec</v>
      </c>
      <c r="BL117" s="217">
        <f t="shared" si="53"/>
        <v>0</v>
      </c>
      <c r="BM117" s="217" t="str">
        <f t="shared" si="54"/>
        <v>No Prog ni Ejec</v>
      </c>
      <c r="BN117" s="217">
        <f t="shared" si="38"/>
        <v>0</v>
      </c>
      <c r="BO117" s="217" t="str">
        <f t="shared" si="39"/>
        <v>No Prog ni Ejec</v>
      </c>
      <c r="BP117" s="206"/>
      <c r="BQ117" s="277">
        <v>7</v>
      </c>
      <c r="BR117" s="208">
        <f t="shared" si="40"/>
        <v>0.58333333333333337</v>
      </c>
      <c r="BS117" s="219" t="str">
        <f t="shared" si="55"/>
        <v>Dar respuesta a requerimientos de carácter interno en el marco de la normatividad vigente</v>
      </c>
      <c r="BT117" s="195">
        <f t="shared" si="28"/>
        <v>0</v>
      </c>
      <c r="BU117" s="196"/>
      <c r="BV117" s="196"/>
      <c r="BW117" s="196"/>
      <c r="BX117" s="196"/>
      <c r="BY117" s="196"/>
      <c r="BZ117" s="196"/>
      <c r="CA117" s="146"/>
      <c r="CB117" s="146"/>
      <c r="CC117" s="146"/>
      <c r="CD117" s="146"/>
      <c r="CE117" s="146"/>
      <c r="CF117" s="146"/>
      <c r="CG117" s="146"/>
      <c r="CH117" s="146"/>
      <c r="CI117" s="146"/>
      <c r="CJ117" s="146"/>
      <c r="CK117" s="146"/>
      <c r="CL117" s="146"/>
      <c r="CM117" s="146"/>
      <c r="CN117" s="146"/>
      <c r="CO117" s="146"/>
      <c r="CP117" s="146"/>
      <c r="CQ117" s="146"/>
      <c r="CR117" s="146"/>
      <c r="CS117" s="146"/>
      <c r="CT117" s="146"/>
      <c r="CU117" s="146"/>
      <c r="CV117" s="146"/>
      <c r="CW117" s="146"/>
      <c r="CX117" s="146"/>
      <c r="CY117" s="146"/>
      <c r="CZ117" s="146"/>
      <c r="DA117" s="146"/>
      <c r="DB117" s="146"/>
      <c r="DC117" s="146"/>
      <c r="DD117" s="146"/>
      <c r="DE117" s="146"/>
      <c r="DF117" s="146"/>
      <c r="DG117" s="146"/>
      <c r="DH117" s="146"/>
      <c r="DI117" s="146"/>
      <c r="DJ117" s="146"/>
      <c r="DK117" s="146"/>
      <c r="DL117" s="146"/>
      <c r="DM117" s="146"/>
      <c r="DN117" s="146"/>
      <c r="DO117" s="146"/>
      <c r="DP117" s="146"/>
      <c r="DQ117" s="146"/>
      <c r="DR117" s="146"/>
      <c r="DS117" s="146"/>
      <c r="DT117" s="146"/>
      <c r="DU117" s="146"/>
      <c r="DV117" s="146"/>
      <c r="DW117" s="146"/>
      <c r="DX117" s="146"/>
      <c r="DY117" s="146"/>
      <c r="DZ117" s="146"/>
      <c r="EA117" s="146"/>
      <c r="EB117" s="146"/>
      <c r="EC117" s="146"/>
      <c r="ED117" s="146"/>
      <c r="EE117" s="146"/>
      <c r="EF117" s="146"/>
      <c r="EG117" s="146"/>
      <c r="EH117" s="146"/>
      <c r="EI117" s="146"/>
      <c r="EJ117" s="146"/>
      <c r="EK117" s="146"/>
      <c r="EL117" s="146"/>
      <c r="EM117" s="146"/>
      <c r="EN117" s="146"/>
      <c r="EO117" s="146"/>
      <c r="EP117" s="146"/>
      <c r="EQ117" s="146"/>
      <c r="ER117" s="146"/>
      <c r="ES117" s="146"/>
      <c r="ET117" s="146"/>
      <c r="EU117" s="146"/>
      <c r="EV117" s="146"/>
      <c r="EW117" s="146"/>
      <c r="EX117" s="146"/>
      <c r="EY117" s="146"/>
      <c r="EZ117" s="146"/>
      <c r="FA117" s="146"/>
      <c r="FB117" s="146"/>
      <c r="FC117" s="146"/>
      <c r="FD117" s="146"/>
      <c r="FE117" s="146"/>
      <c r="FF117" s="146"/>
      <c r="FG117" s="146"/>
      <c r="FH117" s="146"/>
      <c r="FI117" s="146"/>
      <c r="FJ117" s="146"/>
      <c r="FK117" s="146"/>
      <c r="FL117" s="146"/>
      <c r="FM117" s="146"/>
      <c r="FN117" s="146"/>
      <c r="FO117" s="146"/>
      <c r="FP117" s="146"/>
      <c r="FQ117" s="146"/>
      <c r="FR117" s="146"/>
      <c r="FS117" s="146"/>
      <c r="FT117" s="146"/>
      <c r="FU117" s="146"/>
      <c r="FV117" s="146"/>
      <c r="FW117" s="146"/>
      <c r="FX117" s="146"/>
      <c r="FY117" s="146"/>
      <c r="FZ117" s="146"/>
      <c r="GA117" s="146"/>
      <c r="GB117" s="146"/>
      <c r="GC117" s="146"/>
      <c r="GD117" s="146"/>
      <c r="GE117" s="146"/>
      <c r="GF117" s="146"/>
      <c r="GG117" s="146"/>
      <c r="GH117" s="146"/>
      <c r="GI117" s="146"/>
      <c r="GJ117" s="146"/>
      <c r="GK117" s="146"/>
      <c r="GL117" s="146"/>
      <c r="GM117" s="146"/>
      <c r="GN117" s="146"/>
      <c r="GO117" s="146"/>
      <c r="GP117" s="146"/>
      <c r="GQ117" s="146"/>
      <c r="GR117" s="146"/>
      <c r="GS117" s="146"/>
      <c r="GT117" s="146"/>
      <c r="GU117" s="146"/>
      <c r="GV117" s="146"/>
      <c r="GW117" s="146"/>
      <c r="GX117" s="146"/>
      <c r="GY117" s="146"/>
      <c r="GZ117" s="146"/>
      <c r="HA117" s="146"/>
      <c r="HB117" s="146"/>
      <c r="HC117" s="146"/>
      <c r="HD117" s="146"/>
      <c r="HE117" s="146"/>
      <c r="HF117" s="146"/>
      <c r="HG117" s="146"/>
      <c r="HH117" s="146"/>
      <c r="HI117" s="146"/>
      <c r="HJ117" s="146"/>
      <c r="HK117" s="146"/>
      <c r="HL117" s="146"/>
      <c r="HM117" s="146"/>
      <c r="HN117" s="146"/>
      <c r="HO117" s="146"/>
      <c r="HP117" s="146"/>
      <c r="HQ117" s="146"/>
      <c r="HR117" s="146"/>
      <c r="HS117" s="146"/>
      <c r="HT117" s="146"/>
      <c r="HU117" s="146"/>
      <c r="HV117" s="146"/>
      <c r="HW117" s="146"/>
      <c r="HX117" s="146"/>
      <c r="HY117" s="146"/>
      <c r="HZ117" s="146"/>
      <c r="IA117" s="146"/>
    </row>
    <row r="118" spans="1:235" s="154" customFormat="1" ht="99.75" x14ac:dyDescent="0.25">
      <c r="A118" s="197">
        <v>11800</v>
      </c>
      <c r="B118" s="194" t="s">
        <v>5</v>
      </c>
      <c r="C118" s="198" t="s">
        <v>346</v>
      </c>
      <c r="D118" s="194" t="s">
        <v>256</v>
      </c>
      <c r="E118" s="198" t="s">
        <v>554</v>
      </c>
      <c r="F118" s="194" t="s">
        <v>680</v>
      </c>
      <c r="G118" s="209" t="s">
        <v>123</v>
      </c>
      <c r="H118" s="246">
        <v>1</v>
      </c>
      <c r="I118" s="198" t="s">
        <v>555</v>
      </c>
      <c r="J118" s="194" t="s">
        <v>336</v>
      </c>
      <c r="K118" s="210">
        <v>0</v>
      </c>
      <c r="L118" s="211">
        <v>1</v>
      </c>
      <c r="M118" s="194" t="s">
        <v>50</v>
      </c>
      <c r="N118" s="194" t="s">
        <v>64</v>
      </c>
      <c r="O118" s="194" t="s">
        <v>37</v>
      </c>
      <c r="P118" s="194" t="s">
        <v>39</v>
      </c>
      <c r="Q118" s="194" t="s">
        <v>230</v>
      </c>
      <c r="R118" s="194" t="s">
        <v>344</v>
      </c>
      <c r="S118" s="194" t="s">
        <v>105</v>
      </c>
      <c r="T118" s="211">
        <v>1</v>
      </c>
      <c r="U118" s="212" t="str">
        <f t="shared" si="41"/>
        <v>Dar respuesta a requerimientos de organismos externos en el marco de la normatividad vigente</v>
      </c>
      <c r="V118" s="213">
        <f t="shared" si="41"/>
        <v>0</v>
      </c>
      <c r="W118" s="214" t="s">
        <v>117</v>
      </c>
      <c r="X118" s="216">
        <v>0.25</v>
      </c>
      <c r="Y118" s="214" t="s">
        <v>336</v>
      </c>
      <c r="Z118" s="210">
        <v>0</v>
      </c>
      <c r="AA118" s="196"/>
      <c r="AB118" s="196"/>
      <c r="AC118" s="204">
        <f t="shared" si="42"/>
        <v>0</v>
      </c>
      <c r="AD118" s="204" t="e">
        <f t="shared" si="43"/>
        <v>#DIV/0!</v>
      </c>
      <c r="AE118" s="204">
        <f t="shared" si="29"/>
        <v>0</v>
      </c>
      <c r="AF118" s="204" t="e">
        <f t="shared" si="30"/>
        <v>#DIV/0!</v>
      </c>
      <c r="AG118" s="216">
        <v>0.25</v>
      </c>
      <c r="AH118" s="214" t="s">
        <v>336</v>
      </c>
      <c r="AI118" s="210">
        <v>0</v>
      </c>
      <c r="AJ118" s="196"/>
      <c r="AK118" s="196"/>
      <c r="AL118" s="204">
        <f t="shared" si="44"/>
        <v>0</v>
      </c>
      <c r="AM118" s="204" t="e">
        <f t="shared" si="31"/>
        <v>#DIV/0!</v>
      </c>
      <c r="AN118" s="204">
        <f t="shared" si="32"/>
        <v>0</v>
      </c>
      <c r="AO118" s="204" t="e">
        <f t="shared" si="33"/>
        <v>#DIV/0!</v>
      </c>
      <c r="AP118" s="216">
        <v>0.25</v>
      </c>
      <c r="AQ118" s="214" t="s">
        <v>336</v>
      </c>
      <c r="AR118" s="210">
        <v>0</v>
      </c>
      <c r="AS118" s="196"/>
      <c r="AT118" s="196"/>
      <c r="AU118" s="204">
        <f t="shared" si="45"/>
        <v>0</v>
      </c>
      <c r="AV118" s="204" t="e">
        <f t="shared" si="46"/>
        <v>#DIV/0!</v>
      </c>
      <c r="AW118" s="204">
        <f t="shared" si="47"/>
        <v>0</v>
      </c>
      <c r="AX118" s="204" t="e">
        <f t="shared" si="48"/>
        <v>#DIV/0!</v>
      </c>
      <c r="AY118" s="216">
        <v>0.25</v>
      </c>
      <c r="AZ118" s="214" t="s">
        <v>336</v>
      </c>
      <c r="BA118" s="210">
        <v>0</v>
      </c>
      <c r="BB118" s="196"/>
      <c r="BC118" s="196"/>
      <c r="BD118" s="216">
        <f t="shared" si="49"/>
        <v>0</v>
      </c>
      <c r="BE118" s="216" t="e">
        <f t="shared" si="50"/>
        <v>#DIV/0!</v>
      </c>
      <c r="BF118" s="216">
        <f t="shared" si="51"/>
        <v>0</v>
      </c>
      <c r="BG118" s="216" t="e">
        <f t="shared" si="52"/>
        <v>#DIV/0!</v>
      </c>
      <c r="BH118" s="207">
        <f t="shared" si="34"/>
        <v>0</v>
      </c>
      <c r="BI118" s="207" t="str">
        <f t="shared" si="35"/>
        <v>No Prog ni Ejec</v>
      </c>
      <c r="BJ118" s="207">
        <f t="shared" si="36"/>
        <v>0</v>
      </c>
      <c r="BK118" s="207" t="str">
        <f t="shared" si="37"/>
        <v>No Prog ni Ejec</v>
      </c>
      <c r="BL118" s="207">
        <f t="shared" si="53"/>
        <v>0</v>
      </c>
      <c r="BM118" s="207" t="str">
        <f t="shared" si="54"/>
        <v>No Prog ni Ejec</v>
      </c>
      <c r="BN118" s="207">
        <f t="shared" si="38"/>
        <v>0</v>
      </c>
      <c r="BO118" s="207" t="str">
        <f t="shared" si="39"/>
        <v>No Prog ni Ejec</v>
      </c>
      <c r="BP118" s="206"/>
      <c r="BQ118" s="277">
        <v>7</v>
      </c>
      <c r="BR118" s="208">
        <f t="shared" si="40"/>
        <v>0.58333333333333337</v>
      </c>
      <c r="BS118" s="219" t="str">
        <f t="shared" si="55"/>
        <v>Dar respuesta a requerimientos de organismos externos en el marco de la normatividad vigente</v>
      </c>
      <c r="BT118" s="195">
        <f t="shared" si="28"/>
        <v>0</v>
      </c>
      <c r="BU118" s="196"/>
      <c r="BV118" s="196"/>
      <c r="BW118" s="196"/>
      <c r="BX118" s="196"/>
      <c r="BY118" s="196"/>
      <c r="BZ118" s="196"/>
      <c r="CA118" s="146"/>
      <c r="CB118" s="146"/>
      <c r="CC118" s="146"/>
      <c r="CD118" s="146"/>
      <c r="CE118" s="146"/>
      <c r="CF118" s="146"/>
      <c r="CG118" s="146"/>
      <c r="CH118" s="146"/>
      <c r="CI118" s="146"/>
      <c r="CJ118" s="146"/>
      <c r="CK118" s="146"/>
      <c r="CL118" s="146"/>
      <c r="CM118" s="146"/>
      <c r="CN118" s="146"/>
      <c r="CO118" s="146"/>
      <c r="CP118" s="146"/>
      <c r="CQ118" s="146"/>
      <c r="CR118" s="146"/>
      <c r="CS118" s="146"/>
      <c r="CT118" s="146"/>
      <c r="CU118" s="146"/>
      <c r="CV118" s="146"/>
      <c r="CW118" s="146"/>
      <c r="CX118" s="146"/>
      <c r="CY118" s="146"/>
      <c r="CZ118" s="146"/>
      <c r="DA118" s="146"/>
      <c r="DB118" s="146"/>
      <c r="DC118" s="146"/>
      <c r="DD118" s="146"/>
      <c r="DE118" s="146"/>
      <c r="DF118" s="146"/>
      <c r="DG118" s="146"/>
      <c r="DH118" s="146"/>
      <c r="DI118" s="146"/>
      <c r="DJ118" s="146"/>
      <c r="DK118" s="146"/>
      <c r="DL118" s="146"/>
      <c r="DM118" s="146"/>
      <c r="DN118" s="146"/>
      <c r="DO118" s="146"/>
      <c r="DP118" s="146"/>
      <c r="DQ118" s="146"/>
      <c r="DR118" s="146"/>
      <c r="DS118" s="146"/>
      <c r="DT118" s="146"/>
      <c r="DU118" s="146"/>
      <c r="DV118" s="146"/>
      <c r="DW118" s="146"/>
      <c r="DX118" s="146"/>
      <c r="DY118" s="146"/>
      <c r="DZ118" s="146"/>
      <c r="EA118" s="146"/>
      <c r="EB118" s="146"/>
      <c r="EC118" s="146"/>
      <c r="ED118" s="146"/>
      <c r="EE118" s="146"/>
      <c r="EF118" s="146"/>
      <c r="EG118" s="146"/>
      <c r="EH118" s="146"/>
      <c r="EI118" s="146"/>
      <c r="EJ118" s="146"/>
      <c r="EK118" s="146"/>
      <c r="EL118" s="146"/>
      <c r="EM118" s="146"/>
      <c r="EN118" s="146"/>
      <c r="EO118" s="146"/>
      <c r="EP118" s="146"/>
      <c r="EQ118" s="146"/>
      <c r="ER118" s="146"/>
      <c r="ES118" s="146"/>
      <c r="ET118" s="146"/>
      <c r="EU118" s="146"/>
      <c r="EV118" s="146"/>
      <c r="EW118" s="146"/>
      <c r="EX118" s="146"/>
      <c r="EY118" s="146"/>
      <c r="EZ118" s="146"/>
      <c r="FA118" s="146"/>
      <c r="FB118" s="146"/>
      <c r="FC118" s="146"/>
      <c r="FD118" s="146"/>
      <c r="FE118" s="146"/>
      <c r="FF118" s="146"/>
      <c r="FG118" s="146"/>
      <c r="FH118" s="146"/>
      <c r="FI118" s="146"/>
      <c r="FJ118" s="146"/>
      <c r="FK118" s="146"/>
      <c r="FL118" s="146"/>
      <c r="FM118" s="146"/>
      <c r="FN118" s="146"/>
      <c r="FO118" s="146"/>
      <c r="FP118" s="146"/>
      <c r="FQ118" s="146"/>
      <c r="FR118" s="146"/>
      <c r="FS118" s="146"/>
      <c r="FT118" s="146"/>
      <c r="FU118" s="146"/>
      <c r="FV118" s="146"/>
      <c r="FW118" s="146"/>
      <c r="FX118" s="146"/>
      <c r="FY118" s="146"/>
      <c r="FZ118" s="146"/>
      <c r="GA118" s="146"/>
      <c r="GB118" s="146"/>
      <c r="GC118" s="146"/>
      <c r="GD118" s="146"/>
      <c r="GE118" s="146"/>
      <c r="GF118" s="146"/>
      <c r="GG118" s="146"/>
      <c r="GH118" s="146"/>
      <c r="GI118" s="146"/>
      <c r="GJ118" s="146"/>
      <c r="GK118" s="146"/>
      <c r="GL118" s="146"/>
      <c r="GM118" s="146"/>
      <c r="GN118" s="146"/>
      <c r="GO118" s="146"/>
      <c r="GP118" s="146"/>
      <c r="GQ118" s="146"/>
      <c r="GR118" s="146"/>
      <c r="GS118" s="146"/>
      <c r="GT118" s="146"/>
      <c r="GU118" s="146"/>
      <c r="GV118" s="146"/>
      <c r="GW118" s="146"/>
      <c r="GX118" s="146"/>
      <c r="GY118" s="146"/>
      <c r="GZ118" s="146"/>
      <c r="HA118" s="146"/>
      <c r="HB118" s="146"/>
      <c r="HC118" s="146"/>
      <c r="HD118" s="146"/>
      <c r="HE118" s="146"/>
      <c r="HF118" s="146"/>
      <c r="HG118" s="146"/>
      <c r="HH118" s="146"/>
      <c r="HI118" s="146"/>
      <c r="HJ118" s="146"/>
      <c r="HK118" s="146"/>
      <c r="HL118" s="146"/>
      <c r="HM118" s="146"/>
      <c r="HN118" s="146"/>
      <c r="HO118" s="146"/>
      <c r="HP118" s="146"/>
      <c r="HQ118" s="146"/>
      <c r="HR118" s="146"/>
      <c r="HS118" s="146"/>
      <c r="HT118" s="146"/>
      <c r="HU118" s="146"/>
      <c r="HV118" s="146"/>
      <c r="HW118" s="146"/>
      <c r="HX118" s="146"/>
      <c r="HY118" s="146"/>
      <c r="HZ118" s="146"/>
      <c r="IA118" s="146"/>
    </row>
    <row r="119" spans="1:235" s="153" customFormat="1" ht="99.75" x14ac:dyDescent="0.25">
      <c r="A119" s="197">
        <v>11800</v>
      </c>
      <c r="B119" s="194" t="s">
        <v>5</v>
      </c>
      <c r="C119" s="198" t="s">
        <v>347</v>
      </c>
      <c r="D119" s="194" t="s">
        <v>256</v>
      </c>
      <c r="E119" s="198" t="s">
        <v>556</v>
      </c>
      <c r="F119" s="194" t="s">
        <v>681</v>
      </c>
      <c r="G119" s="209" t="s">
        <v>123</v>
      </c>
      <c r="H119" s="246">
        <v>1</v>
      </c>
      <c r="I119" s="198" t="s">
        <v>558</v>
      </c>
      <c r="J119" s="194" t="s">
        <v>337</v>
      </c>
      <c r="K119" s="210">
        <v>0</v>
      </c>
      <c r="L119" s="211">
        <v>1</v>
      </c>
      <c r="M119" s="194" t="s">
        <v>50</v>
      </c>
      <c r="N119" s="194" t="s">
        <v>64</v>
      </c>
      <c r="O119" s="194" t="s">
        <v>37</v>
      </c>
      <c r="P119" s="194" t="s">
        <v>39</v>
      </c>
      <c r="Q119" s="194" t="s">
        <v>230</v>
      </c>
      <c r="R119" s="194" t="s">
        <v>340</v>
      </c>
      <c r="S119" s="194" t="s">
        <v>105</v>
      </c>
      <c r="T119" s="211">
        <v>1</v>
      </c>
      <c r="U119" s="212" t="str">
        <f t="shared" si="41"/>
        <v>Medir el grado de cumplimiento de las acciones que hacen parte del Plan de mejoramiento institucional derivadas de la Auditoría de la CGR.</v>
      </c>
      <c r="V119" s="213">
        <f t="shared" si="41"/>
        <v>0</v>
      </c>
      <c r="W119" s="214" t="s">
        <v>117</v>
      </c>
      <c r="X119" s="216">
        <v>0.25</v>
      </c>
      <c r="Y119" s="214" t="s">
        <v>337</v>
      </c>
      <c r="Z119" s="210">
        <v>0</v>
      </c>
      <c r="AA119" s="196"/>
      <c r="AB119" s="196"/>
      <c r="AC119" s="204">
        <f t="shared" si="42"/>
        <v>0</v>
      </c>
      <c r="AD119" s="204" t="e">
        <f t="shared" si="43"/>
        <v>#DIV/0!</v>
      </c>
      <c r="AE119" s="204">
        <f t="shared" si="29"/>
        <v>0</v>
      </c>
      <c r="AF119" s="204" t="e">
        <f t="shared" si="30"/>
        <v>#DIV/0!</v>
      </c>
      <c r="AG119" s="216">
        <v>0.25</v>
      </c>
      <c r="AH119" s="214" t="s">
        <v>337</v>
      </c>
      <c r="AI119" s="210">
        <v>0</v>
      </c>
      <c r="AJ119" s="196"/>
      <c r="AK119" s="196"/>
      <c r="AL119" s="204">
        <f t="shared" si="44"/>
        <v>0</v>
      </c>
      <c r="AM119" s="204" t="e">
        <f t="shared" si="31"/>
        <v>#DIV/0!</v>
      </c>
      <c r="AN119" s="204">
        <f t="shared" si="32"/>
        <v>0</v>
      </c>
      <c r="AO119" s="204" t="e">
        <f t="shared" si="33"/>
        <v>#DIV/0!</v>
      </c>
      <c r="AP119" s="216">
        <v>0.25</v>
      </c>
      <c r="AQ119" s="214" t="s">
        <v>337</v>
      </c>
      <c r="AR119" s="210">
        <v>0</v>
      </c>
      <c r="AS119" s="196"/>
      <c r="AT119" s="196"/>
      <c r="AU119" s="204">
        <f t="shared" si="45"/>
        <v>0</v>
      </c>
      <c r="AV119" s="204" t="e">
        <f t="shared" si="46"/>
        <v>#DIV/0!</v>
      </c>
      <c r="AW119" s="204">
        <f t="shared" si="47"/>
        <v>0</v>
      </c>
      <c r="AX119" s="204" t="e">
        <f t="shared" si="48"/>
        <v>#DIV/0!</v>
      </c>
      <c r="AY119" s="216">
        <v>0.25</v>
      </c>
      <c r="AZ119" s="214" t="s">
        <v>337</v>
      </c>
      <c r="BA119" s="210">
        <v>0</v>
      </c>
      <c r="BB119" s="196"/>
      <c r="BC119" s="196"/>
      <c r="BD119" s="216">
        <f t="shared" si="49"/>
        <v>0</v>
      </c>
      <c r="BE119" s="216" t="e">
        <f t="shared" si="50"/>
        <v>#DIV/0!</v>
      </c>
      <c r="BF119" s="216">
        <f t="shared" si="51"/>
        <v>0</v>
      </c>
      <c r="BG119" s="216" t="e">
        <f t="shared" si="52"/>
        <v>#DIV/0!</v>
      </c>
      <c r="BH119" s="217">
        <f t="shared" si="34"/>
        <v>0</v>
      </c>
      <c r="BI119" s="217" t="str">
        <f t="shared" si="35"/>
        <v>No Prog ni Ejec</v>
      </c>
      <c r="BJ119" s="217">
        <f t="shared" si="36"/>
        <v>0</v>
      </c>
      <c r="BK119" s="217" t="str">
        <f t="shared" si="37"/>
        <v>No Prog ni Ejec</v>
      </c>
      <c r="BL119" s="217">
        <f t="shared" si="53"/>
        <v>0</v>
      </c>
      <c r="BM119" s="217" t="str">
        <f t="shared" si="54"/>
        <v>No Prog ni Ejec</v>
      </c>
      <c r="BN119" s="217">
        <f t="shared" si="38"/>
        <v>0</v>
      </c>
      <c r="BO119" s="217" t="str">
        <f t="shared" si="39"/>
        <v>No Prog ni Ejec</v>
      </c>
      <c r="BP119" s="206"/>
      <c r="BQ119" s="277">
        <v>7</v>
      </c>
      <c r="BR119" s="208">
        <f t="shared" si="40"/>
        <v>0.58333333333333337</v>
      </c>
      <c r="BS119" s="219" t="str">
        <f t="shared" si="55"/>
        <v>Medir el grado de cumplimiento de las acciones que hacen parte del Plan de mejoramiento institucional derivadas de la Auditoría de la CGR.</v>
      </c>
      <c r="BT119" s="195">
        <f t="shared" si="28"/>
        <v>0</v>
      </c>
      <c r="BU119" s="196"/>
      <c r="BV119" s="196"/>
      <c r="BW119" s="196"/>
      <c r="BX119" s="196"/>
      <c r="BY119" s="196"/>
      <c r="BZ119" s="196"/>
      <c r="CA119" s="146"/>
      <c r="CB119" s="146"/>
      <c r="CC119" s="146"/>
      <c r="CD119" s="146"/>
      <c r="CE119" s="146"/>
      <c r="CF119" s="146"/>
      <c r="CG119" s="146"/>
      <c r="CH119" s="146"/>
      <c r="CI119" s="146"/>
      <c r="CJ119" s="146"/>
      <c r="CK119" s="146"/>
      <c r="CL119" s="146"/>
      <c r="CM119" s="146"/>
      <c r="CN119" s="146"/>
      <c r="CO119" s="146"/>
      <c r="CP119" s="146"/>
      <c r="CQ119" s="146"/>
      <c r="CR119" s="146"/>
      <c r="CS119" s="146"/>
      <c r="CT119" s="146"/>
      <c r="CU119" s="146"/>
      <c r="CV119" s="146"/>
      <c r="CW119" s="146"/>
      <c r="CX119" s="146"/>
      <c r="CY119" s="146"/>
      <c r="CZ119" s="146"/>
      <c r="DA119" s="146"/>
      <c r="DB119" s="146"/>
      <c r="DC119" s="146"/>
      <c r="DD119" s="146"/>
      <c r="DE119" s="146"/>
      <c r="DF119" s="146"/>
      <c r="DG119" s="146"/>
      <c r="DH119" s="146"/>
      <c r="DI119" s="146"/>
      <c r="DJ119" s="146"/>
      <c r="DK119" s="146"/>
      <c r="DL119" s="146"/>
      <c r="DM119" s="146"/>
      <c r="DN119" s="146"/>
      <c r="DO119" s="146"/>
      <c r="DP119" s="146"/>
      <c r="DQ119" s="146"/>
      <c r="DR119" s="146"/>
      <c r="DS119" s="146"/>
      <c r="DT119" s="146"/>
      <c r="DU119" s="146"/>
      <c r="DV119" s="146"/>
      <c r="DW119" s="146"/>
      <c r="DX119" s="146"/>
      <c r="DY119" s="146"/>
      <c r="DZ119" s="146"/>
      <c r="EA119" s="146"/>
      <c r="EB119" s="146"/>
      <c r="EC119" s="146"/>
      <c r="ED119" s="146"/>
      <c r="EE119" s="146"/>
      <c r="EF119" s="146"/>
      <c r="EG119" s="146"/>
      <c r="EH119" s="146"/>
      <c r="EI119" s="146"/>
      <c r="EJ119" s="146"/>
      <c r="EK119" s="146"/>
      <c r="EL119" s="146"/>
      <c r="EM119" s="146"/>
      <c r="EN119" s="146"/>
      <c r="EO119" s="146"/>
      <c r="EP119" s="146"/>
      <c r="EQ119" s="146"/>
      <c r="ER119" s="146"/>
      <c r="ES119" s="146"/>
      <c r="ET119" s="146"/>
      <c r="EU119" s="146"/>
      <c r="EV119" s="146"/>
      <c r="EW119" s="146"/>
      <c r="EX119" s="146"/>
      <c r="EY119" s="146"/>
      <c r="EZ119" s="146"/>
      <c r="FA119" s="146"/>
      <c r="FB119" s="146"/>
      <c r="FC119" s="146"/>
      <c r="FD119" s="146"/>
      <c r="FE119" s="146"/>
      <c r="FF119" s="146"/>
      <c r="FG119" s="146"/>
      <c r="FH119" s="146"/>
      <c r="FI119" s="146"/>
      <c r="FJ119" s="146"/>
      <c r="FK119" s="146"/>
      <c r="FL119" s="146"/>
      <c r="FM119" s="146"/>
      <c r="FN119" s="146"/>
      <c r="FO119" s="146"/>
      <c r="FP119" s="146"/>
      <c r="FQ119" s="146"/>
      <c r="FR119" s="146"/>
      <c r="FS119" s="146"/>
      <c r="FT119" s="146"/>
      <c r="FU119" s="146"/>
      <c r="FV119" s="146"/>
      <c r="FW119" s="146"/>
      <c r="FX119" s="146"/>
      <c r="FY119" s="146"/>
      <c r="FZ119" s="146"/>
      <c r="GA119" s="146"/>
      <c r="GB119" s="146"/>
      <c r="GC119" s="146"/>
      <c r="GD119" s="146"/>
      <c r="GE119" s="146"/>
      <c r="GF119" s="146"/>
      <c r="GG119" s="146"/>
      <c r="GH119" s="146"/>
      <c r="GI119" s="146"/>
      <c r="GJ119" s="146"/>
      <c r="GK119" s="146"/>
      <c r="GL119" s="146"/>
      <c r="GM119" s="146"/>
      <c r="GN119" s="146"/>
      <c r="GO119" s="146"/>
      <c r="GP119" s="146"/>
      <c r="GQ119" s="146"/>
      <c r="GR119" s="146"/>
      <c r="GS119" s="146"/>
      <c r="GT119" s="146"/>
      <c r="GU119" s="146"/>
      <c r="GV119" s="146"/>
      <c r="GW119" s="146"/>
      <c r="GX119" s="146"/>
      <c r="GY119" s="146"/>
      <c r="GZ119" s="146"/>
      <c r="HA119" s="146"/>
      <c r="HB119" s="146"/>
      <c r="HC119" s="146"/>
      <c r="HD119" s="146"/>
      <c r="HE119" s="146"/>
      <c r="HF119" s="146"/>
      <c r="HG119" s="146"/>
      <c r="HH119" s="146"/>
      <c r="HI119" s="146"/>
      <c r="HJ119" s="146"/>
      <c r="HK119" s="146"/>
      <c r="HL119" s="146"/>
      <c r="HM119" s="146"/>
      <c r="HN119" s="146"/>
      <c r="HO119" s="146"/>
      <c r="HP119" s="146"/>
      <c r="HQ119" s="146"/>
      <c r="HR119" s="146"/>
      <c r="HS119" s="146"/>
      <c r="HT119" s="146"/>
      <c r="HU119" s="146"/>
      <c r="HV119" s="146"/>
      <c r="HW119" s="146"/>
      <c r="HX119" s="146"/>
      <c r="HY119" s="146"/>
      <c r="HZ119" s="146"/>
      <c r="IA119" s="146"/>
    </row>
    <row r="120" spans="1:235" s="159" customFormat="1" ht="99.75" x14ac:dyDescent="0.25">
      <c r="A120" s="197">
        <v>11800</v>
      </c>
      <c r="B120" s="194" t="s">
        <v>5</v>
      </c>
      <c r="C120" s="198" t="s">
        <v>348</v>
      </c>
      <c r="D120" s="194" t="s">
        <v>256</v>
      </c>
      <c r="E120" s="198" t="s">
        <v>557</v>
      </c>
      <c r="F120" s="194" t="s">
        <v>682</v>
      </c>
      <c r="G120" s="209" t="s">
        <v>123</v>
      </c>
      <c r="H120" s="246">
        <v>1</v>
      </c>
      <c r="I120" s="198" t="s">
        <v>559</v>
      </c>
      <c r="J120" s="194" t="s">
        <v>338</v>
      </c>
      <c r="K120" s="210">
        <v>200000000</v>
      </c>
      <c r="L120" s="211">
        <v>1</v>
      </c>
      <c r="M120" s="194" t="s">
        <v>51</v>
      </c>
      <c r="N120" s="194" t="s">
        <v>56</v>
      </c>
      <c r="O120" s="194" t="s">
        <v>21</v>
      </c>
      <c r="P120" s="194" t="s">
        <v>23</v>
      </c>
      <c r="Q120" s="194" t="s">
        <v>230</v>
      </c>
      <c r="R120" s="194" t="s">
        <v>341</v>
      </c>
      <c r="S120" s="194" t="s">
        <v>105</v>
      </c>
      <c r="T120" s="211">
        <v>1</v>
      </c>
      <c r="U120" s="212" t="str">
        <f t="shared" si="41"/>
        <v>Comunicar mensajes con contenidos de autocontrol y de esta manera fomentar la cultura del autocontrol en la ADRES.</v>
      </c>
      <c r="V120" s="213">
        <f t="shared" si="41"/>
        <v>200000000</v>
      </c>
      <c r="W120" s="222" t="s">
        <v>114</v>
      </c>
      <c r="X120" s="281">
        <v>0.25</v>
      </c>
      <c r="Y120" s="282" t="s">
        <v>338</v>
      </c>
      <c r="Z120" s="283">
        <v>50000000</v>
      </c>
      <c r="AA120" s="279"/>
      <c r="AB120" s="279"/>
      <c r="AC120" s="280">
        <f t="shared" si="42"/>
        <v>0</v>
      </c>
      <c r="AD120" s="280">
        <f t="shared" si="43"/>
        <v>0</v>
      </c>
      <c r="AE120" s="280">
        <f t="shared" si="29"/>
        <v>0</v>
      </c>
      <c r="AF120" s="280">
        <f t="shared" si="30"/>
        <v>0</v>
      </c>
      <c r="AG120" s="281">
        <v>0.25</v>
      </c>
      <c r="AH120" s="282" t="s">
        <v>338</v>
      </c>
      <c r="AI120" s="283">
        <v>50000000</v>
      </c>
      <c r="AJ120" s="279"/>
      <c r="AK120" s="279"/>
      <c r="AL120" s="280">
        <f t="shared" si="44"/>
        <v>0</v>
      </c>
      <c r="AM120" s="280">
        <f t="shared" si="31"/>
        <v>0</v>
      </c>
      <c r="AN120" s="280">
        <f t="shared" si="32"/>
        <v>0</v>
      </c>
      <c r="AO120" s="280">
        <f t="shared" si="33"/>
        <v>0</v>
      </c>
      <c r="AP120" s="281">
        <v>0.25</v>
      </c>
      <c r="AQ120" s="282" t="s">
        <v>338</v>
      </c>
      <c r="AR120" s="283">
        <v>50000000</v>
      </c>
      <c r="AS120" s="279"/>
      <c r="AT120" s="279"/>
      <c r="AU120" s="280">
        <f t="shared" si="45"/>
        <v>0</v>
      </c>
      <c r="AV120" s="280">
        <f t="shared" si="46"/>
        <v>0</v>
      </c>
      <c r="AW120" s="280">
        <f t="shared" si="47"/>
        <v>0</v>
      </c>
      <c r="AX120" s="280">
        <f t="shared" si="48"/>
        <v>0</v>
      </c>
      <c r="AY120" s="281">
        <v>0.25</v>
      </c>
      <c r="AZ120" s="282" t="s">
        <v>338</v>
      </c>
      <c r="BA120" s="283">
        <v>50000000</v>
      </c>
      <c r="BB120" s="279"/>
      <c r="BC120" s="279"/>
      <c r="BD120" s="281">
        <f t="shared" si="49"/>
        <v>0</v>
      </c>
      <c r="BE120" s="281">
        <f t="shared" si="50"/>
        <v>0</v>
      </c>
      <c r="BF120" s="281">
        <f t="shared" si="51"/>
        <v>0</v>
      </c>
      <c r="BG120" s="281">
        <f t="shared" si="52"/>
        <v>0</v>
      </c>
      <c r="BH120" s="205">
        <f t="shared" si="34"/>
        <v>0</v>
      </c>
      <c r="BI120" s="205">
        <f t="shared" si="35"/>
        <v>0</v>
      </c>
      <c r="BJ120" s="205">
        <f t="shared" si="36"/>
        <v>0</v>
      </c>
      <c r="BK120" s="205">
        <f t="shared" si="37"/>
        <v>0</v>
      </c>
      <c r="BL120" s="205">
        <f t="shared" si="53"/>
        <v>0</v>
      </c>
      <c r="BM120" s="205">
        <f t="shared" si="54"/>
        <v>0</v>
      </c>
      <c r="BN120" s="205">
        <f t="shared" si="38"/>
        <v>0</v>
      </c>
      <c r="BO120" s="205">
        <f t="shared" si="39"/>
        <v>0</v>
      </c>
      <c r="BP120" s="206"/>
      <c r="BQ120" s="277">
        <v>5</v>
      </c>
      <c r="BR120" s="208">
        <f t="shared" si="40"/>
        <v>0.58333333333333337</v>
      </c>
      <c r="BS120" s="219" t="str">
        <f t="shared" si="55"/>
        <v>Comunicar mensajes con contenidos de autocontrol y de esta manera fomentar la cultura del autocontrol en la ADRES.</v>
      </c>
      <c r="BT120" s="195">
        <f t="shared" si="28"/>
        <v>116666666.66666667</v>
      </c>
      <c r="BU120" s="196"/>
      <c r="BV120" s="196"/>
      <c r="BW120" s="196"/>
      <c r="BX120" s="196"/>
      <c r="BY120" s="196"/>
      <c r="BZ120" s="196"/>
      <c r="CA120" s="146"/>
      <c r="CB120" s="146"/>
      <c r="CC120" s="146"/>
      <c r="CD120" s="146"/>
      <c r="CE120" s="146"/>
      <c r="CF120" s="146"/>
      <c r="CG120" s="146"/>
      <c r="CH120" s="146"/>
      <c r="CI120" s="146"/>
      <c r="CJ120" s="146"/>
      <c r="CK120" s="146"/>
      <c r="CL120" s="146"/>
      <c r="CM120" s="146"/>
      <c r="CN120" s="146"/>
      <c r="CO120" s="146"/>
      <c r="CP120" s="146"/>
      <c r="CQ120" s="146"/>
      <c r="CR120" s="146"/>
      <c r="CS120" s="146"/>
      <c r="CT120" s="146"/>
      <c r="CU120" s="146"/>
      <c r="CV120" s="146"/>
      <c r="CW120" s="146"/>
      <c r="CX120" s="146"/>
      <c r="CY120" s="146"/>
      <c r="CZ120" s="146"/>
      <c r="DA120" s="146"/>
      <c r="DB120" s="146"/>
      <c r="DC120" s="146"/>
      <c r="DD120" s="146"/>
      <c r="DE120" s="146"/>
      <c r="DF120" s="146"/>
      <c r="DG120" s="146"/>
      <c r="DH120" s="146"/>
      <c r="DI120" s="146"/>
      <c r="DJ120" s="146"/>
      <c r="DK120" s="146"/>
      <c r="DL120" s="146"/>
      <c r="DM120" s="146"/>
      <c r="DN120" s="146"/>
      <c r="DO120" s="146"/>
      <c r="DP120" s="146"/>
      <c r="DQ120" s="146"/>
      <c r="DR120" s="146"/>
      <c r="DS120" s="146"/>
      <c r="DT120" s="146"/>
      <c r="DU120" s="146"/>
      <c r="DV120" s="146"/>
      <c r="DW120" s="146"/>
      <c r="DX120" s="146"/>
      <c r="DY120" s="146"/>
      <c r="DZ120" s="146"/>
      <c r="EA120" s="146"/>
      <c r="EB120" s="146"/>
      <c r="EC120" s="146"/>
      <c r="ED120" s="146"/>
      <c r="EE120" s="146"/>
      <c r="EF120" s="146"/>
      <c r="EG120" s="146"/>
      <c r="EH120" s="146"/>
      <c r="EI120" s="146"/>
      <c r="EJ120" s="146"/>
      <c r="EK120" s="146"/>
      <c r="EL120" s="146"/>
      <c r="EM120" s="146"/>
      <c r="EN120" s="146"/>
      <c r="EO120" s="146"/>
      <c r="EP120" s="146"/>
      <c r="EQ120" s="146"/>
      <c r="ER120" s="146"/>
      <c r="ES120" s="146"/>
      <c r="ET120" s="146"/>
      <c r="EU120" s="146"/>
      <c r="EV120" s="146"/>
      <c r="EW120" s="146"/>
      <c r="EX120" s="146"/>
      <c r="EY120" s="146"/>
      <c r="EZ120" s="146"/>
      <c r="FA120" s="146"/>
      <c r="FB120" s="146"/>
      <c r="FC120" s="146"/>
      <c r="FD120" s="146"/>
      <c r="FE120" s="146"/>
      <c r="FF120" s="146"/>
      <c r="FG120" s="146"/>
      <c r="FH120" s="146"/>
      <c r="FI120" s="146"/>
      <c r="FJ120" s="146"/>
      <c r="FK120" s="146"/>
      <c r="FL120" s="146"/>
      <c r="FM120" s="146"/>
      <c r="FN120" s="146"/>
      <c r="FO120" s="146"/>
      <c r="FP120" s="146"/>
      <c r="FQ120" s="146"/>
      <c r="FR120" s="146"/>
      <c r="FS120" s="146"/>
      <c r="FT120" s="146"/>
      <c r="FU120" s="146"/>
      <c r="FV120" s="146"/>
      <c r="FW120" s="146"/>
      <c r="FX120" s="146"/>
      <c r="FY120" s="146"/>
      <c r="FZ120" s="146"/>
      <c r="GA120" s="146"/>
      <c r="GB120" s="146"/>
      <c r="GC120" s="146"/>
      <c r="GD120" s="146"/>
      <c r="GE120" s="146"/>
      <c r="GF120" s="146"/>
      <c r="GG120" s="146"/>
      <c r="GH120" s="146"/>
      <c r="GI120" s="146"/>
      <c r="GJ120" s="146"/>
      <c r="GK120" s="146"/>
      <c r="GL120" s="146"/>
      <c r="GM120" s="146"/>
      <c r="GN120" s="146"/>
      <c r="GO120" s="146"/>
      <c r="GP120" s="146"/>
      <c r="GQ120" s="146"/>
      <c r="GR120" s="146"/>
      <c r="GS120" s="146"/>
      <c r="GT120" s="146"/>
      <c r="GU120" s="146"/>
      <c r="GV120" s="146"/>
      <c r="GW120" s="146"/>
      <c r="GX120" s="146"/>
      <c r="GY120" s="146"/>
      <c r="GZ120" s="146"/>
      <c r="HA120" s="146"/>
      <c r="HB120" s="146"/>
      <c r="HC120" s="146"/>
      <c r="HD120" s="146"/>
      <c r="HE120" s="146"/>
      <c r="HF120" s="146"/>
      <c r="HG120" s="146"/>
      <c r="HH120" s="146"/>
      <c r="HI120" s="146"/>
      <c r="HJ120" s="146"/>
      <c r="HK120" s="146"/>
      <c r="HL120" s="146"/>
      <c r="HM120" s="146"/>
      <c r="HN120" s="146"/>
      <c r="HO120" s="146"/>
      <c r="HP120" s="146"/>
      <c r="HQ120" s="146"/>
      <c r="HR120" s="146"/>
      <c r="HS120" s="146"/>
      <c r="HT120" s="146"/>
      <c r="HU120" s="146"/>
      <c r="HV120" s="146"/>
      <c r="HW120" s="146"/>
      <c r="HX120" s="146"/>
      <c r="HY120" s="146"/>
      <c r="HZ120" s="146"/>
      <c r="IA120" s="146"/>
    </row>
    <row r="121" spans="1:235" s="153" customFormat="1" ht="57" x14ac:dyDescent="0.25">
      <c r="A121" s="197">
        <v>11900</v>
      </c>
      <c r="B121" s="194" t="s">
        <v>349</v>
      </c>
      <c r="C121" s="198" t="s">
        <v>350</v>
      </c>
      <c r="D121" s="194" t="s">
        <v>153</v>
      </c>
      <c r="E121" s="198" t="s">
        <v>352</v>
      </c>
      <c r="F121" s="194" t="s">
        <v>763</v>
      </c>
      <c r="G121" s="209" t="s">
        <v>124</v>
      </c>
      <c r="H121" s="198">
        <v>4</v>
      </c>
      <c r="I121" s="198" t="s">
        <v>544</v>
      </c>
      <c r="J121" s="194" t="s">
        <v>685</v>
      </c>
      <c r="K121" s="210">
        <v>0</v>
      </c>
      <c r="L121" s="211">
        <v>1</v>
      </c>
      <c r="M121" s="194" t="s">
        <v>51</v>
      </c>
      <c r="N121" s="194" t="s">
        <v>68</v>
      </c>
      <c r="O121" s="194" t="s">
        <v>21</v>
      </c>
      <c r="P121" s="194" t="s">
        <v>36</v>
      </c>
      <c r="Q121" s="194" t="s">
        <v>75</v>
      </c>
      <c r="R121" s="194" t="s">
        <v>631</v>
      </c>
      <c r="S121" s="194" t="s">
        <v>98</v>
      </c>
      <c r="T121" s="221">
        <v>4</v>
      </c>
      <c r="U121" s="212" t="str">
        <f t="shared" si="41"/>
        <v xml:space="preserve">
Reportar  trimestralmente el cumplimiento del Plan de Acción de la Dependencia</v>
      </c>
      <c r="V121" s="213">
        <f t="shared" si="41"/>
        <v>0</v>
      </c>
      <c r="W121" s="214" t="s">
        <v>117</v>
      </c>
      <c r="X121" s="215">
        <v>1</v>
      </c>
      <c r="Y121" s="214" t="s">
        <v>685</v>
      </c>
      <c r="Z121" s="210">
        <v>0</v>
      </c>
      <c r="AA121" s="196"/>
      <c r="AB121" s="196"/>
      <c r="AC121" s="204">
        <f t="shared" si="42"/>
        <v>0</v>
      </c>
      <c r="AD121" s="204" t="e">
        <f t="shared" si="43"/>
        <v>#DIV/0!</v>
      </c>
      <c r="AE121" s="204">
        <f t="shared" si="29"/>
        <v>0</v>
      </c>
      <c r="AF121" s="204" t="e">
        <f t="shared" si="30"/>
        <v>#DIV/0!</v>
      </c>
      <c r="AG121" s="216">
        <v>1</v>
      </c>
      <c r="AH121" s="214" t="s">
        <v>685</v>
      </c>
      <c r="AI121" s="210">
        <v>0</v>
      </c>
      <c r="AJ121" s="196"/>
      <c r="AK121" s="196"/>
      <c r="AL121" s="204">
        <f t="shared" si="44"/>
        <v>0</v>
      </c>
      <c r="AM121" s="204" t="e">
        <f t="shared" si="31"/>
        <v>#DIV/0!</v>
      </c>
      <c r="AN121" s="204">
        <f t="shared" si="32"/>
        <v>0</v>
      </c>
      <c r="AO121" s="204" t="e">
        <f t="shared" si="33"/>
        <v>#DIV/0!</v>
      </c>
      <c r="AP121" s="216">
        <v>1</v>
      </c>
      <c r="AQ121" s="214" t="s">
        <v>685</v>
      </c>
      <c r="AR121" s="210">
        <v>0</v>
      </c>
      <c r="AS121" s="196"/>
      <c r="AT121" s="196"/>
      <c r="AU121" s="204">
        <f t="shared" si="45"/>
        <v>0</v>
      </c>
      <c r="AV121" s="204" t="e">
        <f t="shared" si="46"/>
        <v>#DIV/0!</v>
      </c>
      <c r="AW121" s="204">
        <f t="shared" si="47"/>
        <v>0</v>
      </c>
      <c r="AX121" s="204" t="e">
        <f t="shared" si="48"/>
        <v>#DIV/0!</v>
      </c>
      <c r="AY121" s="216">
        <v>1</v>
      </c>
      <c r="AZ121" s="214" t="s">
        <v>685</v>
      </c>
      <c r="BA121" s="210">
        <v>0</v>
      </c>
      <c r="BB121" s="196"/>
      <c r="BC121" s="196"/>
      <c r="BD121" s="216">
        <f t="shared" si="49"/>
        <v>0</v>
      </c>
      <c r="BE121" s="216" t="e">
        <f t="shared" si="50"/>
        <v>#DIV/0!</v>
      </c>
      <c r="BF121" s="216">
        <f t="shared" si="51"/>
        <v>0</v>
      </c>
      <c r="BG121" s="216" t="e">
        <f t="shared" si="52"/>
        <v>#DIV/0!</v>
      </c>
      <c r="BH121" s="217">
        <f t="shared" si="34"/>
        <v>0</v>
      </c>
      <c r="BI121" s="217" t="str">
        <f t="shared" si="35"/>
        <v>No Prog ni Ejec</v>
      </c>
      <c r="BJ121" s="217">
        <f t="shared" si="36"/>
        <v>0</v>
      </c>
      <c r="BK121" s="217" t="str">
        <f t="shared" si="37"/>
        <v>No Prog ni Ejec</v>
      </c>
      <c r="BL121" s="217">
        <f t="shared" si="53"/>
        <v>0</v>
      </c>
      <c r="BM121" s="217" t="str">
        <f t="shared" si="54"/>
        <v>No Prog ni Ejec</v>
      </c>
      <c r="BN121" s="217">
        <f t="shared" si="38"/>
        <v>0</v>
      </c>
      <c r="BO121" s="217" t="str">
        <f t="shared" si="39"/>
        <v>No Prog ni Ejec</v>
      </c>
      <c r="BP121" s="206"/>
      <c r="BQ121" s="277">
        <v>5</v>
      </c>
      <c r="BR121" s="218">
        <f t="shared" si="40"/>
        <v>2.3333333333333335</v>
      </c>
      <c r="BS121" s="219" t="str">
        <f t="shared" si="55"/>
        <v xml:space="preserve">
Reportar  trimestralmente el cumplimiento del Plan de Acción de la Dependencia</v>
      </c>
      <c r="BT121" s="195">
        <f t="shared" si="28"/>
        <v>0</v>
      </c>
      <c r="BU121" s="196"/>
      <c r="BV121" s="196"/>
      <c r="BW121" s="196"/>
      <c r="BX121" s="196"/>
      <c r="BY121" s="196"/>
      <c r="BZ121" s="196"/>
      <c r="CA121" s="146"/>
      <c r="CB121" s="146"/>
      <c r="CC121" s="146"/>
      <c r="CD121" s="146"/>
      <c r="CE121" s="146"/>
      <c r="CF121" s="146"/>
      <c r="CG121" s="146"/>
      <c r="CH121" s="146"/>
      <c r="CI121" s="146"/>
      <c r="CJ121" s="146"/>
      <c r="CK121" s="146"/>
      <c r="CL121" s="146"/>
      <c r="CM121" s="146"/>
      <c r="CN121" s="146"/>
      <c r="CO121" s="146"/>
      <c r="CP121" s="146"/>
      <c r="CQ121" s="146"/>
      <c r="CR121" s="146"/>
      <c r="CS121" s="146"/>
      <c r="CT121" s="146"/>
      <c r="CU121" s="146"/>
      <c r="CV121" s="146"/>
      <c r="CW121" s="146"/>
      <c r="CX121" s="146"/>
      <c r="CY121" s="146"/>
      <c r="CZ121" s="146"/>
      <c r="DA121" s="146"/>
      <c r="DB121" s="146"/>
      <c r="DC121" s="146"/>
      <c r="DD121" s="146"/>
      <c r="DE121" s="146"/>
      <c r="DF121" s="146"/>
      <c r="DG121" s="146"/>
      <c r="DH121" s="146"/>
      <c r="DI121" s="146"/>
      <c r="DJ121" s="146"/>
      <c r="DK121" s="146"/>
      <c r="DL121" s="146"/>
      <c r="DM121" s="146"/>
      <c r="DN121" s="146"/>
      <c r="DO121" s="146"/>
      <c r="DP121" s="146"/>
      <c r="DQ121" s="146"/>
      <c r="DR121" s="146"/>
      <c r="DS121" s="146"/>
      <c r="DT121" s="146"/>
      <c r="DU121" s="146"/>
      <c r="DV121" s="146"/>
      <c r="DW121" s="146"/>
      <c r="DX121" s="146"/>
      <c r="DY121" s="146"/>
      <c r="DZ121" s="146"/>
      <c r="EA121" s="146"/>
      <c r="EB121" s="146"/>
      <c r="EC121" s="146"/>
      <c r="ED121" s="146"/>
      <c r="EE121" s="146"/>
      <c r="EF121" s="146"/>
      <c r="EG121" s="146"/>
      <c r="EH121" s="146"/>
      <c r="EI121" s="146"/>
      <c r="EJ121" s="146"/>
      <c r="EK121" s="146"/>
      <c r="EL121" s="146"/>
      <c r="EM121" s="146"/>
      <c r="EN121" s="146"/>
      <c r="EO121" s="146"/>
      <c r="EP121" s="146"/>
      <c r="EQ121" s="146"/>
      <c r="ER121" s="146"/>
      <c r="ES121" s="146"/>
      <c r="ET121" s="146"/>
      <c r="EU121" s="146"/>
      <c r="EV121" s="146"/>
      <c r="EW121" s="146"/>
      <c r="EX121" s="146"/>
      <c r="EY121" s="146"/>
      <c r="EZ121" s="146"/>
      <c r="FA121" s="146"/>
      <c r="FB121" s="146"/>
      <c r="FC121" s="146"/>
      <c r="FD121" s="146"/>
      <c r="FE121" s="146"/>
      <c r="FF121" s="146"/>
      <c r="FG121" s="146"/>
      <c r="FH121" s="146"/>
      <c r="FI121" s="146"/>
      <c r="FJ121" s="146"/>
      <c r="FK121" s="146"/>
      <c r="FL121" s="146"/>
      <c r="FM121" s="146"/>
      <c r="FN121" s="146"/>
      <c r="FO121" s="146"/>
      <c r="FP121" s="146"/>
      <c r="FQ121" s="146"/>
      <c r="FR121" s="146"/>
      <c r="FS121" s="146"/>
      <c r="FT121" s="146"/>
      <c r="FU121" s="146"/>
      <c r="FV121" s="146"/>
      <c r="FW121" s="146"/>
      <c r="FX121" s="146"/>
      <c r="FY121" s="146"/>
      <c r="FZ121" s="146"/>
      <c r="GA121" s="146"/>
      <c r="GB121" s="146"/>
      <c r="GC121" s="146"/>
      <c r="GD121" s="146"/>
      <c r="GE121" s="146"/>
      <c r="GF121" s="146"/>
      <c r="GG121" s="146"/>
      <c r="GH121" s="146"/>
      <c r="GI121" s="146"/>
      <c r="GJ121" s="146"/>
      <c r="GK121" s="146"/>
      <c r="GL121" s="146"/>
      <c r="GM121" s="146"/>
      <c r="GN121" s="146"/>
      <c r="GO121" s="146"/>
      <c r="GP121" s="146"/>
      <c r="GQ121" s="146"/>
      <c r="GR121" s="146"/>
      <c r="GS121" s="146"/>
      <c r="GT121" s="146"/>
      <c r="GU121" s="146"/>
      <c r="GV121" s="146"/>
      <c r="GW121" s="146"/>
      <c r="GX121" s="146"/>
      <c r="GY121" s="146"/>
      <c r="GZ121" s="146"/>
      <c r="HA121" s="146"/>
      <c r="HB121" s="146"/>
      <c r="HC121" s="146"/>
      <c r="HD121" s="146"/>
      <c r="HE121" s="146"/>
      <c r="HF121" s="146"/>
      <c r="HG121" s="146"/>
      <c r="HH121" s="146"/>
      <c r="HI121" s="146"/>
      <c r="HJ121" s="146"/>
      <c r="HK121" s="146"/>
      <c r="HL121" s="146"/>
      <c r="HM121" s="146"/>
      <c r="HN121" s="146"/>
      <c r="HO121" s="146"/>
      <c r="HP121" s="146"/>
      <c r="HQ121" s="146"/>
      <c r="HR121" s="146"/>
      <c r="HS121" s="146"/>
      <c r="HT121" s="146"/>
      <c r="HU121" s="146"/>
      <c r="HV121" s="146"/>
      <c r="HW121" s="146"/>
      <c r="HX121" s="146"/>
      <c r="HY121" s="146"/>
      <c r="HZ121" s="146"/>
      <c r="IA121" s="146"/>
    </row>
    <row r="122" spans="1:235" s="153" customFormat="1" ht="99.75" x14ac:dyDescent="0.25">
      <c r="A122" s="197">
        <v>11900</v>
      </c>
      <c r="B122" s="194" t="s">
        <v>349</v>
      </c>
      <c r="C122" s="198" t="s">
        <v>351</v>
      </c>
      <c r="D122" s="194" t="s">
        <v>256</v>
      </c>
      <c r="E122" s="198" t="s">
        <v>353</v>
      </c>
      <c r="F122" s="194" t="s">
        <v>686</v>
      </c>
      <c r="G122" s="209" t="s">
        <v>123</v>
      </c>
      <c r="H122" s="216">
        <v>1</v>
      </c>
      <c r="I122" s="198" t="s">
        <v>545</v>
      </c>
      <c r="J122" s="194" t="s">
        <v>598</v>
      </c>
      <c r="K122" s="210">
        <v>0</v>
      </c>
      <c r="L122" s="211">
        <v>1</v>
      </c>
      <c r="M122" s="194" t="s">
        <v>51</v>
      </c>
      <c r="N122" s="194" t="s">
        <v>68</v>
      </c>
      <c r="O122" s="194" t="s">
        <v>21</v>
      </c>
      <c r="P122" s="194" t="s">
        <v>36</v>
      </c>
      <c r="Q122" s="194" t="s">
        <v>75</v>
      </c>
      <c r="R122" s="194" t="s">
        <v>672</v>
      </c>
      <c r="S122" s="194" t="s">
        <v>98</v>
      </c>
      <c r="T122" s="211">
        <v>1</v>
      </c>
      <c r="U122" s="212" t="str">
        <f t="shared" si="41"/>
        <v>Formular los procesos y procedimientos en el marco del MIPG</v>
      </c>
      <c r="V122" s="213">
        <f t="shared" si="41"/>
        <v>0</v>
      </c>
      <c r="W122" s="214" t="s">
        <v>117</v>
      </c>
      <c r="X122" s="216">
        <v>0.25</v>
      </c>
      <c r="Y122" s="214" t="s">
        <v>653</v>
      </c>
      <c r="Z122" s="210">
        <v>0</v>
      </c>
      <c r="AA122" s="196"/>
      <c r="AB122" s="196"/>
      <c r="AC122" s="204">
        <f t="shared" si="42"/>
        <v>0</v>
      </c>
      <c r="AD122" s="204" t="e">
        <f t="shared" si="43"/>
        <v>#DIV/0!</v>
      </c>
      <c r="AE122" s="204">
        <f t="shared" si="29"/>
        <v>0</v>
      </c>
      <c r="AF122" s="204" t="e">
        <f t="shared" si="30"/>
        <v>#DIV/0!</v>
      </c>
      <c r="AG122" s="216">
        <v>0.25</v>
      </c>
      <c r="AH122" s="214" t="s">
        <v>653</v>
      </c>
      <c r="AI122" s="210">
        <v>0</v>
      </c>
      <c r="AJ122" s="196"/>
      <c r="AK122" s="196"/>
      <c r="AL122" s="204">
        <f t="shared" si="44"/>
        <v>0</v>
      </c>
      <c r="AM122" s="204" t="e">
        <f t="shared" si="31"/>
        <v>#DIV/0!</v>
      </c>
      <c r="AN122" s="204">
        <f t="shared" si="32"/>
        <v>0</v>
      </c>
      <c r="AO122" s="204" t="e">
        <f t="shared" si="33"/>
        <v>#DIV/0!</v>
      </c>
      <c r="AP122" s="216">
        <v>0.25</v>
      </c>
      <c r="AQ122" s="214" t="s">
        <v>653</v>
      </c>
      <c r="AR122" s="210">
        <v>0</v>
      </c>
      <c r="AS122" s="196"/>
      <c r="AT122" s="196"/>
      <c r="AU122" s="204">
        <f t="shared" si="45"/>
        <v>0</v>
      </c>
      <c r="AV122" s="204" t="e">
        <f t="shared" si="46"/>
        <v>#DIV/0!</v>
      </c>
      <c r="AW122" s="204">
        <f t="shared" si="47"/>
        <v>0</v>
      </c>
      <c r="AX122" s="204" t="e">
        <f t="shared" si="48"/>
        <v>#DIV/0!</v>
      </c>
      <c r="AY122" s="216">
        <v>0.25</v>
      </c>
      <c r="AZ122" s="214" t="s">
        <v>653</v>
      </c>
      <c r="BA122" s="210">
        <v>0</v>
      </c>
      <c r="BB122" s="196"/>
      <c r="BC122" s="196"/>
      <c r="BD122" s="216">
        <f t="shared" si="49"/>
        <v>0</v>
      </c>
      <c r="BE122" s="216" t="e">
        <f t="shared" si="50"/>
        <v>#DIV/0!</v>
      </c>
      <c r="BF122" s="216">
        <f t="shared" si="51"/>
        <v>0</v>
      </c>
      <c r="BG122" s="216" t="e">
        <f t="shared" si="52"/>
        <v>#DIV/0!</v>
      </c>
      <c r="BH122" s="217">
        <f t="shared" si="34"/>
        <v>0</v>
      </c>
      <c r="BI122" s="217" t="str">
        <f t="shared" si="35"/>
        <v>No Prog ni Ejec</v>
      </c>
      <c r="BJ122" s="217">
        <f t="shared" si="36"/>
        <v>0</v>
      </c>
      <c r="BK122" s="217" t="str">
        <f t="shared" si="37"/>
        <v>No Prog ni Ejec</v>
      </c>
      <c r="BL122" s="217">
        <f t="shared" si="53"/>
        <v>0</v>
      </c>
      <c r="BM122" s="217" t="str">
        <f t="shared" si="54"/>
        <v>No Prog ni Ejec</v>
      </c>
      <c r="BN122" s="217">
        <f t="shared" si="38"/>
        <v>0</v>
      </c>
      <c r="BO122" s="217" t="str">
        <f t="shared" si="39"/>
        <v>No Prog ni Ejec</v>
      </c>
      <c r="BP122" s="206"/>
      <c r="BQ122" s="277">
        <v>5</v>
      </c>
      <c r="BR122" s="208">
        <f t="shared" si="40"/>
        <v>0.58333333333333337</v>
      </c>
      <c r="BS122" s="219" t="str">
        <f t="shared" si="55"/>
        <v>Formular los procesos y procedimientos en el marco del MIPG</v>
      </c>
      <c r="BT122" s="195">
        <f t="shared" si="28"/>
        <v>0</v>
      </c>
      <c r="BU122" s="196"/>
      <c r="BV122" s="196"/>
      <c r="BW122" s="196"/>
      <c r="BX122" s="196"/>
      <c r="BY122" s="196"/>
      <c r="BZ122" s="196"/>
      <c r="CA122" s="146"/>
      <c r="CB122" s="146"/>
      <c r="CC122" s="146"/>
      <c r="CD122" s="146"/>
      <c r="CE122" s="146"/>
      <c r="CF122" s="146"/>
      <c r="CG122" s="146"/>
      <c r="CH122" s="146"/>
      <c r="CI122" s="146"/>
      <c r="CJ122" s="146"/>
      <c r="CK122" s="146"/>
      <c r="CL122" s="146"/>
      <c r="CM122" s="146"/>
      <c r="CN122" s="146"/>
      <c r="CO122" s="146"/>
      <c r="CP122" s="146"/>
      <c r="CQ122" s="146"/>
      <c r="CR122" s="146"/>
      <c r="CS122" s="146"/>
      <c r="CT122" s="146"/>
      <c r="CU122" s="146"/>
      <c r="CV122" s="146"/>
      <c r="CW122" s="146"/>
      <c r="CX122" s="146"/>
      <c r="CY122" s="146"/>
      <c r="CZ122" s="146"/>
      <c r="DA122" s="146"/>
      <c r="DB122" s="146"/>
      <c r="DC122" s="146"/>
      <c r="DD122" s="146"/>
      <c r="DE122" s="146"/>
      <c r="DF122" s="146"/>
      <c r="DG122" s="146"/>
      <c r="DH122" s="146"/>
      <c r="DI122" s="146"/>
      <c r="DJ122" s="146"/>
      <c r="DK122" s="146"/>
      <c r="DL122" s="146"/>
      <c r="DM122" s="146"/>
      <c r="DN122" s="146"/>
      <c r="DO122" s="146"/>
      <c r="DP122" s="146"/>
      <c r="DQ122" s="146"/>
      <c r="DR122" s="146"/>
      <c r="DS122" s="146"/>
      <c r="DT122" s="146"/>
      <c r="DU122" s="146"/>
      <c r="DV122" s="146"/>
      <c r="DW122" s="146"/>
      <c r="DX122" s="146"/>
      <c r="DY122" s="146"/>
      <c r="DZ122" s="146"/>
      <c r="EA122" s="146"/>
      <c r="EB122" s="146"/>
      <c r="EC122" s="146"/>
      <c r="ED122" s="146"/>
      <c r="EE122" s="146"/>
      <c r="EF122" s="146"/>
      <c r="EG122" s="146"/>
      <c r="EH122" s="146"/>
      <c r="EI122" s="146"/>
      <c r="EJ122" s="146"/>
      <c r="EK122" s="146"/>
      <c r="EL122" s="146"/>
      <c r="EM122" s="146"/>
      <c r="EN122" s="146"/>
      <c r="EO122" s="146"/>
      <c r="EP122" s="146"/>
      <c r="EQ122" s="146"/>
      <c r="ER122" s="146"/>
      <c r="ES122" s="146"/>
      <c r="ET122" s="146"/>
      <c r="EU122" s="146"/>
      <c r="EV122" s="146"/>
      <c r="EW122" s="146"/>
      <c r="EX122" s="146"/>
      <c r="EY122" s="146"/>
      <c r="EZ122" s="146"/>
      <c r="FA122" s="146"/>
      <c r="FB122" s="146"/>
      <c r="FC122" s="146"/>
      <c r="FD122" s="146"/>
      <c r="FE122" s="146"/>
      <c r="FF122" s="146"/>
      <c r="FG122" s="146"/>
      <c r="FH122" s="146"/>
      <c r="FI122" s="146"/>
      <c r="FJ122" s="146"/>
      <c r="FK122" s="146"/>
      <c r="FL122" s="146"/>
      <c r="FM122" s="146"/>
      <c r="FN122" s="146"/>
      <c r="FO122" s="146"/>
      <c r="FP122" s="146"/>
      <c r="FQ122" s="146"/>
      <c r="FR122" s="146"/>
      <c r="FS122" s="146"/>
      <c r="FT122" s="146"/>
      <c r="FU122" s="146"/>
      <c r="FV122" s="146"/>
      <c r="FW122" s="146"/>
      <c r="FX122" s="146"/>
      <c r="FY122" s="146"/>
      <c r="FZ122" s="146"/>
      <c r="GA122" s="146"/>
      <c r="GB122" s="146"/>
      <c r="GC122" s="146"/>
      <c r="GD122" s="146"/>
      <c r="GE122" s="146"/>
      <c r="GF122" s="146"/>
      <c r="GG122" s="146"/>
      <c r="GH122" s="146"/>
      <c r="GI122" s="146"/>
      <c r="GJ122" s="146"/>
      <c r="GK122" s="146"/>
      <c r="GL122" s="146"/>
      <c r="GM122" s="146"/>
      <c r="GN122" s="146"/>
      <c r="GO122" s="146"/>
      <c r="GP122" s="146"/>
      <c r="GQ122" s="146"/>
      <c r="GR122" s="146"/>
      <c r="GS122" s="146"/>
      <c r="GT122" s="146"/>
      <c r="GU122" s="146"/>
      <c r="GV122" s="146"/>
      <c r="GW122" s="146"/>
      <c r="GX122" s="146"/>
      <c r="GY122" s="146"/>
      <c r="GZ122" s="146"/>
      <c r="HA122" s="146"/>
      <c r="HB122" s="146"/>
      <c r="HC122" s="146"/>
      <c r="HD122" s="146"/>
      <c r="HE122" s="146"/>
      <c r="HF122" s="146"/>
      <c r="HG122" s="146"/>
      <c r="HH122" s="146"/>
      <c r="HI122" s="146"/>
      <c r="HJ122" s="146"/>
      <c r="HK122" s="146"/>
      <c r="HL122" s="146"/>
      <c r="HM122" s="146"/>
      <c r="HN122" s="146"/>
      <c r="HO122" s="146"/>
      <c r="HP122" s="146"/>
      <c r="HQ122" s="146"/>
      <c r="HR122" s="146"/>
      <c r="HS122" s="146"/>
      <c r="HT122" s="146"/>
      <c r="HU122" s="146"/>
      <c r="HV122" s="146"/>
      <c r="HW122" s="146"/>
      <c r="HX122" s="146"/>
      <c r="HY122" s="146"/>
      <c r="HZ122" s="146"/>
      <c r="IA122" s="146"/>
    </row>
    <row r="123" spans="1:235" s="153" customFormat="1" ht="99.75" x14ac:dyDescent="0.25">
      <c r="A123" s="197">
        <v>11900</v>
      </c>
      <c r="B123" s="194" t="s">
        <v>349</v>
      </c>
      <c r="C123" s="198" t="s">
        <v>351</v>
      </c>
      <c r="D123" s="194" t="s">
        <v>256</v>
      </c>
      <c r="E123" s="198" t="s">
        <v>354</v>
      </c>
      <c r="F123" s="194" t="s">
        <v>687</v>
      </c>
      <c r="G123" s="209" t="s">
        <v>124</v>
      </c>
      <c r="H123" s="198">
        <v>4</v>
      </c>
      <c r="I123" s="198" t="s">
        <v>560</v>
      </c>
      <c r="J123" s="194" t="s">
        <v>688</v>
      </c>
      <c r="K123" s="210">
        <v>0</v>
      </c>
      <c r="L123" s="211">
        <v>1</v>
      </c>
      <c r="M123" s="194" t="s">
        <v>51</v>
      </c>
      <c r="N123" s="194" t="s">
        <v>68</v>
      </c>
      <c r="O123" s="194" t="s">
        <v>21</v>
      </c>
      <c r="P123" s="194" t="s">
        <v>36</v>
      </c>
      <c r="Q123" s="194" t="s">
        <v>75</v>
      </c>
      <c r="R123" s="194" t="s">
        <v>570</v>
      </c>
      <c r="S123" s="194" t="s">
        <v>98</v>
      </c>
      <c r="T123" s="198">
        <v>4</v>
      </c>
      <c r="U123" s="212" t="str">
        <f t="shared" si="41"/>
        <v>Evaluar la gestión y resultados de los procesos de calidad de la Dependencia y remitir informes trimestrales de los indicadores formulados y las acciones de mejoras</v>
      </c>
      <c r="V123" s="213">
        <f t="shared" si="41"/>
        <v>0</v>
      </c>
      <c r="W123" s="214" t="s">
        <v>117</v>
      </c>
      <c r="X123" s="215">
        <v>1</v>
      </c>
      <c r="Y123" s="214" t="s">
        <v>688</v>
      </c>
      <c r="Z123" s="210">
        <v>0</v>
      </c>
      <c r="AA123" s="196"/>
      <c r="AB123" s="196"/>
      <c r="AC123" s="204">
        <f t="shared" si="42"/>
        <v>0</v>
      </c>
      <c r="AD123" s="204" t="e">
        <f t="shared" si="43"/>
        <v>#DIV/0!</v>
      </c>
      <c r="AE123" s="204">
        <f t="shared" si="29"/>
        <v>0</v>
      </c>
      <c r="AF123" s="204" t="e">
        <f t="shared" si="30"/>
        <v>#DIV/0!</v>
      </c>
      <c r="AG123" s="215">
        <v>1</v>
      </c>
      <c r="AH123" s="214" t="s">
        <v>688</v>
      </c>
      <c r="AI123" s="210">
        <v>0</v>
      </c>
      <c r="AJ123" s="196"/>
      <c r="AK123" s="196"/>
      <c r="AL123" s="204">
        <f t="shared" si="44"/>
        <v>0</v>
      </c>
      <c r="AM123" s="204" t="e">
        <f t="shared" si="31"/>
        <v>#DIV/0!</v>
      </c>
      <c r="AN123" s="204">
        <f t="shared" si="32"/>
        <v>0</v>
      </c>
      <c r="AO123" s="204" t="e">
        <f t="shared" si="33"/>
        <v>#DIV/0!</v>
      </c>
      <c r="AP123" s="215">
        <v>1</v>
      </c>
      <c r="AQ123" s="214" t="s">
        <v>688</v>
      </c>
      <c r="AR123" s="210">
        <v>0</v>
      </c>
      <c r="AS123" s="196"/>
      <c r="AT123" s="196"/>
      <c r="AU123" s="204">
        <f t="shared" si="45"/>
        <v>0</v>
      </c>
      <c r="AV123" s="204" t="e">
        <f t="shared" si="46"/>
        <v>#DIV/0!</v>
      </c>
      <c r="AW123" s="204">
        <f t="shared" si="47"/>
        <v>0</v>
      </c>
      <c r="AX123" s="204" t="e">
        <f t="shared" si="48"/>
        <v>#DIV/0!</v>
      </c>
      <c r="AY123" s="215">
        <v>1</v>
      </c>
      <c r="AZ123" s="247" t="s">
        <v>688</v>
      </c>
      <c r="BA123" s="210">
        <v>0</v>
      </c>
      <c r="BB123" s="196"/>
      <c r="BC123" s="196"/>
      <c r="BD123" s="216">
        <f t="shared" si="49"/>
        <v>0</v>
      </c>
      <c r="BE123" s="216" t="e">
        <f t="shared" si="50"/>
        <v>#DIV/0!</v>
      </c>
      <c r="BF123" s="216">
        <f t="shared" si="51"/>
        <v>0</v>
      </c>
      <c r="BG123" s="216" t="e">
        <f t="shared" si="52"/>
        <v>#DIV/0!</v>
      </c>
      <c r="BH123" s="217">
        <f t="shared" si="34"/>
        <v>0</v>
      </c>
      <c r="BI123" s="217" t="str">
        <f t="shared" si="35"/>
        <v>No Prog ni Ejec</v>
      </c>
      <c r="BJ123" s="217">
        <f t="shared" si="36"/>
        <v>0</v>
      </c>
      <c r="BK123" s="217" t="str">
        <f t="shared" si="37"/>
        <v>No Prog ni Ejec</v>
      </c>
      <c r="BL123" s="217">
        <f t="shared" si="53"/>
        <v>0</v>
      </c>
      <c r="BM123" s="217" t="str">
        <f t="shared" si="54"/>
        <v>No Prog ni Ejec</v>
      </c>
      <c r="BN123" s="217">
        <f t="shared" si="38"/>
        <v>0</v>
      </c>
      <c r="BO123" s="217" t="str">
        <f t="shared" si="39"/>
        <v>No Prog ni Ejec</v>
      </c>
      <c r="BP123" s="206"/>
      <c r="BQ123" s="277">
        <v>5</v>
      </c>
      <c r="BR123" s="218">
        <f t="shared" si="40"/>
        <v>2.3333333333333335</v>
      </c>
      <c r="BS123" s="219" t="str">
        <f t="shared" si="55"/>
        <v>Evaluar la gestión y resultados de los procesos de calidad de la Dependencia y remitir informes trimestrales de los indicadores formulados y las acciones de mejoras</v>
      </c>
      <c r="BT123" s="195">
        <f t="shared" si="28"/>
        <v>0</v>
      </c>
      <c r="BU123" s="196"/>
      <c r="BV123" s="196"/>
      <c r="BW123" s="196"/>
      <c r="BX123" s="196"/>
      <c r="BY123" s="196"/>
      <c r="BZ123" s="196"/>
      <c r="CA123" s="146"/>
      <c r="CB123" s="146"/>
      <c r="CC123" s="146"/>
      <c r="CD123" s="146"/>
      <c r="CE123" s="146"/>
      <c r="CF123" s="146"/>
      <c r="CG123" s="146"/>
      <c r="CH123" s="146"/>
      <c r="CI123" s="146"/>
      <c r="CJ123" s="146"/>
      <c r="CK123" s="146"/>
      <c r="CL123" s="146"/>
      <c r="CM123" s="146"/>
      <c r="CN123" s="146"/>
      <c r="CO123" s="146"/>
      <c r="CP123" s="146"/>
      <c r="CQ123" s="146"/>
      <c r="CR123" s="146"/>
      <c r="CS123" s="146"/>
      <c r="CT123" s="146"/>
      <c r="CU123" s="146"/>
      <c r="CV123" s="146"/>
      <c r="CW123" s="146"/>
      <c r="CX123" s="146"/>
      <c r="CY123" s="146"/>
      <c r="CZ123" s="146"/>
      <c r="DA123" s="146"/>
      <c r="DB123" s="146"/>
      <c r="DC123" s="146"/>
      <c r="DD123" s="146"/>
      <c r="DE123" s="146"/>
      <c r="DF123" s="146"/>
      <c r="DG123" s="146"/>
      <c r="DH123" s="146"/>
      <c r="DI123" s="146"/>
      <c r="DJ123" s="146"/>
      <c r="DK123" s="146"/>
      <c r="DL123" s="146"/>
      <c r="DM123" s="146"/>
      <c r="DN123" s="146"/>
      <c r="DO123" s="146"/>
      <c r="DP123" s="146"/>
      <c r="DQ123" s="146"/>
      <c r="DR123" s="146"/>
      <c r="DS123" s="146"/>
      <c r="DT123" s="146"/>
      <c r="DU123" s="146"/>
      <c r="DV123" s="146"/>
      <c r="DW123" s="146"/>
      <c r="DX123" s="146"/>
      <c r="DY123" s="146"/>
      <c r="DZ123" s="146"/>
      <c r="EA123" s="146"/>
      <c r="EB123" s="146"/>
      <c r="EC123" s="146"/>
      <c r="ED123" s="146"/>
      <c r="EE123" s="146"/>
      <c r="EF123" s="146"/>
      <c r="EG123" s="146"/>
      <c r="EH123" s="146"/>
      <c r="EI123" s="146"/>
      <c r="EJ123" s="146"/>
      <c r="EK123" s="146"/>
      <c r="EL123" s="146"/>
      <c r="EM123" s="146"/>
      <c r="EN123" s="146"/>
      <c r="EO123" s="146"/>
      <c r="EP123" s="146"/>
      <c r="EQ123" s="146"/>
      <c r="ER123" s="146"/>
      <c r="ES123" s="146"/>
      <c r="ET123" s="146"/>
      <c r="EU123" s="146"/>
      <c r="EV123" s="146"/>
      <c r="EW123" s="146"/>
      <c r="EX123" s="146"/>
      <c r="EY123" s="146"/>
      <c r="EZ123" s="146"/>
      <c r="FA123" s="146"/>
      <c r="FB123" s="146"/>
      <c r="FC123" s="146"/>
      <c r="FD123" s="146"/>
      <c r="FE123" s="146"/>
      <c r="FF123" s="146"/>
      <c r="FG123" s="146"/>
      <c r="FH123" s="146"/>
      <c r="FI123" s="146"/>
      <c r="FJ123" s="146"/>
      <c r="FK123" s="146"/>
      <c r="FL123" s="146"/>
      <c r="FM123" s="146"/>
      <c r="FN123" s="146"/>
      <c r="FO123" s="146"/>
      <c r="FP123" s="146"/>
      <c r="FQ123" s="146"/>
      <c r="FR123" s="146"/>
      <c r="FS123" s="146"/>
      <c r="FT123" s="146"/>
      <c r="FU123" s="146"/>
      <c r="FV123" s="146"/>
      <c r="FW123" s="146"/>
      <c r="FX123" s="146"/>
      <c r="FY123" s="146"/>
      <c r="FZ123" s="146"/>
      <c r="GA123" s="146"/>
      <c r="GB123" s="146"/>
      <c r="GC123" s="146"/>
      <c r="GD123" s="146"/>
      <c r="GE123" s="146"/>
      <c r="GF123" s="146"/>
      <c r="GG123" s="146"/>
      <c r="GH123" s="146"/>
      <c r="GI123" s="146"/>
      <c r="GJ123" s="146"/>
      <c r="GK123" s="146"/>
      <c r="GL123" s="146"/>
      <c r="GM123" s="146"/>
      <c r="GN123" s="146"/>
      <c r="GO123" s="146"/>
      <c r="GP123" s="146"/>
      <c r="GQ123" s="146"/>
      <c r="GR123" s="146"/>
      <c r="GS123" s="146"/>
      <c r="GT123" s="146"/>
      <c r="GU123" s="146"/>
      <c r="GV123" s="146"/>
      <c r="GW123" s="146"/>
      <c r="GX123" s="146"/>
      <c r="GY123" s="146"/>
      <c r="GZ123" s="146"/>
      <c r="HA123" s="146"/>
      <c r="HB123" s="146"/>
      <c r="HC123" s="146"/>
      <c r="HD123" s="146"/>
      <c r="HE123" s="146"/>
      <c r="HF123" s="146"/>
      <c r="HG123" s="146"/>
      <c r="HH123" s="146"/>
      <c r="HI123" s="146"/>
      <c r="HJ123" s="146"/>
      <c r="HK123" s="146"/>
      <c r="HL123" s="146"/>
      <c r="HM123" s="146"/>
      <c r="HN123" s="146"/>
      <c r="HO123" s="146"/>
      <c r="HP123" s="146"/>
      <c r="HQ123" s="146"/>
      <c r="HR123" s="146"/>
      <c r="HS123" s="146"/>
      <c r="HT123" s="146"/>
      <c r="HU123" s="146"/>
      <c r="HV123" s="146"/>
      <c r="HW123" s="146"/>
      <c r="HX123" s="146"/>
      <c r="HY123" s="146"/>
      <c r="HZ123" s="146"/>
      <c r="IA123" s="146"/>
    </row>
    <row r="124" spans="1:235" s="159" customFormat="1" ht="57" x14ac:dyDescent="0.25">
      <c r="A124" s="197">
        <v>11900</v>
      </c>
      <c r="B124" s="194" t="s">
        <v>349</v>
      </c>
      <c r="C124" s="198" t="s">
        <v>357</v>
      </c>
      <c r="D124" s="194" t="s">
        <v>146</v>
      </c>
      <c r="E124" s="198" t="s">
        <v>358</v>
      </c>
      <c r="F124" s="194" t="s">
        <v>767</v>
      </c>
      <c r="G124" s="209" t="s">
        <v>123</v>
      </c>
      <c r="H124" s="216">
        <v>1</v>
      </c>
      <c r="I124" s="198" t="s">
        <v>359</v>
      </c>
      <c r="J124" s="194" t="s">
        <v>690</v>
      </c>
      <c r="K124" s="210">
        <v>254442984</v>
      </c>
      <c r="L124" s="211">
        <v>1</v>
      </c>
      <c r="M124" s="194" t="s">
        <v>46</v>
      </c>
      <c r="N124" s="194" t="s">
        <v>74</v>
      </c>
      <c r="O124" s="194" t="s">
        <v>21</v>
      </c>
      <c r="P124" s="194" t="s">
        <v>36</v>
      </c>
      <c r="Q124" s="194" t="s">
        <v>229</v>
      </c>
      <c r="R124" s="194" t="s">
        <v>360</v>
      </c>
      <c r="S124" s="194" t="s">
        <v>99</v>
      </c>
      <c r="T124" s="211">
        <v>1</v>
      </c>
      <c r="U124" s="212" t="str">
        <f t="shared" si="41"/>
        <v>Atender las solicitudes de informes derivadas de acciones constitucionales y tutelas</v>
      </c>
      <c r="V124" s="213">
        <f t="shared" si="41"/>
        <v>254442984</v>
      </c>
      <c r="W124" s="222" t="s">
        <v>114</v>
      </c>
      <c r="X124" s="281">
        <v>0.25</v>
      </c>
      <c r="Y124" s="282" t="s">
        <v>690</v>
      </c>
      <c r="Z124" s="283">
        <f>+X124*V124</f>
        <v>63610746</v>
      </c>
      <c r="AA124" s="279"/>
      <c r="AB124" s="279"/>
      <c r="AC124" s="280">
        <f t="shared" si="42"/>
        <v>0</v>
      </c>
      <c r="AD124" s="280">
        <f t="shared" si="43"/>
        <v>0</v>
      </c>
      <c r="AE124" s="280">
        <f t="shared" si="29"/>
        <v>0</v>
      </c>
      <c r="AF124" s="280">
        <f t="shared" si="30"/>
        <v>0</v>
      </c>
      <c r="AG124" s="281">
        <v>0.25</v>
      </c>
      <c r="AH124" s="282" t="s">
        <v>690</v>
      </c>
      <c r="AI124" s="283">
        <v>63610746</v>
      </c>
      <c r="AJ124" s="279"/>
      <c r="AK124" s="279"/>
      <c r="AL124" s="280">
        <f t="shared" si="44"/>
        <v>0</v>
      </c>
      <c r="AM124" s="280">
        <f t="shared" si="31"/>
        <v>0</v>
      </c>
      <c r="AN124" s="280">
        <f t="shared" si="32"/>
        <v>0</v>
      </c>
      <c r="AO124" s="280">
        <f t="shared" si="33"/>
        <v>0</v>
      </c>
      <c r="AP124" s="281">
        <v>0.25</v>
      </c>
      <c r="AQ124" s="282" t="s">
        <v>690</v>
      </c>
      <c r="AR124" s="283">
        <v>63610746</v>
      </c>
      <c r="AS124" s="279"/>
      <c r="AT124" s="279"/>
      <c r="AU124" s="280">
        <f t="shared" si="45"/>
        <v>0</v>
      </c>
      <c r="AV124" s="280">
        <f t="shared" si="46"/>
        <v>0</v>
      </c>
      <c r="AW124" s="280">
        <f t="shared" si="47"/>
        <v>0</v>
      </c>
      <c r="AX124" s="280">
        <f t="shared" si="48"/>
        <v>0</v>
      </c>
      <c r="AY124" s="281">
        <v>0.25</v>
      </c>
      <c r="AZ124" s="282" t="s">
        <v>690</v>
      </c>
      <c r="BA124" s="283">
        <v>63610746</v>
      </c>
      <c r="BB124" s="279"/>
      <c r="BC124" s="279"/>
      <c r="BD124" s="281">
        <f t="shared" si="49"/>
        <v>0</v>
      </c>
      <c r="BE124" s="281">
        <f t="shared" si="50"/>
        <v>0</v>
      </c>
      <c r="BF124" s="281">
        <f t="shared" si="51"/>
        <v>0</v>
      </c>
      <c r="BG124" s="281">
        <f t="shared" si="52"/>
        <v>0</v>
      </c>
      <c r="BH124" s="205">
        <f t="shared" si="34"/>
        <v>0</v>
      </c>
      <c r="BI124" s="205">
        <f t="shared" si="35"/>
        <v>0</v>
      </c>
      <c r="BJ124" s="205">
        <f t="shared" si="36"/>
        <v>0</v>
      </c>
      <c r="BK124" s="205">
        <f t="shared" si="37"/>
        <v>0</v>
      </c>
      <c r="BL124" s="205">
        <f t="shared" si="53"/>
        <v>0</v>
      </c>
      <c r="BM124" s="205">
        <f t="shared" si="54"/>
        <v>0</v>
      </c>
      <c r="BN124" s="205">
        <f t="shared" si="38"/>
        <v>0</v>
      </c>
      <c r="BO124" s="205">
        <f t="shared" si="39"/>
        <v>0</v>
      </c>
      <c r="BP124" s="206"/>
      <c r="BQ124" s="277">
        <v>32</v>
      </c>
      <c r="BR124" s="208">
        <f t="shared" si="40"/>
        <v>0.58333333333333337</v>
      </c>
      <c r="BS124" s="219" t="str">
        <f t="shared" si="55"/>
        <v>Atender las solicitudes de informes derivadas de acciones constitucionales y tutelas</v>
      </c>
      <c r="BT124" s="195">
        <f t="shared" si="28"/>
        <v>148425074</v>
      </c>
      <c r="BU124" s="196"/>
      <c r="BV124" s="196"/>
      <c r="BW124" s="196"/>
      <c r="BX124" s="196"/>
      <c r="BY124" s="196"/>
      <c r="BZ124" s="196"/>
      <c r="CA124" s="146"/>
      <c r="CB124" s="146"/>
      <c r="CC124" s="146"/>
      <c r="CD124" s="146"/>
      <c r="CE124" s="146"/>
      <c r="CF124" s="146"/>
      <c r="CG124" s="146"/>
      <c r="CH124" s="146"/>
      <c r="CI124" s="146"/>
      <c r="CJ124" s="146"/>
      <c r="CK124" s="146"/>
      <c r="CL124" s="146"/>
      <c r="CM124" s="146"/>
      <c r="CN124" s="146"/>
      <c r="CO124" s="146"/>
      <c r="CP124" s="146"/>
      <c r="CQ124" s="146"/>
      <c r="CR124" s="146"/>
      <c r="CS124" s="146"/>
      <c r="CT124" s="146"/>
      <c r="CU124" s="146"/>
      <c r="CV124" s="146"/>
      <c r="CW124" s="146"/>
      <c r="CX124" s="146"/>
      <c r="CY124" s="146"/>
      <c r="CZ124" s="146"/>
      <c r="DA124" s="146"/>
      <c r="DB124" s="146"/>
      <c r="DC124" s="146"/>
      <c r="DD124" s="146"/>
      <c r="DE124" s="146"/>
      <c r="DF124" s="146"/>
      <c r="DG124" s="146"/>
      <c r="DH124" s="146"/>
      <c r="DI124" s="146"/>
      <c r="DJ124" s="146"/>
      <c r="DK124" s="146"/>
      <c r="DL124" s="146"/>
      <c r="DM124" s="146"/>
      <c r="DN124" s="146"/>
      <c r="DO124" s="146"/>
      <c r="DP124" s="146"/>
      <c r="DQ124" s="146"/>
      <c r="DR124" s="146"/>
      <c r="DS124" s="146"/>
      <c r="DT124" s="146"/>
      <c r="DU124" s="146"/>
      <c r="DV124" s="146"/>
      <c r="DW124" s="146"/>
      <c r="DX124" s="146"/>
      <c r="DY124" s="146"/>
      <c r="DZ124" s="146"/>
      <c r="EA124" s="146"/>
      <c r="EB124" s="146"/>
      <c r="EC124" s="146"/>
      <c r="ED124" s="146"/>
      <c r="EE124" s="146"/>
      <c r="EF124" s="146"/>
      <c r="EG124" s="146"/>
      <c r="EH124" s="146"/>
      <c r="EI124" s="146"/>
      <c r="EJ124" s="146"/>
      <c r="EK124" s="146"/>
      <c r="EL124" s="146"/>
      <c r="EM124" s="146"/>
      <c r="EN124" s="146"/>
      <c r="EO124" s="146"/>
      <c r="EP124" s="146"/>
      <c r="EQ124" s="146"/>
      <c r="ER124" s="146"/>
      <c r="ES124" s="146"/>
      <c r="ET124" s="146"/>
      <c r="EU124" s="146"/>
      <c r="EV124" s="146"/>
      <c r="EW124" s="146"/>
      <c r="EX124" s="146"/>
      <c r="EY124" s="146"/>
      <c r="EZ124" s="146"/>
      <c r="FA124" s="146"/>
      <c r="FB124" s="146"/>
      <c r="FC124" s="146"/>
      <c r="FD124" s="146"/>
      <c r="FE124" s="146"/>
      <c r="FF124" s="146"/>
      <c r="FG124" s="146"/>
      <c r="FH124" s="146"/>
      <c r="FI124" s="146"/>
      <c r="FJ124" s="146"/>
      <c r="FK124" s="146"/>
      <c r="FL124" s="146"/>
      <c r="FM124" s="146"/>
      <c r="FN124" s="146"/>
      <c r="FO124" s="146"/>
      <c r="FP124" s="146"/>
      <c r="FQ124" s="146"/>
      <c r="FR124" s="146"/>
      <c r="FS124" s="146"/>
      <c r="FT124" s="146"/>
      <c r="FU124" s="146"/>
      <c r="FV124" s="146"/>
      <c r="FW124" s="146"/>
      <c r="FX124" s="146"/>
      <c r="FY124" s="146"/>
      <c r="FZ124" s="146"/>
      <c r="GA124" s="146"/>
      <c r="GB124" s="146"/>
      <c r="GC124" s="146"/>
      <c r="GD124" s="146"/>
      <c r="GE124" s="146"/>
      <c r="GF124" s="146"/>
      <c r="GG124" s="146"/>
      <c r="GH124" s="146"/>
      <c r="GI124" s="146"/>
      <c r="GJ124" s="146"/>
      <c r="GK124" s="146"/>
      <c r="GL124" s="146"/>
      <c r="GM124" s="146"/>
      <c r="GN124" s="146"/>
      <c r="GO124" s="146"/>
      <c r="GP124" s="146"/>
      <c r="GQ124" s="146"/>
      <c r="GR124" s="146"/>
      <c r="GS124" s="146"/>
      <c r="GT124" s="146"/>
      <c r="GU124" s="146"/>
      <c r="GV124" s="146"/>
      <c r="GW124" s="146"/>
      <c r="GX124" s="146"/>
      <c r="GY124" s="146"/>
      <c r="GZ124" s="146"/>
      <c r="HA124" s="146"/>
      <c r="HB124" s="146"/>
      <c r="HC124" s="146"/>
      <c r="HD124" s="146"/>
      <c r="HE124" s="146"/>
      <c r="HF124" s="146"/>
      <c r="HG124" s="146"/>
      <c r="HH124" s="146"/>
      <c r="HI124" s="146"/>
      <c r="HJ124" s="146"/>
      <c r="HK124" s="146"/>
      <c r="HL124" s="146"/>
      <c r="HM124" s="146"/>
      <c r="HN124" s="146"/>
      <c r="HO124" s="146"/>
      <c r="HP124" s="146"/>
      <c r="HQ124" s="146"/>
      <c r="HR124" s="146"/>
      <c r="HS124" s="146"/>
      <c r="HT124" s="146"/>
      <c r="HU124" s="146"/>
      <c r="HV124" s="146"/>
      <c r="HW124" s="146"/>
      <c r="HX124" s="146"/>
      <c r="HY124" s="146"/>
      <c r="HZ124" s="146"/>
      <c r="IA124" s="146"/>
    </row>
    <row r="125" spans="1:235" s="155" customFormat="1" ht="57" x14ac:dyDescent="0.25">
      <c r="A125" s="197">
        <v>11900</v>
      </c>
      <c r="B125" s="194" t="s">
        <v>349</v>
      </c>
      <c r="C125" s="198" t="s">
        <v>357</v>
      </c>
      <c r="D125" s="194" t="s">
        <v>146</v>
      </c>
      <c r="E125" s="198" t="s">
        <v>361</v>
      </c>
      <c r="F125" s="194" t="s">
        <v>436</v>
      </c>
      <c r="G125" s="209" t="s">
        <v>123</v>
      </c>
      <c r="H125" s="216">
        <v>1</v>
      </c>
      <c r="I125" s="198" t="s">
        <v>458</v>
      </c>
      <c r="J125" s="194" t="s">
        <v>362</v>
      </c>
      <c r="K125" s="1572">
        <v>768132904</v>
      </c>
      <c r="L125" s="1573">
        <v>1</v>
      </c>
      <c r="M125" s="194" t="s">
        <v>46</v>
      </c>
      <c r="N125" s="194" t="s">
        <v>74</v>
      </c>
      <c r="O125" s="194" t="s">
        <v>21</v>
      </c>
      <c r="P125" s="194" t="s">
        <v>36</v>
      </c>
      <c r="Q125" s="194" t="s">
        <v>229</v>
      </c>
      <c r="R125" s="194" t="s">
        <v>437</v>
      </c>
      <c r="S125" s="194" t="s">
        <v>99</v>
      </c>
      <c r="T125" s="211">
        <v>1</v>
      </c>
      <c r="U125" s="212" t="str">
        <f t="shared" si="41"/>
        <v>Ejercer la defensa extrajudicial y judicial en los asuntos y/o procesos judiciales en que la ADRES es parte o vinculado.</v>
      </c>
      <c r="V125" s="213">
        <f t="shared" si="41"/>
        <v>768132904</v>
      </c>
      <c r="W125" s="222" t="s">
        <v>114</v>
      </c>
      <c r="X125" s="216">
        <v>0.25</v>
      </c>
      <c r="Y125" s="214" t="s">
        <v>362</v>
      </c>
      <c r="Z125" s="210">
        <f>+V125*X125</f>
        <v>192033226</v>
      </c>
      <c r="AA125" s="196"/>
      <c r="AB125" s="196"/>
      <c r="AC125" s="204">
        <f t="shared" si="42"/>
        <v>0</v>
      </c>
      <c r="AD125" s="204">
        <f t="shared" si="43"/>
        <v>0</v>
      </c>
      <c r="AE125" s="204">
        <f t="shared" si="29"/>
        <v>0</v>
      </c>
      <c r="AF125" s="204">
        <f t="shared" si="30"/>
        <v>0</v>
      </c>
      <c r="AG125" s="216">
        <v>0.25</v>
      </c>
      <c r="AH125" s="214" t="s">
        <v>362</v>
      </c>
      <c r="AI125" s="210">
        <v>192033226</v>
      </c>
      <c r="AJ125" s="196"/>
      <c r="AK125" s="196"/>
      <c r="AL125" s="204">
        <f t="shared" si="44"/>
        <v>0</v>
      </c>
      <c r="AM125" s="204">
        <f t="shared" si="31"/>
        <v>0</v>
      </c>
      <c r="AN125" s="204">
        <f t="shared" si="32"/>
        <v>0</v>
      </c>
      <c r="AO125" s="204">
        <f t="shared" si="33"/>
        <v>0</v>
      </c>
      <c r="AP125" s="216">
        <v>0.25</v>
      </c>
      <c r="AQ125" s="214" t="s">
        <v>362</v>
      </c>
      <c r="AR125" s="210">
        <v>192033226</v>
      </c>
      <c r="AS125" s="196"/>
      <c r="AT125" s="196"/>
      <c r="AU125" s="204">
        <f t="shared" si="45"/>
        <v>0</v>
      </c>
      <c r="AV125" s="204">
        <f t="shared" si="46"/>
        <v>0</v>
      </c>
      <c r="AW125" s="204">
        <f t="shared" si="47"/>
        <v>0</v>
      </c>
      <c r="AX125" s="204">
        <f t="shared" si="48"/>
        <v>0</v>
      </c>
      <c r="AY125" s="216">
        <v>0.25</v>
      </c>
      <c r="AZ125" s="214" t="s">
        <v>362</v>
      </c>
      <c r="BA125" s="210">
        <v>192033226</v>
      </c>
      <c r="BB125" s="196"/>
      <c r="BC125" s="196"/>
      <c r="BD125" s="216">
        <f t="shared" si="49"/>
        <v>0</v>
      </c>
      <c r="BE125" s="216">
        <f t="shared" si="50"/>
        <v>0</v>
      </c>
      <c r="BF125" s="216">
        <f t="shared" si="51"/>
        <v>0</v>
      </c>
      <c r="BG125" s="216">
        <f t="shared" si="52"/>
        <v>0</v>
      </c>
      <c r="BH125" s="228">
        <f t="shared" si="34"/>
        <v>0</v>
      </c>
      <c r="BI125" s="228">
        <f t="shared" si="35"/>
        <v>0</v>
      </c>
      <c r="BJ125" s="228">
        <f t="shared" si="36"/>
        <v>0</v>
      </c>
      <c r="BK125" s="228">
        <f t="shared" si="37"/>
        <v>0</v>
      </c>
      <c r="BL125" s="228">
        <f t="shared" si="53"/>
        <v>0</v>
      </c>
      <c r="BM125" s="228">
        <f t="shared" si="54"/>
        <v>0</v>
      </c>
      <c r="BN125" s="228">
        <f t="shared" si="38"/>
        <v>0</v>
      </c>
      <c r="BO125" s="228">
        <f t="shared" si="39"/>
        <v>0</v>
      </c>
      <c r="BP125" s="206"/>
      <c r="BQ125" s="277">
        <v>32</v>
      </c>
      <c r="BR125" s="208">
        <f t="shared" si="40"/>
        <v>0.58333333333333337</v>
      </c>
      <c r="BS125" s="219" t="str">
        <f t="shared" si="55"/>
        <v>Ejercer la defensa extrajudicial y judicial en los asuntos y/o procesos judiciales en que la ADRES es parte o vinculado.</v>
      </c>
      <c r="BT125" s="195">
        <f t="shared" si="28"/>
        <v>448077527.33333331</v>
      </c>
      <c r="BU125" s="196"/>
      <c r="BV125" s="196"/>
      <c r="BW125" s="196"/>
      <c r="BX125" s="196"/>
      <c r="BY125" s="196"/>
      <c r="BZ125" s="196"/>
      <c r="CA125" s="146"/>
      <c r="CB125" s="146"/>
      <c r="CC125" s="146"/>
      <c r="CD125" s="146"/>
      <c r="CE125" s="146"/>
      <c r="CF125" s="146"/>
      <c r="CG125" s="146"/>
      <c r="CH125" s="146"/>
      <c r="CI125" s="146"/>
      <c r="CJ125" s="146"/>
      <c r="CK125" s="146"/>
      <c r="CL125" s="146"/>
      <c r="CM125" s="146"/>
      <c r="CN125" s="146"/>
      <c r="CO125" s="146"/>
      <c r="CP125" s="146"/>
      <c r="CQ125" s="146"/>
      <c r="CR125" s="146"/>
      <c r="CS125" s="146"/>
      <c r="CT125" s="146"/>
      <c r="CU125" s="146"/>
      <c r="CV125" s="146"/>
      <c r="CW125" s="146"/>
      <c r="CX125" s="146"/>
      <c r="CY125" s="146"/>
      <c r="CZ125" s="146"/>
      <c r="DA125" s="146"/>
      <c r="DB125" s="146"/>
      <c r="DC125" s="146"/>
      <c r="DD125" s="146"/>
      <c r="DE125" s="146"/>
      <c r="DF125" s="146"/>
      <c r="DG125" s="146"/>
      <c r="DH125" s="146"/>
      <c r="DI125" s="146"/>
      <c r="DJ125" s="146"/>
      <c r="DK125" s="146"/>
      <c r="DL125" s="146"/>
      <c r="DM125" s="146"/>
      <c r="DN125" s="146"/>
      <c r="DO125" s="146"/>
      <c r="DP125" s="146"/>
      <c r="DQ125" s="146"/>
      <c r="DR125" s="146"/>
      <c r="DS125" s="146"/>
      <c r="DT125" s="146"/>
      <c r="DU125" s="146"/>
      <c r="DV125" s="146"/>
      <c r="DW125" s="146"/>
      <c r="DX125" s="146"/>
      <c r="DY125" s="146"/>
      <c r="DZ125" s="146"/>
      <c r="EA125" s="146"/>
      <c r="EB125" s="146"/>
      <c r="EC125" s="146"/>
      <c r="ED125" s="146"/>
      <c r="EE125" s="146"/>
      <c r="EF125" s="146"/>
      <c r="EG125" s="146"/>
      <c r="EH125" s="146"/>
      <c r="EI125" s="146"/>
      <c r="EJ125" s="146"/>
      <c r="EK125" s="146"/>
      <c r="EL125" s="146"/>
      <c r="EM125" s="146"/>
      <c r="EN125" s="146"/>
      <c r="EO125" s="146"/>
      <c r="EP125" s="146"/>
      <c r="EQ125" s="146"/>
      <c r="ER125" s="146"/>
      <c r="ES125" s="146"/>
      <c r="ET125" s="146"/>
      <c r="EU125" s="146"/>
      <c r="EV125" s="146"/>
      <c r="EW125" s="146"/>
      <c r="EX125" s="146"/>
      <c r="EY125" s="146"/>
      <c r="EZ125" s="146"/>
      <c r="FA125" s="146"/>
      <c r="FB125" s="146"/>
      <c r="FC125" s="146"/>
      <c r="FD125" s="146"/>
      <c r="FE125" s="146"/>
      <c r="FF125" s="146"/>
      <c r="FG125" s="146"/>
      <c r="FH125" s="146"/>
      <c r="FI125" s="146"/>
      <c r="FJ125" s="146"/>
      <c r="FK125" s="146"/>
      <c r="FL125" s="146"/>
      <c r="FM125" s="146"/>
      <c r="FN125" s="146"/>
      <c r="FO125" s="146"/>
      <c r="FP125" s="146"/>
      <c r="FQ125" s="146"/>
      <c r="FR125" s="146"/>
      <c r="FS125" s="146"/>
      <c r="FT125" s="146"/>
      <c r="FU125" s="146"/>
      <c r="FV125" s="146"/>
      <c r="FW125" s="146"/>
      <c r="FX125" s="146"/>
      <c r="FY125" s="146"/>
      <c r="FZ125" s="146"/>
      <c r="GA125" s="146"/>
      <c r="GB125" s="146"/>
      <c r="GC125" s="146"/>
      <c r="GD125" s="146"/>
      <c r="GE125" s="146"/>
      <c r="GF125" s="146"/>
      <c r="GG125" s="146"/>
      <c r="GH125" s="146"/>
      <c r="GI125" s="146"/>
      <c r="GJ125" s="146"/>
      <c r="GK125" s="146"/>
      <c r="GL125" s="146"/>
      <c r="GM125" s="146"/>
      <c r="GN125" s="146"/>
      <c r="GO125" s="146"/>
      <c r="GP125" s="146"/>
      <c r="GQ125" s="146"/>
      <c r="GR125" s="146"/>
      <c r="GS125" s="146"/>
      <c r="GT125" s="146"/>
      <c r="GU125" s="146"/>
      <c r="GV125" s="146"/>
      <c r="GW125" s="146"/>
      <c r="GX125" s="146"/>
      <c r="GY125" s="146"/>
      <c r="GZ125" s="146"/>
      <c r="HA125" s="146"/>
      <c r="HB125" s="146"/>
      <c r="HC125" s="146"/>
      <c r="HD125" s="146"/>
      <c r="HE125" s="146"/>
      <c r="HF125" s="146"/>
      <c r="HG125" s="146"/>
      <c r="HH125" s="146"/>
      <c r="HI125" s="146"/>
      <c r="HJ125" s="146"/>
      <c r="HK125" s="146"/>
      <c r="HL125" s="146"/>
      <c r="HM125" s="146"/>
      <c r="HN125" s="146"/>
      <c r="HO125" s="146"/>
      <c r="HP125" s="146"/>
      <c r="HQ125" s="146"/>
      <c r="HR125" s="146"/>
      <c r="HS125" s="146"/>
      <c r="HT125" s="146"/>
      <c r="HU125" s="146"/>
      <c r="HV125" s="146"/>
      <c r="HW125" s="146"/>
      <c r="HX125" s="146"/>
      <c r="HY125" s="146"/>
      <c r="HZ125" s="146"/>
      <c r="IA125" s="146"/>
    </row>
    <row r="126" spans="1:235" s="159" customFormat="1" ht="71.25" x14ac:dyDescent="0.25">
      <c r="A126" s="197">
        <v>11900</v>
      </c>
      <c r="B126" s="194" t="s">
        <v>349</v>
      </c>
      <c r="C126" s="198" t="s">
        <v>357</v>
      </c>
      <c r="D126" s="194" t="s">
        <v>146</v>
      </c>
      <c r="E126" s="198" t="s">
        <v>371</v>
      </c>
      <c r="F126" s="194" t="s">
        <v>366</v>
      </c>
      <c r="G126" s="209" t="s">
        <v>123</v>
      </c>
      <c r="H126" s="216">
        <v>1</v>
      </c>
      <c r="I126" s="198" t="s">
        <v>547</v>
      </c>
      <c r="J126" s="194" t="s">
        <v>362</v>
      </c>
      <c r="K126" s="1572"/>
      <c r="L126" s="1573"/>
      <c r="M126" s="194" t="s">
        <v>46</v>
      </c>
      <c r="N126" s="194" t="s">
        <v>74</v>
      </c>
      <c r="O126" s="194" t="s">
        <v>21</v>
      </c>
      <c r="P126" s="194" t="s">
        <v>36</v>
      </c>
      <c r="Q126" s="194" t="s">
        <v>229</v>
      </c>
      <c r="R126" s="194" t="s">
        <v>370</v>
      </c>
      <c r="S126" s="194" t="s">
        <v>99</v>
      </c>
      <c r="T126" s="211">
        <v>1</v>
      </c>
      <c r="U126" s="212" t="str">
        <f t="shared" si="41"/>
        <v>Ejercer la defensa extrajudicial y judicial en los asuntos y/o procesos judiciales en que la ADRES es parte o vinculado.</v>
      </c>
      <c r="V126" s="213">
        <f t="shared" si="41"/>
        <v>0</v>
      </c>
      <c r="W126" s="222" t="s">
        <v>114</v>
      </c>
      <c r="X126" s="281">
        <v>0.25</v>
      </c>
      <c r="Y126" s="282" t="s">
        <v>362</v>
      </c>
      <c r="Z126" s="283">
        <v>0</v>
      </c>
      <c r="AA126" s="279"/>
      <c r="AB126" s="279"/>
      <c r="AC126" s="280">
        <f t="shared" si="42"/>
        <v>0</v>
      </c>
      <c r="AD126" s="280" t="e">
        <f t="shared" si="43"/>
        <v>#DIV/0!</v>
      </c>
      <c r="AE126" s="280">
        <f t="shared" si="29"/>
        <v>0</v>
      </c>
      <c r="AF126" s="280" t="e">
        <f t="shared" si="30"/>
        <v>#DIV/0!</v>
      </c>
      <c r="AG126" s="281">
        <v>0.25</v>
      </c>
      <c r="AH126" s="282" t="s">
        <v>362</v>
      </c>
      <c r="AI126" s="283">
        <v>0</v>
      </c>
      <c r="AJ126" s="279"/>
      <c r="AK126" s="279"/>
      <c r="AL126" s="280">
        <f t="shared" si="44"/>
        <v>0</v>
      </c>
      <c r="AM126" s="280" t="e">
        <f t="shared" si="31"/>
        <v>#DIV/0!</v>
      </c>
      <c r="AN126" s="280">
        <f t="shared" si="32"/>
        <v>0</v>
      </c>
      <c r="AO126" s="280" t="e">
        <f t="shared" si="33"/>
        <v>#DIV/0!</v>
      </c>
      <c r="AP126" s="281">
        <v>0.25</v>
      </c>
      <c r="AQ126" s="282" t="s">
        <v>362</v>
      </c>
      <c r="AR126" s="283">
        <v>0</v>
      </c>
      <c r="AS126" s="279"/>
      <c r="AT126" s="279"/>
      <c r="AU126" s="280">
        <f t="shared" si="45"/>
        <v>0</v>
      </c>
      <c r="AV126" s="280" t="e">
        <f t="shared" si="46"/>
        <v>#DIV/0!</v>
      </c>
      <c r="AW126" s="280">
        <f t="shared" si="47"/>
        <v>0</v>
      </c>
      <c r="AX126" s="280" t="e">
        <f t="shared" si="48"/>
        <v>#DIV/0!</v>
      </c>
      <c r="AY126" s="281">
        <v>0.25</v>
      </c>
      <c r="AZ126" s="282" t="s">
        <v>362</v>
      </c>
      <c r="BA126" s="283">
        <v>0</v>
      </c>
      <c r="BB126" s="279"/>
      <c r="BC126" s="279"/>
      <c r="BD126" s="281">
        <f t="shared" si="49"/>
        <v>0</v>
      </c>
      <c r="BE126" s="281" t="e">
        <f t="shared" si="50"/>
        <v>#DIV/0!</v>
      </c>
      <c r="BF126" s="281">
        <f t="shared" si="51"/>
        <v>0</v>
      </c>
      <c r="BG126" s="281" t="e">
        <f t="shared" si="52"/>
        <v>#DIV/0!</v>
      </c>
      <c r="BH126" s="205">
        <f t="shared" si="34"/>
        <v>0</v>
      </c>
      <c r="BI126" s="205" t="str">
        <f t="shared" si="35"/>
        <v>No Prog ni Ejec</v>
      </c>
      <c r="BJ126" s="205">
        <f t="shared" si="36"/>
        <v>0</v>
      </c>
      <c r="BK126" s="205" t="str">
        <f t="shared" si="37"/>
        <v>No Prog ni Ejec</v>
      </c>
      <c r="BL126" s="205">
        <f t="shared" si="53"/>
        <v>0</v>
      </c>
      <c r="BM126" s="205" t="str">
        <f t="shared" si="54"/>
        <v>No Prog ni Ejec</v>
      </c>
      <c r="BN126" s="205">
        <f t="shared" si="38"/>
        <v>0</v>
      </c>
      <c r="BO126" s="205" t="str">
        <f t="shared" si="39"/>
        <v>No Prog ni Ejec</v>
      </c>
      <c r="BP126" s="206"/>
      <c r="BQ126" s="277">
        <v>32</v>
      </c>
      <c r="BR126" s="208">
        <f t="shared" si="40"/>
        <v>0.58333333333333337</v>
      </c>
      <c r="BS126" s="219" t="str">
        <f t="shared" si="55"/>
        <v>Ejercer la defensa extrajudicial y judicial en los asuntos y/o procesos judiciales en que la ADRES es parte o vinculado.</v>
      </c>
      <c r="BT126" s="195">
        <f t="shared" si="28"/>
        <v>0</v>
      </c>
      <c r="BU126" s="196"/>
      <c r="BV126" s="196"/>
      <c r="BW126" s="196"/>
      <c r="BX126" s="196"/>
      <c r="BY126" s="196"/>
      <c r="BZ126" s="196"/>
      <c r="CA126" s="146"/>
      <c r="CB126" s="146"/>
      <c r="CC126" s="146"/>
      <c r="CD126" s="146"/>
      <c r="CE126" s="146"/>
      <c r="CF126" s="146"/>
      <c r="CG126" s="146"/>
      <c r="CH126" s="146"/>
      <c r="CI126" s="146"/>
      <c r="CJ126" s="146"/>
      <c r="CK126" s="146"/>
      <c r="CL126" s="146"/>
      <c r="CM126" s="146"/>
      <c r="CN126" s="146"/>
      <c r="CO126" s="146"/>
      <c r="CP126" s="146"/>
      <c r="CQ126" s="146"/>
      <c r="CR126" s="146"/>
      <c r="CS126" s="146"/>
      <c r="CT126" s="146"/>
      <c r="CU126" s="146"/>
      <c r="CV126" s="146"/>
      <c r="CW126" s="146"/>
      <c r="CX126" s="146"/>
      <c r="CY126" s="146"/>
      <c r="CZ126" s="146"/>
      <c r="DA126" s="146"/>
      <c r="DB126" s="146"/>
      <c r="DC126" s="146"/>
      <c r="DD126" s="146"/>
      <c r="DE126" s="146"/>
      <c r="DF126" s="146"/>
      <c r="DG126" s="146"/>
      <c r="DH126" s="146"/>
      <c r="DI126" s="146"/>
      <c r="DJ126" s="146"/>
      <c r="DK126" s="146"/>
      <c r="DL126" s="146"/>
      <c r="DM126" s="146"/>
      <c r="DN126" s="146"/>
      <c r="DO126" s="146"/>
      <c r="DP126" s="146"/>
      <c r="DQ126" s="146"/>
      <c r="DR126" s="146"/>
      <c r="DS126" s="146"/>
      <c r="DT126" s="146"/>
      <c r="DU126" s="146"/>
      <c r="DV126" s="146"/>
      <c r="DW126" s="146"/>
      <c r="DX126" s="146"/>
      <c r="DY126" s="146"/>
      <c r="DZ126" s="146"/>
      <c r="EA126" s="146"/>
      <c r="EB126" s="146"/>
      <c r="EC126" s="146"/>
      <c r="ED126" s="146"/>
      <c r="EE126" s="146"/>
      <c r="EF126" s="146"/>
      <c r="EG126" s="146"/>
      <c r="EH126" s="146"/>
      <c r="EI126" s="146"/>
      <c r="EJ126" s="146"/>
      <c r="EK126" s="146"/>
      <c r="EL126" s="146"/>
      <c r="EM126" s="146"/>
      <c r="EN126" s="146"/>
      <c r="EO126" s="146"/>
      <c r="EP126" s="146"/>
      <c r="EQ126" s="146"/>
      <c r="ER126" s="146"/>
      <c r="ES126" s="146"/>
      <c r="ET126" s="146"/>
      <c r="EU126" s="146"/>
      <c r="EV126" s="146"/>
      <c r="EW126" s="146"/>
      <c r="EX126" s="146"/>
      <c r="EY126" s="146"/>
      <c r="EZ126" s="146"/>
      <c r="FA126" s="146"/>
      <c r="FB126" s="146"/>
      <c r="FC126" s="146"/>
      <c r="FD126" s="146"/>
      <c r="FE126" s="146"/>
      <c r="FF126" s="146"/>
      <c r="FG126" s="146"/>
      <c r="FH126" s="146"/>
      <c r="FI126" s="146"/>
      <c r="FJ126" s="146"/>
      <c r="FK126" s="146"/>
      <c r="FL126" s="146"/>
      <c r="FM126" s="146"/>
      <c r="FN126" s="146"/>
      <c r="FO126" s="146"/>
      <c r="FP126" s="146"/>
      <c r="FQ126" s="146"/>
      <c r="FR126" s="146"/>
      <c r="FS126" s="146"/>
      <c r="FT126" s="146"/>
      <c r="FU126" s="146"/>
      <c r="FV126" s="146"/>
      <c r="FW126" s="146"/>
      <c r="FX126" s="146"/>
      <c r="FY126" s="146"/>
      <c r="FZ126" s="146"/>
      <c r="GA126" s="146"/>
      <c r="GB126" s="146"/>
      <c r="GC126" s="146"/>
      <c r="GD126" s="146"/>
      <c r="GE126" s="146"/>
      <c r="GF126" s="146"/>
      <c r="GG126" s="146"/>
      <c r="GH126" s="146"/>
      <c r="GI126" s="146"/>
      <c r="GJ126" s="146"/>
      <c r="GK126" s="146"/>
      <c r="GL126" s="146"/>
      <c r="GM126" s="146"/>
      <c r="GN126" s="146"/>
      <c r="GO126" s="146"/>
      <c r="GP126" s="146"/>
      <c r="GQ126" s="146"/>
      <c r="GR126" s="146"/>
      <c r="GS126" s="146"/>
      <c r="GT126" s="146"/>
      <c r="GU126" s="146"/>
      <c r="GV126" s="146"/>
      <c r="GW126" s="146"/>
      <c r="GX126" s="146"/>
      <c r="GY126" s="146"/>
      <c r="GZ126" s="146"/>
      <c r="HA126" s="146"/>
      <c r="HB126" s="146"/>
      <c r="HC126" s="146"/>
      <c r="HD126" s="146"/>
      <c r="HE126" s="146"/>
      <c r="HF126" s="146"/>
      <c r="HG126" s="146"/>
      <c r="HH126" s="146"/>
      <c r="HI126" s="146"/>
      <c r="HJ126" s="146"/>
      <c r="HK126" s="146"/>
      <c r="HL126" s="146"/>
      <c r="HM126" s="146"/>
      <c r="HN126" s="146"/>
      <c r="HO126" s="146"/>
      <c r="HP126" s="146"/>
      <c r="HQ126" s="146"/>
      <c r="HR126" s="146"/>
      <c r="HS126" s="146"/>
      <c r="HT126" s="146"/>
      <c r="HU126" s="146"/>
      <c r="HV126" s="146"/>
      <c r="HW126" s="146"/>
      <c r="HX126" s="146"/>
      <c r="HY126" s="146"/>
      <c r="HZ126" s="146"/>
      <c r="IA126" s="146"/>
    </row>
    <row r="127" spans="1:235" s="155" customFormat="1" ht="57" x14ac:dyDescent="0.25">
      <c r="A127" s="197">
        <v>11900</v>
      </c>
      <c r="B127" s="194" t="s">
        <v>349</v>
      </c>
      <c r="C127" s="198" t="s">
        <v>357</v>
      </c>
      <c r="D127" s="194" t="s">
        <v>146</v>
      </c>
      <c r="E127" s="198" t="s">
        <v>372</v>
      </c>
      <c r="F127" s="194" t="s">
        <v>367</v>
      </c>
      <c r="G127" s="209" t="s">
        <v>123</v>
      </c>
      <c r="H127" s="216">
        <v>1</v>
      </c>
      <c r="I127" s="198" t="s">
        <v>459</v>
      </c>
      <c r="J127" s="194" t="s">
        <v>363</v>
      </c>
      <c r="K127" s="1572"/>
      <c r="L127" s="1573"/>
      <c r="M127" s="194" t="s">
        <v>46</v>
      </c>
      <c r="N127" s="194" t="s">
        <v>74</v>
      </c>
      <c r="O127" s="194" t="s">
        <v>21</v>
      </c>
      <c r="P127" s="194" t="s">
        <v>36</v>
      </c>
      <c r="Q127" s="194" t="s">
        <v>229</v>
      </c>
      <c r="R127" s="194" t="s">
        <v>438</v>
      </c>
      <c r="S127" s="194" t="s">
        <v>99</v>
      </c>
      <c r="T127" s="211">
        <v>1</v>
      </c>
      <c r="U127" s="212" t="str">
        <f t="shared" si="41"/>
        <v>Atender las solicitudes de pruebas de los despachos judiciales o terceros intervinientes en el proceso judicial</v>
      </c>
      <c r="V127" s="213">
        <f t="shared" si="41"/>
        <v>0</v>
      </c>
      <c r="W127" s="222" t="s">
        <v>114</v>
      </c>
      <c r="X127" s="216">
        <v>0.25</v>
      </c>
      <c r="Y127" s="214" t="s">
        <v>363</v>
      </c>
      <c r="Z127" s="210">
        <v>0</v>
      </c>
      <c r="AA127" s="196"/>
      <c r="AB127" s="196"/>
      <c r="AC127" s="204">
        <f t="shared" si="42"/>
        <v>0</v>
      </c>
      <c r="AD127" s="204" t="e">
        <f t="shared" si="43"/>
        <v>#DIV/0!</v>
      </c>
      <c r="AE127" s="204">
        <f t="shared" si="29"/>
        <v>0</v>
      </c>
      <c r="AF127" s="204" t="e">
        <f t="shared" si="30"/>
        <v>#DIV/0!</v>
      </c>
      <c r="AG127" s="216">
        <v>0.25</v>
      </c>
      <c r="AH127" s="214" t="s">
        <v>363</v>
      </c>
      <c r="AI127" s="210">
        <v>0</v>
      </c>
      <c r="AJ127" s="196"/>
      <c r="AK127" s="196"/>
      <c r="AL127" s="204">
        <f t="shared" si="44"/>
        <v>0</v>
      </c>
      <c r="AM127" s="204" t="e">
        <f t="shared" si="31"/>
        <v>#DIV/0!</v>
      </c>
      <c r="AN127" s="204">
        <f t="shared" si="32"/>
        <v>0</v>
      </c>
      <c r="AO127" s="204" t="e">
        <f t="shared" si="33"/>
        <v>#DIV/0!</v>
      </c>
      <c r="AP127" s="216">
        <v>0.25</v>
      </c>
      <c r="AQ127" s="214" t="s">
        <v>363</v>
      </c>
      <c r="AR127" s="210">
        <v>0</v>
      </c>
      <c r="AS127" s="196"/>
      <c r="AT127" s="196"/>
      <c r="AU127" s="204">
        <f t="shared" si="45"/>
        <v>0</v>
      </c>
      <c r="AV127" s="204" t="e">
        <f t="shared" si="46"/>
        <v>#DIV/0!</v>
      </c>
      <c r="AW127" s="204">
        <f t="shared" si="47"/>
        <v>0</v>
      </c>
      <c r="AX127" s="204" t="e">
        <f t="shared" si="48"/>
        <v>#DIV/0!</v>
      </c>
      <c r="AY127" s="216">
        <v>0.25</v>
      </c>
      <c r="AZ127" s="214" t="s">
        <v>363</v>
      </c>
      <c r="BA127" s="210">
        <v>0</v>
      </c>
      <c r="BB127" s="196"/>
      <c r="BC127" s="196"/>
      <c r="BD127" s="216">
        <f t="shared" si="49"/>
        <v>0</v>
      </c>
      <c r="BE127" s="216" t="e">
        <f t="shared" si="50"/>
        <v>#DIV/0!</v>
      </c>
      <c r="BF127" s="216">
        <f t="shared" si="51"/>
        <v>0</v>
      </c>
      <c r="BG127" s="216" t="e">
        <f t="shared" si="52"/>
        <v>#DIV/0!</v>
      </c>
      <c r="BH127" s="228">
        <f t="shared" si="34"/>
        <v>0</v>
      </c>
      <c r="BI127" s="228" t="str">
        <f t="shared" si="35"/>
        <v>No Prog ni Ejec</v>
      </c>
      <c r="BJ127" s="228">
        <f t="shared" si="36"/>
        <v>0</v>
      </c>
      <c r="BK127" s="228" t="str">
        <f t="shared" si="37"/>
        <v>No Prog ni Ejec</v>
      </c>
      <c r="BL127" s="228">
        <f t="shared" si="53"/>
        <v>0</v>
      </c>
      <c r="BM127" s="228" t="str">
        <f t="shared" si="54"/>
        <v>No Prog ni Ejec</v>
      </c>
      <c r="BN127" s="228">
        <f t="shared" si="38"/>
        <v>0</v>
      </c>
      <c r="BO127" s="228" t="str">
        <f t="shared" si="39"/>
        <v>No Prog ni Ejec</v>
      </c>
      <c r="BP127" s="206"/>
      <c r="BQ127" s="277">
        <v>32</v>
      </c>
      <c r="BR127" s="208">
        <f t="shared" si="40"/>
        <v>0.58333333333333337</v>
      </c>
      <c r="BS127" s="219" t="str">
        <f t="shared" si="55"/>
        <v>Atender las solicitudes de pruebas de los despachos judiciales o terceros intervinientes en el proceso judicial</v>
      </c>
      <c r="BT127" s="195">
        <f t="shared" si="28"/>
        <v>0</v>
      </c>
      <c r="BU127" s="196"/>
      <c r="BV127" s="196"/>
      <c r="BW127" s="196"/>
      <c r="BX127" s="196"/>
      <c r="BY127" s="196"/>
      <c r="BZ127" s="196"/>
      <c r="CA127" s="146"/>
      <c r="CB127" s="146"/>
      <c r="CC127" s="146"/>
      <c r="CD127" s="146"/>
      <c r="CE127" s="146"/>
      <c r="CF127" s="146"/>
      <c r="CG127" s="146"/>
      <c r="CH127" s="146"/>
      <c r="CI127" s="146"/>
      <c r="CJ127" s="146"/>
      <c r="CK127" s="146"/>
      <c r="CL127" s="146"/>
      <c r="CM127" s="146"/>
      <c r="CN127" s="146"/>
      <c r="CO127" s="146"/>
      <c r="CP127" s="146"/>
      <c r="CQ127" s="146"/>
      <c r="CR127" s="146"/>
      <c r="CS127" s="146"/>
      <c r="CT127" s="146"/>
      <c r="CU127" s="146"/>
      <c r="CV127" s="146"/>
      <c r="CW127" s="146"/>
      <c r="CX127" s="146"/>
      <c r="CY127" s="146"/>
      <c r="CZ127" s="146"/>
      <c r="DA127" s="146"/>
      <c r="DB127" s="146"/>
      <c r="DC127" s="146"/>
      <c r="DD127" s="146"/>
      <c r="DE127" s="146"/>
      <c r="DF127" s="146"/>
      <c r="DG127" s="146"/>
      <c r="DH127" s="146"/>
      <c r="DI127" s="146"/>
      <c r="DJ127" s="146"/>
      <c r="DK127" s="146"/>
      <c r="DL127" s="146"/>
      <c r="DM127" s="146"/>
      <c r="DN127" s="146"/>
      <c r="DO127" s="146"/>
      <c r="DP127" s="146"/>
      <c r="DQ127" s="146"/>
      <c r="DR127" s="146"/>
      <c r="DS127" s="146"/>
      <c r="DT127" s="146"/>
      <c r="DU127" s="146"/>
      <c r="DV127" s="146"/>
      <c r="DW127" s="146"/>
      <c r="DX127" s="146"/>
      <c r="DY127" s="146"/>
      <c r="DZ127" s="146"/>
      <c r="EA127" s="146"/>
      <c r="EB127" s="146"/>
      <c r="EC127" s="146"/>
      <c r="ED127" s="146"/>
      <c r="EE127" s="146"/>
      <c r="EF127" s="146"/>
      <c r="EG127" s="146"/>
      <c r="EH127" s="146"/>
      <c r="EI127" s="146"/>
      <c r="EJ127" s="146"/>
      <c r="EK127" s="146"/>
      <c r="EL127" s="146"/>
      <c r="EM127" s="146"/>
      <c r="EN127" s="146"/>
      <c r="EO127" s="146"/>
      <c r="EP127" s="146"/>
      <c r="EQ127" s="146"/>
      <c r="ER127" s="146"/>
      <c r="ES127" s="146"/>
      <c r="ET127" s="146"/>
      <c r="EU127" s="146"/>
      <c r="EV127" s="146"/>
      <c r="EW127" s="146"/>
      <c r="EX127" s="146"/>
      <c r="EY127" s="146"/>
      <c r="EZ127" s="146"/>
      <c r="FA127" s="146"/>
      <c r="FB127" s="146"/>
      <c r="FC127" s="146"/>
      <c r="FD127" s="146"/>
      <c r="FE127" s="146"/>
      <c r="FF127" s="146"/>
      <c r="FG127" s="146"/>
      <c r="FH127" s="146"/>
      <c r="FI127" s="146"/>
      <c r="FJ127" s="146"/>
      <c r="FK127" s="146"/>
      <c r="FL127" s="146"/>
      <c r="FM127" s="146"/>
      <c r="FN127" s="146"/>
      <c r="FO127" s="146"/>
      <c r="FP127" s="146"/>
      <c r="FQ127" s="146"/>
      <c r="FR127" s="146"/>
      <c r="FS127" s="146"/>
      <c r="FT127" s="146"/>
      <c r="FU127" s="146"/>
      <c r="FV127" s="146"/>
      <c r="FW127" s="146"/>
      <c r="FX127" s="146"/>
      <c r="FY127" s="146"/>
      <c r="FZ127" s="146"/>
      <c r="GA127" s="146"/>
      <c r="GB127" s="146"/>
      <c r="GC127" s="146"/>
      <c r="GD127" s="146"/>
      <c r="GE127" s="146"/>
      <c r="GF127" s="146"/>
      <c r="GG127" s="146"/>
      <c r="GH127" s="146"/>
      <c r="GI127" s="146"/>
      <c r="GJ127" s="146"/>
      <c r="GK127" s="146"/>
      <c r="GL127" s="146"/>
      <c r="GM127" s="146"/>
      <c r="GN127" s="146"/>
      <c r="GO127" s="146"/>
      <c r="GP127" s="146"/>
      <c r="GQ127" s="146"/>
      <c r="GR127" s="146"/>
      <c r="GS127" s="146"/>
      <c r="GT127" s="146"/>
      <c r="GU127" s="146"/>
      <c r="GV127" s="146"/>
      <c r="GW127" s="146"/>
      <c r="GX127" s="146"/>
      <c r="GY127" s="146"/>
      <c r="GZ127" s="146"/>
      <c r="HA127" s="146"/>
      <c r="HB127" s="146"/>
      <c r="HC127" s="146"/>
      <c r="HD127" s="146"/>
      <c r="HE127" s="146"/>
      <c r="HF127" s="146"/>
      <c r="HG127" s="146"/>
      <c r="HH127" s="146"/>
      <c r="HI127" s="146"/>
      <c r="HJ127" s="146"/>
      <c r="HK127" s="146"/>
      <c r="HL127" s="146"/>
      <c r="HM127" s="146"/>
      <c r="HN127" s="146"/>
      <c r="HO127" s="146"/>
      <c r="HP127" s="146"/>
      <c r="HQ127" s="146"/>
      <c r="HR127" s="146"/>
      <c r="HS127" s="146"/>
      <c r="HT127" s="146"/>
      <c r="HU127" s="146"/>
      <c r="HV127" s="146"/>
      <c r="HW127" s="146"/>
      <c r="HX127" s="146"/>
      <c r="HY127" s="146"/>
      <c r="HZ127" s="146"/>
      <c r="IA127" s="146"/>
    </row>
    <row r="128" spans="1:235" s="155" customFormat="1" ht="99.75" x14ac:dyDescent="0.25">
      <c r="A128" s="197">
        <v>11900</v>
      </c>
      <c r="B128" s="194" t="s">
        <v>349</v>
      </c>
      <c r="C128" s="198" t="s">
        <v>357</v>
      </c>
      <c r="D128" s="194" t="s">
        <v>146</v>
      </c>
      <c r="E128" s="198" t="s">
        <v>439</v>
      </c>
      <c r="F128" s="194" t="s">
        <v>715</v>
      </c>
      <c r="G128" s="209" t="s">
        <v>123</v>
      </c>
      <c r="H128" s="216">
        <v>1</v>
      </c>
      <c r="I128" s="198" t="s">
        <v>462</v>
      </c>
      <c r="J128" s="194" t="s">
        <v>691</v>
      </c>
      <c r="K128" s="1572"/>
      <c r="L128" s="1573"/>
      <c r="M128" s="194" t="s">
        <v>46</v>
      </c>
      <c r="N128" s="194" t="s">
        <v>74</v>
      </c>
      <c r="O128" s="194" t="s">
        <v>21</v>
      </c>
      <c r="P128" s="194" t="s">
        <v>36</v>
      </c>
      <c r="Q128" s="194" t="s">
        <v>229</v>
      </c>
      <c r="R128" s="194" t="s">
        <v>442</v>
      </c>
      <c r="S128" s="194" t="s">
        <v>99</v>
      </c>
      <c r="T128" s="211">
        <v>1</v>
      </c>
      <c r="U128" s="212" t="str">
        <f t="shared" si="41"/>
        <v>Fichas técnicas de conciliaciones prejudiciales presentadas a consideración del Comité de Conciliación</v>
      </c>
      <c r="V128" s="213">
        <f t="shared" si="41"/>
        <v>0</v>
      </c>
      <c r="W128" s="222" t="s">
        <v>114</v>
      </c>
      <c r="X128" s="216">
        <v>0.25</v>
      </c>
      <c r="Y128" s="214" t="s">
        <v>691</v>
      </c>
      <c r="Z128" s="210">
        <v>0</v>
      </c>
      <c r="AA128" s="196"/>
      <c r="AB128" s="196"/>
      <c r="AC128" s="204">
        <f t="shared" si="42"/>
        <v>0</v>
      </c>
      <c r="AD128" s="204" t="e">
        <f t="shared" si="43"/>
        <v>#DIV/0!</v>
      </c>
      <c r="AE128" s="204">
        <f t="shared" si="29"/>
        <v>0</v>
      </c>
      <c r="AF128" s="204" t="e">
        <f t="shared" si="30"/>
        <v>#DIV/0!</v>
      </c>
      <c r="AG128" s="216">
        <v>0.25</v>
      </c>
      <c r="AH128" s="214" t="s">
        <v>691</v>
      </c>
      <c r="AI128" s="210">
        <v>0</v>
      </c>
      <c r="AJ128" s="196"/>
      <c r="AK128" s="196"/>
      <c r="AL128" s="204">
        <f t="shared" si="44"/>
        <v>0</v>
      </c>
      <c r="AM128" s="204" t="e">
        <f t="shared" si="31"/>
        <v>#DIV/0!</v>
      </c>
      <c r="AN128" s="204">
        <f t="shared" si="32"/>
        <v>0</v>
      </c>
      <c r="AO128" s="204" t="e">
        <f t="shared" si="33"/>
        <v>#DIV/0!</v>
      </c>
      <c r="AP128" s="216">
        <v>0.25</v>
      </c>
      <c r="AQ128" s="214" t="s">
        <v>691</v>
      </c>
      <c r="AR128" s="210">
        <v>0</v>
      </c>
      <c r="AS128" s="196"/>
      <c r="AT128" s="196"/>
      <c r="AU128" s="204">
        <f t="shared" si="45"/>
        <v>0</v>
      </c>
      <c r="AV128" s="204" t="e">
        <f t="shared" si="46"/>
        <v>#DIV/0!</v>
      </c>
      <c r="AW128" s="204">
        <f t="shared" si="47"/>
        <v>0</v>
      </c>
      <c r="AX128" s="204" t="e">
        <f t="shared" si="48"/>
        <v>#DIV/0!</v>
      </c>
      <c r="AY128" s="216">
        <v>0.25</v>
      </c>
      <c r="AZ128" s="214" t="s">
        <v>691</v>
      </c>
      <c r="BA128" s="210">
        <v>0</v>
      </c>
      <c r="BB128" s="196"/>
      <c r="BC128" s="196"/>
      <c r="BD128" s="216">
        <f t="shared" si="49"/>
        <v>0</v>
      </c>
      <c r="BE128" s="216" t="e">
        <f t="shared" si="50"/>
        <v>#DIV/0!</v>
      </c>
      <c r="BF128" s="216">
        <f t="shared" si="51"/>
        <v>0</v>
      </c>
      <c r="BG128" s="216" t="e">
        <f t="shared" si="52"/>
        <v>#DIV/0!</v>
      </c>
      <c r="BH128" s="228">
        <f t="shared" si="34"/>
        <v>0</v>
      </c>
      <c r="BI128" s="228" t="str">
        <f t="shared" si="35"/>
        <v>No Prog ni Ejec</v>
      </c>
      <c r="BJ128" s="228">
        <f t="shared" si="36"/>
        <v>0</v>
      </c>
      <c r="BK128" s="228" t="str">
        <f t="shared" si="37"/>
        <v>No Prog ni Ejec</v>
      </c>
      <c r="BL128" s="228">
        <f t="shared" si="53"/>
        <v>0</v>
      </c>
      <c r="BM128" s="228" t="str">
        <f t="shared" si="54"/>
        <v>No Prog ni Ejec</v>
      </c>
      <c r="BN128" s="228">
        <f t="shared" si="38"/>
        <v>0</v>
      </c>
      <c r="BO128" s="228" t="str">
        <f t="shared" si="39"/>
        <v>No Prog ni Ejec</v>
      </c>
      <c r="BP128" s="206"/>
      <c r="BQ128" s="277">
        <v>32</v>
      </c>
      <c r="BR128" s="208">
        <f t="shared" si="40"/>
        <v>0.58333333333333337</v>
      </c>
      <c r="BS128" s="219" t="str">
        <f t="shared" si="55"/>
        <v>Fichas técnicas de conciliaciones prejudiciales presentadas a consideración del Comité de Conciliación</v>
      </c>
      <c r="BT128" s="195">
        <f t="shared" si="28"/>
        <v>0</v>
      </c>
      <c r="BU128" s="196"/>
      <c r="BV128" s="196"/>
      <c r="BW128" s="196"/>
      <c r="BX128" s="196"/>
      <c r="BY128" s="196"/>
      <c r="BZ128" s="196"/>
      <c r="CA128" s="146"/>
      <c r="CB128" s="146"/>
      <c r="CC128" s="146"/>
      <c r="CD128" s="146"/>
      <c r="CE128" s="146"/>
      <c r="CF128" s="146"/>
      <c r="CG128" s="146"/>
      <c r="CH128" s="146"/>
      <c r="CI128" s="146"/>
      <c r="CJ128" s="146"/>
      <c r="CK128" s="146"/>
      <c r="CL128" s="146"/>
      <c r="CM128" s="146"/>
      <c r="CN128" s="146"/>
      <c r="CO128" s="146"/>
      <c r="CP128" s="146"/>
      <c r="CQ128" s="146"/>
      <c r="CR128" s="146"/>
      <c r="CS128" s="146"/>
      <c r="CT128" s="146"/>
      <c r="CU128" s="146"/>
      <c r="CV128" s="146"/>
      <c r="CW128" s="146"/>
      <c r="CX128" s="146"/>
      <c r="CY128" s="146"/>
      <c r="CZ128" s="146"/>
      <c r="DA128" s="146"/>
      <c r="DB128" s="146"/>
      <c r="DC128" s="146"/>
      <c r="DD128" s="146"/>
      <c r="DE128" s="146"/>
      <c r="DF128" s="146"/>
      <c r="DG128" s="146"/>
      <c r="DH128" s="146"/>
      <c r="DI128" s="146"/>
      <c r="DJ128" s="146"/>
      <c r="DK128" s="146"/>
      <c r="DL128" s="146"/>
      <c r="DM128" s="146"/>
      <c r="DN128" s="146"/>
      <c r="DO128" s="146"/>
      <c r="DP128" s="146"/>
      <c r="DQ128" s="146"/>
      <c r="DR128" s="146"/>
      <c r="DS128" s="146"/>
      <c r="DT128" s="146"/>
      <c r="DU128" s="146"/>
      <c r="DV128" s="146"/>
      <c r="DW128" s="146"/>
      <c r="DX128" s="146"/>
      <c r="DY128" s="146"/>
      <c r="DZ128" s="146"/>
      <c r="EA128" s="146"/>
      <c r="EB128" s="146"/>
      <c r="EC128" s="146"/>
      <c r="ED128" s="146"/>
      <c r="EE128" s="146"/>
      <c r="EF128" s="146"/>
      <c r="EG128" s="146"/>
      <c r="EH128" s="146"/>
      <c r="EI128" s="146"/>
      <c r="EJ128" s="146"/>
      <c r="EK128" s="146"/>
      <c r="EL128" s="146"/>
      <c r="EM128" s="146"/>
      <c r="EN128" s="146"/>
      <c r="EO128" s="146"/>
      <c r="EP128" s="146"/>
      <c r="EQ128" s="146"/>
      <c r="ER128" s="146"/>
      <c r="ES128" s="146"/>
      <c r="ET128" s="146"/>
      <c r="EU128" s="146"/>
      <c r="EV128" s="146"/>
      <c r="EW128" s="146"/>
      <c r="EX128" s="146"/>
      <c r="EY128" s="146"/>
      <c r="EZ128" s="146"/>
      <c r="FA128" s="146"/>
      <c r="FB128" s="146"/>
      <c r="FC128" s="146"/>
      <c r="FD128" s="146"/>
      <c r="FE128" s="146"/>
      <c r="FF128" s="146"/>
      <c r="FG128" s="146"/>
      <c r="FH128" s="146"/>
      <c r="FI128" s="146"/>
      <c r="FJ128" s="146"/>
      <c r="FK128" s="146"/>
      <c r="FL128" s="146"/>
      <c r="FM128" s="146"/>
      <c r="FN128" s="146"/>
      <c r="FO128" s="146"/>
      <c r="FP128" s="146"/>
      <c r="FQ128" s="146"/>
      <c r="FR128" s="146"/>
      <c r="FS128" s="146"/>
      <c r="FT128" s="146"/>
      <c r="FU128" s="146"/>
      <c r="FV128" s="146"/>
      <c r="FW128" s="146"/>
      <c r="FX128" s="146"/>
      <c r="FY128" s="146"/>
      <c r="FZ128" s="146"/>
      <c r="GA128" s="146"/>
      <c r="GB128" s="146"/>
      <c r="GC128" s="146"/>
      <c r="GD128" s="146"/>
      <c r="GE128" s="146"/>
      <c r="GF128" s="146"/>
      <c r="GG128" s="146"/>
      <c r="GH128" s="146"/>
      <c r="GI128" s="146"/>
      <c r="GJ128" s="146"/>
      <c r="GK128" s="146"/>
      <c r="GL128" s="146"/>
      <c r="GM128" s="146"/>
      <c r="GN128" s="146"/>
      <c r="GO128" s="146"/>
      <c r="GP128" s="146"/>
      <c r="GQ128" s="146"/>
      <c r="GR128" s="146"/>
      <c r="GS128" s="146"/>
      <c r="GT128" s="146"/>
      <c r="GU128" s="146"/>
      <c r="GV128" s="146"/>
      <c r="GW128" s="146"/>
      <c r="GX128" s="146"/>
      <c r="GY128" s="146"/>
      <c r="GZ128" s="146"/>
      <c r="HA128" s="146"/>
      <c r="HB128" s="146"/>
      <c r="HC128" s="146"/>
      <c r="HD128" s="146"/>
      <c r="HE128" s="146"/>
      <c r="HF128" s="146"/>
      <c r="HG128" s="146"/>
      <c r="HH128" s="146"/>
      <c r="HI128" s="146"/>
      <c r="HJ128" s="146"/>
      <c r="HK128" s="146"/>
      <c r="HL128" s="146"/>
      <c r="HM128" s="146"/>
      <c r="HN128" s="146"/>
      <c r="HO128" s="146"/>
      <c r="HP128" s="146"/>
      <c r="HQ128" s="146"/>
      <c r="HR128" s="146"/>
      <c r="HS128" s="146"/>
      <c r="HT128" s="146"/>
      <c r="HU128" s="146"/>
      <c r="HV128" s="146"/>
      <c r="HW128" s="146"/>
      <c r="HX128" s="146"/>
      <c r="HY128" s="146"/>
      <c r="HZ128" s="146"/>
      <c r="IA128" s="146"/>
    </row>
    <row r="129" spans="1:235" s="155" customFormat="1" ht="99.75" x14ac:dyDescent="0.25">
      <c r="A129" s="197">
        <v>11900</v>
      </c>
      <c r="B129" s="194" t="s">
        <v>349</v>
      </c>
      <c r="C129" s="198" t="s">
        <v>357</v>
      </c>
      <c r="D129" s="194" t="s">
        <v>146</v>
      </c>
      <c r="E129" s="198" t="s">
        <v>439</v>
      </c>
      <c r="F129" s="194" t="s">
        <v>715</v>
      </c>
      <c r="G129" s="209" t="s">
        <v>123</v>
      </c>
      <c r="H129" s="216">
        <v>1</v>
      </c>
      <c r="I129" s="198" t="s">
        <v>718</v>
      </c>
      <c r="J129" s="194" t="s">
        <v>444</v>
      </c>
      <c r="K129" s="1572"/>
      <c r="L129" s="1573"/>
      <c r="M129" s="194" t="s">
        <v>46</v>
      </c>
      <c r="N129" s="194" t="s">
        <v>74</v>
      </c>
      <c r="O129" s="194" t="s">
        <v>21</v>
      </c>
      <c r="P129" s="194" t="s">
        <v>36</v>
      </c>
      <c r="Q129" s="194" t="s">
        <v>229</v>
      </c>
      <c r="R129" s="194" t="s">
        <v>694</v>
      </c>
      <c r="S129" s="194" t="s">
        <v>99</v>
      </c>
      <c r="T129" s="211">
        <v>1</v>
      </c>
      <c r="U129" s="212" t="str">
        <f t="shared" si="41"/>
        <v>Presentación de fichas técnicas de demandas ordinarias laborales  presentadas al Comité de Conciliación</v>
      </c>
      <c r="V129" s="213">
        <f t="shared" si="41"/>
        <v>0</v>
      </c>
      <c r="W129" s="222" t="s">
        <v>114</v>
      </c>
      <c r="X129" s="216">
        <v>0.25</v>
      </c>
      <c r="Y129" s="214" t="s">
        <v>444</v>
      </c>
      <c r="Z129" s="210">
        <v>0</v>
      </c>
      <c r="AA129" s="196"/>
      <c r="AB129" s="196"/>
      <c r="AC129" s="204">
        <f t="shared" si="42"/>
        <v>0</v>
      </c>
      <c r="AD129" s="204" t="e">
        <f t="shared" si="43"/>
        <v>#DIV/0!</v>
      </c>
      <c r="AE129" s="204">
        <f t="shared" si="29"/>
        <v>0</v>
      </c>
      <c r="AF129" s="204" t="e">
        <f t="shared" si="30"/>
        <v>#DIV/0!</v>
      </c>
      <c r="AG129" s="216">
        <v>0.25</v>
      </c>
      <c r="AH129" s="214" t="s">
        <v>444</v>
      </c>
      <c r="AI129" s="210">
        <v>0</v>
      </c>
      <c r="AJ129" s="196"/>
      <c r="AK129" s="196"/>
      <c r="AL129" s="204">
        <f t="shared" si="44"/>
        <v>0</v>
      </c>
      <c r="AM129" s="204" t="e">
        <f t="shared" si="31"/>
        <v>#DIV/0!</v>
      </c>
      <c r="AN129" s="204">
        <f t="shared" si="32"/>
        <v>0</v>
      </c>
      <c r="AO129" s="204" t="e">
        <f t="shared" si="33"/>
        <v>#DIV/0!</v>
      </c>
      <c r="AP129" s="216">
        <v>0.25</v>
      </c>
      <c r="AQ129" s="214" t="s">
        <v>444</v>
      </c>
      <c r="AR129" s="210">
        <v>0</v>
      </c>
      <c r="AS129" s="196"/>
      <c r="AT129" s="196"/>
      <c r="AU129" s="204">
        <f t="shared" si="45"/>
        <v>0</v>
      </c>
      <c r="AV129" s="204" t="e">
        <f t="shared" si="46"/>
        <v>#DIV/0!</v>
      </c>
      <c r="AW129" s="204">
        <f t="shared" si="47"/>
        <v>0</v>
      </c>
      <c r="AX129" s="204" t="e">
        <f t="shared" si="48"/>
        <v>#DIV/0!</v>
      </c>
      <c r="AY129" s="216">
        <v>0.25</v>
      </c>
      <c r="AZ129" s="214" t="s">
        <v>444</v>
      </c>
      <c r="BA129" s="210">
        <v>0</v>
      </c>
      <c r="BB129" s="196"/>
      <c r="BC129" s="196"/>
      <c r="BD129" s="216">
        <f t="shared" si="49"/>
        <v>0</v>
      </c>
      <c r="BE129" s="216" t="e">
        <f t="shared" si="50"/>
        <v>#DIV/0!</v>
      </c>
      <c r="BF129" s="216">
        <f t="shared" si="51"/>
        <v>0</v>
      </c>
      <c r="BG129" s="216" t="e">
        <f t="shared" si="52"/>
        <v>#DIV/0!</v>
      </c>
      <c r="BH129" s="228">
        <f t="shared" si="34"/>
        <v>0</v>
      </c>
      <c r="BI129" s="228" t="str">
        <f t="shared" si="35"/>
        <v>No Prog ni Ejec</v>
      </c>
      <c r="BJ129" s="228">
        <f t="shared" si="36"/>
        <v>0</v>
      </c>
      <c r="BK129" s="228" t="str">
        <f t="shared" si="37"/>
        <v>No Prog ni Ejec</v>
      </c>
      <c r="BL129" s="228">
        <f t="shared" si="53"/>
        <v>0</v>
      </c>
      <c r="BM129" s="228" t="str">
        <f t="shared" si="54"/>
        <v>No Prog ni Ejec</v>
      </c>
      <c r="BN129" s="228">
        <f t="shared" si="38"/>
        <v>0</v>
      </c>
      <c r="BO129" s="228" t="str">
        <f t="shared" si="39"/>
        <v>No Prog ni Ejec</v>
      </c>
      <c r="BP129" s="206"/>
      <c r="BQ129" s="277">
        <v>32</v>
      </c>
      <c r="BR129" s="208">
        <f t="shared" si="40"/>
        <v>0.58333333333333337</v>
      </c>
      <c r="BS129" s="219" t="str">
        <f t="shared" si="55"/>
        <v>Presentación de fichas técnicas de demandas ordinarias laborales  presentadas al Comité de Conciliación</v>
      </c>
      <c r="BT129" s="195">
        <f t="shared" si="28"/>
        <v>0</v>
      </c>
      <c r="BU129" s="196"/>
      <c r="BV129" s="196"/>
      <c r="BW129" s="196"/>
      <c r="BX129" s="196"/>
      <c r="BY129" s="196"/>
      <c r="BZ129" s="196"/>
      <c r="CA129" s="146"/>
      <c r="CB129" s="146"/>
      <c r="CC129" s="146"/>
      <c r="CD129" s="146"/>
      <c r="CE129" s="146"/>
      <c r="CF129" s="146"/>
      <c r="CG129" s="146"/>
      <c r="CH129" s="146"/>
      <c r="CI129" s="146"/>
      <c r="CJ129" s="146"/>
      <c r="CK129" s="146"/>
      <c r="CL129" s="146"/>
      <c r="CM129" s="146"/>
      <c r="CN129" s="146"/>
      <c r="CO129" s="146"/>
      <c r="CP129" s="146"/>
      <c r="CQ129" s="146"/>
      <c r="CR129" s="146"/>
      <c r="CS129" s="146"/>
      <c r="CT129" s="146"/>
      <c r="CU129" s="146"/>
      <c r="CV129" s="146"/>
      <c r="CW129" s="146"/>
      <c r="CX129" s="146"/>
      <c r="CY129" s="146"/>
      <c r="CZ129" s="146"/>
      <c r="DA129" s="146"/>
      <c r="DB129" s="146"/>
      <c r="DC129" s="146"/>
      <c r="DD129" s="146"/>
      <c r="DE129" s="146"/>
      <c r="DF129" s="146"/>
      <c r="DG129" s="146"/>
      <c r="DH129" s="146"/>
      <c r="DI129" s="146"/>
      <c r="DJ129" s="146"/>
      <c r="DK129" s="146"/>
      <c r="DL129" s="146"/>
      <c r="DM129" s="146"/>
      <c r="DN129" s="146"/>
      <c r="DO129" s="146"/>
      <c r="DP129" s="146"/>
      <c r="DQ129" s="146"/>
      <c r="DR129" s="146"/>
      <c r="DS129" s="146"/>
      <c r="DT129" s="146"/>
      <c r="DU129" s="146"/>
      <c r="DV129" s="146"/>
      <c r="DW129" s="146"/>
      <c r="DX129" s="146"/>
      <c r="DY129" s="146"/>
      <c r="DZ129" s="146"/>
      <c r="EA129" s="146"/>
      <c r="EB129" s="146"/>
      <c r="EC129" s="146"/>
      <c r="ED129" s="146"/>
      <c r="EE129" s="146"/>
      <c r="EF129" s="146"/>
      <c r="EG129" s="146"/>
      <c r="EH129" s="146"/>
      <c r="EI129" s="146"/>
      <c r="EJ129" s="146"/>
      <c r="EK129" s="146"/>
      <c r="EL129" s="146"/>
      <c r="EM129" s="146"/>
      <c r="EN129" s="146"/>
      <c r="EO129" s="146"/>
      <c r="EP129" s="146"/>
      <c r="EQ129" s="146"/>
      <c r="ER129" s="146"/>
      <c r="ES129" s="146"/>
      <c r="ET129" s="146"/>
      <c r="EU129" s="146"/>
      <c r="EV129" s="146"/>
      <c r="EW129" s="146"/>
      <c r="EX129" s="146"/>
      <c r="EY129" s="146"/>
      <c r="EZ129" s="146"/>
      <c r="FA129" s="146"/>
      <c r="FB129" s="146"/>
      <c r="FC129" s="146"/>
      <c r="FD129" s="146"/>
      <c r="FE129" s="146"/>
      <c r="FF129" s="146"/>
      <c r="FG129" s="146"/>
      <c r="FH129" s="146"/>
      <c r="FI129" s="146"/>
      <c r="FJ129" s="146"/>
      <c r="FK129" s="146"/>
      <c r="FL129" s="146"/>
      <c r="FM129" s="146"/>
      <c r="FN129" s="146"/>
      <c r="FO129" s="146"/>
      <c r="FP129" s="146"/>
      <c r="FQ129" s="146"/>
      <c r="FR129" s="146"/>
      <c r="FS129" s="146"/>
      <c r="FT129" s="146"/>
      <c r="FU129" s="146"/>
      <c r="FV129" s="146"/>
      <c r="FW129" s="146"/>
      <c r="FX129" s="146"/>
      <c r="FY129" s="146"/>
      <c r="FZ129" s="146"/>
      <c r="GA129" s="146"/>
      <c r="GB129" s="146"/>
      <c r="GC129" s="146"/>
      <c r="GD129" s="146"/>
      <c r="GE129" s="146"/>
      <c r="GF129" s="146"/>
      <c r="GG129" s="146"/>
      <c r="GH129" s="146"/>
      <c r="GI129" s="146"/>
      <c r="GJ129" s="146"/>
      <c r="GK129" s="146"/>
      <c r="GL129" s="146"/>
      <c r="GM129" s="146"/>
      <c r="GN129" s="146"/>
      <c r="GO129" s="146"/>
      <c r="GP129" s="146"/>
      <c r="GQ129" s="146"/>
      <c r="GR129" s="146"/>
      <c r="GS129" s="146"/>
      <c r="GT129" s="146"/>
      <c r="GU129" s="146"/>
      <c r="GV129" s="146"/>
      <c r="GW129" s="146"/>
      <c r="GX129" s="146"/>
      <c r="GY129" s="146"/>
      <c r="GZ129" s="146"/>
      <c r="HA129" s="146"/>
      <c r="HB129" s="146"/>
      <c r="HC129" s="146"/>
      <c r="HD129" s="146"/>
      <c r="HE129" s="146"/>
      <c r="HF129" s="146"/>
      <c r="HG129" s="146"/>
      <c r="HH129" s="146"/>
      <c r="HI129" s="146"/>
      <c r="HJ129" s="146"/>
      <c r="HK129" s="146"/>
      <c r="HL129" s="146"/>
      <c r="HM129" s="146"/>
      <c r="HN129" s="146"/>
      <c r="HO129" s="146"/>
      <c r="HP129" s="146"/>
      <c r="HQ129" s="146"/>
      <c r="HR129" s="146"/>
      <c r="HS129" s="146"/>
      <c r="HT129" s="146"/>
      <c r="HU129" s="146"/>
      <c r="HV129" s="146"/>
      <c r="HW129" s="146"/>
      <c r="HX129" s="146"/>
      <c r="HY129" s="146"/>
      <c r="HZ129" s="146"/>
      <c r="IA129" s="146"/>
    </row>
    <row r="130" spans="1:235" s="159" customFormat="1" ht="114" x14ac:dyDescent="0.25">
      <c r="A130" s="197">
        <v>11900</v>
      </c>
      <c r="B130" s="194" t="s">
        <v>349</v>
      </c>
      <c r="C130" s="198" t="s">
        <v>357</v>
      </c>
      <c r="D130" s="194" t="s">
        <v>146</v>
      </c>
      <c r="E130" s="198" t="s">
        <v>373</v>
      </c>
      <c r="F130" s="194" t="s">
        <v>364</v>
      </c>
      <c r="G130" s="209" t="s">
        <v>123</v>
      </c>
      <c r="H130" s="216">
        <v>1</v>
      </c>
      <c r="I130" s="198" t="s">
        <v>460</v>
      </c>
      <c r="J130" s="194" t="s">
        <v>368</v>
      </c>
      <c r="K130" s="1572">
        <v>151084884</v>
      </c>
      <c r="L130" s="1573">
        <v>1</v>
      </c>
      <c r="M130" s="194" t="s">
        <v>46</v>
      </c>
      <c r="N130" s="194" t="s">
        <v>74</v>
      </c>
      <c r="O130" s="194" t="s">
        <v>21</v>
      </c>
      <c r="P130" s="194" t="s">
        <v>36</v>
      </c>
      <c r="Q130" s="194" t="s">
        <v>229</v>
      </c>
      <c r="R130" s="194" t="s">
        <v>695</v>
      </c>
      <c r="S130" s="194" t="s">
        <v>99</v>
      </c>
      <c r="T130" s="211">
        <v>1</v>
      </c>
      <c r="U130" s="212" t="str">
        <f t="shared" si="41"/>
        <v>Dar respuesta a las reclamaciones administrativas radicadas por las EPS o IPS dentro del término legal</v>
      </c>
      <c r="V130" s="213">
        <f t="shared" si="41"/>
        <v>151084884</v>
      </c>
      <c r="W130" s="222" t="s">
        <v>114</v>
      </c>
      <c r="X130" s="281">
        <v>0.25</v>
      </c>
      <c r="Y130" s="282" t="s">
        <v>368</v>
      </c>
      <c r="Z130" s="283">
        <f>+X130*V130</f>
        <v>37771221</v>
      </c>
      <c r="AA130" s="279"/>
      <c r="AB130" s="279"/>
      <c r="AC130" s="280">
        <f t="shared" si="42"/>
        <v>0</v>
      </c>
      <c r="AD130" s="280">
        <f t="shared" si="43"/>
        <v>0</v>
      </c>
      <c r="AE130" s="280">
        <f t="shared" si="29"/>
        <v>0</v>
      </c>
      <c r="AF130" s="280">
        <f t="shared" si="30"/>
        <v>0</v>
      </c>
      <c r="AG130" s="281">
        <v>0.25</v>
      </c>
      <c r="AH130" s="282" t="s">
        <v>368</v>
      </c>
      <c r="AI130" s="283">
        <v>37771221</v>
      </c>
      <c r="AJ130" s="279"/>
      <c r="AK130" s="279"/>
      <c r="AL130" s="280">
        <f t="shared" si="44"/>
        <v>0</v>
      </c>
      <c r="AM130" s="280">
        <f t="shared" si="31"/>
        <v>0</v>
      </c>
      <c r="AN130" s="280">
        <f t="shared" si="32"/>
        <v>0</v>
      </c>
      <c r="AO130" s="280">
        <f t="shared" si="33"/>
        <v>0</v>
      </c>
      <c r="AP130" s="281">
        <v>0.25</v>
      </c>
      <c r="AQ130" s="282" t="s">
        <v>368</v>
      </c>
      <c r="AR130" s="283">
        <v>37771221</v>
      </c>
      <c r="AS130" s="279"/>
      <c r="AT130" s="279"/>
      <c r="AU130" s="280">
        <f t="shared" si="45"/>
        <v>0</v>
      </c>
      <c r="AV130" s="280">
        <f t="shared" si="46"/>
        <v>0</v>
      </c>
      <c r="AW130" s="280">
        <f t="shared" si="47"/>
        <v>0</v>
      </c>
      <c r="AX130" s="280">
        <f t="shared" si="48"/>
        <v>0</v>
      </c>
      <c r="AY130" s="281">
        <v>0.25</v>
      </c>
      <c r="AZ130" s="282" t="s">
        <v>368</v>
      </c>
      <c r="BA130" s="283">
        <v>37771221</v>
      </c>
      <c r="BB130" s="279"/>
      <c r="BC130" s="279"/>
      <c r="BD130" s="281">
        <f t="shared" si="49"/>
        <v>0</v>
      </c>
      <c r="BE130" s="281">
        <f t="shared" si="50"/>
        <v>0</v>
      </c>
      <c r="BF130" s="281">
        <f t="shared" si="51"/>
        <v>0</v>
      </c>
      <c r="BG130" s="281">
        <f t="shared" si="52"/>
        <v>0</v>
      </c>
      <c r="BH130" s="205">
        <f t="shared" si="34"/>
        <v>0</v>
      </c>
      <c r="BI130" s="205">
        <f t="shared" si="35"/>
        <v>0</v>
      </c>
      <c r="BJ130" s="205">
        <f t="shared" si="36"/>
        <v>0</v>
      </c>
      <c r="BK130" s="205">
        <f t="shared" si="37"/>
        <v>0</v>
      </c>
      <c r="BL130" s="205">
        <f t="shared" si="53"/>
        <v>0</v>
      </c>
      <c r="BM130" s="205">
        <f t="shared" si="54"/>
        <v>0</v>
      </c>
      <c r="BN130" s="205">
        <f t="shared" si="38"/>
        <v>0</v>
      </c>
      <c r="BO130" s="205">
        <f t="shared" si="39"/>
        <v>0</v>
      </c>
      <c r="BP130" s="206"/>
      <c r="BQ130" s="277">
        <v>32</v>
      </c>
      <c r="BR130" s="208">
        <f t="shared" si="40"/>
        <v>0.58333333333333337</v>
      </c>
      <c r="BS130" s="219" t="str">
        <f t="shared" si="55"/>
        <v>Dar respuesta a las reclamaciones administrativas radicadas por las EPS o IPS dentro del término legal</v>
      </c>
      <c r="BT130" s="195">
        <f t="shared" si="28"/>
        <v>88132849</v>
      </c>
      <c r="BU130" s="196"/>
      <c r="BV130" s="196"/>
      <c r="BW130" s="196"/>
      <c r="BX130" s="196"/>
      <c r="BY130" s="196"/>
      <c r="BZ130" s="196"/>
      <c r="CA130" s="146"/>
      <c r="CB130" s="146"/>
      <c r="CC130" s="146"/>
      <c r="CD130" s="146"/>
      <c r="CE130" s="146"/>
      <c r="CF130" s="146"/>
      <c r="CG130" s="146"/>
      <c r="CH130" s="146"/>
      <c r="CI130" s="146"/>
      <c r="CJ130" s="146"/>
      <c r="CK130" s="146"/>
      <c r="CL130" s="146"/>
      <c r="CM130" s="146"/>
      <c r="CN130" s="146"/>
      <c r="CO130" s="146"/>
      <c r="CP130" s="146"/>
      <c r="CQ130" s="146"/>
      <c r="CR130" s="146"/>
      <c r="CS130" s="146"/>
      <c r="CT130" s="146"/>
      <c r="CU130" s="146"/>
      <c r="CV130" s="146"/>
      <c r="CW130" s="146"/>
      <c r="CX130" s="146"/>
      <c r="CY130" s="146"/>
      <c r="CZ130" s="146"/>
      <c r="DA130" s="146"/>
      <c r="DB130" s="146"/>
      <c r="DC130" s="146"/>
      <c r="DD130" s="146"/>
      <c r="DE130" s="146"/>
      <c r="DF130" s="146"/>
      <c r="DG130" s="146"/>
      <c r="DH130" s="146"/>
      <c r="DI130" s="146"/>
      <c r="DJ130" s="146"/>
      <c r="DK130" s="146"/>
      <c r="DL130" s="146"/>
      <c r="DM130" s="146"/>
      <c r="DN130" s="146"/>
      <c r="DO130" s="146"/>
      <c r="DP130" s="146"/>
      <c r="DQ130" s="146"/>
      <c r="DR130" s="146"/>
      <c r="DS130" s="146"/>
      <c r="DT130" s="146"/>
      <c r="DU130" s="146"/>
      <c r="DV130" s="146"/>
      <c r="DW130" s="146"/>
      <c r="DX130" s="146"/>
      <c r="DY130" s="146"/>
      <c r="DZ130" s="146"/>
      <c r="EA130" s="146"/>
      <c r="EB130" s="146"/>
      <c r="EC130" s="146"/>
      <c r="ED130" s="146"/>
      <c r="EE130" s="146"/>
      <c r="EF130" s="146"/>
      <c r="EG130" s="146"/>
      <c r="EH130" s="146"/>
      <c r="EI130" s="146"/>
      <c r="EJ130" s="146"/>
      <c r="EK130" s="146"/>
      <c r="EL130" s="146"/>
      <c r="EM130" s="146"/>
      <c r="EN130" s="146"/>
      <c r="EO130" s="146"/>
      <c r="EP130" s="146"/>
      <c r="EQ130" s="146"/>
      <c r="ER130" s="146"/>
      <c r="ES130" s="146"/>
      <c r="ET130" s="146"/>
      <c r="EU130" s="146"/>
      <c r="EV130" s="146"/>
      <c r="EW130" s="146"/>
      <c r="EX130" s="146"/>
      <c r="EY130" s="146"/>
      <c r="EZ130" s="146"/>
      <c r="FA130" s="146"/>
      <c r="FB130" s="146"/>
      <c r="FC130" s="146"/>
      <c r="FD130" s="146"/>
      <c r="FE130" s="146"/>
      <c r="FF130" s="146"/>
      <c r="FG130" s="146"/>
      <c r="FH130" s="146"/>
      <c r="FI130" s="146"/>
      <c r="FJ130" s="146"/>
      <c r="FK130" s="146"/>
      <c r="FL130" s="146"/>
      <c r="FM130" s="146"/>
      <c r="FN130" s="146"/>
      <c r="FO130" s="146"/>
      <c r="FP130" s="146"/>
      <c r="FQ130" s="146"/>
      <c r="FR130" s="146"/>
      <c r="FS130" s="146"/>
      <c r="FT130" s="146"/>
      <c r="FU130" s="146"/>
      <c r="FV130" s="146"/>
      <c r="FW130" s="146"/>
      <c r="FX130" s="146"/>
      <c r="FY130" s="146"/>
      <c r="FZ130" s="146"/>
      <c r="GA130" s="146"/>
      <c r="GB130" s="146"/>
      <c r="GC130" s="146"/>
      <c r="GD130" s="146"/>
      <c r="GE130" s="146"/>
      <c r="GF130" s="146"/>
      <c r="GG130" s="146"/>
      <c r="GH130" s="146"/>
      <c r="GI130" s="146"/>
      <c r="GJ130" s="146"/>
      <c r="GK130" s="146"/>
      <c r="GL130" s="146"/>
      <c r="GM130" s="146"/>
      <c r="GN130" s="146"/>
      <c r="GO130" s="146"/>
      <c r="GP130" s="146"/>
      <c r="GQ130" s="146"/>
      <c r="GR130" s="146"/>
      <c r="GS130" s="146"/>
      <c r="GT130" s="146"/>
      <c r="GU130" s="146"/>
      <c r="GV130" s="146"/>
      <c r="GW130" s="146"/>
      <c r="GX130" s="146"/>
      <c r="GY130" s="146"/>
      <c r="GZ130" s="146"/>
      <c r="HA130" s="146"/>
      <c r="HB130" s="146"/>
      <c r="HC130" s="146"/>
      <c r="HD130" s="146"/>
      <c r="HE130" s="146"/>
      <c r="HF130" s="146"/>
      <c r="HG130" s="146"/>
      <c r="HH130" s="146"/>
      <c r="HI130" s="146"/>
      <c r="HJ130" s="146"/>
      <c r="HK130" s="146"/>
      <c r="HL130" s="146"/>
      <c r="HM130" s="146"/>
      <c r="HN130" s="146"/>
      <c r="HO130" s="146"/>
      <c r="HP130" s="146"/>
      <c r="HQ130" s="146"/>
      <c r="HR130" s="146"/>
      <c r="HS130" s="146"/>
      <c r="HT130" s="146"/>
      <c r="HU130" s="146"/>
      <c r="HV130" s="146"/>
      <c r="HW130" s="146"/>
      <c r="HX130" s="146"/>
      <c r="HY130" s="146"/>
      <c r="HZ130" s="146"/>
      <c r="IA130" s="146"/>
    </row>
    <row r="131" spans="1:235" s="155" customFormat="1" ht="114" x14ac:dyDescent="0.25">
      <c r="A131" s="197">
        <v>11900</v>
      </c>
      <c r="B131" s="194" t="s">
        <v>349</v>
      </c>
      <c r="C131" s="198" t="s">
        <v>357</v>
      </c>
      <c r="D131" s="194" t="s">
        <v>146</v>
      </c>
      <c r="E131" s="198" t="s">
        <v>435</v>
      </c>
      <c r="F131" s="194" t="s">
        <v>365</v>
      </c>
      <c r="G131" s="209" t="s">
        <v>123</v>
      </c>
      <c r="H131" s="216">
        <v>1</v>
      </c>
      <c r="I131" s="198" t="s">
        <v>461</v>
      </c>
      <c r="J131" s="194" t="s">
        <v>369</v>
      </c>
      <c r="K131" s="1572"/>
      <c r="L131" s="1573"/>
      <c r="M131" s="194" t="s">
        <v>46</v>
      </c>
      <c r="N131" s="194" t="s">
        <v>74</v>
      </c>
      <c r="O131" s="194" t="s">
        <v>21</v>
      </c>
      <c r="P131" s="194" t="s">
        <v>36</v>
      </c>
      <c r="Q131" s="194" t="s">
        <v>229</v>
      </c>
      <c r="R131" s="194" t="s">
        <v>696</v>
      </c>
      <c r="S131" s="194" t="s">
        <v>99</v>
      </c>
      <c r="T131" s="211">
        <v>1</v>
      </c>
      <c r="U131" s="212" t="str">
        <f t="shared" si="41"/>
        <v>Interponer oportunamente los recursos de Ley contra los actos administrativos de Colpensiones que ordenan la devolución de aportes al extinto FOYSGA, hoy Administradora de los Recursos del Sistema General de Seguridad Social en Salud - ADRES</v>
      </c>
      <c r="V131" s="213">
        <f t="shared" si="41"/>
        <v>0</v>
      </c>
      <c r="W131" s="222" t="s">
        <v>114</v>
      </c>
      <c r="X131" s="216">
        <v>0.25</v>
      </c>
      <c r="Y131" s="214" t="s">
        <v>369</v>
      </c>
      <c r="Z131" s="210">
        <v>0</v>
      </c>
      <c r="AA131" s="196"/>
      <c r="AB131" s="196"/>
      <c r="AC131" s="204">
        <f t="shared" si="42"/>
        <v>0</v>
      </c>
      <c r="AD131" s="204" t="e">
        <f t="shared" si="43"/>
        <v>#DIV/0!</v>
      </c>
      <c r="AE131" s="204">
        <f t="shared" si="29"/>
        <v>0</v>
      </c>
      <c r="AF131" s="204" t="e">
        <f t="shared" si="30"/>
        <v>#DIV/0!</v>
      </c>
      <c r="AG131" s="216">
        <v>0.25</v>
      </c>
      <c r="AH131" s="214" t="s">
        <v>369</v>
      </c>
      <c r="AI131" s="210">
        <v>0</v>
      </c>
      <c r="AJ131" s="196"/>
      <c r="AK131" s="196"/>
      <c r="AL131" s="204">
        <f t="shared" si="44"/>
        <v>0</v>
      </c>
      <c r="AM131" s="204" t="e">
        <f t="shared" si="31"/>
        <v>#DIV/0!</v>
      </c>
      <c r="AN131" s="204">
        <f t="shared" si="32"/>
        <v>0</v>
      </c>
      <c r="AO131" s="204" t="e">
        <f t="shared" si="33"/>
        <v>#DIV/0!</v>
      </c>
      <c r="AP131" s="216">
        <v>0.25</v>
      </c>
      <c r="AQ131" s="214" t="s">
        <v>369</v>
      </c>
      <c r="AR131" s="210">
        <v>0</v>
      </c>
      <c r="AS131" s="196"/>
      <c r="AT131" s="196"/>
      <c r="AU131" s="204">
        <f t="shared" si="45"/>
        <v>0</v>
      </c>
      <c r="AV131" s="204" t="e">
        <f t="shared" si="46"/>
        <v>#DIV/0!</v>
      </c>
      <c r="AW131" s="204">
        <f t="shared" si="47"/>
        <v>0</v>
      </c>
      <c r="AX131" s="204" t="e">
        <f t="shared" si="48"/>
        <v>#DIV/0!</v>
      </c>
      <c r="AY131" s="216">
        <v>0.25</v>
      </c>
      <c r="AZ131" s="214" t="s">
        <v>369</v>
      </c>
      <c r="BA131" s="210">
        <v>0</v>
      </c>
      <c r="BB131" s="196"/>
      <c r="BC131" s="196"/>
      <c r="BD131" s="216">
        <f t="shared" si="49"/>
        <v>0</v>
      </c>
      <c r="BE131" s="216" t="e">
        <f t="shared" si="50"/>
        <v>#DIV/0!</v>
      </c>
      <c r="BF131" s="216">
        <f t="shared" si="51"/>
        <v>0</v>
      </c>
      <c r="BG131" s="216" t="e">
        <f t="shared" si="52"/>
        <v>#DIV/0!</v>
      </c>
      <c r="BH131" s="228">
        <f t="shared" si="34"/>
        <v>0</v>
      </c>
      <c r="BI131" s="228" t="str">
        <f t="shared" si="35"/>
        <v>No Prog ni Ejec</v>
      </c>
      <c r="BJ131" s="228">
        <f t="shared" si="36"/>
        <v>0</v>
      </c>
      <c r="BK131" s="228" t="str">
        <f t="shared" si="37"/>
        <v>No Prog ni Ejec</v>
      </c>
      <c r="BL131" s="228">
        <f t="shared" si="53"/>
        <v>0</v>
      </c>
      <c r="BM131" s="228" t="str">
        <f t="shared" si="54"/>
        <v>No Prog ni Ejec</v>
      </c>
      <c r="BN131" s="228">
        <f t="shared" si="38"/>
        <v>0</v>
      </c>
      <c r="BO131" s="228" t="str">
        <f t="shared" si="39"/>
        <v>No Prog ni Ejec</v>
      </c>
      <c r="BP131" s="206"/>
      <c r="BQ131" s="277">
        <v>32</v>
      </c>
      <c r="BR131" s="208">
        <f t="shared" si="40"/>
        <v>0.58333333333333337</v>
      </c>
      <c r="BS131" s="219" t="str">
        <f t="shared" si="55"/>
        <v>Interponer oportunamente los recursos de Ley contra los actos administrativos de Colpensiones que ordenan la devolución de aportes al extinto FOYSGA, hoy Administradora de los Recursos del Sistema General de Seguridad Social en Salud - ADRES</v>
      </c>
      <c r="BT131" s="195">
        <f t="shared" si="28"/>
        <v>0</v>
      </c>
      <c r="BU131" s="196"/>
      <c r="BV131" s="196"/>
      <c r="BW131" s="196"/>
      <c r="BX131" s="196"/>
      <c r="BY131" s="196"/>
      <c r="BZ131" s="196"/>
      <c r="CA131" s="146"/>
      <c r="CB131" s="146"/>
      <c r="CC131" s="146"/>
      <c r="CD131" s="146"/>
      <c r="CE131" s="146"/>
      <c r="CF131" s="146"/>
      <c r="CG131" s="146"/>
      <c r="CH131" s="146"/>
      <c r="CI131" s="146"/>
      <c r="CJ131" s="146"/>
      <c r="CK131" s="146"/>
      <c r="CL131" s="146"/>
      <c r="CM131" s="146"/>
      <c r="CN131" s="146"/>
      <c r="CO131" s="146"/>
      <c r="CP131" s="146"/>
      <c r="CQ131" s="146"/>
      <c r="CR131" s="146"/>
      <c r="CS131" s="146"/>
      <c r="CT131" s="146"/>
      <c r="CU131" s="146"/>
      <c r="CV131" s="146"/>
      <c r="CW131" s="146"/>
      <c r="CX131" s="146"/>
      <c r="CY131" s="146"/>
      <c r="CZ131" s="146"/>
      <c r="DA131" s="146"/>
      <c r="DB131" s="146"/>
      <c r="DC131" s="146"/>
      <c r="DD131" s="146"/>
      <c r="DE131" s="146"/>
      <c r="DF131" s="146"/>
      <c r="DG131" s="146"/>
      <c r="DH131" s="146"/>
      <c r="DI131" s="146"/>
      <c r="DJ131" s="146"/>
      <c r="DK131" s="146"/>
      <c r="DL131" s="146"/>
      <c r="DM131" s="146"/>
      <c r="DN131" s="146"/>
      <c r="DO131" s="146"/>
      <c r="DP131" s="146"/>
      <c r="DQ131" s="146"/>
      <c r="DR131" s="146"/>
      <c r="DS131" s="146"/>
      <c r="DT131" s="146"/>
      <c r="DU131" s="146"/>
      <c r="DV131" s="146"/>
      <c r="DW131" s="146"/>
      <c r="DX131" s="146"/>
      <c r="DY131" s="146"/>
      <c r="DZ131" s="146"/>
      <c r="EA131" s="146"/>
      <c r="EB131" s="146"/>
      <c r="EC131" s="146"/>
      <c r="ED131" s="146"/>
      <c r="EE131" s="146"/>
      <c r="EF131" s="146"/>
      <c r="EG131" s="146"/>
      <c r="EH131" s="146"/>
      <c r="EI131" s="146"/>
      <c r="EJ131" s="146"/>
      <c r="EK131" s="146"/>
      <c r="EL131" s="146"/>
      <c r="EM131" s="146"/>
      <c r="EN131" s="146"/>
      <c r="EO131" s="146"/>
      <c r="EP131" s="146"/>
      <c r="EQ131" s="146"/>
      <c r="ER131" s="146"/>
      <c r="ES131" s="146"/>
      <c r="ET131" s="146"/>
      <c r="EU131" s="146"/>
      <c r="EV131" s="146"/>
      <c r="EW131" s="146"/>
      <c r="EX131" s="146"/>
      <c r="EY131" s="146"/>
      <c r="EZ131" s="146"/>
      <c r="FA131" s="146"/>
      <c r="FB131" s="146"/>
      <c r="FC131" s="146"/>
      <c r="FD131" s="146"/>
      <c r="FE131" s="146"/>
      <c r="FF131" s="146"/>
      <c r="FG131" s="146"/>
      <c r="FH131" s="146"/>
      <c r="FI131" s="146"/>
      <c r="FJ131" s="146"/>
      <c r="FK131" s="146"/>
      <c r="FL131" s="146"/>
      <c r="FM131" s="146"/>
      <c r="FN131" s="146"/>
      <c r="FO131" s="146"/>
      <c r="FP131" s="146"/>
      <c r="FQ131" s="146"/>
      <c r="FR131" s="146"/>
      <c r="FS131" s="146"/>
      <c r="FT131" s="146"/>
      <c r="FU131" s="146"/>
      <c r="FV131" s="146"/>
      <c r="FW131" s="146"/>
      <c r="FX131" s="146"/>
      <c r="FY131" s="146"/>
      <c r="FZ131" s="146"/>
      <c r="GA131" s="146"/>
      <c r="GB131" s="146"/>
      <c r="GC131" s="146"/>
      <c r="GD131" s="146"/>
      <c r="GE131" s="146"/>
      <c r="GF131" s="146"/>
      <c r="GG131" s="146"/>
      <c r="GH131" s="146"/>
      <c r="GI131" s="146"/>
      <c r="GJ131" s="146"/>
      <c r="GK131" s="146"/>
      <c r="GL131" s="146"/>
      <c r="GM131" s="146"/>
      <c r="GN131" s="146"/>
      <c r="GO131" s="146"/>
      <c r="GP131" s="146"/>
      <c r="GQ131" s="146"/>
      <c r="GR131" s="146"/>
      <c r="GS131" s="146"/>
      <c r="GT131" s="146"/>
      <c r="GU131" s="146"/>
      <c r="GV131" s="146"/>
      <c r="GW131" s="146"/>
      <c r="GX131" s="146"/>
      <c r="GY131" s="146"/>
      <c r="GZ131" s="146"/>
      <c r="HA131" s="146"/>
      <c r="HB131" s="146"/>
      <c r="HC131" s="146"/>
      <c r="HD131" s="146"/>
      <c r="HE131" s="146"/>
      <c r="HF131" s="146"/>
      <c r="HG131" s="146"/>
      <c r="HH131" s="146"/>
      <c r="HI131" s="146"/>
      <c r="HJ131" s="146"/>
      <c r="HK131" s="146"/>
      <c r="HL131" s="146"/>
      <c r="HM131" s="146"/>
      <c r="HN131" s="146"/>
      <c r="HO131" s="146"/>
      <c r="HP131" s="146"/>
      <c r="HQ131" s="146"/>
      <c r="HR131" s="146"/>
      <c r="HS131" s="146"/>
      <c r="HT131" s="146"/>
      <c r="HU131" s="146"/>
      <c r="HV131" s="146"/>
      <c r="HW131" s="146"/>
      <c r="HX131" s="146"/>
      <c r="HY131" s="146"/>
      <c r="HZ131" s="146"/>
      <c r="IA131" s="146"/>
    </row>
    <row r="132" spans="1:235" s="155" customFormat="1" ht="71.25" x14ac:dyDescent="0.25">
      <c r="A132" s="197">
        <v>11900</v>
      </c>
      <c r="B132" s="194" t="s">
        <v>349</v>
      </c>
      <c r="C132" s="198" t="s">
        <v>357</v>
      </c>
      <c r="D132" s="194" t="s">
        <v>146</v>
      </c>
      <c r="E132" s="198" t="s">
        <v>443</v>
      </c>
      <c r="F132" s="194" t="s">
        <v>568</v>
      </c>
      <c r="G132" s="209" t="s">
        <v>123</v>
      </c>
      <c r="H132" s="216">
        <v>1</v>
      </c>
      <c r="I132" s="198" t="s">
        <v>548</v>
      </c>
      <c r="J132" s="194" t="s">
        <v>697</v>
      </c>
      <c r="K132" s="1572"/>
      <c r="L132" s="1573"/>
      <c r="M132" s="194" t="s">
        <v>46</v>
      </c>
      <c r="N132" s="194" t="s">
        <v>74</v>
      </c>
      <c r="O132" s="194" t="s">
        <v>21</v>
      </c>
      <c r="P132" s="194" t="s">
        <v>36</v>
      </c>
      <c r="Q132" s="194" t="s">
        <v>229</v>
      </c>
      <c r="R132" s="194" t="s">
        <v>698</v>
      </c>
      <c r="S132" s="194" t="s">
        <v>99</v>
      </c>
      <c r="T132" s="211">
        <v>1</v>
      </c>
      <c r="U132" s="212" t="str">
        <f t="shared" si="41"/>
        <v xml:space="preserve">Solicitudes de embargos </v>
      </c>
      <c r="V132" s="213">
        <f t="shared" si="41"/>
        <v>0</v>
      </c>
      <c r="W132" s="222" t="s">
        <v>114</v>
      </c>
      <c r="X132" s="216">
        <v>0.25</v>
      </c>
      <c r="Y132" s="214" t="s">
        <v>697</v>
      </c>
      <c r="Z132" s="210">
        <v>0</v>
      </c>
      <c r="AA132" s="196"/>
      <c r="AB132" s="196"/>
      <c r="AC132" s="204">
        <f t="shared" si="42"/>
        <v>0</v>
      </c>
      <c r="AD132" s="204" t="e">
        <f t="shared" si="43"/>
        <v>#DIV/0!</v>
      </c>
      <c r="AE132" s="204">
        <f t="shared" si="29"/>
        <v>0</v>
      </c>
      <c r="AF132" s="204" t="e">
        <f t="shared" si="30"/>
        <v>#DIV/0!</v>
      </c>
      <c r="AG132" s="216">
        <v>0.25</v>
      </c>
      <c r="AH132" s="214" t="s">
        <v>697</v>
      </c>
      <c r="AI132" s="210">
        <v>0</v>
      </c>
      <c r="AJ132" s="196"/>
      <c r="AK132" s="196"/>
      <c r="AL132" s="204">
        <f t="shared" si="44"/>
        <v>0</v>
      </c>
      <c r="AM132" s="204" t="e">
        <f t="shared" si="31"/>
        <v>#DIV/0!</v>
      </c>
      <c r="AN132" s="204">
        <f t="shared" si="32"/>
        <v>0</v>
      </c>
      <c r="AO132" s="204" t="e">
        <f t="shared" si="33"/>
        <v>#DIV/0!</v>
      </c>
      <c r="AP132" s="216">
        <v>0.25</v>
      </c>
      <c r="AQ132" s="214" t="s">
        <v>697</v>
      </c>
      <c r="AR132" s="210">
        <v>0</v>
      </c>
      <c r="AS132" s="196"/>
      <c r="AT132" s="196"/>
      <c r="AU132" s="204">
        <f t="shared" si="45"/>
        <v>0</v>
      </c>
      <c r="AV132" s="204" t="e">
        <f t="shared" si="46"/>
        <v>#DIV/0!</v>
      </c>
      <c r="AW132" s="204">
        <f t="shared" si="47"/>
        <v>0</v>
      </c>
      <c r="AX132" s="204" t="e">
        <f t="shared" si="48"/>
        <v>#DIV/0!</v>
      </c>
      <c r="AY132" s="216">
        <v>0.25</v>
      </c>
      <c r="AZ132" s="214" t="s">
        <v>697</v>
      </c>
      <c r="BA132" s="210">
        <v>0</v>
      </c>
      <c r="BB132" s="196"/>
      <c r="BC132" s="196"/>
      <c r="BD132" s="216">
        <f t="shared" si="49"/>
        <v>0</v>
      </c>
      <c r="BE132" s="216" t="e">
        <f t="shared" si="50"/>
        <v>#DIV/0!</v>
      </c>
      <c r="BF132" s="216">
        <f t="shared" si="51"/>
        <v>0</v>
      </c>
      <c r="BG132" s="216" t="e">
        <f t="shared" si="52"/>
        <v>#DIV/0!</v>
      </c>
      <c r="BH132" s="228">
        <f t="shared" si="34"/>
        <v>0</v>
      </c>
      <c r="BI132" s="228" t="str">
        <f t="shared" si="35"/>
        <v>No Prog ni Ejec</v>
      </c>
      <c r="BJ132" s="228">
        <f t="shared" si="36"/>
        <v>0</v>
      </c>
      <c r="BK132" s="228" t="str">
        <f t="shared" si="37"/>
        <v>No Prog ni Ejec</v>
      </c>
      <c r="BL132" s="228">
        <f t="shared" si="53"/>
        <v>0</v>
      </c>
      <c r="BM132" s="228" t="str">
        <f t="shared" si="54"/>
        <v>No Prog ni Ejec</v>
      </c>
      <c r="BN132" s="228">
        <f t="shared" si="38"/>
        <v>0</v>
      </c>
      <c r="BO132" s="228" t="str">
        <f t="shared" si="39"/>
        <v>No Prog ni Ejec</v>
      </c>
      <c r="BP132" s="206"/>
      <c r="BQ132" s="277">
        <v>32</v>
      </c>
      <c r="BR132" s="208">
        <f t="shared" si="40"/>
        <v>0.58333333333333337</v>
      </c>
      <c r="BS132" s="219" t="str">
        <f t="shared" si="55"/>
        <v xml:space="preserve">Solicitudes de embargos </v>
      </c>
      <c r="BT132" s="195">
        <f t="shared" si="28"/>
        <v>0</v>
      </c>
      <c r="BU132" s="196"/>
      <c r="BV132" s="196"/>
      <c r="BW132" s="196"/>
      <c r="BX132" s="196"/>
      <c r="BY132" s="196"/>
      <c r="BZ132" s="196"/>
      <c r="CA132" s="146"/>
      <c r="CB132" s="146"/>
      <c r="CC132" s="146"/>
      <c r="CD132" s="146"/>
      <c r="CE132" s="146"/>
      <c r="CF132" s="146"/>
      <c r="CG132" s="146"/>
      <c r="CH132" s="146"/>
      <c r="CI132" s="146"/>
      <c r="CJ132" s="146"/>
      <c r="CK132" s="146"/>
      <c r="CL132" s="146"/>
      <c r="CM132" s="146"/>
      <c r="CN132" s="146"/>
      <c r="CO132" s="146"/>
      <c r="CP132" s="146"/>
      <c r="CQ132" s="146"/>
      <c r="CR132" s="146"/>
      <c r="CS132" s="146"/>
      <c r="CT132" s="146"/>
      <c r="CU132" s="146"/>
      <c r="CV132" s="146"/>
      <c r="CW132" s="146"/>
      <c r="CX132" s="146"/>
      <c r="CY132" s="146"/>
      <c r="CZ132" s="146"/>
      <c r="DA132" s="146"/>
      <c r="DB132" s="146"/>
      <c r="DC132" s="146"/>
      <c r="DD132" s="146"/>
      <c r="DE132" s="146"/>
      <c r="DF132" s="146"/>
      <c r="DG132" s="146"/>
      <c r="DH132" s="146"/>
      <c r="DI132" s="146"/>
      <c r="DJ132" s="146"/>
      <c r="DK132" s="146"/>
      <c r="DL132" s="146"/>
      <c r="DM132" s="146"/>
      <c r="DN132" s="146"/>
      <c r="DO132" s="146"/>
      <c r="DP132" s="146"/>
      <c r="DQ132" s="146"/>
      <c r="DR132" s="146"/>
      <c r="DS132" s="146"/>
      <c r="DT132" s="146"/>
      <c r="DU132" s="146"/>
      <c r="DV132" s="146"/>
      <c r="DW132" s="146"/>
      <c r="DX132" s="146"/>
      <c r="DY132" s="146"/>
      <c r="DZ132" s="146"/>
      <c r="EA132" s="146"/>
      <c r="EB132" s="146"/>
      <c r="EC132" s="146"/>
      <c r="ED132" s="146"/>
      <c r="EE132" s="146"/>
      <c r="EF132" s="146"/>
      <c r="EG132" s="146"/>
      <c r="EH132" s="146"/>
      <c r="EI132" s="146"/>
      <c r="EJ132" s="146"/>
      <c r="EK132" s="146"/>
      <c r="EL132" s="146"/>
      <c r="EM132" s="146"/>
      <c r="EN132" s="146"/>
      <c r="EO132" s="146"/>
      <c r="EP132" s="146"/>
      <c r="EQ132" s="146"/>
      <c r="ER132" s="146"/>
      <c r="ES132" s="146"/>
      <c r="ET132" s="146"/>
      <c r="EU132" s="146"/>
      <c r="EV132" s="146"/>
      <c r="EW132" s="146"/>
      <c r="EX132" s="146"/>
      <c r="EY132" s="146"/>
      <c r="EZ132" s="146"/>
      <c r="FA132" s="146"/>
      <c r="FB132" s="146"/>
      <c r="FC132" s="146"/>
      <c r="FD132" s="146"/>
      <c r="FE132" s="146"/>
      <c r="FF132" s="146"/>
      <c r="FG132" s="146"/>
      <c r="FH132" s="146"/>
      <c r="FI132" s="146"/>
      <c r="FJ132" s="146"/>
      <c r="FK132" s="146"/>
      <c r="FL132" s="146"/>
      <c r="FM132" s="146"/>
      <c r="FN132" s="146"/>
      <c r="FO132" s="146"/>
      <c r="FP132" s="146"/>
      <c r="FQ132" s="146"/>
      <c r="FR132" s="146"/>
      <c r="FS132" s="146"/>
      <c r="FT132" s="146"/>
      <c r="FU132" s="146"/>
      <c r="FV132" s="146"/>
      <c r="FW132" s="146"/>
      <c r="FX132" s="146"/>
      <c r="FY132" s="146"/>
      <c r="FZ132" s="146"/>
      <c r="GA132" s="146"/>
      <c r="GB132" s="146"/>
      <c r="GC132" s="146"/>
      <c r="GD132" s="146"/>
      <c r="GE132" s="146"/>
      <c r="GF132" s="146"/>
      <c r="GG132" s="146"/>
      <c r="GH132" s="146"/>
      <c r="GI132" s="146"/>
      <c r="GJ132" s="146"/>
      <c r="GK132" s="146"/>
      <c r="GL132" s="146"/>
      <c r="GM132" s="146"/>
      <c r="GN132" s="146"/>
      <c r="GO132" s="146"/>
      <c r="GP132" s="146"/>
      <c r="GQ132" s="146"/>
      <c r="GR132" s="146"/>
      <c r="GS132" s="146"/>
      <c r="GT132" s="146"/>
      <c r="GU132" s="146"/>
      <c r="GV132" s="146"/>
      <c r="GW132" s="146"/>
      <c r="GX132" s="146"/>
      <c r="GY132" s="146"/>
      <c r="GZ132" s="146"/>
      <c r="HA132" s="146"/>
      <c r="HB132" s="146"/>
      <c r="HC132" s="146"/>
      <c r="HD132" s="146"/>
      <c r="HE132" s="146"/>
      <c r="HF132" s="146"/>
      <c r="HG132" s="146"/>
      <c r="HH132" s="146"/>
      <c r="HI132" s="146"/>
      <c r="HJ132" s="146"/>
      <c r="HK132" s="146"/>
      <c r="HL132" s="146"/>
      <c r="HM132" s="146"/>
      <c r="HN132" s="146"/>
      <c r="HO132" s="146"/>
      <c r="HP132" s="146"/>
      <c r="HQ132" s="146"/>
      <c r="HR132" s="146"/>
      <c r="HS132" s="146"/>
      <c r="HT132" s="146"/>
      <c r="HU132" s="146"/>
      <c r="HV132" s="146"/>
      <c r="HW132" s="146"/>
      <c r="HX132" s="146"/>
      <c r="HY132" s="146"/>
      <c r="HZ132" s="146"/>
      <c r="IA132" s="146"/>
    </row>
    <row r="133" spans="1:235" s="155" customFormat="1" ht="57" x14ac:dyDescent="0.25">
      <c r="A133" s="197">
        <v>11900</v>
      </c>
      <c r="B133" s="194" t="s">
        <v>349</v>
      </c>
      <c r="C133" s="198" t="s">
        <v>357</v>
      </c>
      <c r="D133" s="194" t="s">
        <v>146</v>
      </c>
      <c r="E133" s="198" t="s">
        <v>447</v>
      </c>
      <c r="F133" s="194" t="s">
        <v>448</v>
      </c>
      <c r="G133" s="209" t="s">
        <v>123</v>
      </c>
      <c r="H133" s="216">
        <v>1</v>
      </c>
      <c r="I133" s="198" t="s">
        <v>463</v>
      </c>
      <c r="J133" s="194" t="s">
        <v>551</v>
      </c>
      <c r="K133" s="210">
        <v>590922272</v>
      </c>
      <c r="L133" s="211">
        <v>1</v>
      </c>
      <c r="M133" s="194" t="s">
        <v>46</v>
      </c>
      <c r="N133" s="194" t="s">
        <v>74</v>
      </c>
      <c r="O133" s="194" t="s">
        <v>21</v>
      </c>
      <c r="P133" s="194" t="s">
        <v>36</v>
      </c>
      <c r="Q133" s="194" t="s">
        <v>229</v>
      </c>
      <c r="R133" s="194" t="s">
        <v>765</v>
      </c>
      <c r="S133" s="194" t="s">
        <v>99</v>
      </c>
      <c r="T133" s="211">
        <v>1</v>
      </c>
      <c r="U133" s="212" t="str">
        <f t="shared" si="41"/>
        <v>Conceptos</v>
      </c>
      <c r="V133" s="213">
        <f t="shared" si="41"/>
        <v>590922272</v>
      </c>
      <c r="W133" s="222" t="s">
        <v>114</v>
      </c>
      <c r="X133" s="216">
        <v>0.25</v>
      </c>
      <c r="Y133" s="214" t="s">
        <v>444</v>
      </c>
      <c r="Z133" s="210">
        <f>+V133*X133</f>
        <v>147730568</v>
      </c>
      <c r="AA133" s="196"/>
      <c r="AB133" s="196"/>
      <c r="AC133" s="204">
        <f t="shared" si="42"/>
        <v>0</v>
      </c>
      <c r="AD133" s="204">
        <f t="shared" si="43"/>
        <v>0</v>
      </c>
      <c r="AE133" s="204">
        <f t="shared" si="29"/>
        <v>0</v>
      </c>
      <c r="AF133" s="204">
        <f t="shared" si="30"/>
        <v>0</v>
      </c>
      <c r="AG133" s="216">
        <v>0.25</v>
      </c>
      <c r="AH133" s="214" t="s">
        <v>444</v>
      </c>
      <c r="AI133" s="210">
        <v>147730568</v>
      </c>
      <c r="AJ133" s="196"/>
      <c r="AK133" s="196"/>
      <c r="AL133" s="204">
        <f t="shared" si="44"/>
        <v>0</v>
      </c>
      <c r="AM133" s="204">
        <f t="shared" si="31"/>
        <v>0</v>
      </c>
      <c r="AN133" s="204">
        <f t="shared" si="32"/>
        <v>0</v>
      </c>
      <c r="AO133" s="204">
        <f t="shared" si="33"/>
        <v>0</v>
      </c>
      <c r="AP133" s="216">
        <v>0.25</v>
      </c>
      <c r="AQ133" s="214" t="s">
        <v>444</v>
      </c>
      <c r="AR133" s="210">
        <v>147730568</v>
      </c>
      <c r="AS133" s="196"/>
      <c r="AT133" s="196"/>
      <c r="AU133" s="204">
        <f t="shared" si="45"/>
        <v>0</v>
      </c>
      <c r="AV133" s="204">
        <f t="shared" si="46"/>
        <v>0</v>
      </c>
      <c r="AW133" s="204">
        <f t="shared" si="47"/>
        <v>0</v>
      </c>
      <c r="AX133" s="204">
        <f t="shared" si="48"/>
        <v>0</v>
      </c>
      <c r="AY133" s="216">
        <v>0.25</v>
      </c>
      <c r="AZ133" s="214" t="s">
        <v>444</v>
      </c>
      <c r="BA133" s="210">
        <v>147730568</v>
      </c>
      <c r="BB133" s="196"/>
      <c r="BC133" s="196"/>
      <c r="BD133" s="216">
        <f t="shared" si="49"/>
        <v>0</v>
      </c>
      <c r="BE133" s="216">
        <f t="shared" si="50"/>
        <v>0</v>
      </c>
      <c r="BF133" s="216">
        <f t="shared" si="51"/>
        <v>0</v>
      </c>
      <c r="BG133" s="216">
        <f t="shared" si="52"/>
        <v>0</v>
      </c>
      <c r="BH133" s="228">
        <f t="shared" si="34"/>
        <v>0</v>
      </c>
      <c r="BI133" s="228">
        <f t="shared" si="35"/>
        <v>0</v>
      </c>
      <c r="BJ133" s="228">
        <f t="shared" si="36"/>
        <v>0</v>
      </c>
      <c r="BK133" s="228">
        <f t="shared" si="37"/>
        <v>0</v>
      </c>
      <c r="BL133" s="228">
        <f t="shared" si="53"/>
        <v>0</v>
      </c>
      <c r="BM133" s="228">
        <f t="shared" si="54"/>
        <v>0</v>
      </c>
      <c r="BN133" s="228">
        <f t="shared" si="38"/>
        <v>0</v>
      </c>
      <c r="BO133" s="228">
        <f t="shared" si="39"/>
        <v>0</v>
      </c>
      <c r="BP133" s="206"/>
      <c r="BQ133" s="277">
        <v>32</v>
      </c>
      <c r="BR133" s="208">
        <f t="shared" si="40"/>
        <v>0.58333333333333337</v>
      </c>
      <c r="BS133" s="219" t="str">
        <f t="shared" si="55"/>
        <v>Conceptos</v>
      </c>
      <c r="BT133" s="195">
        <f t="shared" si="28"/>
        <v>344704658.66666669</v>
      </c>
      <c r="BU133" s="196"/>
      <c r="BV133" s="196"/>
      <c r="BW133" s="196"/>
      <c r="BX133" s="196"/>
      <c r="BY133" s="196"/>
      <c r="BZ133" s="196"/>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c r="CV133" s="146"/>
      <c r="CW133" s="146"/>
      <c r="CX133" s="146"/>
      <c r="CY133" s="146"/>
      <c r="CZ133" s="146"/>
      <c r="DA133" s="146"/>
      <c r="DB133" s="146"/>
      <c r="DC133" s="146"/>
      <c r="DD133" s="146"/>
      <c r="DE133" s="146"/>
      <c r="DF133" s="146"/>
      <c r="DG133" s="146"/>
      <c r="DH133" s="146"/>
      <c r="DI133" s="146"/>
      <c r="DJ133" s="146"/>
      <c r="DK133" s="146"/>
      <c r="DL133" s="146"/>
      <c r="DM133" s="146"/>
      <c r="DN133" s="146"/>
      <c r="DO133" s="146"/>
      <c r="DP133" s="146"/>
      <c r="DQ133" s="146"/>
      <c r="DR133" s="146"/>
      <c r="DS133" s="146"/>
      <c r="DT133" s="146"/>
      <c r="DU133" s="146"/>
      <c r="DV133" s="146"/>
      <c r="DW133" s="146"/>
      <c r="DX133" s="146"/>
      <c r="DY133" s="146"/>
      <c r="DZ133" s="146"/>
      <c r="EA133" s="146"/>
      <c r="EB133" s="146"/>
      <c r="EC133" s="146"/>
      <c r="ED133" s="146"/>
      <c r="EE133" s="146"/>
      <c r="EF133" s="146"/>
      <c r="EG133" s="146"/>
      <c r="EH133" s="146"/>
      <c r="EI133" s="146"/>
      <c r="EJ133" s="146"/>
      <c r="EK133" s="146"/>
      <c r="EL133" s="146"/>
      <c r="EM133" s="146"/>
      <c r="EN133" s="146"/>
      <c r="EO133" s="146"/>
      <c r="EP133" s="146"/>
      <c r="EQ133" s="146"/>
      <c r="ER133" s="146"/>
      <c r="ES133" s="146"/>
      <c r="ET133" s="146"/>
      <c r="EU133" s="146"/>
      <c r="EV133" s="146"/>
      <c r="EW133" s="146"/>
      <c r="EX133" s="146"/>
      <c r="EY133" s="146"/>
      <c r="EZ133" s="146"/>
      <c r="FA133" s="146"/>
      <c r="FB133" s="146"/>
      <c r="FC133" s="146"/>
      <c r="FD133" s="146"/>
      <c r="FE133" s="146"/>
      <c r="FF133" s="146"/>
      <c r="FG133" s="146"/>
      <c r="FH133" s="146"/>
      <c r="FI133" s="146"/>
      <c r="FJ133" s="146"/>
      <c r="FK133" s="146"/>
      <c r="FL133" s="146"/>
      <c r="FM133" s="146"/>
      <c r="FN133" s="146"/>
      <c r="FO133" s="146"/>
      <c r="FP133" s="146"/>
      <c r="FQ133" s="146"/>
      <c r="FR133" s="146"/>
      <c r="FS133" s="146"/>
      <c r="FT133" s="146"/>
      <c r="FU133" s="146"/>
      <c r="FV133" s="146"/>
      <c r="FW133" s="146"/>
      <c r="FX133" s="146"/>
      <c r="FY133" s="146"/>
      <c r="FZ133" s="146"/>
      <c r="GA133" s="146"/>
      <c r="GB133" s="146"/>
      <c r="GC133" s="146"/>
      <c r="GD133" s="146"/>
      <c r="GE133" s="146"/>
      <c r="GF133" s="146"/>
      <c r="GG133" s="146"/>
      <c r="GH133" s="146"/>
      <c r="GI133" s="146"/>
      <c r="GJ133" s="146"/>
      <c r="GK133" s="146"/>
      <c r="GL133" s="146"/>
      <c r="GM133" s="146"/>
      <c r="GN133" s="146"/>
      <c r="GO133" s="146"/>
      <c r="GP133" s="146"/>
      <c r="GQ133" s="146"/>
      <c r="GR133" s="146"/>
      <c r="GS133" s="146"/>
      <c r="GT133" s="146"/>
      <c r="GU133" s="146"/>
      <c r="GV133" s="146"/>
      <c r="GW133" s="146"/>
      <c r="GX133" s="146"/>
      <c r="GY133" s="146"/>
      <c r="GZ133" s="146"/>
      <c r="HA133" s="146"/>
      <c r="HB133" s="146"/>
      <c r="HC133" s="146"/>
      <c r="HD133" s="146"/>
      <c r="HE133" s="146"/>
      <c r="HF133" s="146"/>
      <c r="HG133" s="146"/>
      <c r="HH133" s="146"/>
      <c r="HI133" s="146"/>
      <c r="HJ133" s="146"/>
      <c r="HK133" s="146"/>
      <c r="HL133" s="146"/>
      <c r="HM133" s="146"/>
      <c r="HN133" s="146"/>
      <c r="HO133" s="146"/>
      <c r="HP133" s="146"/>
      <c r="HQ133" s="146"/>
      <c r="HR133" s="146"/>
      <c r="HS133" s="146"/>
      <c r="HT133" s="146"/>
      <c r="HU133" s="146"/>
      <c r="HV133" s="146"/>
      <c r="HW133" s="146"/>
      <c r="HX133" s="146"/>
      <c r="HY133" s="146"/>
      <c r="HZ133" s="146"/>
      <c r="IA133" s="146"/>
    </row>
    <row r="134" spans="1:235" s="153" customFormat="1" ht="71.25" x14ac:dyDescent="0.25">
      <c r="A134" s="197">
        <v>11900</v>
      </c>
      <c r="B134" s="194" t="s">
        <v>349</v>
      </c>
      <c r="C134" s="198" t="s">
        <v>357</v>
      </c>
      <c r="D134" s="194" t="s">
        <v>146</v>
      </c>
      <c r="E134" s="198" t="s">
        <v>450</v>
      </c>
      <c r="F134" s="194" t="s">
        <v>449</v>
      </c>
      <c r="G134" s="209" t="s">
        <v>124</v>
      </c>
      <c r="H134" s="215">
        <v>2</v>
      </c>
      <c r="I134" s="198" t="s">
        <v>549</v>
      </c>
      <c r="J134" s="194" t="s">
        <v>699</v>
      </c>
      <c r="K134" s="210">
        <v>0</v>
      </c>
      <c r="L134" s="211">
        <v>1</v>
      </c>
      <c r="M134" s="194" t="s">
        <v>46</v>
      </c>
      <c r="N134" s="194" t="s">
        <v>74</v>
      </c>
      <c r="O134" s="194" t="s">
        <v>21</v>
      </c>
      <c r="P134" s="194" t="s">
        <v>36</v>
      </c>
      <c r="Q134" s="194" t="s">
        <v>229</v>
      </c>
      <c r="R134" s="194" t="s">
        <v>631</v>
      </c>
      <c r="S134" s="194" t="s">
        <v>99</v>
      </c>
      <c r="T134" s="227">
        <v>2</v>
      </c>
      <c r="U134" s="212" t="str">
        <f t="shared" si="41"/>
        <v>Informe de identificación de  reclamaciones contenidas en actos administrativos debidamente ejecutoriados y con mora mayor a 180 días</v>
      </c>
      <c r="V134" s="213">
        <f t="shared" si="41"/>
        <v>0</v>
      </c>
      <c r="W134" s="214" t="s">
        <v>117</v>
      </c>
      <c r="X134" s="215">
        <v>2</v>
      </c>
      <c r="Y134" s="214" t="s">
        <v>368</v>
      </c>
      <c r="Z134" s="210">
        <v>0</v>
      </c>
      <c r="AA134" s="196"/>
      <c r="AB134" s="196"/>
      <c r="AC134" s="204">
        <f t="shared" si="42"/>
        <v>0</v>
      </c>
      <c r="AD134" s="204" t="e">
        <f t="shared" si="43"/>
        <v>#DIV/0!</v>
      </c>
      <c r="AE134" s="204">
        <f t="shared" si="29"/>
        <v>0</v>
      </c>
      <c r="AF134" s="204" t="e">
        <f t="shared" si="30"/>
        <v>#DIV/0!</v>
      </c>
      <c r="AG134" s="215">
        <v>0</v>
      </c>
      <c r="AH134" s="214" t="s">
        <v>368</v>
      </c>
      <c r="AI134" s="210">
        <v>0</v>
      </c>
      <c r="AJ134" s="196"/>
      <c r="AK134" s="196"/>
      <c r="AL134" s="204" t="e">
        <f t="shared" si="44"/>
        <v>#DIV/0!</v>
      </c>
      <c r="AM134" s="204" t="e">
        <f t="shared" si="31"/>
        <v>#DIV/0!</v>
      </c>
      <c r="AN134" s="204">
        <f t="shared" si="32"/>
        <v>0</v>
      </c>
      <c r="AO134" s="204" t="e">
        <f t="shared" si="33"/>
        <v>#DIV/0!</v>
      </c>
      <c r="AP134" s="215">
        <v>0</v>
      </c>
      <c r="AQ134" s="214" t="s">
        <v>368</v>
      </c>
      <c r="AR134" s="210">
        <v>0</v>
      </c>
      <c r="AS134" s="196"/>
      <c r="AT134" s="196"/>
      <c r="AU134" s="204" t="e">
        <f t="shared" si="45"/>
        <v>#DIV/0!</v>
      </c>
      <c r="AV134" s="204" t="e">
        <f t="shared" si="46"/>
        <v>#DIV/0!</v>
      </c>
      <c r="AW134" s="204">
        <f t="shared" si="47"/>
        <v>0</v>
      </c>
      <c r="AX134" s="204" t="e">
        <f t="shared" si="48"/>
        <v>#DIV/0!</v>
      </c>
      <c r="AY134" s="215">
        <v>0</v>
      </c>
      <c r="AZ134" s="214" t="s">
        <v>368</v>
      </c>
      <c r="BA134" s="210">
        <v>0</v>
      </c>
      <c r="BB134" s="196"/>
      <c r="BC134" s="196"/>
      <c r="BD134" s="216" t="e">
        <f t="shared" si="49"/>
        <v>#DIV/0!</v>
      </c>
      <c r="BE134" s="216" t="e">
        <f t="shared" si="50"/>
        <v>#DIV/0!</v>
      </c>
      <c r="BF134" s="216">
        <f t="shared" si="51"/>
        <v>0</v>
      </c>
      <c r="BG134" s="216" t="e">
        <f t="shared" si="52"/>
        <v>#DIV/0!</v>
      </c>
      <c r="BH134" s="217">
        <f t="shared" si="34"/>
        <v>0</v>
      </c>
      <c r="BI134" s="217" t="str">
        <f t="shared" si="35"/>
        <v>No Prog ni Ejec</v>
      </c>
      <c r="BJ134" s="217" t="str">
        <f t="shared" si="36"/>
        <v>No Prog ni Ejec</v>
      </c>
      <c r="BK134" s="217" t="str">
        <f t="shared" si="37"/>
        <v>No Prog ni Ejec</v>
      </c>
      <c r="BL134" s="217" t="str">
        <f t="shared" si="53"/>
        <v>No Prog ni Ejec</v>
      </c>
      <c r="BM134" s="217" t="str">
        <f t="shared" si="54"/>
        <v>No Prog ni Ejec</v>
      </c>
      <c r="BN134" s="217" t="str">
        <f t="shared" si="38"/>
        <v>No Prog ni Ejec</v>
      </c>
      <c r="BO134" s="217" t="str">
        <f t="shared" si="39"/>
        <v>No Prog ni Ejec</v>
      </c>
      <c r="BP134" s="206"/>
      <c r="BQ134" s="277">
        <v>31</v>
      </c>
      <c r="BR134" s="218">
        <f t="shared" si="40"/>
        <v>2</v>
      </c>
      <c r="BS134" s="219" t="str">
        <f t="shared" si="55"/>
        <v>Informe de identificación de  reclamaciones contenidas en actos administrativos debidamente ejecutoriados y con mora mayor a 180 días</v>
      </c>
      <c r="BT134" s="195">
        <f t="shared" si="28"/>
        <v>0</v>
      </c>
      <c r="BU134" s="196"/>
      <c r="BV134" s="196"/>
      <c r="BW134" s="196"/>
      <c r="BX134" s="196"/>
      <c r="BY134" s="196"/>
      <c r="BZ134" s="196"/>
      <c r="CA134" s="146"/>
      <c r="CB134" s="146"/>
      <c r="CC134" s="146"/>
      <c r="CD134" s="146"/>
      <c r="CE134" s="146"/>
      <c r="CF134" s="146"/>
      <c r="CG134" s="146"/>
      <c r="CH134" s="146"/>
      <c r="CI134" s="146"/>
      <c r="CJ134" s="146"/>
      <c r="CK134" s="146"/>
      <c r="CL134" s="146"/>
      <c r="CM134" s="146"/>
      <c r="CN134" s="146"/>
      <c r="CO134" s="146"/>
      <c r="CP134" s="146"/>
      <c r="CQ134" s="146"/>
      <c r="CR134" s="146"/>
      <c r="CS134" s="146"/>
      <c r="CT134" s="146"/>
      <c r="CU134" s="146"/>
      <c r="CV134" s="146"/>
      <c r="CW134" s="146"/>
      <c r="CX134" s="146"/>
      <c r="CY134" s="146"/>
      <c r="CZ134" s="146"/>
      <c r="DA134" s="146"/>
      <c r="DB134" s="146"/>
      <c r="DC134" s="146"/>
      <c r="DD134" s="146"/>
      <c r="DE134" s="146"/>
      <c r="DF134" s="146"/>
      <c r="DG134" s="146"/>
      <c r="DH134" s="146"/>
      <c r="DI134" s="146"/>
      <c r="DJ134" s="146"/>
      <c r="DK134" s="146"/>
      <c r="DL134" s="146"/>
      <c r="DM134" s="146"/>
      <c r="DN134" s="146"/>
      <c r="DO134" s="146"/>
      <c r="DP134" s="146"/>
      <c r="DQ134" s="146"/>
      <c r="DR134" s="146"/>
      <c r="DS134" s="146"/>
      <c r="DT134" s="146"/>
      <c r="DU134" s="146"/>
      <c r="DV134" s="146"/>
      <c r="DW134" s="146"/>
      <c r="DX134" s="146"/>
      <c r="DY134" s="146"/>
      <c r="DZ134" s="146"/>
      <c r="EA134" s="146"/>
      <c r="EB134" s="146"/>
      <c r="EC134" s="146"/>
      <c r="ED134" s="146"/>
      <c r="EE134" s="146"/>
      <c r="EF134" s="146"/>
      <c r="EG134" s="146"/>
      <c r="EH134" s="146"/>
      <c r="EI134" s="146"/>
      <c r="EJ134" s="146"/>
      <c r="EK134" s="146"/>
      <c r="EL134" s="146"/>
      <c r="EM134" s="146"/>
      <c r="EN134" s="146"/>
      <c r="EO134" s="146"/>
      <c r="EP134" s="146"/>
      <c r="EQ134" s="146"/>
      <c r="ER134" s="146"/>
      <c r="ES134" s="146"/>
      <c r="ET134" s="146"/>
      <c r="EU134" s="146"/>
      <c r="EV134" s="146"/>
      <c r="EW134" s="146"/>
      <c r="EX134" s="146"/>
      <c r="EY134" s="146"/>
      <c r="EZ134" s="146"/>
      <c r="FA134" s="146"/>
      <c r="FB134" s="146"/>
      <c r="FC134" s="146"/>
      <c r="FD134" s="146"/>
      <c r="FE134" s="146"/>
      <c r="FF134" s="146"/>
      <c r="FG134" s="146"/>
      <c r="FH134" s="146"/>
      <c r="FI134" s="146"/>
      <c r="FJ134" s="146"/>
      <c r="FK134" s="146"/>
      <c r="FL134" s="146"/>
      <c r="FM134" s="146"/>
      <c r="FN134" s="146"/>
      <c r="FO134" s="146"/>
      <c r="FP134" s="146"/>
      <c r="FQ134" s="146"/>
      <c r="FR134" s="146"/>
      <c r="FS134" s="146"/>
      <c r="FT134" s="146"/>
      <c r="FU134" s="146"/>
      <c r="FV134" s="146"/>
      <c r="FW134" s="146"/>
      <c r="FX134" s="146"/>
      <c r="FY134" s="146"/>
      <c r="FZ134" s="146"/>
      <c r="GA134" s="146"/>
      <c r="GB134" s="146"/>
      <c r="GC134" s="146"/>
      <c r="GD134" s="146"/>
      <c r="GE134" s="146"/>
      <c r="GF134" s="146"/>
      <c r="GG134" s="146"/>
      <c r="GH134" s="146"/>
      <c r="GI134" s="146"/>
      <c r="GJ134" s="146"/>
      <c r="GK134" s="146"/>
      <c r="GL134" s="146"/>
      <c r="GM134" s="146"/>
      <c r="GN134" s="146"/>
      <c r="GO134" s="146"/>
      <c r="GP134" s="146"/>
      <c r="GQ134" s="146"/>
      <c r="GR134" s="146"/>
      <c r="GS134" s="146"/>
      <c r="GT134" s="146"/>
      <c r="GU134" s="146"/>
      <c r="GV134" s="146"/>
      <c r="GW134" s="146"/>
      <c r="GX134" s="146"/>
      <c r="GY134" s="146"/>
      <c r="GZ134" s="146"/>
      <c r="HA134" s="146"/>
      <c r="HB134" s="146"/>
      <c r="HC134" s="146"/>
      <c r="HD134" s="146"/>
      <c r="HE134" s="146"/>
      <c r="HF134" s="146"/>
      <c r="HG134" s="146"/>
      <c r="HH134" s="146"/>
      <c r="HI134" s="146"/>
      <c r="HJ134" s="146"/>
      <c r="HK134" s="146"/>
      <c r="HL134" s="146"/>
      <c r="HM134" s="146"/>
      <c r="HN134" s="146"/>
      <c r="HO134" s="146"/>
      <c r="HP134" s="146"/>
      <c r="HQ134" s="146"/>
      <c r="HR134" s="146"/>
      <c r="HS134" s="146"/>
      <c r="HT134" s="146"/>
      <c r="HU134" s="146"/>
      <c r="HV134" s="146"/>
      <c r="HW134" s="146"/>
      <c r="HX134" s="146"/>
      <c r="HY134" s="146"/>
      <c r="HZ134" s="146"/>
      <c r="IA134" s="146"/>
    </row>
    <row r="135" spans="1:235" s="153" customFormat="1" ht="114" x14ac:dyDescent="0.25">
      <c r="A135" s="197">
        <v>11900</v>
      </c>
      <c r="B135" s="194" t="s">
        <v>349</v>
      </c>
      <c r="C135" s="198" t="s">
        <v>357</v>
      </c>
      <c r="D135" s="194" t="s">
        <v>146</v>
      </c>
      <c r="E135" s="1556" t="s">
        <v>450</v>
      </c>
      <c r="F135" s="1541" t="s">
        <v>449</v>
      </c>
      <c r="G135" s="1556" t="s">
        <v>123</v>
      </c>
      <c r="H135" s="216">
        <v>1</v>
      </c>
      <c r="I135" s="1556" t="s">
        <v>550</v>
      </c>
      <c r="J135" s="1541" t="s">
        <v>451</v>
      </c>
      <c r="K135" s="1559">
        <v>0</v>
      </c>
      <c r="L135" s="211">
        <v>1</v>
      </c>
      <c r="M135" s="1541" t="s">
        <v>46</v>
      </c>
      <c r="N135" s="1541" t="s">
        <v>74</v>
      </c>
      <c r="O135" s="1541" t="s">
        <v>21</v>
      </c>
      <c r="P135" s="1541" t="s">
        <v>36</v>
      </c>
      <c r="Q135" s="1541" t="s">
        <v>229</v>
      </c>
      <c r="R135" s="194" t="s">
        <v>453</v>
      </c>
      <c r="S135" s="194" t="s">
        <v>99</v>
      </c>
      <c r="T135" s="211">
        <v>1</v>
      </c>
      <c r="U135" s="212" t="str">
        <f t="shared" si="41"/>
        <v>Venta de Cartera mayor a &gt;180 días con actos administrativos debidamente ejecutoriados a Central de Inversiones SA -CISA-</v>
      </c>
      <c r="V135" s="213">
        <f t="shared" si="41"/>
        <v>0</v>
      </c>
      <c r="W135" s="214" t="s">
        <v>117</v>
      </c>
      <c r="X135" s="216">
        <v>0.5</v>
      </c>
      <c r="Y135" s="214" t="s">
        <v>369</v>
      </c>
      <c r="Z135" s="210">
        <v>0</v>
      </c>
      <c r="AA135" s="196"/>
      <c r="AB135" s="196"/>
      <c r="AC135" s="204">
        <f t="shared" si="42"/>
        <v>0</v>
      </c>
      <c r="AD135" s="204" t="e">
        <f>+(AB135/Z135)</f>
        <v>#DIV/0!</v>
      </c>
      <c r="AE135" s="204">
        <f t="shared" si="29"/>
        <v>0</v>
      </c>
      <c r="AF135" s="204" t="e">
        <f t="shared" si="30"/>
        <v>#DIV/0!</v>
      </c>
      <c r="AG135" s="216">
        <v>0.5</v>
      </c>
      <c r="AH135" s="214" t="s">
        <v>369</v>
      </c>
      <c r="AI135" s="210">
        <v>0</v>
      </c>
      <c r="AJ135" s="196"/>
      <c r="AK135" s="196"/>
      <c r="AL135" s="204">
        <f t="shared" si="44"/>
        <v>0</v>
      </c>
      <c r="AM135" s="204" t="e">
        <f t="shared" si="31"/>
        <v>#DIV/0!</v>
      </c>
      <c r="AN135" s="204">
        <f t="shared" si="32"/>
        <v>0</v>
      </c>
      <c r="AO135" s="204" t="e">
        <f t="shared" si="33"/>
        <v>#DIV/0!</v>
      </c>
      <c r="AP135" s="216">
        <v>0</v>
      </c>
      <c r="AQ135" s="214" t="s">
        <v>369</v>
      </c>
      <c r="AR135" s="210">
        <v>0</v>
      </c>
      <c r="AS135" s="196"/>
      <c r="AT135" s="196"/>
      <c r="AU135" s="204" t="e">
        <f t="shared" si="45"/>
        <v>#DIV/0!</v>
      </c>
      <c r="AV135" s="204" t="e">
        <f t="shared" si="46"/>
        <v>#DIV/0!</v>
      </c>
      <c r="AW135" s="204">
        <f t="shared" si="47"/>
        <v>0</v>
      </c>
      <c r="AX135" s="204" t="e">
        <f t="shared" si="48"/>
        <v>#DIV/0!</v>
      </c>
      <c r="AY135" s="216">
        <v>0</v>
      </c>
      <c r="AZ135" s="214" t="s">
        <v>369</v>
      </c>
      <c r="BA135" s="210">
        <v>0</v>
      </c>
      <c r="BB135" s="196"/>
      <c r="BC135" s="196"/>
      <c r="BD135" s="216" t="e">
        <f t="shared" si="49"/>
        <v>#DIV/0!</v>
      </c>
      <c r="BE135" s="216" t="e">
        <f t="shared" si="50"/>
        <v>#DIV/0!</v>
      </c>
      <c r="BF135" s="216">
        <f t="shared" si="51"/>
        <v>0</v>
      </c>
      <c r="BG135" s="216" t="e">
        <f t="shared" si="52"/>
        <v>#DIV/0!</v>
      </c>
      <c r="BH135" s="217">
        <f t="shared" si="34"/>
        <v>0</v>
      </c>
      <c r="BI135" s="217" t="str">
        <f t="shared" si="35"/>
        <v>No Prog ni Ejec</v>
      </c>
      <c r="BJ135" s="217">
        <f t="shared" si="36"/>
        <v>0</v>
      </c>
      <c r="BK135" s="217" t="str">
        <f t="shared" si="37"/>
        <v>No Prog ni Ejec</v>
      </c>
      <c r="BL135" s="217" t="str">
        <f t="shared" si="53"/>
        <v>No Prog ni Ejec</v>
      </c>
      <c r="BM135" s="217" t="str">
        <f t="shared" si="54"/>
        <v>No Prog ni Ejec</v>
      </c>
      <c r="BN135" s="217" t="str">
        <f t="shared" si="38"/>
        <v>No Prog ni Ejec</v>
      </c>
      <c r="BO135" s="217" t="str">
        <f t="shared" si="39"/>
        <v>No Prog ni Ejec</v>
      </c>
      <c r="BP135" s="206"/>
      <c r="BQ135" s="277">
        <v>31</v>
      </c>
      <c r="BR135" s="208">
        <f t="shared" si="40"/>
        <v>1</v>
      </c>
      <c r="BS135" s="219" t="str">
        <f t="shared" si="55"/>
        <v>Venta de Cartera mayor a &gt;180 días con actos administrativos debidamente ejecutoriados a Central de Inversiones SA -CISA-</v>
      </c>
      <c r="BT135" s="195">
        <f t="shared" si="28"/>
        <v>0</v>
      </c>
      <c r="BU135" s="196"/>
      <c r="BV135" s="196"/>
      <c r="BW135" s="196"/>
      <c r="BX135" s="196"/>
      <c r="BY135" s="196"/>
      <c r="BZ135" s="196"/>
      <c r="CA135" s="146"/>
      <c r="CB135" s="146"/>
      <c r="CC135" s="146"/>
      <c r="CD135" s="146"/>
      <c r="CE135" s="146"/>
      <c r="CF135" s="146"/>
      <c r="CG135" s="146"/>
      <c r="CH135" s="146"/>
      <c r="CI135" s="146"/>
      <c r="CJ135" s="146"/>
      <c r="CK135" s="146"/>
      <c r="CL135" s="146"/>
      <c r="CM135" s="146"/>
      <c r="CN135" s="146"/>
      <c r="CO135" s="146"/>
      <c r="CP135" s="146"/>
      <c r="CQ135" s="146"/>
      <c r="CR135" s="146"/>
      <c r="CS135" s="146"/>
      <c r="CT135" s="146"/>
      <c r="CU135" s="146"/>
      <c r="CV135" s="146"/>
      <c r="CW135" s="146"/>
      <c r="CX135" s="146"/>
      <c r="CY135" s="146"/>
      <c r="CZ135" s="146"/>
      <c r="DA135" s="146"/>
      <c r="DB135" s="146"/>
      <c r="DC135" s="146"/>
      <c r="DD135" s="146"/>
      <c r="DE135" s="146"/>
      <c r="DF135" s="146"/>
      <c r="DG135" s="146"/>
      <c r="DH135" s="146"/>
      <c r="DI135" s="146"/>
      <c r="DJ135" s="146"/>
      <c r="DK135" s="146"/>
      <c r="DL135" s="146"/>
      <c r="DM135" s="146"/>
      <c r="DN135" s="146"/>
      <c r="DO135" s="146"/>
      <c r="DP135" s="146"/>
      <c r="DQ135" s="146"/>
      <c r="DR135" s="146"/>
      <c r="DS135" s="146"/>
      <c r="DT135" s="146"/>
      <c r="DU135" s="146"/>
      <c r="DV135" s="146"/>
      <c r="DW135" s="146"/>
      <c r="DX135" s="146"/>
      <c r="DY135" s="146"/>
      <c r="DZ135" s="146"/>
      <c r="EA135" s="146"/>
      <c r="EB135" s="146"/>
      <c r="EC135" s="146"/>
      <c r="ED135" s="146"/>
      <c r="EE135" s="146"/>
      <c r="EF135" s="146"/>
      <c r="EG135" s="146"/>
      <c r="EH135" s="146"/>
      <c r="EI135" s="146"/>
      <c r="EJ135" s="146"/>
      <c r="EK135" s="146"/>
      <c r="EL135" s="146"/>
      <c r="EM135" s="146"/>
      <c r="EN135" s="146"/>
      <c r="EO135" s="146"/>
      <c r="EP135" s="146"/>
      <c r="EQ135" s="146"/>
      <c r="ER135" s="146"/>
      <c r="ES135" s="146"/>
      <c r="ET135" s="146"/>
      <c r="EU135" s="146"/>
      <c r="EV135" s="146"/>
      <c r="EW135" s="146"/>
      <c r="EX135" s="146"/>
      <c r="EY135" s="146"/>
      <c r="EZ135" s="146"/>
      <c r="FA135" s="146"/>
      <c r="FB135" s="146"/>
      <c r="FC135" s="146"/>
      <c r="FD135" s="146"/>
      <c r="FE135" s="146"/>
      <c r="FF135" s="146"/>
      <c r="FG135" s="146"/>
      <c r="FH135" s="146"/>
      <c r="FI135" s="146"/>
      <c r="FJ135" s="146"/>
      <c r="FK135" s="146"/>
      <c r="FL135" s="146"/>
      <c r="FM135" s="146"/>
      <c r="FN135" s="146"/>
      <c r="FO135" s="146"/>
      <c r="FP135" s="146"/>
      <c r="FQ135" s="146"/>
      <c r="FR135" s="146"/>
      <c r="FS135" s="146"/>
      <c r="FT135" s="146"/>
      <c r="FU135" s="146"/>
      <c r="FV135" s="146"/>
      <c r="FW135" s="146"/>
      <c r="FX135" s="146"/>
      <c r="FY135" s="146"/>
      <c r="FZ135" s="146"/>
      <c r="GA135" s="146"/>
      <c r="GB135" s="146"/>
      <c r="GC135" s="146"/>
      <c r="GD135" s="146"/>
      <c r="GE135" s="146"/>
      <c r="GF135" s="146"/>
      <c r="GG135" s="146"/>
      <c r="GH135" s="146"/>
      <c r="GI135" s="146"/>
      <c r="GJ135" s="146"/>
      <c r="GK135" s="146"/>
      <c r="GL135" s="146"/>
      <c r="GM135" s="146"/>
      <c r="GN135" s="146"/>
      <c r="GO135" s="146"/>
      <c r="GP135" s="146"/>
      <c r="GQ135" s="146"/>
      <c r="GR135" s="146"/>
      <c r="GS135" s="146"/>
      <c r="GT135" s="146"/>
      <c r="GU135" s="146"/>
      <c r="GV135" s="146"/>
      <c r="GW135" s="146"/>
      <c r="GX135" s="146"/>
      <c r="GY135" s="146"/>
      <c r="GZ135" s="146"/>
      <c r="HA135" s="146"/>
      <c r="HB135" s="146"/>
      <c r="HC135" s="146"/>
      <c r="HD135" s="146"/>
      <c r="HE135" s="146"/>
      <c r="HF135" s="146"/>
      <c r="HG135" s="146"/>
      <c r="HH135" s="146"/>
      <c r="HI135" s="146"/>
      <c r="HJ135" s="146"/>
      <c r="HK135" s="146"/>
      <c r="HL135" s="146"/>
      <c r="HM135" s="146"/>
      <c r="HN135" s="146"/>
      <c r="HO135" s="146"/>
      <c r="HP135" s="146"/>
      <c r="HQ135" s="146"/>
      <c r="HR135" s="146"/>
      <c r="HS135" s="146"/>
      <c r="HT135" s="146"/>
      <c r="HU135" s="146"/>
      <c r="HV135" s="146"/>
      <c r="HW135" s="146"/>
      <c r="HX135" s="146"/>
      <c r="HY135" s="146"/>
      <c r="HZ135" s="146"/>
      <c r="IA135" s="146"/>
    </row>
    <row r="136" spans="1:235" s="159" customFormat="1" ht="114" x14ac:dyDescent="0.25">
      <c r="A136" s="197">
        <v>11900</v>
      </c>
      <c r="B136" s="194" t="s">
        <v>349</v>
      </c>
      <c r="C136" s="198" t="s">
        <v>357</v>
      </c>
      <c r="D136" s="194" t="s">
        <v>146</v>
      </c>
      <c r="E136" s="1558"/>
      <c r="F136" s="1543"/>
      <c r="G136" s="1558"/>
      <c r="H136" s="226">
        <v>0.02</v>
      </c>
      <c r="I136" s="1558"/>
      <c r="J136" s="1543"/>
      <c r="K136" s="1561"/>
      <c r="L136" s="211">
        <v>0.02</v>
      </c>
      <c r="M136" s="1543"/>
      <c r="N136" s="1543"/>
      <c r="O136" s="1543"/>
      <c r="P136" s="1543"/>
      <c r="Q136" s="1543"/>
      <c r="R136" s="201" t="s">
        <v>833</v>
      </c>
      <c r="S136" s="194" t="s">
        <v>99</v>
      </c>
      <c r="T136" s="211">
        <v>0.3</v>
      </c>
      <c r="U136" s="212" t="str">
        <f>+J135</f>
        <v>Venta de Cartera mayor a &gt;180 días con actos administrativos debidamente ejecutoriados a Central de Inversiones SA -CISA-</v>
      </c>
      <c r="V136" s="213">
        <f t="shared" si="41"/>
        <v>0</v>
      </c>
      <c r="W136" s="214" t="s">
        <v>117</v>
      </c>
      <c r="X136" s="286">
        <v>0.02</v>
      </c>
      <c r="Y136" s="282" t="s">
        <v>369</v>
      </c>
      <c r="Z136" s="283">
        <v>0</v>
      </c>
      <c r="AA136" s="279"/>
      <c r="AB136" s="279"/>
      <c r="AC136" s="280">
        <f t="shared" si="42"/>
        <v>0</v>
      </c>
      <c r="AD136" s="280" t="e">
        <f>+(AB136/Z136)</f>
        <v>#DIV/0!</v>
      </c>
      <c r="AE136" s="280">
        <f t="shared" si="29"/>
        <v>0</v>
      </c>
      <c r="AF136" s="280" t="e">
        <f t="shared" si="30"/>
        <v>#DIV/0!</v>
      </c>
      <c r="AG136" s="286">
        <v>0.02</v>
      </c>
      <c r="AH136" s="282" t="s">
        <v>369</v>
      </c>
      <c r="AI136" s="283">
        <v>0</v>
      </c>
      <c r="AJ136" s="279"/>
      <c r="AK136" s="279"/>
      <c r="AL136" s="280">
        <f t="shared" si="44"/>
        <v>0</v>
      </c>
      <c r="AM136" s="280" t="e">
        <f t="shared" si="31"/>
        <v>#DIV/0!</v>
      </c>
      <c r="AN136" s="280">
        <f t="shared" si="32"/>
        <v>0</v>
      </c>
      <c r="AO136" s="280" t="e">
        <f t="shared" si="33"/>
        <v>#DIV/0!</v>
      </c>
      <c r="AP136" s="286">
        <v>0</v>
      </c>
      <c r="AQ136" s="282" t="s">
        <v>369</v>
      </c>
      <c r="AR136" s="283">
        <v>0</v>
      </c>
      <c r="AS136" s="279"/>
      <c r="AT136" s="279"/>
      <c r="AU136" s="280" t="e">
        <f t="shared" si="45"/>
        <v>#DIV/0!</v>
      </c>
      <c r="AV136" s="280" t="e">
        <f>+(AT136/AR136)</f>
        <v>#DIV/0!</v>
      </c>
      <c r="AW136" s="287">
        <f t="shared" si="47"/>
        <v>0</v>
      </c>
      <c r="AX136" s="280" t="e">
        <f t="shared" si="48"/>
        <v>#DIV/0!</v>
      </c>
      <c r="AY136" s="286">
        <v>0</v>
      </c>
      <c r="AZ136" s="282" t="s">
        <v>369</v>
      </c>
      <c r="BA136" s="283">
        <v>0</v>
      </c>
      <c r="BB136" s="279"/>
      <c r="BC136" s="279"/>
      <c r="BD136" s="281" t="e">
        <f t="shared" si="49"/>
        <v>#DIV/0!</v>
      </c>
      <c r="BE136" s="281" t="e">
        <f t="shared" si="50"/>
        <v>#DIV/0!</v>
      </c>
      <c r="BF136" s="281">
        <f t="shared" si="51"/>
        <v>0</v>
      </c>
      <c r="BG136" s="281" t="e">
        <f t="shared" si="52"/>
        <v>#DIV/0!</v>
      </c>
      <c r="BH136" s="205">
        <f>IF(AND(X136=0,AA136=0),"No Prog ni Ejec",IF(X136=0,CONCATENATE("No Prog, Ejec=  ",AA136),AA136/X136))</f>
        <v>0</v>
      </c>
      <c r="BI136" s="205" t="str">
        <f>IF(AND(Z136=0,AB136=0),"No Prog ni Ejec",IF(Z136=0,CONCATENATE("No Prog, Ejec=  ",AB136),AB136/Z136))</f>
        <v>No Prog ni Ejec</v>
      </c>
      <c r="BJ136" s="205">
        <f t="shared" si="36"/>
        <v>0</v>
      </c>
      <c r="BK136" s="205" t="str">
        <f t="shared" si="37"/>
        <v>No Prog ni Ejec</v>
      </c>
      <c r="BL136" s="205" t="str">
        <f t="shared" si="53"/>
        <v>No Prog ni Ejec</v>
      </c>
      <c r="BM136" s="205" t="str">
        <f>IF(AND(AR136=0,AT136=0),"No Prog ni Ejec",IF(AR136=0,CONCATENATE("No Prog, Ejec=  ",AT136),AT136/AR136))</f>
        <v>No Prog ni Ejec</v>
      </c>
      <c r="BN136" s="205" t="str">
        <f t="shared" si="38"/>
        <v>No Prog ni Ejec</v>
      </c>
      <c r="BO136" s="205" t="str">
        <f>IF(AND(BA136=0,BC136=0),"No Prog ni Ejec",IF(BA136=0,CONCATENATE("No Prog, Ejec=  ",BC136),BC136/BA136))</f>
        <v>No Prog ni Ejec</v>
      </c>
      <c r="BP136" s="206" t="s">
        <v>837</v>
      </c>
      <c r="BQ136" s="277">
        <v>31</v>
      </c>
      <c r="BR136" s="208">
        <f t="shared" si="40"/>
        <v>0.04</v>
      </c>
      <c r="BS136" s="219" t="str">
        <f t="shared" si="55"/>
        <v>Venta de Cartera mayor a &gt;180 días con actos administrativos debidamente ejecutoriados a Central de Inversiones SA -CISA-</v>
      </c>
      <c r="BT136" s="195">
        <f t="shared" si="28"/>
        <v>0</v>
      </c>
      <c r="BU136" s="196"/>
      <c r="BV136" s="196"/>
      <c r="BW136" s="196"/>
      <c r="BX136" s="196"/>
      <c r="BY136" s="196"/>
      <c r="BZ136" s="196"/>
      <c r="CA136" s="146"/>
      <c r="CB136" s="146"/>
      <c r="CC136" s="146"/>
      <c r="CD136" s="146"/>
      <c r="CE136" s="146"/>
      <c r="CF136" s="146"/>
      <c r="CG136" s="146"/>
      <c r="CH136" s="146"/>
      <c r="CI136" s="146"/>
      <c r="CJ136" s="146"/>
      <c r="CK136" s="146"/>
      <c r="CL136" s="146"/>
      <c r="CM136" s="146"/>
      <c r="CN136" s="146"/>
      <c r="CO136" s="146"/>
      <c r="CP136" s="146"/>
      <c r="CQ136" s="146"/>
      <c r="CR136" s="146"/>
      <c r="CS136" s="146"/>
      <c r="CT136" s="146"/>
      <c r="CU136" s="146"/>
      <c r="CV136" s="146"/>
      <c r="CW136" s="146"/>
      <c r="CX136" s="146"/>
      <c r="CY136" s="146"/>
      <c r="CZ136" s="146"/>
      <c r="DA136" s="146"/>
      <c r="DB136" s="146"/>
      <c r="DC136" s="146"/>
      <c r="DD136" s="146"/>
      <c r="DE136" s="146"/>
      <c r="DF136" s="146"/>
      <c r="DG136" s="146"/>
      <c r="DH136" s="146"/>
      <c r="DI136" s="146"/>
      <c r="DJ136" s="146"/>
      <c r="DK136" s="146"/>
      <c r="DL136" s="146"/>
      <c r="DM136" s="146"/>
      <c r="DN136" s="146"/>
      <c r="DO136" s="146"/>
      <c r="DP136" s="146"/>
      <c r="DQ136" s="146"/>
      <c r="DR136" s="146"/>
      <c r="DS136" s="146"/>
      <c r="DT136" s="146"/>
      <c r="DU136" s="146"/>
      <c r="DV136" s="146"/>
      <c r="DW136" s="146"/>
      <c r="DX136" s="146"/>
      <c r="DY136" s="146"/>
      <c r="DZ136" s="146"/>
      <c r="EA136" s="146"/>
      <c r="EB136" s="146"/>
      <c r="EC136" s="146"/>
      <c r="ED136" s="146"/>
      <c r="EE136" s="146"/>
      <c r="EF136" s="146"/>
      <c r="EG136" s="146"/>
      <c r="EH136" s="146"/>
      <c r="EI136" s="146"/>
      <c r="EJ136" s="146"/>
      <c r="EK136" s="146"/>
      <c r="EL136" s="146"/>
      <c r="EM136" s="146"/>
      <c r="EN136" s="146"/>
      <c r="EO136" s="146"/>
      <c r="EP136" s="146"/>
      <c r="EQ136" s="146"/>
      <c r="ER136" s="146"/>
      <c r="ES136" s="146"/>
      <c r="ET136" s="146"/>
      <c r="EU136" s="146"/>
      <c r="EV136" s="146"/>
      <c r="EW136" s="146"/>
      <c r="EX136" s="146"/>
      <c r="EY136" s="146"/>
      <c r="EZ136" s="146"/>
      <c r="FA136" s="146"/>
      <c r="FB136" s="146"/>
      <c r="FC136" s="146"/>
      <c r="FD136" s="146"/>
      <c r="FE136" s="146"/>
      <c r="FF136" s="146"/>
      <c r="FG136" s="146"/>
      <c r="FH136" s="146"/>
      <c r="FI136" s="146"/>
      <c r="FJ136" s="146"/>
      <c r="FK136" s="146"/>
      <c r="FL136" s="146"/>
      <c r="FM136" s="146"/>
      <c r="FN136" s="146"/>
      <c r="FO136" s="146"/>
      <c r="FP136" s="146"/>
      <c r="FQ136" s="146"/>
      <c r="FR136" s="146"/>
      <c r="FS136" s="146"/>
      <c r="FT136" s="146"/>
      <c r="FU136" s="146"/>
      <c r="FV136" s="146"/>
      <c r="FW136" s="146"/>
      <c r="FX136" s="146"/>
      <c r="FY136" s="146"/>
      <c r="FZ136" s="146"/>
      <c r="GA136" s="146"/>
      <c r="GB136" s="146"/>
      <c r="GC136" s="146"/>
      <c r="GD136" s="146"/>
      <c r="GE136" s="146"/>
      <c r="GF136" s="146"/>
      <c r="GG136" s="146"/>
      <c r="GH136" s="146"/>
      <c r="GI136" s="146"/>
      <c r="GJ136" s="146"/>
      <c r="GK136" s="146"/>
      <c r="GL136" s="146"/>
      <c r="GM136" s="146"/>
      <c r="GN136" s="146"/>
      <c r="GO136" s="146"/>
      <c r="GP136" s="146"/>
      <c r="GQ136" s="146"/>
      <c r="GR136" s="146"/>
      <c r="GS136" s="146"/>
      <c r="GT136" s="146"/>
      <c r="GU136" s="146"/>
      <c r="GV136" s="146"/>
      <c r="GW136" s="146"/>
      <c r="GX136" s="146"/>
      <c r="GY136" s="146"/>
      <c r="GZ136" s="146"/>
      <c r="HA136" s="146"/>
      <c r="HB136" s="146"/>
      <c r="HC136" s="146"/>
      <c r="HD136" s="146"/>
      <c r="HE136" s="146"/>
      <c r="HF136" s="146"/>
      <c r="HG136" s="146"/>
      <c r="HH136" s="146"/>
      <c r="HI136" s="146"/>
      <c r="HJ136" s="146"/>
      <c r="HK136" s="146"/>
      <c r="HL136" s="146"/>
      <c r="HM136" s="146"/>
      <c r="HN136" s="146"/>
      <c r="HO136" s="146"/>
      <c r="HP136" s="146"/>
      <c r="HQ136" s="146"/>
      <c r="HR136" s="146"/>
      <c r="HS136" s="146"/>
      <c r="HT136" s="146"/>
      <c r="HU136" s="146"/>
      <c r="HV136" s="146"/>
      <c r="HW136" s="146"/>
      <c r="HX136" s="146"/>
      <c r="HY136" s="146"/>
      <c r="HZ136" s="146"/>
      <c r="IA136" s="146"/>
    </row>
    <row r="137" spans="1:235" s="155" customFormat="1" ht="71.25" x14ac:dyDescent="0.25">
      <c r="A137" s="197">
        <v>11900</v>
      </c>
      <c r="B137" s="194" t="s">
        <v>349</v>
      </c>
      <c r="C137" s="198" t="s">
        <v>357</v>
      </c>
      <c r="D137" s="194" t="s">
        <v>146</v>
      </c>
      <c r="E137" s="198" t="s">
        <v>450</v>
      </c>
      <c r="F137" s="194" t="s">
        <v>449</v>
      </c>
      <c r="G137" s="209" t="s">
        <v>123</v>
      </c>
      <c r="H137" s="216">
        <v>1</v>
      </c>
      <c r="I137" s="198" t="s">
        <v>464</v>
      </c>
      <c r="J137" s="194" t="s">
        <v>835</v>
      </c>
      <c r="K137" s="210">
        <v>55760808</v>
      </c>
      <c r="L137" s="211">
        <v>1</v>
      </c>
      <c r="M137" s="194" t="s">
        <v>46</v>
      </c>
      <c r="N137" s="194" t="s">
        <v>74</v>
      </c>
      <c r="O137" s="194" t="s">
        <v>21</v>
      </c>
      <c r="P137" s="194" t="s">
        <v>36</v>
      </c>
      <c r="Q137" s="194" t="s">
        <v>229</v>
      </c>
      <c r="R137" s="194" t="s">
        <v>834</v>
      </c>
      <c r="S137" s="194" t="s">
        <v>99</v>
      </c>
      <c r="T137" s="211">
        <v>1</v>
      </c>
      <c r="U137" s="212" t="str">
        <f t="shared" si="41"/>
        <v>Actos administrativos mediante los cuales se establecen los fallecidos, incobrables, cancelados y revocados, recultado del proceso de depuración</v>
      </c>
      <c r="V137" s="213">
        <f t="shared" si="41"/>
        <v>55760808</v>
      </c>
      <c r="W137" s="222" t="s">
        <v>114</v>
      </c>
      <c r="X137" s="216">
        <v>0.25</v>
      </c>
      <c r="Y137" s="214" t="s">
        <v>452</v>
      </c>
      <c r="Z137" s="210">
        <v>13940202</v>
      </c>
      <c r="AA137" s="196"/>
      <c r="AB137" s="196"/>
      <c r="AC137" s="204">
        <f t="shared" si="42"/>
        <v>0</v>
      </c>
      <c r="AD137" s="204">
        <f t="shared" si="43"/>
        <v>0</v>
      </c>
      <c r="AE137" s="204">
        <f t="shared" si="29"/>
        <v>0</v>
      </c>
      <c r="AF137" s="204">
        <f t="shared" si="30"/>
        <v>0</v>
      </c>
      <c r="AG137" s="216">
        <v>0.25</v>
      </c>
      <c r="AH137" s="214" t="s">
        <v>452</v>
      </c>
      <c r="AI137" s="210">
        <v>13940202</v>
      </c>
      <c r="AJ137" s="196"/>
      <c r="AK137" s="196"/>
      <c r="AL137" s="204">
        <f t="shared" si="44"/>
        <v>0</v>
      </c>
      <c r="AM137" s="204">
        <f t="shared" si="31"/>
        <v>0</v>
      </c>
      <c r="AN137" s="204">
        <f t="shared" si="32"/>
        <v>0</v>
      </c>
      <c r="AO137" s="204">
        <f t="shared" si="33"/>
        <v>0</v>
      </c>
      <c r="AP137" s="216">
        <v>0.25</v>
      </c>
      <c r="AQ137" s="214" t="s">
        <v>452</v>
      </c>
      <c r="AR137" s="210">
        <v>13940202</v>
      </c>
      <c r="AS137" s="196"/>
      <c r="AT137" s="196"/>
      <c r="AU137" s="204">
        <f t="shared" si="45"/>
        <v>0</v>
      </c>
      <c r="AV137" s="204">
        <f t="shared" si="46"/>
        <v>0</v>
      </c>
      <c r="AW137" s="204">
        <f t="shared" si="47"/>
        <v>0</v>
      </c>
      <c r="AX137" s="204">
        <f t="shared" si="48"/>
        <v>0</v>
      </c>
      <c r="AY137" s="216">
        <v>0.25</v>
      </c>
      <c r="AZ137" s="214" t="s">
        <v>452</v>
      </c>
      <c r="BA137" s="210">
        <v>13940202</v>
      </c>
      <c r="BB137" s="196"/>
      <c r="BC137" s="196"/>
      <c r="BD137" s="216">
        <f t="shared" si="49"/>
        <v>0</v>
      </c>
      <c r="BE137" s="216">
        <f t="shared" si="50"/>
        <v>0</v>
      </c>
      <c r="BF137" s="216">
        <f t="shared" si="51"/>
        <v>0</v>
      </c>
      <c r="BG137" s="216">
        <f t="shared" si="52"/>
        <v>0</v>
      </c>
      <c r="BH137" s="228">
        <f t="shared" si="34"/>
        <v>0</v>
      </c>
      <c r="BI137" s="228">
        <f t="shared" si="35"/>
        <v>0</v>
      </c>
      <c r="BJ137" s="228">
        <f t="shared" si="36"/>
        <v>0</v>
      </c>
      <c r="BK137" s="228">
        <f t="shared" si="37"/>
        <v>0</v>
      </c>
      <c r="BL137" s="228">
        <f t="shared" si="53"/>
        <v>0</v>
      </c>
      <c r="BM137" s="228">
        <f t="shared" si="54"/>
        <v>0</v>
      </c>
      <c r="BN137" s="228">
        <f t="shared" si="38"/>
        <v>0</v>
      </c>
      <c r="BO137" s="228">
        <f t="shared" si="39"/>
        <v>0</v>
      </c>
      <c r="BP137" s="206"/>
      <c r="BQ137" s="277">
        <v>32</v>
      </c>
      <c r="BR137" s="208">
        <f t="shared" si="40"/>
        <v>0.58333333333333337</v>
      </c>
      <c r="BS137" s="219" t="str">
        <f t="shared" si="55"/>
        <v>Actos administrativos mediante los cuales se establecen los fallecidos, incobrables, cancelados y revocados, recultado del proceso de depuración</v>
      </c>
      <c r="BT137" s="195">
        <f t="shared" si="28"/>
        <v>32527138</v>
      </c>
      <c r="BU137" s="196"/>
      <c r="BV137" s="196"/>
      <c r="BW137" s="196"/>
      <c r="BX137" s="196"/>
      <c r="BY137" s="196"/>
      <c r="BZ137" s="196"/>
      <c r="CA137" s="146"/>
      <c r="CB137" s="146"/>
      <c r="CC137" s="146"/>
      <c r="CD137" s="146"/>
      <c r="CE137" s="146"/>
      <c r="CF137" s="146"/>
      <c r="CG137" s="146"/>
      <c r="CH137" s="146"/>
      <c r="CI137" s="146"/>
      <c r="CJ137" s="146"/>
      <c r="CK137" s="146"/>
      <c r="CL137" s="146"/>
      <c r="CM137" s="146"/>
      <c r="CN137" s="146"/>
      <c r="CO137" s="146"/>
      <c r="CP137" s="146"/>
      <c r="CQ137" s="146"/>
      <c r="CR137" s="146"/>
      <c r="CS137" s="146"/>
      <c r="CT137" s="146"/>
      <c r="CU137" s="146"/>
      <c r="CV137" s="146"/>
      <c r="CW137" s="146"/>
      <c r="CX137" s="146"/>
      <c r="CY137" s="146"/>
      <c r="CZ137" s="146"/>
      <c r="DA137" s="146"/>
      <c r="DB137" s="146"/>
      <c r="DC137" s="146"/>
      <c r="DD137" s="146"/>
      <c r="DE137" s="146"/>
      <c r="DF137" s="146"/>
      <c r="DG137" s="146"/>
      <c r="DH137" s="146"/>
      <c r="DI137" s="146"/>
      <c r="DJ137" s="146"/>
      <c r="DK137" s="146"/>
      <c r="DL137" s="146"/>
      <c r="DM137" s="146"/>
      <c r="DN137" s="146"/>
      <c r="DO137" s="146"/>
      <c r="DP137" s="146"/>
      <c r="DQ137" s="146"/>
      <c r="DR137" s="146"/>
      <c r="DS137" s="146"/>
      <c r="DT137" s="146"/>
      <c r="DU137" s="146"/>
      <c r="DV137" s="146"/>
      <c r="DW137" s="146"/>
      <c r="DX137" s="146"/>
      <c r="DY137" s="146"/>
      <c r="DZ137" s="146"/>
      <c r="EA137" s="146"/>
      <c r="EB137" s="146"/>
      <c r="EC137" s="146"/>
      <c r="ED137" s="146"/>
      <c r="EE137" s="146"/>
      <c r="EF137" s="146"/>
      <c r="EG137" s="146"/>
      <c r="EH137" s="146"/>
      <c r="EI137" s="146"/>
      <c r="EJ137" s="146"/>
      <c r="EK137" s="146"/>
      <c r="EL137" s="146"/>
      <c r="EM137" s="146"/>
      <c r="EN137" s="146"/>
      <c r="EO137" s="146"/>
      <c r="EP137" s="146"/>
      <c r="EQ137" s="146"/>
      <c r="ER137" s="146"/>
      <c r="ES137" s="146"/>
      <c r="ET137" s="146"/>
      <c r="EU137" s="146"/>
      <c r="EV137" s="146"/>
      <c r="EW137" s="146"/>
      <c r="EX137" s="146"/>
      <c r="EY137" s="146"/>
      <c r="EZ137" s="146"/>
      <c r="FA137" s="146"/>
      <c r="FB137" s="146"/>
      <c r="FC137" s="146"/>
      <c r="FD137" s="146"/>
      <c r="FE137" s="146"/>
      <c r="FF137" s="146"/>
      <c r="FG137" s="146"/>
      <c r="FH137" s="146"/>
      <c r="FI137" s="146"/>
      <c r="FJ137" s="146"/>
      <c r="FK137" s="146"/>
      <c r="FL137" s="146"/>
      <c r="FM137" s="146"/>
      <c r="FN137" s="146"/>
      <c r="FO137" s="146"/>
      <c r="FP137" s="146"/>
      <c r="FQ137" s="146"/>
      <c r="FR137" s="146"/>
      <c r="FS137" s="146"/>
      <c r="FT137" s="146"/>
      <c r="FU137" s="146"/>
      <c r="FV137" s="146"/>
      <c r="FW137" s="146"/>
      <c r="FX137" s="146"/>
      <c r="FY137" s="146"/>
      <c r="FZ137" s="146"/>
      <c r="GA137" s="146"/>
      <c r="GB137" s="146"/>
      <c r="GC137" s="146"/>
      <c r="GD137" s="146"/>
      <c r="GE137" s="146"/>
      <c r="GF137" s="146"/>
      <c r="GG137" s="146"/>
      <c r="GH137" s="146"/>
      <c r="GI137" s="146"/>
      <c r="GJ137" s="146"/>
      <c r="GK137" s="146"/>
      <c r="GL137" s="146"/>
      <c r="GM137" s="146"/>
      <c r="GN137" s="146"/>
      <c r="GO137" s="146"/>
      <c r="GP137" s="146"/>
      <c r="GQ137" s="146"/>
      <c r="GR137" s="146"/>
      <c r="GS137" s="146"/>
      <c r="GT137" s="146"/>
      <c r="GU137" s="146"/>
      <c r="GV137" s="146"/>
      <c r="GW137" s="146"/>
      <c r="GX137" s="146"/>
      <c r="GY137" s="146"/>
      <c r="GZ137" s="146"/>
      <c r="HA137" s="146"/>
      <c r="HB137" s="146"/>
      <c r="HC137" s="146"/>
      <c r="HD137" s="146"/>
      <c r="HE137" s="146"/>
      <c r="HF137" s="146"/>
      <c r="HG137" s="146"/>
      <c r="HH137" s="146"/>
      <c r="HI137" s="146"/>
      <c r="HJ137" s="146"/>
      <c r="HK137" s="146"/>
      <c r="HL137" s="146"/>
      <c r="HM137" s="146"/>
      <c r="HN137" s="146"/>
      <c r="HO137" s="146"/>
      <c r="HP137" s="146"/>
      <c r="HQ137" s="146"/>
      <c r="HR137" s="146"/>
      <c r="HS137" s="146"/>
      <c r="HT137" s="146"/>
      <c r="HU137" s="146"/>
      <c r="HV137" s="146"/>
      <c r="HW137" s="146"/>
      <c r="HX137" s="146"/>
      <c r="HY137" s="146"/>
      <c r="HZ137" s="146"/>
      <c r="IA137" s="146"/>
    </row>
    <row r="138" spans="1:235" s="153" customFormat="1" ht="57" x14ac:dyDescent="0.25">
      <c r="A138" s="197">
        <v>12000</v>
      </c>
      <c r="B138" s="194" t="s">
        <v>30</v>
      </c>
      <c r="C138" s="198" t="s">
        <v>131</v>
      </c>
      <c r="D138" s="194" t="s">
        <v>153</v>
      </c>
      <c r="E138" s="198" t="s">
        <v>132</v>
      </c>
      <c r="F138" s="194" t="s">
        <v>133</v>
      </c>
      <c r="G138" s="209" t="s">
        <v>124</v>
      </c>
      <c r="H138" s="198">
        <v>4</v>
      </c>
      <c r="I138" s="198" t="s">
        <v>143</v>
      </c>
      <c r="J138" s="194" t="s">
        <v>24</v>
      </c>
      <c r="K138" s="210">
        <v>0</v>
      </c>
      <c r="L138" s="211">
        <v>1</v>
      </c>
      <c r="M138" s="194" t="s">
        <v>51</v>
      </c>
      <c r="N138" s="194" t="s">
        <v>68</v>
      </c>
      <c r="O138" s="194" t="s">
        <v>21</v>
      </c>
      <c r="P138" s="194" t="s">
        <v>36</v>
      </c>
      <c r="Q138" s="194" t="s">
        <v>75</v>
      </c>
      <c r="R138" s="194" t="s">
        <v>631</v>
      </c>
      <c r="S138" s="194" t="s">
        <v>98</v>
      </c>
      <c r="T138" s="221">
        <v>4</v>
      </c>
      <c r="U138" s="212" t="str">
        <f t="shared" si="41"/>
        <v>Reportar el cumplimiento del Plan de Acción de la Dependencia</v>
      </c>
      <c r="V138" s="213">
        <f t="shared" si="41"/>
        <v>0</v>
      </c>
      <c r="W138" s="214" t="s">
        <v>117</v>
      </c>
      <c r="X138" s="215">
        <v>1</v>
      </c>
      <c r="Y138" s="214" t="s">
        <v>24</v>
      </c>
      <c r="Z138" s="210">
        <v>0</v>
      </c>
      <c r="AA138" s="196"/>
      <c r="AB138" s="196"/>
      <c r="AC138" s="204">
        <f t="shared" si="42"/>
        <v>0</v>
      </c>
      <c r="AD138" s="204" t="e">
        <f t="shared" si="43"/>
        <v>#DIV/0!</v>
      </c>
      <c r="AE138" s="204">
        <f t="shared" si="29"/>
        <v>0</v>
      </c>
      <c r="AF138" s="204" t="e">
        <f t="shared" si="30"/>
        <v>#DIV/0!</v>
      </c>
      <c r="AG138" s="215">
        <v>1</v>
      </c>
      <c r="AH138" s="214" t="s">
        <v>24</v>
      </c>
      <c r="AI138" s="210">
        <v>0</v>
      </c>
      <c r="AJ138" s="196"/>
      <c r="AK138" s="196"/>
      <c r="AL138" s="204">
        <f t="shared" si="44"/>
        <v>0</v>
      </c>
      <c r="AM138" s="204" t="e">
        <f t="shared" si="31"/>
        <v>#DIV/0!</v>
      </c>
      <c r="AN138" s="204">
        <f t="shared" si="32"/>
        <v>0</v>
      </c>
      <c r="AO138" s="204" t="e">
        <f t="shared" si="33"/>
        <v>#DIV/0!</v>
      </c>
      <c r="AP138" s="215">
        <v>1</v>
      </c>
      <c r="AQ138" s="214" t="s">
        <v>24</v>
      </c>
      <c r="AR138" s="210">
        <v>0</v>
      </c>
      <c r="AS138" s="196"/>
      <c r="AT138" s="196"/>
      <c r="AU138" s="204">
        <f t="shared" si="45"/>
        <v>0</v>
      </c>
      <c r="AV138" s="204" t="e">
        <f t="shared" si="46"/>
        <v>#DIV/0!</v>
      </c>
      <c r="AW138" s="204">
        <f t="shared" si="47"/>
        <v>0</v>
      </c>
      <c r="AX138" s="204" t="e">
        <f t="shared" si="48"/>
        <v>#DIV/0!</v>
      </c>
      <c r="AY138" s="215">
        <v>1</v>
      </c>
      <c r="AZ138" s="214" t="s">
        <v>24</v>
      </c>
      <c r="BA138" s="210">
        <v>0</v>
      </c>
      <c r="BB138" s="196"/>
      <c r="BC138" s="196"/>
      <c r="BD138" s="216">
        <f t="shared" si="49"/>
        <v>0</v>
      </c>
      <c r="BE138" s="216" t="e">
        <f t="shared" si="50"/>
        <v>#DIV/0!</v>
      </c>
      <c r="BF138" s="216">
        <f t="shared" si="51"/>
        <v>0</v>
      </c>
      <c r="BG138" s="216" t="e">
        <f t="shared" si="52"/>
        <v>#DIV/0!</v>
      </c>
      <c r="BH138" s="217">
        <f t="shared" si="34"/>
        <v>0</v>
      </c>
      <c r="BI138" s="217" t="str">
        <f t="shared" si="35"/>
        <v>No Prog ni Ejec</v>
      </c>
      <c r="BJ138" s="217">
        <f t="shared" si="36"/>
        <v>0</v>
      </c>
      <c r="BK138" s="217" t="str">
        <f t="shared" si="37"/>
        <v>No Prog ni Ejec</v>
      </c>
      <c r="BL138" s="217">
        <f t="shared" si="53"/>
        <v>0</v>
      </c>
      <c r="BM138" s="217" t="str">
        <f t="shared" si="54"/>
        <v>No Prog ni Ejec</v>
      </c>
      <c r="BN138" s="217">
        <f t="shared" si="38"/>
        <v>0</v>
      </c>
      <c r="BO138" s="217" t="str">
        <f t="shared" si="39"/>
        <v>No Prog ni Ejec</v>
      </c>
      <c r="BP138" s="206"/>
      <c r="BQ138" s="277">
        <v>5</v>
      </c>
      <c r="BR138" s="218">
        <f t="shared" si="40"/>
        <v>2.3333333333333335</v>
      </c>
      <c r="BS138" s="219" t="str">
        <f t="shared" si="55"/>
        <v>Reportar el cumplimiento del Plan de Acción de la Dependencia</v>
      </c>
      <c r="BT138" s="195">
        <f t="shared" ref="BT138:BT150" si="56">+(Z138+AI138+(AR138/3))</f>
        <v>0</v>
      </c>
      <c r="BU138" s="196"/>
      <c r="BV138" s="196"/>
      <c r="BW138" s="196"/>
      <c r="BX138" s="196"/>
      <c r="BY138" s="196"/>
      <c r="BZ138" s="196"/>
      <c r="CA138" s="146"/>
      <c r="CB138" s="146"/>
      <c r="CC138" s="146"/>
      <c r="CD138" s="146"/>
      <c r="CE138" s="146"/>
      <c r="CF138" s="146"/>
      <c r="CG138" s="146"/>
      <c r="CH138" s="146"/>
      <c r="CI138" s="146"/>
      <c r="CJ138" s="146"/>
      <c r="CK138" s="146"/>
      <c r="CL138" s="146"/>
      <c r="CM138" s="146"/>
      <c r="CN138" s="146"/>
      <c r="CO138" s="146"/>
      <c r="CP138" s="146"/>
      <c r="CQ138" s="146"/>
      <c r="CR138" s="146"/>
      <c r="CS138" s="146"/>
      <c r="CT138" s="146"/>
      <c r="CU138" s="146"/>
      <c r="CV138" s="146"/>
      <c r="CW138" s="146"/>
      <c r="CX138" s="146"/>
      <c r="CY138" s="146"/>
      <c r="CZ138" s="146"/>
      <c r="DA138" s="146"/>
      <c r="DB138" s="146"/>
      <c r="DC138" s="146"/>
      <c r="DD138" s="146"/>
      <c r="DE138" s="146"/>
      <c r="DF138" s="146"/>
      <c r="DG138" s="146"/>
      <c r="DH138" s="146"/>
      <c r="DI138" s="146"/>
      <c r="DJ138" s="146"/>
      <c r="DK138" s="146"/>
      <c r="DL138" s="146"/>
      <c r="DM138" s="146"/>
      <c r="DN138" s="146"/>
      <c r="DO138" s="146"/>
      <c r="DP138" s="146"/>
      <c r="DQ138" s="146"/>
      <c r="DR138" s="146"/>
      <c r="DS138" s="146"/>
      <c r="DT138" s="146"/>
      <c r="DU138" s="146"/>
      <c r="DV138" s="146"/>
      <c r="DW138" s="146"/>
      <c r="DX138" s="146"/>
      <c r="DY138" s="146"/>
      <c r="DZ138" s="146"/>
      <c r="EA138" s="146"/>
      <c r="EB138" s="146"/>
      <c r="EC138" s="146"/>
      <c r="ED138" s="146"/>
      <c r="EE138" s="146"/>
      <c r="EF138" s="146"/>
      <c r="EG138" s="146"/>
      <c r="EH138" s="146"/>
      <c r="EI138" s="146"/>
      <c r="EJ138" s="146"/>
      <c r="EK138" s="146"/>
      <c r="EL138" s="146"/>
      <c r="EM138" s="146"/>
      <c r="EN138" s="146"/>
      <c r="EO138" s="146"/>
      <c r="EP138" s="146"/>
      <c r="EQ138" s="146"/>
      <c r="ER138" s="146"/>
      <c r="ES138" s="146"/>
      <c r="ET138" s="146"/>
      <c r="EU138" s="146"/>
      <c r="EV138" s="146"/>
      <c r="EW138" s="146"/>
      <c r="EX138" s="146"/>
      <c r="EY138" s="146"/>
      <c r="EZ138" s="146"/>
      <c r="FA138" s="146"/>
      <c r="FB138" s="146"/>
      <c r="FC138" s="146"/>
      <c r="FD138" s="146"/>
      <c r="FE138" s="146"/>
      <c r="FF138" s="146"/>
      <c r="FG138" s="146"/>
      <c r="FH138" s="146"/>
      <c r="FI138" s="146"/>
      <c r="FJ138" s="146"/>
      <c r="FK138" s="146"/>
      <c r="FL138" s="146"/>
      <c r="FM138" s="146"/>
      <c r="FN138" s="146"/>
      <c r="FO138" s="146"/>
      <c r="FP138" s="146"/>
      <c r="FQ138" s="146"/>
      <c r="FR138" s="146"/>
      <c r="FS138" s="146"/>
      <c r="FT138" s="146"/>
      <c r="FU138" s="146"/>
      <c r="FV138" s="146"/>
      <c r="FW138" s="146"/>
      <c r="FX138" s="146"/>
      <c r="FY138" s="146"/>
      <c r="FZ138" s="146"/>
      <c r="GA138" s="146"/>
      <c r="GB138" s="146"/>
      <c r="GC138" s="146"/>
      <c r="GD138" s="146"/>
      <c r="GE138" s="146"/>
      <c r="GF138" s="146"/>
      <c r="GG138" s="146"/>
      <c r="GH138" s="146"/>
      <c r="GI138" s="146"/>
      <c r="GJ138" s="146"/>
      <c r="GK138" s="146"/>
      <c r="GL138" s="146"/>
      <c r="GM138" s="146"/>
      <c r="GN138" s="146"/>
      <c r="GO138" s="146"/>
      <c r="GP138" s="146"/>
      <c r="GQ138" s="146"/>
      <c r="GR138" s="146"/>
      <c r="GS138" s="146"/>
      <c r="GT138" s="146"/>
      <c r="GU138" s="146"/>
      <c r="GV138" s="146"/>
      <c r="GW138" s="146"/>
      <c r="GX138" s="146"/>
      <c r="GY138" s="146"/>
      <c r="GZ138" s="146"/>
      <c r="HA138" s="146"/>
      <c r="HB138" s="146"/>
      <c r="HC138" s="146"/>
      <c r="HD138" s="146"/>
      <c r="HE138" s="146"/>
      <c r="HF138" s="146"/>
      <c r="HG138" s="146"/>
      <c r="HH138" s="146"/>
      <c r="HI138" s="146"/>
      <c r="HJ138" s="146"/>
      <c r="HK138" s="146"/>
      <c r="HL138" s="146"/>
      <c r="HM138" s="146"/>
      <c r="HN138" s="146"/>
      <c r="HO138" s="146"/>
      <c r="HP138" s="146"/>
      <c r="HQ138" s="146"/>
      <c r="HR138" s="146"/>
      <c r="HS138" s="146"/>
      <c r="HT138" s="146"/>
      <c r="HU138" s="146"/>
      <c r="HV138" s="146"/>
      <c r="HW138" s="146"/>
      <c r="HX138" s="146"/>
      <c r="HY138" s="146"/>
      <c r="HZ138" s="146"/>
      <c r="IA138" s="146"/>
    </row>
    <row r="139" spans="1:235" s="154" customFormat="1" ht="99.75" x14ac:dyDescent="0.25">
      <c r="A139" s="197">
        <v>12000</v>
      </c>
      <c r="B139" s="194" t="s">
        <v>30</v>
      </c>
      <c r="C139" s="198" t="s">
        <v>355</v>
      </c>
      <c r="D139" s="194" t="s">
        <v>256</v>
      </c>
      <c r="E139" s="198" t="s">
        <v>356</v>
      </c>
      <c r="F139" s="194" t="s">
        <v>134</v>
      </c>
      <c r="G139" s="209" t="s">
        <v>124</v>
      </c>
      <c r="H139" s="198">
        <v>4</v>
      </c>
      <c r="I139" s="198" t="s">
        <v>539</v>
      </c>
      <c r="J139" s="194" t="s">
        <v>683</v>
      </c>
      <c r="K139" s="210">
        <v>0</v>
      </c>
      <c r="L139" s="211">
        <v>1</v>
      </c>
      <c r="M139" s="194" t="s">
        <v>51</v>
      </c>
      <c r="N139" s="194" t="s">
        <v>68</v>
      </c>
      <c r="O139" s="194" t="s">
        <v>21</v>
      </c>
      <c r="P139" s="194" t="s">
        <v>36</v>
      </c>
      <c r="Q139" s="194" t="s">
        <v>75</v>
      </c>
      <c r="R139" s="194" t="s">
        <v>628</v>
      </c>
      <c r="S139" s="194" t="s">
        <v>98</v>
      </c>
      <c r="T139" s="221">
        <v>4</v>
      </c>
      <c r="U139" s="212" t="str">
        <f t="shared" si="41"/>
        <v xml:space="preserve">Reportar el cumplimiento de la ejecución del Plan de Acción </v>
      </c>
      <c r="V139" s="213">
        <f t="shared" si="41"/>
        <v>0</v>
      </c>
      <c r="W139" s="214" t="s">
        <v>117</v>
      </c>
      <c r="X139" s="215">
        <v>1</v>
      </c>
      <c r="Y139" s="214" t="s">
        <v>683</v>
      </c>
      <c r="Z139" s="210">
        <v>0</v>
      </c>
      <c r="AA139" s="196"/>
      <c r="AB139" s="196"/>
      <c r="AC139" s="204">
        <f t="shared" si="42"/>
        <v>0</v>
      </c>
      <c r="AD139" s="204" t="e">
        <f t="shared" si="43"/>
        <v>#DIV/0!</v>
      </c>
      <c r="AE139" s="204">
        <f t="shared" si="29"/>
        <v>0</v>
      </c>
      <c r="AF139" s="204" t="e">
        <f t="shared" si="30"/>
        <v>#DIV/0!</v>
      </c>
      <c r="AG139" s="215">
        <v>1</v>
      </c>
      <c r="AH139" s="214" t="s">
        <v>683</v>
      </c>
      <c r="AI139" s="210">
        <v>0</v>
      </c>
      <c r="AJ139" s="196"/>
      <c r="AK139" s="196"/>
      <c r="AL139" s="204">
        <f t="shared" si="44"/>
        <v>0</v>
      </c>
      <c r="AM139" s="204" t="e">
        <f t="shared" si="31"/>
        <v>#DIV/0!</v>
      </c>
      <c r="AN139" s="204">
        <f t="shared" si="32"/>
        <v>0</v>
      </c>
      <c r="AO139" s="204" t="e">
        <f t="shared" si="33"/>
        <v>#DIV/0!</v>
      </c>
      <c r="AP139" s="215">
        <v>1</v>
      </c>
      <c r="AQ139" s="214" t="s">
        <v>683</v>
      </c>
      <c r="AR139" s="210">
        <v>0</v>
      </c>
      <c r="AS139" s="196"/>
      <c r="AT139" s="196"/>
      <c r="AU139" s="204">
        <f t="shared" si="45"/>
        <v>0</v>
      </c>
      <c r="AV139" s="204" t="e">
        <f t="shared" si="46"/>
        <v>#DIV/0!</v>
      </c>
      <c r="AW139" s="204">
        <f t="shared" si="47"/>
        <v>0</v>
      </c>
      <c r="AX139" s="204" t="e">
        <f t="shared" si="48"/>
        <v>#DIV/0!</v>
      </c>
      <c r="AY139" s="215">
        <v>1</v>
      </c>
      <c r="AZ139" s="214" t="s">
        <v>683</v>
      </c>
      <c r="BA139" s="210">
        <v>0</v>
      </c>
      <c r="BB139" s="196"/>
      <c r="BC139" s="196"/>
      <c r="BD139" s="216">
        <f t="shared" si="49"/>
        <v>0</v>
      </c>
      <c r="BE139" s="216" t="e">
        <f t="shared" si="50"/>
        <v>#DIV/0!</v>
      </c>
      <c r="BF139" s="216">
        <f t="shared" si="51"/>
        <v>0</v>
      </c>
      <c r="BG139" s="216" t="e">
        <f t="shared" si="52"/>
        <v>#DIV/0!</v>
      </c>
      <c r="BH139" s="207">
        <f t="shared" si="34"/>
        <v>0</v>
      </c>
      <c r="BI139" s="207" t="str">
        <f t="shared" si="35"/>
        <v>No Prog ni Ejec</v>
      </c>
      <c r="BJ139" s="207">
        <f t="shared" si="36"/>
        <v>0</v>
      </c>
      <c r="BK139" s="207" t="str">
        <f t="shared" si="37"/>
        <v>No Prog ni Ejec</v>
      </c>
      <c r="BL139" s="207">
        <f t="shared" si="53"/>
        <v>0</v>
      </c>
      <c r="BM139" s="207" t="str">
        <f t="shared" si="54"/>
        <v>No Prog ni Ejec</v>
      </c>
      <c r="BN139" s="207">
        <f t="shared" si="38"/>
        <v>0</v>
      </c>
      <c r="BO139" s="207" t="str">
        <f t="shared" si="39"/>
        <v>No Prog ni Ejec</v>
      </c>
      <c r="BP139" s="206"/>
      <c r="BQ139" s="277">
        <v>5</v>
      </c>
      <c r="BR139" s="218">
        <f t="shared" ref="BR139:BR150" si="57">+(X139+AG139+(AP139/3))</f>
        <v>2.3333333333333335</v>
      </c>
      <c r="BS139" s="219" t="str">
        <f t="shared" si="55"/>
        <v xml:space="preserve">Reportar el cumplimiento de la ejecución del Plan de Acción </v>
      </c>
      <c r="BT139" s="195">
        <f t="shared" si="56"/>
        <v>0</v>
      </c>
      <c r="BU139" s="196"/>
      <c r="BV139" s="196"/>
      <c r="BW139" s="196"/>
      <c r="BX139" s="196"/>
      <c r="BY139" s="196"/>
      <c r="BZ139" s="196"/>
      <c r="CA139" s="146"/>
      <c r="CB139" s="146"/>
      <c r="CC139" s="146"/>
      <c r="CD139" s="146"/>
      <c r="CE139" s="146"/>
      <c r="CF139" s="146"/>
      <c r="CG139" s="146"/>
      <c r="CH139" s="146"/>
      <c r="CI139" s="146"/>
      <c r="CJ139" s="146"/>
      <c r="CK139" s="146"/>
      <c r="CL139" s="146"/>
      <c r="CM139" s="146"/>
      <c r="CN139" s="146"/>
      <c r="CO139" s="146"/>
      <c r="CP139" s="146"/>
      <c r="CQ139" s="146"/>
      <c r="CR139" s="146"/>
      <c r="CS139" s="146"/>
      <c r="CT139" s="146"/>
      <c r="CU139" s="146"/>
      <c r="CV139" s="146"/>
      <c r="CW139" s="146"/>
      <c r="CX139" s="146"/>
      <c r="CY139" s="146"/>
      <c r="CZ139" s="146"/>
      <c r="DA139" s="146"/>
      <c r="DB139" s="146"/>
      <c r="DC139" s="146"/>
      <c r="DD139" s="146"/>
      <c r="DE139" s="146"/>
      <c r="DF139" s="146"/>
      <c r="DG139" s="146"/>
      <c r="DH139" s="146"/>
      <c r="DI139" s="146"/>
      <c r="DJ139" s="146"/>
      <c r="DK139" s="146"/>
      <c r="DL139" s="146"/>
      <c r="DM139" s="146"/>
      <c r="DN139" s="146"/>
      <c r="DO139" s="146"/>
      <c r="DP139" s="146"/>
      <c r="DQ139" s="146"/>
      <c r="DR139" s="146"/>
      <c r="DS139" s="146"/>
      <c r="DT139" s="146"/>
      <c r="DU139" s="146"/>
      <c r="DV139" s="146"/>
      <c r="DW139" s="146"/>
      <c r="DX139" s="146"/>
      <c r="DY139" s="146"/>
      <c r="DZ139" s="146"/>
      <c r="EA139" s="146"/>
      <c r="EB139" s="146"/>
      <c r="EC139" s="146"/>
      <c r="ED139" s="146"/>
      <c r="EE139" s="146"/>
      <c r="EF139" s="146"/>
      <c r="EG139" s="146"/>
      <c r="EH139" s="146"/>
      <c r="EI139" s="146"/>
      <c r="EJ139" s="146"/>
      <c r="EK139" s="146"/>
      <c r="EL139" s="146"/>
      <c r="EM139" s="146"/>
      <c r="EN139" s="146"/>
      <c r="EO139" s="146"/>
      <c r="EP139" s="146"/>
      <c r="EQ139" s="146"/>
      <c r="ER139" s="146"/>
      <c r="ES139" s="146"/>
      <c r="ET139" s="146"/>
      <c r="EU139" s="146"/>
      <c r="EV139" s="146"/>
      <c r="EW139" s="146"/>
      <c r="EX139" s="146"/>
      <c r="EY139" s="146"/>
      <c r="EZ139" s="146"/>
      <c r="FA139" s="146"/>
      <c r="FB139" s="146"/>
      <c r="FC139" s="146"/>
      <c r="FD139" s="146"/>
      <c r="FE139" s="146"/>
      <c r="FF139" s="146"/>
      <c r="FG139" s="146"/>
      <c r="FH139" s="146"/>
      <c r="FI139" s="146"/>
      <c r="FJ139" s="146"/>
      <c r="FK139" s="146"/>
      <c r="FL139" s="146"/>
      <c r="FM139" s="146"/>
      <c r="FN139" s="146"/>
      <c r="FO139" s="146"/>
      <c r="FP139" s="146"/>
      <c r="FQ139" s="146"/>
      <c r="FR139" s="146"/>
      <c r="FS139" s="146"/>
      <c r="FT139" s="146"/>
      <c r="FU139" s="146"/>
      <c r="FV139" s="146"/>
      <c r="FW139" s="146"/>
      <c r="FX139" s="146"/>
      <c r="FY139" s="146"/>
      <c r="FZ139" s="146"/>
      <c r="GA139" s="146"/>
      <c r="GB139" s="146"/>
      <c r="GC139" s="146"/>
      <c r="GD139" s="146"/>
      <c r="GE139" s="146"/>
      <c r="GF139" s="146"/>
      <c r="GG139" s="146"/>
      <c r="GH139" s="146"/>
      <c r="GI139" s="146"/>
      <c r="GJ139" s="146"/>
      <c r="GK139" s="146"/>
      <c r="GL139" s="146"/>
      <c r="GM139" s="146"/>
      <c r="GN139" s="146"/>
      <c r="GO139" s="146"/>
      <c r="GP139" s="146"/>
      <c r="GQ139" s="146"/>
      <c r="GR139" s="146"/>
      <c r="GS139" s="146"/>
      <c r="GT139" s="146"/>
      <c r="GU139" s="146"/>
      <c r="GV139" s="146"/>
      <c r="GW139" s="146"/>
      <c r="GX139" s="146"/>
      <c r="GY139" s="146"/>
      <c r="GZ139" s="146"/>
      <c r="HA139" s="146"/>
      <c r="HB139" s="146"/>
      <c r="HC139" s="146"/>
      <c r="HD139" s="146"/>
      <c r="HE139" s="146"/>
      <c r="HF139" s="146"/>
      <c r="HG139" s="146"/>
      <c r="HH139" s="146"/>
      <c r="HI139" s="146"/>
      <c r="HJ139" s="146"/>
      <c r="HK139" s="146"/>
      <c r="HL139" s="146"/>
      <c r="HM139" s="146"/>
      <c r="HN139" s="146"/>
      <c r="HO139" s="146"/>
      <c r="HP139" s="146"/>
      <c r="HQ139" s="146"/>
      <c r="HR139" s="146"/>
      <c r="HS139" s="146"/>
      <c r="HT139" s="146"/>
      <c r="HU139" s="146"/>
      <c r="HV139" s="146"/>
      <c r="HW139" s="146"/>
      <c r="HX139" s="146"/>
      <c r="HY139" s="146"/>
      <c r="HZ139" s="146"/>
      <c r="IA139" s="146"/>
    </row>
    <row r="140" spans="1:235" s="154" customFormat="1" ht="99.75" x14ac:dyDescent="0.25">
      <c r="A140" s="197">
        <v>12000</v>
      </c>
      <c r="B140" s="194" t="s">
        <v>30</v>
      </c>
      <c r="C140" s="198" t="s">
        <v>355</v>
      </c>
      <c r="D140" s="194" t="s">
        <v>256</v>
      </c>
      <c r="E140" s="198" t="s">
        <v>540</v>
      </c>
      <c r="F140" s="194" t="s">
        <v>136</v>
      </c>
      <c r="G140" s="209" t="s">
        <v>123</v>
      </c>
      <c r="H140" s="216">
        <v>1</v>
      </c>
      <c r="I140" s="198" t="s">
        <v>541</v>
      </c>
      <c r="J140" s="194" t="s">
        <v>135</v>
      </c>
      <c r="K140" s="210">
        <v>61642068</v>
      </c>
      <c r="L140" s="211">
        <v>1</v>
      </c>
      <c r="M140" s="194" t="s">
        <v>51</v>
      </c>
      <c r="N140" s="194" t="s">
        <v>68</v>
      </c>
      <c r="O140" s="194" t="s">
        <v>21</v>
      </c>
      <c r="P140" s="194" t="s">
        <v>36</v>
      </c>
      <c r="Q140" s="194" t="s">
        <v>75</v>
      </c>
      <c r="R140" s="194" t="s">
        <v>182</v>
      </c>
      <c r="S140" s="194" t="s">
        <v>99</v>
      </c>
      <c r="T140" s="216">
        <v>1</v>
      </c>
      <c r="U140" s="212" t="str">
        <f t="shared" si="41"/>
        <v>Asesorar y apoyar en la implementación de MIPG</v>
      </c>
      <c r="V140" s="213">
        <f t="shared" si="41"/>
        <v>61642068</v>
      </c>
      <c r="W140" s="222" t="s">
        <v>114</v>
      </c>
      <c r="X140" s="216">
        <v>0.25</v>
      </c>
      <c r="Y140" s="214" t="s">
        <v>135</v>
      </c>
      <c r="Z140" s="210">
        <v>15410517</v>
      </c>
      <c r="AA140" s="196"/>
      <c r="AB140" s="196"/>
      <c r="AC140" s="204">
        <f t="shared" si="42"/>
        <v>0</v>
      </c>
      <c r="AD140" s="204">
        <f t="shared" si="43"/>
        <v>0</v>
      </c>
      <c r="AE140" s="204">
        <f t="shared" si="29"/>
        <v>0</v>
      </c>
      <c r="AF140" s="204">
        <f t="shared" si="30"/>
        <v>0</v>
      </c>
      <c r="AG140" s="216">
        <v>0.25</v>
      </c>
      <c r="AH140" s="214" t="s">
        <v>135</v>
      </c>
      <c r="AI140" s="210">
        <v>15410517</v>
      </c>
      <c r="AJ140" s="196"/>
      <c r="AK140" s="196"/>
      <c r="AL140" s="204">
        <f t="shared" si="44"/>
        <v>0</v>
      </c>
      <c r="AM140" s="204">
        <f t="shared" si="31"/>
        <v>0</v>
      </c>
      <c r="AN140" s="204">
        <f t="shared" si="32"/>
        <v>0</v>
      </c>
      <c r="AO140" s="204">
        <f t="shared" si="33"/>
        <v>0</v>
      </c>
      <c r="AP140" s="216">
        <v>0.25</v>
      </c>
      <c r="AQ140" s="214" t="s">
        <v>135</v>
      </c>
      <c r="AR140" s="210">
        <v>15410517</v>
      </c>
      <c r="AS140" s="196"/>
      <c r="AT140" s="196"/>
      <c r="AU140" s="204">
        <f t="shared" si="45"/>
        <v>0</v>
      </c>
      <c r="AV140" s="204">
        <f t="shared" si="46"/>
        <v>0</v>
      </c>
      <c r="AW140" s="204">
        <f t="shared" si="47"/>
        <v>0</v>
      </c>
      <c r="AX140" s="204">
        <f t="shared" si="48"/>
        <v>0</v>
      </c>
      <c r="AY140" s="216">
        <v>0.25</v>
      </c>
      <c r="AZ140" s="214" t="s">
        <v>135</v>
      </c>
      <c r="BA140" s="210">
        <v>15410517</v>
      </c>
      <c r="BB140" s="196"/>
      <c r="BC140" s="196"/>
      <c r="BD140" s="216">
        <f t="shared" si="49"/>
        <v>0</v>
      </c>
      <c r="BE140" s="216">
        <f t="shared" si="50"/>
        <v>0</v>
      </c>
      <c r="BF140" s="216">
        <f t="shared" si="51"/>
        <v>0</v>
      </c>
      <c r="BG140" s="216">
        <f t="shared" si="52"/>
        <v>0</v>
      </c>
      <c r="BH140" s="207">
        <f t="shared" si="34"/>
        <v>0</v>
      </c>
      <c r="BI140" s="207">
        <f t="shared" si="35"/>
        <v>0</v>
      </c>
      <c r="BJ140" s="207">
        <f t="shared" si="36"/>
        <v>0</v>
      </c>
      <c r="BK140" s="207">
        <f t="shared" si="37"/>
        <v>0</v>
      </c>
      <c r="BL140" s="207">
        <f t="shared" si="53"/>
        <v>0</v>
      </c>
      <c r="BM140" s="207">
        <f t="shared" si="54"/>
        <v>0</v>
      </c>
      <c r="BN140" s="207">
        <f t="shared" si="38"/>
        <v>0</v>
      </c>
      <c r="BO140" s="207">
        <f t="shared" si="39"/>
        <v>0</v>
      </c>
      <c r="BP140" s="206"/>
      <c r="BQ140" s="277">
        <v>5</v>
      </c>
      <c r="BR140" s="208">
        <f t="shared" si="57"/>
        <v>0.58333333333333337</v>
      </c>
      <c r="BS140" s="219" t="str">
        <f t="shared" si="55"/>
        <v>Asesorar y apoyar en la implementación de MIPG</v>
      </c>
      <c r="BT140" s="195">
        <f t="shared" si="56"/>
        <v>35957873</v>
      </c>
      <c r="BU140" s="196"/>
      <c r="BV140" s="196"/>
      <c r="BW140" s="196"/>
      <c r="BX140" s="196"/>
      <c r="BY140" s="196"/>
      <c r="BZ140" s="196"/>
      <c r="CA140" s="146"/>
      <c r="CB140" s="146"/>
      <c r="CC140" s="146"/>
      <c r="CD140" s="146"/>
      <c r="CE140" s="146"/>
      <c r="CF140" s="146"/>
      <c r="CG140" s="146"/>
      <c r="CH140" s="146"/>
      <c r="CI140" s="146"/>
      <c r="CJ140" s="146"/>
      <c r="CK140" s="146"/>
      <c r="CL140" s="146"/>
      <c r="CM140" s="146"/>
      <c r="CN140" s="146"/>
      <c r="CO140" s="146"/>
      <c r="CP140" s="146"/>
      <c r="CQ140" s="146"/>
      <c r="CR140" s="146"/>
      <c r="CS140" s="146"/>
      <c r="CT140" s="146"/>
      <c r="CU140" s="146"/>
      <c r="CV140" s="146"/>
      <c r="CW140" s="146"/>
      <c r="CX140" s="146"/>
      <c r="CY140" s="146"/>
      <c r="CZ140" s="146"/>
      <c r="DA140" s="146"/>
      <c r="DB140" s="146"/>
      <c r="DC140" s="146"/>
      <c r="DD140" s="146"/>
      <c r="DE140" s="146"/>
      <c r="DF140" s="146"/>
      <c r="DG140" s="146"/>
      <c r="DH140" s="146"/>
      <c r="DI140" s="146"/>
      <c r="DJ140" s="146"/>
      <c r="DK140" s="146"/>
      <c r="DL140" s="146"/>
      <c r="DM140" s="146"/>
      <c r="DN140" s="146"/>
      <c r="DO140" s="146"/>
      <c r="DP140" s="146"/>
      <c r="DQ140" s="146"/>
      <c r="DR140" s="146"/>
      <c r="DS140" s="146"/>
      <c r="DT140" s="146"/>
      <c r="DU140" s="146"/>
      <c r="DV140" s="146"/>
      <c r="DW140" s="146"/>
      <c r="DX140" s="146"/>
      <c r="DY140" s="146"/>
      <c r="DZ140" s="146"/>
      <c r="EA140" s="146"/>
      <c r="EB140" s="146"/>
      <c r="EC140" s="146"/>
      <c r="ED140" s="146"/>
      <c r="EE140" s="146"/>
      <c r="EF140" s="146"/>
      <c r="EG140" s="146"/>
      <c r="EH140" s="146"/>
      <c r="EI140" s="146"/>
      <c r="EJ140" s="146"/>
      <c r="EK140" s="146"/>
      <c r="EL140" s="146"/>
      <c r="EM140" s="146"/>
      <c r="EN140" s="146"/>
      <c r="EO140" s="146"/>
      <c r="EP140" s="146"/>
      <c r="EQ140" s="146"/>
      <c r="ER140" s="146"/>
      <c r="ES140" s="146"/>
      <c r="ET140" s="146"/>
      <c r="EU140" s="146"/>
      <c r="EV140" s="146"/>
      <c r="EW140" s="146"/>
      <c r="EX140" s="146"/>
      <c r="EY140" s="146"/>
      <c r="EZ140" s="146"/>
      <c r="FA140" s="146"/>
      <c r="FB140" s="146"/>
      <c r="FC140" s="146"/>
      <c r="FD140" s="146"/>
      <c r="FE140" s="146"/>
      <c r="FF140" s="146"/>
      <c r="FG140" s="146"/>
      <c r="FH140" s="146"/>
      <c r="FI140" s="146"/>
      <c r="FJ140" s="146"/>
      <c r="FK140" s="146"/>
      <c r="FL140" s="146"/>
      <c r="FM140" s="146"/>
      <c r="FN140" s="146"/>
      <c r="FO140" s="146"/>
      <c r="FP140" s="146"/>
      <c r="FQ140" s="146"/>
      <c r="FR140" s="146"/>
      <c r="FS140" s="146"/>
      <c r="FT140" s="146"/>
      <c r="FU140" s="146"/>
      <c r="FV140" s="146"/>
      <c r="FW140" s="146"/>
      <c r="FX140" s="146"/>
      <c r="FY140" s="146"/>
      <c r="FZ140" s="146"/>
      <c r="GA140" s="146"/>
      <c r="GB140" s="146"/>
      <c r="GC140" s="146"/>
      <c r="GD140" s="146"/>
      <c r="GE140" s="146"/>
      <c r="GF140" s="146"/>
      <c r="GG140" s="146"/>
      <c r="GH140" s="146"/>
      <c r="GI140" s="146"/>
      <c r="GJ140" s="146"/>
      <c r="GK140" s="146"/>
      <c r="GL140" s="146"/>
      <c r="GM140" s="146"/>
      <c r="GN140" s="146"/>
      <c r="GO140" s="146"/>
      <c r="GP140" s="146"/>
      <c r="GQ140" s="146"/>
      <c r="GR140" s="146"/>
      <c r="GS140" s="146"/>
      <c r="GT140" s="146"/>
      <c r="GU140" s="146"/>
      <c r="GV140" s="146"/>
      <c r="GW140" s="146"/>
      <c r="GX140" s="146"/>
      <c r="GY140" s="146"/>
      <c r="GZ140" s="146"/>
      <c r="HA140" s="146"/>
      <c r="HB140" s="146"/>
      <c r="HC140" s="146"/>
      <c r="HD140" s="146"/>
      <c r="HE140" s="146"/>
      <c r="HF140" s="146"/>
      <c r="HG140" s="146"/>
      <c r="HH140" s="146"/>
      <c r="HI140" s="146"/>
      <c r="HJ140" s="146"/>
      <c r="HK140" s="146"/>
      <c r="HL140" s="146"/>
      <c r="HM140" s="146"/>
      <c r="HN140" s="146"/>
      <c r="HO140" s="146"/>
      <c r="HP140" s="146"/>
      <c r="HQ140" s="146"/>
      <c r="HR140" s="146"/>
      <c r="HS140" s="146"/>
      <c r="HT140" s="146"/>
      <c r="HU140" s="146"/>
      <c r="HV140" s="146"/>
      <c r="HW140" s="146"/>
      <c r="HX140" s="146"/>
      <c r="HY140" s="146"/>
      <c r="HZ140" s="146"/>
      <c r="IA140" s="146"/>
    </row>
    <row r="141" spans="1:235" s="154" customFormat="1" ht="99.75" x14ac:dyDescent="0.25">
      <c r="A141" s="197">
        <v>12000</v>
      </c>
      <c r="B141" s="194" t="s">
        <v>30</v>
      </c>
      <c r="C141" s="198" t="s">
        <v>355</v>
      </c>
      <c r="D141" s="194" t="s">
        <v>256</v>
      </c>
      <c r="E141" s="198" t="s">
        <v>542</v>
      </c>
      <c r="F141" s="194" t="s">
        <v>139</v>
      </c>
      <c r="G141" s="209" t="s">
        <v>124</v>
      </c>
      <c r="H141" s="198">
        <v>1</v>
      </c>
      <c r="I141" s="198" t="s">
        <v>543</v>
      </c>
      <c r="J141" s="194" t="s">
        <v>138</v>
      </c>
      <c r="K141" s="210">
        <v>0</v>
      </c>
      <c r="L141" s="211">
        <v>1</v>
      </c>
      <c r="M141" s="194" t="s">
        <v>48</v>
      </c>
      <c r="N141" s="194" t="s">
        <v>62</v>
      </c>
      <c r="O141" s="194" t="s">
        <v>21</v>
      </c>
      <c r="P141" s="194" t="s">
        <v>23</v>
      </c>
      <c r="Q141" s="194" t="s">
        <v>75</v>
      </c>
      <c r="R141" s="194" t="s">
        <v>628</v>
      </c>
      <c r="S141" s="194" t="s">
        <v>98</v>
      </c>
      <c r="T141" s="221">
        <v>1</v>
      </c>
      <c r="U141" s="212" t="str">
        <f t="shared" si="41"/>
        <v>Elaboración del Informe de Rendición de Cuentas al Congreso de la República 2017-2018</v>
      </c>
      <c r="V141" s="213">
        <f t="shared" si="41"/>
        <v>0</v>
      </c>
      <c r="W141" s="214" t="s">
        <v>117</v>
      </c>
      <c r="X141" s="215">
        <v>0</v>
      </c>
      <c r="Y141" s="214" t="s">
        <v>138</v>
      </c>
      <c r="Z141" s="210">
        <v>0</v>
      </c>
      <c r="AA141" s="196"/>
      <c r="AB141" s="196"/>
      <c r="AC141" s="204" t="e">
        <f t="shared" si="42"/>
        <v>#DIV/0!</v>
      </c>
      <c r="AD141" s="204" t="e">
        <f t="shared" si="43"/>
        <v>#DIV/0!</v>
      </c>
      <c r="AE141" s="204">
        <f t="shared" ref="AE141:AE150" si="58">+(AA141/T141)</f>
        <v>0</v>
      </c>
      <c r="AF141" s="204" t="e">
        <f t="shared" ref="AF141:AF150" si="59">+(AB141/V141)</f>
        <v>#DIV/0!</v>
      </c>
      <c r="AG141" s="215">
        <v>0</v>
      </c>
      <c r="AH141" s="214" t="s">
        <v>138</v>
      </c>
      <c r="AI141" s="210">
        <v>0</v>
      </c>
      <c r="AJ141" s="196"/>
      <c r="AK141" s="196"/>
      <c r="AL141" s="204" t="e">
        <f t="shared" si="44"/>
        <v>#DIV/0!</v>
      </c>
      <c r="AM141" s="204" t="e">
        <f t="shared" ref="AM141:AM150" si="60">+(AK141/AI141)</f>
        <v>#DIV/0!</v>
      </c>
      <c r="AN141" s="204">
        <f t="shared" ref="AN141:AN150" si="61">+(AJ141+AA141)/T141</f>
        <v>0</v>
      </c>
      <c r="AO141" s="204" t="e">
        <f t="shared" ref="AO141:AO150" si="62">+(AK141+AB141)/V141</f>
        <v>#DIV/0!</v>
      </c>
      <c r="AP141" s="215">
        <v>1</v>
      </c>
      <c r="AQ141" s="214" t="s">
        <v>138</v>
      </c>
      <c r="AR141" s="210">
        <v>0</v>
      </c>
      <c r="AS141" s="196"/>
      <c r="AT141" s="196"/>
      <c r="AU141" s="204">
        <f t="shared" si="45"/>
        <v>0</v>
      </c>
      <c r="AV141" s="204" t="e">
        <f t="shared" si="46"/>
        <v>#DIV/0!</v>
      </c>
      <c r="AW141" s="204">
        <f t="shared" si="47"/>
        <v>0</v>
      </c>
      <c r="AX141" s="204" t="e">
        <f t="shared" si="48"/>
        <v>#DIV/0!</v>
      </c>
      <c r="AY141" s="215">
        <v>0</v>
      </c>
      <c r="AZ141" s="214" t="s">
        <v>138</v>
      </c>
      <c r="BA141" s="210">
        <v>0</v>
      </c>
      <c r="BB141" s="196"/>
      <c r="BC141" s="196"/>
      <c r="BD141" s="216" t="e">
        <f t="shared" si="49"/>
        <v>#DIV/0!</v>
      </c>
      <c r="BE141" s="216" t="e">
        <f t="shared" si="50"/>
        <v>#DIV/0!</v>
      </c>
      <c r="BF141" s="216">
        <f t="shared" si="51"/>
        <v>0</v>
      </c>
      <c r="BG141" s="216" t="e">
        <f t="shared" si="52"/>
        <v>#DIV/0!</v>
      </c>
      <c r="BH141" s="207" t="str">
        <f t="shared" ref="BH141:BH150" si="63">IF(AND(X141=0,AA141=0),"No Prog ni Ejec",IF(X141=0,CONCATENATE("No Prog, Ejec=  ",AA141),AA141/X141))</f>
        <v>No Prog ni Ejec</v>
      </c>
      <c r="BI141" s="207" t="str">
        <f t="shared" ref="BI141:BI150" si="64">IF(AND(Z141=0,AB141=0),"No Prog ni Ejec",IF(Z141=0,CONCATENATE("No Prog, Ejec=  ",AB141),AB141/Z141))</f>
        <v>No Prog ni Ejec</v>
      </c>
      <c r="BJ141" s="207" t="str">
        <f t="shared" ref="BJ141:BJ150" si="65">IF(AND(AG141=0,AJ141=0),"No Prog ni Ejec",IF(AG141=0,CONCATENATE("No Prog, Ejec=  ",AJ141),AJ141/AG141))</f>
        <v>No Prog ni Ejec</v>
      </c>
      <c r="BK141" s="207" t="str">
        <f t="shared" ref="BK141:BK150" si="66">IF(AND(AI141=0,AK141=0),"No Prog ni Ejec",IF(AI141=0,CONCATENATE("No Prog, Ejec=  ",AK141),AK141/AI141))</f>
        <v>No Prog ni Ejec</v>
      </c>
      <c r="BL141" s="207">
        <f t="shared" si="53"/>
        <v>0</v>
      </c>
      <c r="BM141" s="207" t="str">
        <f t="shared" si="54"/>
        <v>No Prog ni Ejec</v>
      </c>
      <c r="BN141" s="207" t="str">
        <f t="shared" ref="BN141:BN150" si="67">IF(AND(AY141=0,BB141=0),"No Prog ni Ejec",IF(AY141=0,CONCATENATE("No Prog, Ejec=  ",BB141),BB141/AY141))</f>
        <v>No Prog ni Ejec</v>
      </c>
      <c r="BO141" s="207" t="str">
        <f t="shared" ref="BO141:BO150" si="68">IF(AND(BA141=0,BC141=0),"No Prog ni Ejec",IF(BA141=0,CONCATENATE("No Prog, Ejec=  ",BC141),BC141/BA141))</f>
        <v>No Prog ni Ejec</v>
      </c>
      <c r="BP141" s="206"/>
      <c r="BQ141" s="277">
        <v>5</v>
      </c>
      <c r="BR141" s="218">
        <f t="shared" si="57"/>
        <v>0.33333333333333331</v>
      </c>
      <c r="BS141" s="219" t="str">
        <f t="shared" si="55"/>
        <v>Elaboración del Informe de Rendición de Cuentas al Congreso de la República 2017-2018</v>
      </c>
      <c r="BT141" s="195">
        <f t="shared" si="56"/>
        <v>0</v>
      </c>
      <c r="BU141" s="196"/>
      <c r="BV141" s="196"/>
      <c r="BW141" s="196"/>
      <c r="BX141" s="196"/>
      <c r="BY141" s="196"/>
      <c r="BZ141" s="196"/>
      <c r="CA141" s="146"/>
      <c r="CB141" s="146"/>
      <c r="CC141" s="146"/>
      <c r="CD141" s="146"/>
      <c r="CE141" s="146"/>
      <c r="CF141" s="146"/>
      <c r="CG141" s="146"/>
      <c r="CH141" s="146"/>
      <c r="CI141" s="146"/>
      <c r="CJ141" s="146"/>
      <c r="CK141" s="146"/>
      <c r="CL141" s="146"/>
      <c r="CM141" s="146"/>
      <c r="CN141" s="146"/>
      <c r="CO141" s="146"/>
      <c r="CP141" s="146"/>
      <c r="CQ141" s="146"/>
      <c r="CR141" s="146"/>
      <c r="CS141" s="146"/>
      <c r="CT141" s="146"/>
      <c r="CU141" s="146"/>
      <c r="CV141" s="146"/>
      <c r="CW141" s="146"/>
      <c r="CX141" s="146"/>
      <c r="CY141" s="146"/>
      <c r="CZ141" s="146"/>
      <c r="DA141" s="146"/>
      <c r="DB141" s="146"/>
      <c r="DC141" s="146"/>
      <c r="DD141" s="146"/>
      <c r="DE141" s="146"/>
      <c r="DF141" s="146"/>
      <c r="DG141" s="146"/>
      <c r="DH141" s="146"/>
      <c r="DI141" s="146"/>
      <c r="DJ141" s="146"/>
      <c r="DK141" s="146"/>
      <c r="DL141" s="146"/>
      <c r="DM141" s="146"/>
      <c r="DN141" s="146"/>
      <c r="DO141" s="146"/>
      <c r="DP141" s="146"/>
      <c r="DQ141" s="146"/>
      <c r="DR141" s="146"/>
      <c r="DS141" s="146"/>
      <c r="DT141" s="146"/>
      <c r="DU141" s="146"/>
      <c r="DV141" s="146"/>
      <c r="DW141" s="146"/>
      <c r="DX141" s="146"/>
      <c r="DY141" s="146"/>
      <c r="DZ141" s="146"/>
      <c r="EA141" s="146"/>
      <c r="EB141" s="146"/>
      <c r="EC141" s="146"/>
      <c r="ED141" s="146"/>
      <c r="EE141" s="146"/>
      <c r="EF141" s="146"/>
      <c r="EG141" s="146"/>
      <c r="EH141" s="146"/>
      <c r="EI141" s="146"/>
      <c r="EJ141" s="146"/>
      <c r="EK141" s="146"/>
      <c r="EL141" s="146"/>
      <c r="EM141" s="146"/>
      <c r="EN141" s="146"/>
      <c r="EO141" s="146"/>
      <c r="EP141" s="146"/>
      <c r="EQ141" s="146"/>
      <c r="ER141" s="146"/>
      <c r="ES141" s="146"/>
      <c r="ET141" s="146"/>
      <c r="EU141" s="146"/>
      <c r="EV141" s="146"/>
      <c r="EW141" s="146"/>
      <c r="EX141" s="146"/>
      <c r="EY141" s="146"/>
      <c r="EZ141" s="146"/>
      <c r="FA141" s="146"/>
      <c r="FB141" s="146"/>
      <c r="FC141" s="146"/>
      <c r="FD141" s="146"/>
      <c r="FE141" s="146"/>
      <c r="FF141" s="146"/>
      <c r="FG141" s="146"/>
      <c r="FH141" s="146"/>
      <c r="FI141" s="146"/>
      <c r="FJ141" s="146"/>
      <c r="FK141" s="146"/>
      <c r="FL141" s="146"/>
      <c r="FM141" s="146"/>
      <c r="FN141" s="146"/>
      <c r="FO141" s="146"/>
      <c r="FP141" s="146"/>
      <c r="FQ141" s="146"/>
      <c r="FR141" s="146"/>
      <c r="FS141" s="146"/>
      <c r="FT141" s="146"/>
      <c r="FU141" s="146"/>
      <c r="FV141" s="146"/>
      <c r="FW141" s="146"/>
      <c r="FX141" s="146"/>
      <c r="FY141" s="146"/>
      <c r="FZ141" s="146"/>
      <c r="GA141" s="146"/>
      <c r="GB141" s="146"/>
      <c r="GC141" s="146"/>
      <c r="GD141" s="146"/>
      <c r="GE141" s="146"/>
      <c r="GF141" s="146"/>
      <c r="GG141" s="146"/>
      <c r="GH141" s="146"/>
      <c r="GI141" s="146"/>
      <c r="GJ141" s="146"/>
      <c r="GK141" s="146"/>
      <c r="GL141" s="146"/>
      <c r="GM141" s="146"/>
      <c r="GN141" s="146"/>
      <c r="GO141" s="146"/>
      <c r="GP141" s="146"/>
      <c r="GQ141" s="146"/>
      <c r="GR141" s="146"/>
      <c r="GS141" s="146"/>
      <c r="GT141" s="146"/>
      <c r="GU141" s="146"/>
      <c r="GV141" s="146"/>
      <c r="GW141" s="146"/>
      <c r="GX141" s="146"/>
      <c r="GY141" s="146"/>
      <c r="GZ141" s="146"/>
      <c r="HA141" s="146"/>
      <c r="HB141" s="146"/>
      <c r="HC141" s="146"/>
      <c r="HD141" s="146"/>
      <c r="HE141" s="146"/>
      <c r="HF141" s="146"/>
      <c r="HG141" s="146"/>
      <c r="HH141" s="146"/>
      <c r="HI141" s="146"/>
      <c r="HJ141" s="146"/>
      <c r="HK141" s="146"/>
      <c r="HL141" s="146"/>
      <c r="HM141" s="146"/>
      <c r="HN141" s="146"/>
      <c r="HO141" s="146"/>
      <c r="HP141" s="146"/>
      <c r="HQ141" s="146"/>
      <c r="HR141" s="146"/>
      <c r="HS141" s="146"/>
      <c r="HT141" s="146"/>
      <c r="HU141" s="146"/>
      <c r="HV141" s="146"/>
      <c r="HW141" s="146"/>
      <c r="HX141" s="146"/>
      <c r="HY141" s="146"/>
      <c r="HZ141" s="146"/>
      <c r="IA141" s="146"/>
    </row>
    <row r="142" spans="1:235" s="154" customFormat="1" ht="128.25" x14ac:dyDescent="0.25">
      <c r="A142" s="197">
        <v>11700</v>
      </c>
      <c r="B142" s="194" t="s">
        <v>29</v>
      </c>
      <c r="C142" s="198" t="s">
        <v>328</v>
      </c>
      <c r="D142" s="194" t="s">
        <v>256</v>
      </c>
      <c r="E142" s="198" t="s">
        <v>665</v>
      </c>
      <c r="F142" s="194" t="s">
        <v>667</v>
      </c>
      <c r="G142" s="209" t="s">
        <v>123</v>
      </c>
      <c r="H142" s="216">
        <v>1</v>
      </c>
      <c r="I142" s="198" t="s">
        <v>666</v>
      </c>
      <c r="J142" s="194" t="s">
        <v>471</v>
      </c>
      <c r="K142" s="210">
        <v>77284920</v>
      </c>
      <c r="L142" s="216">
        <v>1</v>
      </c>
      <c r="M142" s="194" t="s">
        <v>45</v>
      </c>
      <c r="N142" s="194" t="s">
        <v>54</v>
      </c>
      <c r="O142" s="194" t="s">
        <v>37</v>
      </c>
      <c r="P142" s="194" t="s">
        <v>38</v>
      </c>
      <c r="Q142" s="194" t="s">
        <v>218</v>
      </c>
      <c r="R142" s="194" t="s">
        <v>379</v>
      </c>
      <c r="S142" s="194" t="s">
        <v>104</v>
      </c>
      <c r="T142" s="216">
        <v>1</v>
      </c>
      <c r="U142" s="212" t="str">
        <f t="shared" ref="U142:V150" si="69">+J142</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V142" s="213">
        <f t="shared" si="69"/>
        <v>77284920</v>
      </c>
      <c r="W142" s="222" t="s">
        <v>114</v>
      </c>
      <c r="X142" s="216">
        <v>0.25</v>
      </c>
      <c r="Y142" s="214" t="s">
        <v>471</v>
      </c>
      <c r="Z142" s="210">
        <v>19321230</v>
      </c>
      <c r="AA142" s="196"/>
      <c r="AB142" s="196"/>
      <c r="AC142" s="204">
        <f t="shared" ref="AC142:AC150" si="70">+(AA142/X142)</f>
        <v>0</v>
      </c>
      <c r="AD142" s="216">
        <f t="shared" ref="AD142:AD150" si="71">+(AB142/Z142)</f>
        <v>0</v>
      </c>
      <c r="AE142" s="216">
        <f t="shared" si="58"/>
        <v>0</v>
      </c>
      <c r="AF142" s="216">
        <f t="shared" si="59"/>
        <v>0</v>
      </c>
      <c r="AG142" s="216">
        <v>0.25</v>
      </c>
      <c r="AH142" s="214" t="s">
        <v>471</v>
      </c>
      <c r="AI142" s="210">
        <v>19321230</v>
      </c>
      <c r="AJ142" s="196"/>
      <c r="AK142" s="196"/>
      <c r="AL142" s="216">
        <f t="shared" ref="AL142:AL150" si="72">+(AJ142/AG142)</f>
        <v>0</v>
      </c>
      <c r="AM142" s="216">
        <f t="shared" si="60"/>
        <v>0</v>
      </c>
      <c r="AN142" s="216">
        <f t="shared" si="61"/>
        <v>0</v>
      </c>
      <c r="AO142" s="216">
        <f t="shared" si="62"/>
        <v>0</v>
      </c>
      <c r="AP142" s="216">
        <v>0.25</v>
      </c>
      <c r="AQ142" s="214" t="s">
        <v>471</v>
      </c>
      <c r="AR142" s="210">
        <v>19321230</v>
      </c>
      <c r="AS142" s="196"/>
      <c r="AT142" s="196"/>
      <c r="AU142" s="216">
        <f t="shared" ref="AU142:AU150" si="73">+(AS142/AP142)</f>
        <v>0</v>
      </c>
      <c r="AV142" s="216">
        <f t="shared" ref="AV142:AV150" si="74">+(AT142/AR142)</f>
        <v>0</v>
      </c>
      <c r="AW142" s="216">
        <f t="shared" ref="AW142:AW150" si="75">+(AJ142+AA142+AS142)/T142</f>
        <v>0</v>
      </c>
      <c r="AX142" s="216">
        <f t="shared" ref="AX142:AX150" si="76">+(AK142+AB142+AT142)/V142</f>
        <v>0</v>
      </c>
      <c r="AY142" s="216">
        <v>0.25</v>
      </c>
      <c r="AZ142" s="214" t="s">
        <v>471</v>
      </c>
      <c r="BA142" s="210">
        <v>19321230</v>
      </c>
      <c r="BB142" s="196"/>
      <c r="BC142" s="196"/>
      <c r="BD142" s="216">
        <f t="shared" ref="BD142:BD150" si="77">+(BB142/AY142)</f>
        <v>0</v>
      </c>
      <c r="BE142" s="216">
        <f t="shared" ref="BE142:BE150" si="78">+(BC142/BA142)</f>
        <v>0</v>
      </c>
      <c r="BF142" s="216">
        <f t="shared" ref="BF142:BF150" si="79">+(AJ142+AA142+AS142+BB142)/T142</f>
        <v>0</v>
      </c>
      <c r="BG142" s="216">
        <f t="shared" ref="BG142:BG150" si="80">+(AK142+AB142+AT142+BC142)/V142</f>
        <v>0</v>
      </c>
      <c r="BH142" s="207">
        <f t="shared" si="63"/>
        <v>0</v>
      </c>
      <c r="BI142" s="207">
        <f t="shared" si="64"/>
        <v>0</v>
      </c>
      <c r="BJ142" s="207">
        <f t="shared" si="65"/>
        <v>0</v>
      </c>
      <c r="BK142" s="207">
        <f t="shared" si="66"/>
        <v>0</v>
      </c>
      <c r="BL142" s="207">
        <f t="shared" ref="BL142:BL150" si="81">IF(AND(AP142=0,AS142=0),"No Prog ni Ejec",IF(AP142=0,CONCATENATE("No Prog, Ejec=  ",AS142),AS142/AP142))</f>
        <v>0</v>
      </c>
      <c r="BM142" s="207">
        <f t="shared" ref="BM142:BM150" si="82">IF(AND(AR142=0,AT142=0),"No Prog ni Ejec",IF(AR142=0,CONCATENATE("No Prog, Ejec=  ",AT142),AT142/AR142))</f>
        <v>0</v>
      </c>
      <c r="BN142" s="207">
        <f t="shared" si="67"/>
        <v>0</v>
      </c>
      <c r="BO142" s="207">
        <f t="shared" si="68"/>
        <v>0</v>
      </c>
      <c r="BP142" s="206"/>
      <c r="BQ142" s="277">
        <v>7</v>
      </c>
      <c r="BR142" s="208">
        <f t="shared" si="57"/>
        <v>0.58333333333333337</v>
      </c>
      <c r="BS142" s="219" t="str">
        <f t="shared" si="55"/>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BT142" s="195">
        <f t="shared" si="56"/>
        <v>45082870</v>
      </c>
      <c r="BU142" s="196"/>
      <c r="BV142" s="196"/>
      <c r="BW142" s="196"/>
      <c r="BX142" s="196"/>
      <c r="BY142" s="196"/>
      <c r="BZ142" s="196"/>
      <c r="CA142" s="146"/>
      <c r="CB142" s="146"/>
      <c r="CC142" s="146"/>
      <c r="CD142" s="146"/>
      <c r="CE142" s="146"/>
      <c r="CF142" s="146"/>
      <c r="CG142" s="146"/>
      <c r="CH142" s="146"/>
      <c r="CI142" s="146"/>
      <c r="CJ142" s="146"/>
      <c r="CK142" s="146"/>
      <c r="CL142" s="146"/>
      <c r="CM142" s="146"/>
      <c r="CN142" s="146"/>
      <c r="CO142" s="146"/>
      <c r="CP142" s="146"/>
      <c r="CQ142" s="146"/>
      <c r="CR142" s="146"/>
      <c r="CS142" s="146"/>
      <c r="CT142" s="146"/>
      <c r="CU142" s="146"/>
      <c r="CV142" s="146"/>
      <c r="CW142" s="146"/>
      <c r="CX142" s="146"/>
      <c r="CY142" s="146"/>
      <c r="CZ142" s="146"/>
      <c r="DA142" s="146"/>
      <c r="DB142" s="146"/>
      <c r="DC142" s="146"/>
      <c r="DD142" s="146"/>
      <c r="DE142" s="146"/>
      <c r="DF142" s="146"/>
      <c r="DG142" s="146"/>
      <c r="DH142" s="146"/>
      <c r="DI142" s="146"/>
      <c r="DJ142" s="146"/>
      <c r="DK142" s="146"/>
      <c r="DL142" s="146"/>
      <c r="DM142" s="146"/>
      <c r="DN142" s="146"/>
      <c r="DO142" s="146"/>
      <c r="DP142" s="146"/>
      <c r="DQ142" s="146"/>
      <c r="DR142" s="146"/>
      <c r="DS142" s="146"/>
      <c r="DT142" s="146"/>
      <c r="DU142" s="146"/>
      <c r="DV142" s="146"/>
      <c r="DW142" s="146"/>
      <c r="DX142" s="146"/>
      <c r="DY142" s="146"/>
      <c r="DZ142" s="146"/>
      <c r="EA142" s="146"/>
      <c r="EB142" s="146"/>
      <c r="EC142" s="146"/>
      <c r="ED142" s="146"/>
      <c r="EE142" s="146"/>
      <c r="EF142" s="146"/>
      <c r="EG142" s="146"/>
      <c r="EH142" s="146"/>
      <c r="EI142" s="146"/>
      <c r="EJ142" s="146"/>
      <c r="EK142" s="146"/>
      <c r="EL142" s="146"/>
      <c r="EM142" s="146"/>
      <c r="EN142" s="146"/>
      <c r="EO142" s="146"/>
      <c r="EP142" s="146"/>
      <c r="EQ142" s="146"/>
      <c r="ER142" s="146"/>
      <c r="ES142" s="146"/>
      <c r="ET142" s="146"/>
      <c r="EU142" s="146"/>
      <c r="EV142" s="146"/>
      <c r="EW142" s="146"/>
      <c r="EX142" s="146"/>
      <c r="EY142" s="146"/>
      <c r="EZ142" s="146"/>
      <c r="FA142" s="146"/>
      <c r="FB142" s="146"/>
      <c r="FC142" s="146"/>
      <c r="FD142" s="146"/>
      <c r="FE142" s="146"/>
      <c r="FF142" s="146"/>
      <c r="FG142" s="146"/>
      <c r="FH142" s="146"/>
      <c r="FI142" s="146"/>
      <c r="FJ142" s="146"/>
      <c r="FK142" s="146"/>
      <c r="FL142" s="146"/>
      <c r="FM142" s="146"/>
      <c r="FN142" s="146"/>
      <c r="FO142" s="146"/>
      <c r="FP142" s="146"/>
      <c r="FQ142" s="146"/>
      <c r="FR142" s="146"/>
      <c r="FS142" s="146"/>
      <c r="FT142" s="146"/>
      <c r="FU142" s="146"/>
      <c r="FV142" s="146"/>
      <c r="FW142" s="146"/>
      <c r="FX142" s="146"/>
      <c r="FY142" s="146"/>
      <c r="FZ142" s="146"/>
      <c r="GA142" s="146"/>
      <c r="GB142" s="146"/>
      <c r="GC142" s="146"/>
      <c r="GD142" s="146"/>
      <c r="GE142" s="146"/>
      <c r="GF142" s="146"/>
      <c r="GG142" s="146"/>
      <c r="GH142" s="146"/>
      <c r="GI142" s="146"/>
      <c r="GJ142" s="146"/>
      <c r="GK142" s="146"/>
      <c r="GL142" s="146"/>
      <c r="GM142" s="146"/>
      <c r="GN142" s="146"/>
      <c r="GO142" s="146"/>
      <c r="GP142" s="146"/>
      <c r="GQ142" s="146"/>
      <c r="GR142" s="146"/>
      <c r="GS142" s="146"/>
      <c r="GT142" s="146"/>
      <c r="GU142" s="146"/>
      <c r="GV142" s="146"/>
      <c r="GW142" s="146"/>
      <c r="GX142" s="146"/>
      <c r="GY142" s="146"/>
      <c r="GZ142" s="146"/>
      <c r="HA142" s="146"/>
      <c r="HB142" s="146"/>
      <c r="HC142" s="146"/>
      <c r="HD142" s="146"/>
      <c r="HE142" s="146"/>
      <c r="HF142" s="146"/>
      <c r="HG142" s="146"/>
      <c r="HH142" s="146"/>
      <c r="HI142" s="146"/>
      <c r="HJ142" s="146"/>
      <c r="HK142" s="146"/>
      <c r="HL142" s="146"/>
      <c r="HM142" s="146"/>
      <c r="HN142" s="146"/>
      <c r="HO142" s="146"/>
      <c r="HP142" s="146"/>
      <c r="HQ142" s="146"/>
      <c r="HR142" s="146"/>
      <c r="HS142" s="146"/>
      <c r="HT142" s="146"/>
      <c r="HU142" s="146"/>
      <c r="HV142" s="146"/>
      <c r="HW142" s="146"/>
      <c r="HX142" s="146"/>
      <c r="HY142" s="146"/>
      <c r="HZ142" s="146"/>
      <c r="IA142" s="146"/>
    </row>
    <row r="143" spans="1:235" s="154" customFormat="1" ht="99.75" x14ac:dyDescent="0.25">
      <c r="A143" s="197">
        <v>11700</v>
      </c>
      <c r="B143" s="194" t="s">
        <v>29</v>
      </c>
      <c r="C143" s="198" t="s">
        <v>328</v>
      </c>
      <c r="D143" s="194" t="s">
        <v>256</v>
      </c>
      <c r="E143" s="198" t="s">
        <v>669</v>
      </c>
      <c r="F143" s="194" t="s">
        <v>671</v>
      </c>
      <c r="G143" s="209" t="s">
        <v>123</v>
      </c>
      <c r="H143" s="216">
        <v>1</v>
      </c>
      <c r="I143" s="198" t="s">
        <v>668</v>
      </c>
      <c r="J143" s="194" t="s">
        <v>472</v>
      </c>
      <c r="K143" s="210">
        <v>17000000</v>
      </c>
      <c r="L143" s="216">
        <v>1</v>
      </c>
      <c r="M143" s="194" t="s">
        <v>45</v>
      </c>
      <c r="N143" s="194" t="s">
        <v>54</v>
      </c>
      <c r="O143" s="194" t="s">
        <v>37</v>
      </c>
      <c r="P143" s="194" t="s">
        <v>38</v>
      </c>
      <c r="Q143" s="194" t="s">
        <v>218</v>
      </c>
      <c r="R143" s="194" t="s">
        <v>379</v>
      </c>
      <c r="S143" s="194" t="s">
        <v>104</v>
      </c>
      <c r="T143" s="216">
        <v>1</v>
      </c>
      <c r="U143" s="212" t="str">
        <f t="shared" si="69"/>
        <v xml:space="preserve">Realizar el estudio de seguridad, visita domiciliaria y verificación de la información de la Hoja de Vida y antecedentes financieros de los funcionarios de la entidad. </v>
      </c>
      <c r="V143" s="213">
        <f t="shared" si="69"/>
        <v>17000000</v>
      </c>
      <c r="W143" s="222" t="s">
        <v>114</v>
      </c>
      <c r="X143" s="216">
        <v>0.25</v>
      </c>
      <c r="Y143" s="214" t="s">
        <v>472</v>
      </c>
      <c r="Z143" s="210">
        <v>4250000</v>
      </c>
      <c r="AA143" s="196"/>
      <c r="AB143" s="196"/>
      <c r="AC143" s="204">
        <f t="shared" si="70"/>
        <v>0</v>
      </c>
      <c r="AD143" s="216">
        <f t="shared" si="71"/>
        <v>0</v>
      </c>
      <c r="AE143" s="216">
        <f t="shared" si="58"/>
        <v>0</v>
      </c>
      <c r="AF143" s="216">
        <f t="shared" si="59"/>
        <v>0</v>
      </c>
      <c r="AG143" s="216">
        <v>0.25</v>
      </c>
      <c r="AH143" s="214" t="s">
        <v>472</v>
      </c>
      <c r="AI143" s="210">
        <v>4250000</v>
      </c>
      <c r="AJ143" s="196"/>
      <c r="AK143" s="196"/>
      <c r="AL143" s="216">
        <f t="shared" si="72"/>
        <v>0</v>
      </c>
      <c r="AM143" s="216">
        <f t="shared" si="60"/>
        <v>0</v>
      </c>
      <c r="AN143" s="216">
        <f t="shared" si="61"/>
        <v>0</v>
      </c>
      <c r="AO143" s="216">
        <f t="shared" si="62"/>
        <v>0</v>
      </c>
      <c r="AP143" s="216">
        <v>0.25</v>
      </c>
      <c r="AQ143" s="214" t="s">
        <v>472</v>
      </c>
      <c r="AR143" s="210">
        <v>4250000</v>
      </c>
      <c r="AS143" s="196"/>
      <c r="AT143" s="196"/>
      <c r="AU143" s="216">
        <f t="shared" si="73"/>
        <v>0</v>
      </c>
      <c r="AV143" s="216">
        <f t="shared" si="74"/>
        <v>0</v>
      </c>
      <c r="AW143" s="216">
        <f t="shared" si="75"/>
        <v>0</v>
      </c>
      <c r="AX143" s="216">
        <f t="shared" si="76"/>
        <v>0</v>
      </c>
      <c r="AY143" s="216">
        <v>0.25</v>
      </c>
      <c r="AZ143" s="214" t="s">
        <v>472</v>
      </c>
      <c r="BA143" s="210">
        <v>4250000</v>
      </c>
      <c r="BB143" s="196"/>
      <c r="BC143" s="196"/>
      <c r="BD143" s="216">
        <f t="shared" si="77"/>
        <v>0</v>
      </c>
      <c r="BE143" s="216">
        <f t="shared" si="78"/>
        <v>0</v>
      </c>
      <c r="BF143" s="216">
        <f t="shared" si="79"/>
        <v>0</v>
      </c>
      <c r="BG143" s="216">
        <f t="shared" si="80"/>
        <v>0</v>
      </c>
      <c r="BH143" s="207">
        <f t="shared" si="63"/>
        <v>0</v>
      </c>
      <c r="BI143" s="207">
        <f t="shared" si="64"/>
        <v>0</v>
      </c>
      <c r="BJ143" s="207">
        <f t="shared" si="65"/>
        <v>0</v>
      </c>
      <c r="BK143" s="207">
        <f t="shared" si="66"/>
        <v>0</v>
      </c>
      <c r="BL143" s="207">
        <f t="shared" si="81"/>
        <v>0</v>
      </c>
      <c r="BM143" s="207">
        <f t="shared" si="82"/>
        <v>0</v>
      </c>
      <c r="BN143" s="207">
        <f t="shared" si="67"/>
        <v>0</v>
      </c>
      <c r="BO143" s="207">
        <f t="shared" si="68"/>
        <v>0</v>
      </c>
      <c r="BP143" s="206"/>
      <c r="BQ143" s="277">
        <v>7</v>
      </c>
      <c r="BR143" s="208">
        <f t="shared" si="57"/>
        <v>0.58333333333333337</v>
      </c>
      <c r="BS143" s="219" t="str">
        <f t="shared" ref="BS143:BS150" si="83">+U143</f>
        <v xml:space="preserve">Realizar el estudio de seguridad, visita domiciliaria y verificación de la información de la Hoja de Vida y antecedentes financieros de los funcionarios de la entidad. </v>
      </c>
      <c r="BT143" s="195">
        <f t="shared" si="56"/>
        <v>9916666.666666666</v>
      </c>
      <c r="BU143" s="196"/>
      <c r="BV143" s="196"/>
      <c r="BW143" s="196"/>
      <c r="BX143" s="196"/>
      <c r="BY143" s="196"/>
      <c r="BZ143" s="196"/>
      <c r="CA143" s="146"/>
      <c r="CB143" s="146"/>
      <c r="CC143" s="146"/>
      <c r="CD143" s="146"/>
      <c r="CE143" s="146"/>
      <c r="CF143" s="146"/>
      <c r="CG143" s="146"/>
      <c r="CH143" s="146"/>
      <c r="CI143" s="146"/>
      <c r="CJ143" s="146"/>
      <c r="CK143" s="146"/>
      <c r="CL143" s="146"/>
      <c r="CM143" s="146"/>
      <c r="CN143" s="146"/>
      <c r="CO143" s="146"/>
      <c r="CP143" s="146"/>
      <c r="CQ143" s="146"/>
      <c r="CR143" s="146"/>
      <c r="CS143" s="146"/>
      <c r="CT143" s="146"/>
      <c r="CU143" s="146"/>
      <c r="CV143" s="146"/>
      <c r="CW143" s="146"/>
      <c r="CX143" s="146"/>
      <c r="CY143" s="146"/>
      <c r="CZ143" s="146"/>
      <c r="DA143" s="146"/>
      <c r="DB143" s="146"/>
      <c r="DC143" s="146"/>
      <c r="DD143" s="146"/>
      <c r="DE143" s="146"/>
      <c r="DF143" s="146"/>
      <c r="DG143" s="146"/>
      <c r="DH143" s="146"/>
      <c r="DI143" s="146"/>
      <c r="DJ143" s="146"/>
      <c r="DK143" s="146"/>
      <c r="DL143" s="146"/>
      <c r="DM143" s="146"/>
      <c r="DN143" s="146"/>
      <c r="DO143" s="146"/>
      <c r="DP143" s="146"/>
      <c r="DQ143" s="146"/>
      <c r="DR143" s="146"/>
      <c r="DS143" s="146"/>
      <c r="DT143" s="146"/>
      <c r="DU143" s="146"/>
      <c r="DV143" s="146"/>
      <c r="DW143" s="146"/>
      <c r="DX143" s="146"/>
      <c r="DY143" s="146"/>
      <c r="DZ143" s="146"/>
      <c r="EA143" s="146"/>
      <c r="EB143" s="146"/>
      <c r="EC143" s="146"/>
      <c r="ED143" s="146"/>
      <c r="EE143" s="146"/>
      <c r="EF143" s="146"/>
      <c r="EG143" s="146"/>
      <c r="EH143" s="146"/>
      <c r="EI143" s="146"/>
      <c r="EJ143" s="146"/>
      <c r="EK143" s="146"/>
      <c r="EL143" s="146"/>
      <c r="EM143" s="146"/>
      <c r="EN143" s="146"/>
      <c r="EO143" s="146"/>
      <c r="EP143" s="146"/>
      <c r="EQ143" s="146"/>
      <c r="ER143" s="146"/>
      <c r="ES143" s="146"/>
      <c r="ET143" s="146"/>
      <c r="EU143" s="146"/>
      <c r="EV143" s="146"/>
      <c r="EW143" s="146"/>
      <c r="EX143" s="146"/>
      <c r="EY143" s="146"/>
      <c r="EZ143" s="146"/>
      <c r="FA143" s="146"/>
      <c r="FB143" s="146"/>
      <c r="FC143" s="146"/>
      <c r="FD143" s="146"/>
      <c r="FE143" s="146"/>
      <c r="FF143" s="146"/>
      <c r="FG143" s="146"/>
      <c r="FH143" s="146"/>
      <c r="FI143" s="146"/>
      <c r="FJ143" s="146"/>
      <c r="FK143" s="146"/>
      <c r="FL143" s="146"/>
      <c r="FM143" s="146"/>
      <c r="FN143" s="146"/>
      <c r="FO143" s="146"/>
      <c r="FP143" s="146"/>
      <c r="FQ143" s="146"/>
      <c r="FR143" s="146"/>
      <c r="FS143" s="146"/>
      <c r="FT143" s="146"/>
      <c r="FU143" s="146"/>
      <c r="FV143" s="146"/>
      <c r="FW143" s="146"/>
      <c r="FX143" s="146"/>
      <c r="FY143" s="146"/>
      <c r="FZ143" s="146"/>
      <c r="GA143" s="146"/>
      <c r="GB143" s="146"/>
      <c r="GC143" s="146"/>
      <c r="GD143" s="146"/>
      <c r="GE143" s="146"/>
      <c r="GF143" s="146"/>
      <c r="GG143" s="146"/>
      <c r="GH143" s="146"/>
      <c r="GI143" s="146"/>
      <c r="GJ143" s="146"/>
      <c r="GK143" s="146"/>
      <c r="GL143" s="146"/>
      <c r="GM143" s="146"/>
      <c r="GN143" s="146"/>
      <c r="GO143" s="146"/>
      <c r="GP143" s="146"/>
      <c r="GQ143" s="146"/>
      <c r="GR143" s="146"/>
      <c r="GS143" s="146"/>
      <c r="GT143" s="146"/>
      <c r="GU143" s="146"/>
      <c r="GV143" s="146"/>
      <c r="GW143" s="146"/>
      <c r="GX143" s="146"/>
      <c r="GY143" s="146"/>
      <c r="GZ143" s="146"/>
      <c r="HA143" s="146"/>
      <c r="HB143" s="146"/>
      <c r="HC143" s="146"/>
      <c r="HD143" s="146"/>
      <c r="HE143" s="146"/>
      <c r="HF143" s="146"/>
      <c r="HG143" s="146"/>
      <c r="HH143" s="146"/>
      <c r="HI143" s="146"/>
      <c r="HJ143" s="146"/>
      <c r="HK143" s="146"/>
      <c r="HL143" s="146"/>
      <c r="HM143" s="146"/>
      <c r="HN143" s="146"/>
      <c r="HO143" s="146"/>
      <c r="HP143" s="146"/>
      <c r="HQ143" s="146"/>
      <c r="HR143" s="146"/>
      <c r="HS143" s="146"/>
      <c r="HT143" s="146"/>
      <c r="HU143" s="146"/>
      <c r="HV143" s="146"/>
      <c r="HW143" s="146"/>
      <c r="HX143" s="146"/>
      <c r="HY143" s="146"/>
      <c r="HZ143" s="146"/>
      <c r="IA143" s="146"/>
    </row>
    <row r="144" spans="1:235" s="153" customFormat="1" ht="71.25" x14ac:dyDescent="0.25">
      <c r="A144" s="197">
        <v>11900</v>
      </c>
      <c r="B144" s="194" t="s">
        <v>349</v>
      </c>
      <c r="C144" s="198" t="s">
        <v>357</v>
      </c>
      <c r="D144" s="194" t="s">
        <v>146</v>
      </c>
      <c r="E144" s="1556" t="s">
        <v>692</v>
      </c>
      <c r="F144" s="1574" t="s">
        <v>838</v>
      </c>
      <c r="G144" s="1556" t="s">
        <v>123</v>
      </c>
      <c r="H144" s="216">
        <v>1</v>
      </c>
      <c r="I144" s="1556" t="s">
        <v>693</v>
      </c>
      <c r="J144" s="1541" t="s">
        <v>836</v>
      </c>
      <c r="K144" s="1559">
        <v>0</v>
      </c>
      <c r="L144" s="248">
        <v>1</v>
      </c>
      <c r="M144" s="1541" t="s">
        <v>46</v>
      </c>
      <c r="N144" s="1541" t="s">
        <v>74</v>
      </c>
      <c r="O144" s="1541" t="s">
        <v>21</v>
      </c>
      <c r="P144" s="1541" t="s">
        <v>36</v>
      </c>
      <c r="Q144" s="1541" t="s">
        <v>229</v>
      </c>
      <c r="R144" s="194" t="s">
        <v>703</v>
      </c>
      <c r="S144" s="194" t="s">
        <v>99</v>
      </c>
      <c r="T144" s="211">
        <v>1</v>
      </c>
      <c r="U144" s="1544" t="str">
        <f t="shared" si="69"/>
        <v xml:space="preserve">
Expedición actos administrativos iniciales ordenando el cobro.</v>
      </c>
      <c r="V144" s="1547">
        <f t="shared" si="69"/>
        <v>0</v>
      </c>
      <c r="W144" s="1556" t="s">
        <v>117</v>
      </c>
      <c r="X144" s="216">
        <v>0.1</v>
      </c>
      <c r="Y144" s="1576" t="s">
        <v>702</v>
      </c>
      <c r="Z144" s="1559">
        <v>0</v>
      </c>
      <c r="AA144" s="196"/>
      <c r="AB144" s="1565"/>
      <c r="AC144" s="1568">
        <f>+(AA144/X144)</f>
        <v>0</v>
      </c>
      <c r="AD144" s="1578" t="e">
        <f>+(AA145/X145)</f>
        <v>#DIV/0!</v>
      </c>
      <c r="AE144" s="1578">
        <f>+(AA144/T144)</f>
        <v>0</v>
      </c>
      <c r="AF144" s="1578" t="e">
        <f>+(X145/T145)</f>
        <v>#DIV/0!</v>
      </c>
      <c r="AG144" s="216">
        <v>0.3</v>
      </c>
      <c r="AH144" s="1580" t="s">
        <v>702</v>
      </c>
      <c r="AI144" s="1559">
        <v>0</v>
      </c>
      <c r="AJ144" s="196"/>
      <c r="AK144" s="1565"/>
      <c r="AL144" s="1578">
        <f>+(AJ144/AG144)</f>
        <v>0</v>
      </c>
      <c r="AM144" s="1578" t="e">
        <f>+(AJ145/AG145)</f>
        <v>#DIV/0!</v>
      </c>
      <c r="AN144" s="1578">
        <f>+(AJ144+AA144)/T144</f>
        <v>0</v>
      </c>
      <c r="AO144" s="1578" t="e">
        <f>+(AG145/AC145)</f>
        <v>#DIV/0!</v>
      </c>
      <c r="AP144" s="216">
        <v>0.3</v>
      </c>
      <c r="AQ144" s="214" t="s">
        <v>702</v>
      </c>
      <c r="AR144" s="210">
        <v>0</v>
      </c>
      <c r="AS144" s="196"/>
      <c r="AT144" s="196"/>
      <c r="AU144" s="216">
        <f t="shared" si="73"/>
        <v>0</v>
      </c>
      <c r="AV144" s="216" t="e">
        <f t="shared" si="74"/>
        <v>#DIV/0!</v>
      </c>
      <c r="AW144" s="216">
        <f t="shared" si="75"/>
        <v>0</v>
      </c>
      <c r="AX144" s="216" t="e">
        <f t="shared" si="76"/>
        <v>#DIV/0!</v>
      </c>
      <c r="AY144" s="216">
        <v>0.3</v>
      </c>
      <c r="AZ144" s="214" t="s">
        <v>702</v>
      </c>
      <c r="BA144" s="210">
        <v>0</v>
      </c>
      <c r="BB144" s="196"/>
      <c r="BC144" s="196"/>
      <c r="BD144" s="216">
        <f t="shared" si="77"/>
        <v>0</v>
      </c>
      <c r="BE144" s="216" t="e">
        <f t="shared" si="78"/>
        <v>#DIV/0!</v>
      </c>
      <c r="BF144" s="216">
        <f t="shared" si="79"/>
        <v>0</v>
      </c>
      <c r="BG144" s="216" t="e">
        <f t="shared" si="80"/>
        <v>#DIV/0!</v>
      </c>
      <c r="BH144" s="217">
        <f t="shared" si="63"/>
        <v>0</v>
      </c>
      <c r="BI144" s="217" t="str">
        <f t="shared" si="64"/>
        <v>No Prog ni Ejec</v>
      </c>
      <c r="BJ144" s="217">
        <f t="shared" si="65"/>
        <v>0</v>
      </c>
      <c r="BK144" s="217" t="str">
        <f t="shared" si="66"/>
        <v>No Prog ni Ejec</v>
      </c>
      <c r="BL144" s="217">
        <f t="shared" si="81"/>
        <v>0</v>
      </c>
      <c r="BM144" s="217" t="str">
        <f t="shared" si="82"/>
        <v>No Prog ni Ejec</v>
      </c>
      <c r="BN144" s="217">
        <f t="shared" si="67"/>
        <v>0</v>
      </c>
      <c r="BO144" s="217" t="str">
        <f t="shared" si="68"/>
        <v>No Prog ni Ejec</v>
      </c>
      <c r="BP144" s="206"/>
      <c r="BQ144" s="277">
        <v>31</v>
      </c>
      <c r="BR144" s="208">
        <f t="shared" si="57"/>
        <v>0.5</v>
      </c>
      <c r="BS144" s="1571" t="str">
        <f t="shared" si="83"/>
        <v xml:space="preserve">
Expedición actos administrativos iniciales ordenando el cobro.</v>
      </c>
      <c r="BT144" s="195">
        <f t="shared" si="56"/>
        <v>0</v>
      </c>
      <c r="BU144" s="196"/>
      <c r="BV144" s="196"/>
      <c r="BW144" s="196"/>
      <c r="BX144" s="196"/>
      <c r="BY144" s="196"/>
      <c r="BZ144" s="196"/>
      <c r="CA144" s="146"/>
      <c r="CB144" s="146"/>
      <c r="CC144" s="146"/>
      <c r="CD144" s="146"/>
      <c r="CE144" s="146"/>
      <c r="CF144" s="146"/>
      <c r="CG144" s="146"/>
      <c r="CH144" s="146"/>
      <c r="CI144" s="146"/>
      <c r="CJ144" s="146"/>
      <c r="CK144" s="146"/>
      <c r="CL144" s="146"/>
      <c r="CM144" s="146"/>
      <c r="CN144" s="146"/>
      <c r="CO144" s="146"/>
      <c r="CP144" s="146"/>
      <c r="CQ144" s="146"/>
      <c r="CR144" s="146"/>
      <c r="CS144" s="146"/>
      <c r="CT144" s="146"/>
      <c r="CU144" s="146"/>
      <c r="CV144" s="146"/>
      <c r="CW144" s="146"/>
      <c r="CX144" s="146"/>
      <c r="CY144" s="146"/>
      <c r="CZ144" s="146"/>
      <c r="DA144" s="146"/>
      <c r="DB144" s="146"/>
      <c r="DC144" s="146"/>
      <c r="DD144" s="146"/>
      <c r="DE144" s="146"/>
      <c r="DF144" s="146"/>
      <c r="DG144" s="146"/>
      <c r="DH144" s="146"/>
      <c r="DI144" s="146"/>
      <c r="DJ144" s="146"/>
      <c r="DK144" s="146"/>
      <c r="DL144" s="146"/>
      <c r="DM144" s="146"/>
      <c r="DN144" s="146"/>
      <c r="DO144" s="146"/>
      <c r="DP144" s="146"/>
      <c r="DQ144" s="146"/>
      <c r="DR144" s="146"/>
      <c r="DS144" s="146"/>
      <c r="DT144" s="146"/>
      <c r="DU144" s="146"/>
      <c r="DV144" s="146"/>
      <c r="DW144" s="146"/>
      <c r="DX144" s="146"/>
      <c r="DY144" s="146"/>
      <c r="DZ144" s="146"/>
      <c r="EA144" s="146"/>
      <c r="EB144" s="146"/>
      <c r="EC144" s="146"/>
      <c r="ED144" s="146"/>
      <c r="EE144" s="146"/>
      <c r="EF144" s="146"/>
      <c r="EG144" s="146"/>
      <c r="EH144" s="146"/>
      <c r="EI144" s="146"/>
      <c r="EJ144" s="146"/>
      <c r="EK144" s="146"/>
      <c r="EL144" s="146"/>
      <c r="EM144" s="146"/>
      <c r="EN144" s="146"/>
      <c r="EO144" s="146"/>
      <c r="EP144" s="146"/>
      <c r="EQ144" s="146"/>
      <c r="ER144" s="146"/>
      <c r="ES144" s="146"/>
      <c r="ET144" s="146"/>
      <c r="EU144" s="146"/>
      <c r="EV144" s="146"/>
      <c r="EW144" s="146"/>
      <c r="EX144" s="146"/>
      <c r="EY144" s="146"/>
      <c r="EZ144" s="146"/>
      <c r="FA144" s="146"/>
      <c r="FB144" s="146"/>
      <c r="FC144" s="146"/>
      <c r="FD144" s="146"/>
      <c r="FE144" s="146"/>
      <c r="FF144" s="146"/>
      <c r="FG144" s="146"/>
      <c r="FH144" s="146"/>
      <c r="FI144" s="146"/>
      <c r="FJ144" s="146"/>
      <c r="FK144" s="146"/>
      <c r="FL144" s="146"/>
      <c r="FM144" s="146"/>
      <c r="FN144" s="146"/>
      <c r="FO144" s="146"/>
      <c r="FP144" s="146"/>
      <c r="FQ144" s="146"/>
      <c r="FR144" s="146"/>
      <c r="FS144" s="146"/>
      <c r="FT144" s="146"/>
      <c r="FU144" s="146"/>
      <c r="FV144" s="146"/>
      <c r="FW144" s="146"/>
      <c r="FX144" s="146"/>
      <c r="FY144" s="146"/>
      <c r="FZ144" s="146"/>
      <c r="GA144" s="146"/>
      <c r="GB144" s="146"/>
      <c r="GC144" s="146"/>
      <c r="GD144" s="146"/>
      <c r="GE144" s="146"/>
      <c r="GF144" s="146"/>
      <c r="GG144" s="146"/>
      <c r="GH144" s="146"/>
      <c r="GI144" s="146"/>
      <c r="GJ144" s="146"/>
      <c r="GK144" s="146"/>
      <c r="GL144" s="146"/>
      <c r="GM144" s="146"/>
      <c r="GN144" s="146"/>
      <c r="GO144" s="146"/>
      <c r="GP144" s="146"/>
      <c r="GQ144" s="146"/>
      <c r="GR144" s="146"/>
      <c r="GS144" s="146"/>
      <c r="GT144" s="146"/>
      <c r="GU144" s="146"/>
      <c r="GV144" s="146"/>
      <c r="GW144" s="146"/>
      <c r="GX144" s="146"/>
      <c r="GY144" s="146"/>
      <c r="GZ144" s="146"/>
      <c r="HA144" s="146"/>
      <c r="HB144" s="146"/>
      <c r="HC144" s="146"/>
      <c r="HD144" s="146"/>
      <c r="HE144" s="146"/>
      <c r="HF144" s="146"/>
      <c r="HG144" s="146"/>
      <c r="HH144" s="146"/>
      <c r="HI144" s="146"/>
      <c r="HJ144" s="146"/>
      <c r="HK144" s="146"/>
      <c r="HL144" s="146"/>
      <c r="HM144" s="146"/>
      <c r="HN144" s="146"/>
      <c r="HO144" s="146"/>
      <c r="HP144" s="146"/>
      <c r="HQ144" s="146"/>
      <c r="HR144" s="146"/>
      <c r="HS144" s="146"/>
      <c r="HT144" s="146"/>
      <c r="HU144" s="146"/>
      <c r="HV144" s="146"/>
      <c r="HW144" s="146"/>
      <c r="HX144" s="146"/>
      <c r="HY144" s="146"/>
      <c r="HZ144" s="146"/>
      <c r="IA144" s="146"/>
    </row>
    <row r="145" spans="1:235" s="153" customFormat="1" ht="128.25" x14ac:dyDescent="0.25">
      <c r="A145" s="197">
        <v>11900</v>
      </c>
      <c r="B145" s="194" t="s">
        <v>349</v>
      </c>
      <c r="C145" s="198" t="s">
        <v>357</v>
      </c>
      <c r="D145" s="194" t="s">
        <v>146</v>
      </c>
      <c r="E145" s="1558"/>
      <c r="F145" s="1575"/>
      <c r="G145" s="1558"/>
      <c r="H145" s="200"/>
      <c r="I145" s="1558"/>
      <c r="J145" s="1543"/>
      <c r="K145" s="1561"/>
      <c r="L145" s="203"/>
      <c r="M145" s="1543"/>
      <c r="N145" s="1543"/>
      <c r="O145" s="1543"/>
      <c r="P145" s="1543"/>
      <c r="Q145" s="1543"/>
      <c r="R145" s="201" t="s">
        <v>840</v>
      </c>
      <c r="S145" s="194" t="s">
        <v>99</v>
      </c>
      <c r="T145" s="202"/>
      <c r="U145" s="1546"/>
      <c r="V145" s="1549"/>
      <c r="W145" s="1558"/>
      <c r="X145" s="200"/>
      <c r="Y145" s="1577"/>
      <c r="Z145" s="1561"/>
      <c r="AA145" s="196"/>
      <c r="AB145" s="1567"/>
      <c r="AC145" s="1570"/>
      <c r="AD145" s="1579"/>
      <c r="AE145" s="1579"/>
      <c r="AF145" s="1579"/>
      <c r="AG145" s="200"/>
      <c r="AH145" s="1581"/>
      <c r="AI145" s="1561"/>
      <c r="AJ145" s="196"/>
      <c r="AK145" s="1567"/>
      <c r="AL145" s="1579"/>
      <c r="AM145" s="1579"/>
      <c r="AN145" s="1579"/>
      <c r="AO145" s="1579"/>
      <c r="AP145" s="200"/>
      <c r="AQ145" s="214"/>
      <c r="AR145" s="210"/>
      <c r="AS145" s="196"/>
      <c r="AT145" s="196"/>
      <c r="AU145" s="216"/>
      <c r="AV145" s="216"/>
      <c r="AW145" s="216"/>
      <c r="AX145" s="216"/>
      <c r="AY145" s="200"/>
      <c r="AZ145" s="214"/>
      <c r="BA145" s="210"/>
      <c r="BB145" s="196"/>
      <c r="BC145" s="196"/>
      <c r="BD145" s="216"/>
      <c r="BE145" s="216"/>
      <c r="BF145" s="216"/>
      <c r="BG145" s="216"/>
      <c r="BH145" s="217"/>
      <c r="BI145" s="217"/>
      <c r="BJ145" s="217"/>
      <c r="BK145" s="217"/>
      <c r="BL145" s="217"/>
      <c r="BM145" s="217"/>
      <c r="BN145" s="217"/>
      <c r="BO145" s="217"/>
      <c r="BP145" s="206"/>
      <c r="BQ145" s="277">
        <v>31</v>
      </c>
      <c r="BR145" s="208">
        <f t="shared" si="57"/>
        <v>0</v>
      </c>
      <c r="BS145" s="1571"/>
      <c r="BT145" s="195">
        <f t="shared" si="56"/>
        <v>0</v>
      </c>
      <c r="BU145" s="196"/>
      <c r="BV145" s="196"/>
      <c r="BW145" s="196"/>
      <c r="BX145" s="196"/>
      <c r="BY145" s="196"/>
      <c r="BZ145" s="196"/>
      <c r="CA145" s="146"/>
      <c r="CB145" s="146"/>
      <c r="CC145" s="146"/>
      <c r="CD145" s="146"/>
      <c r="CE145" s="146"/>
      <c r="CF145" s="146"/>
      <c r="CG145" s="146"/>
      <c r="CH145" s="146"/>
      <c r="CI145" s="146"/>
      <c r="CJ145" s="146"/>
      <c r="CK145" s="146"/>
      <c r="CL145" s="146"/>
      <c r="CM145" s="146"/>
      <c r="CN145" s="146"/>
      <c r="CO145" s="146"/>
      <c r="CP145" s="146"/>
      <c r="CQ145" s="146"/>
      <c r="CR145" s="146"/>
      <c r="CS145" s="146"/>
      <c r="CT145" s="146"/>
      <c r="CU145" s="146"/>
      <c r="CV145" s="146"/>
      <c r="CW145" s="146"/>
      <c r="CX145" s="146"/>
      <c r="CY145" s="146"/>
      <c r="CZ145" s="146"/>
      <c r="DA145" s="146"/>
      <c r="DB145" s="146"/>
      <c r="DC145" s="146"/>
      <c r="DD145" s="146"/>
      <c r="DE145" s="146"/>
      <c r="DF145" s="146"/>
      <c r="DG145" s="146"/>
      <c r="DH145" s="146"/>
      <c r="DI145" s="146"/>
      <c r="DJ145" s="146"/>
      <c r="DK145" s="146"/>
      <c r="DL145" s="146"/>
      <c r="DM145" s="146"/>
      <c r="DN145" s="146"/>
      <c r="DO145" s="146"/>
      <c r="DP145" s="146"/>
      <c r="DQ145" s="146"/>
      <c r="DR145" s="146"/>
      <c r="DS145" s="146"/>
      <c r="DT145" s="146"/>
      <c r="DU145" s="146"/>
      <c r="DV145" s="146"/>
      <c r="DW145" s="146"/>
      <c r="DX145" s="146"/>
      <c r="DY145" s="146"/>
      <c r="DZ145" s="146"/>
      <c r="EA145" s="146"/>
      <c r="EB145" s="146"/>
      <c r="EC145" s="146"/>
      <c r="ED145" s="146"/>
      <c r="EE145" s="146"/>
      <c r="EF145" s="146"/>
      <c r="EG145" s="146"/>
      <c r="EH145" s="146"/>
      <c r="EI145" s="146"/>
      <c r="EJ145" s="146"/>
      <c r="EK145" s="146"/>
      <c r="EL145" s="146"/>
      <c r="EM145" s="146"/>
      <c r="EN145" s="146"/>
      <c r="EO145" s="146"/>
      <c r="EP145" s="146"/>
      <c r="EQ145" s="146"/>
      <c r="ER145" s="146"/>
      <c r="ES145" s="146"/>
      <c r="ET145" s="146"/>
      <c r="EU145" s="146"/>
      <c r="EV145" s="146"/>
      <c r="EW145" s="146"/>
      <c r="EX145" s="146"/>
      <c r="EY145" s="146"/>
      <c r="EZ145" s="146"/>
      <c r="FA145" s="146"/>
      <c r="FB145" s="146"/>
      <c r="FC145" s="146"/>
      <c r="FD145" s="146"/>
      <c r="FE145" s="146"/>
      <c r="FF145" s="146"/>
      <c r="FG145" s="146"/>
      <c r="FH145" s="146"/>
      <c r="FI145" s="146"/>
      <c r="FJ145" s="146"/>
      <c r="FK145" s="146"/>
      <c r="FL145" s="146"/>
      <c r="FM145" s="146"/>
      <c r="FN145" s="146"/>
      <c r="FO145" s="146"/>
      <c r="FP145" s="146"/>
      <c r="FQ145" s="146"/>
      <c r="FR145" s="146"/>
      <c r="FS145" s="146"/>
      <c r="FT145" s="146"/>
      <c r="FU145" s="146"/>
      <c r="FV145" s="146"/>
      <c r="FW145" s="146"/>
      <c r="FX145" s="146"/>
      <c r="FY145" s="146"/>
      <c r="FZ145" s="146"/>
      <c r="GA145" s="146"/>
      <c r="GB145" s="146"/>
      <c r="GC145" s="146"/>
      <c r="GD145" s="146"/>
      <c r="GE145" s="146"/>
      <c r="GF145" s="146"/>
      <c r="GG145" s="146"/>
      <c r="GH145" s="146"/>
      <c r="GI145" s="146"/>
      <c r="GJ145" s="146"/>
      <c r="GK145" s="146"/>
      <c r="GL145" s="146"/>
      <c r="GM145" s="146"/>
      <c r="GN145" s="146"/>
      <c r="GO145" s="146"/>
      <c r="GP145" s="146"/>
      <c r="GQ145" s="146"/>
      <c r="GR145" s="146"/>
      <c r="GS145" s="146"/>
      <c r="GT145" s="146"/>
      <c r="GU145" s="146"/>
      <c r="GV145" s="146"/>
      <c r="GW145" s="146"/>
      <c r="GX145" s="146"/>
      <c r="GY145" s="146"/>
      <c r="GZ145" s="146"/>
      <c r="HA145" s="146"/>
      <c r="HB145" s="146"/>
      <c r="HC145" s="146"/>
      <c r="HD145" s="146"/>
      <c r="HE145" s="146"/>
      <c r="HF145" s="146"/>
      <c r="HG145" s="146"/>
      <c r="HH145" s="146"/>
      <c r="HI145" s="146"/>
      <c r="HJ145" s="146"/>
      <c r="HK145" s="146"/>
      <c r="HL145" s="146"/>
      <c r="HM145" s="146"/>
      <c r="HN145" s="146"/>
      <c r="HO145" s="146"/>
      <c r="HP145" s="146"/>
      <c r="HQ145" s="146"/>
      <c r="HR145" s="146"/>
      <c r="HS145" s="146"/>
      <c r="HT145" s="146"/>
      <c r="HU145" s="146"/>
      <c r="HV145" s="146"/>
      <c r="HW145" s="146"/>
      <c r="HX145" s="146"/>
      <c r="HY145" s="146"/>
      <c r="HZ145" s="146"/>
      <c r="IA145" s="146"/>
    </row>
    <row r="146" spans="1:235" s="153" customFormat="1" ht="57" x14ac:dyDescent="0.25">
      <c r="A146" s="197">
        <v>11900</v>
      </c>
      <c r="B146" s="194" t="s">
        <v>349</v>
      </c>
      <c r="C146" s="198" t="s">
        <v>357</v>
      </c>
      <c r="D146" s="194" t="s">
        <v>146</v>
      </c>
      <c r="E146" s="1556" t="s">
        <v>719</v>
      </c>
      <c r="F146" s="1541" t="s">
        <v>704</v>
      </c>
      <c r="G146" s="1556" t="s">
        <v>123</v>
      </c>
      <c r="H146" s="216">
        <v>1</v>
      </c>
      <c r="I146" s="1556" t="s">
        <v>720</v>
      </c>
      <c r="J146" s="1541" t="s">
        <v>764</v>
      </c>
      <c r="K146" s="1559">
        <v>0</v>
      </c>
      <c r="L146" s="211">
        <v>1</v>
      </c>
      <c r="M146" s="1541" t="s">
        <v>46</v>
      </c>
      <c r="N146" s="1541" t="s">
        <v>74</v>
      </c>
      <c r="O146" s="1541" t="s">
        <v>21</v>
      </c>
      <c r="P146" s="1541" t="s">
        <v>36</v>
      </c>
      <c r="Q146" s="1541" t="s">
        <v>229</v>
      </c>
      <c r="R146" s="194" t="s">
        <v>706</v>
      </c>
      <c r="S146" s="194" t="s">
        <v>99</v>
      </c>
      <c r="T146" s="211">
        <v>1</v>
      </c>
      <c r="U146" s="1544" t="str">
        <f>+J146</f>
        <v>Adelantar proceso coactivo a partir de la  ejecutoria del acto administrativo que ordenó el cobro.</v>
      </c>
      <c r="V146" s="1547">
        <f t="shared" si="69"/>
        <v>0</v>
      </c>
      <c r="W146" s="1556" t="s">
        <v>117</v>
      </c>
      <c r="X146" s="216">
        <v>0.25</v>
      </c>
      <c r="Y146" s="1576" t="s">
        <v>764</v>
      </c>
      <c r="Z146" s="1559">
        <v>0</v>
      </c>
      <c r="AA146" s="196"/>
      <c r="AB146" s="1565"/>
      <c r="AC146" s="204">
        <f t="shared" si="70"/>
        <v>0</v>
      </c>
      <c r="AD146" s="216" t="e">
        <f t="shared" si="71"/>
        <v>#DIV/0!</v>
      </c>
      <c r="AE146" s="216">
        <f t="shared" si="58"/>
        <v>0</v>
      </c>
      <c r="AF146" s="216" t="e">
        <f t="shared" si="59"/>
        <v>#DIV/0!</v>
      </c>
      <c r="AG146" s="216">
        <v>0.25</v>
      </c>
      <c r="AH146" s="1580" t="s">
        <v>764</v>
      </c>
      <c r="AI146" s="210">
        <v>0</v>
      </c>
      <c r="AJ146" s="196"/>
      <c r="AK146" s="196"/>
      <c r="AL146" s="216">
        <f t="shared" si="72"/>
        <v>0</v>
      </c>
      <c r="AM146" s="216" t="e">
        <f t="shared" si="60"/>
        <v>#DIV/0!</v>
      </c>
      <c r="AN146" s="216">
        <f t="shared" si="61"/>
        <v>0</v>
      </c>
      <c r="AO146" s="216" t="e">
        <f t="shared" si="62"/>
        <v>#DIV/0!</v>
      </c>
      <c r="AP146" s="216">
        <v>0.25</v>
      </c>
      <c r="AQ146" s="214" t="s">
        <v>764</v>
      </c>
      <c r="AR146" s="210">
        <v>0</v>
      </c>
      <c r="AS146" s="196"/>
      <c r="AT146" s="196"/>
      <c r="AU146" s="216">
        <f t="shared" si="73"/>
        <v>0</v>
      </c>
      <c r="AV146" s="216" t="e">
        <f t="shared" si="74"/>
        <v>#DIV/0!</v>
      </c>
      <c r="AW146" s="216">
        <f t="shared" si="75"/>
        <v>0</v>
      </c>
      <c r="AX146" s="216" t="e">
        <f t="shared" si="76"/>
        <v>#DIV/0!</v>
      </c>
      <c r="AY146" s="216">
        <v>0.25</v>
      </c>
      <c r="AZ146" s="214" t="s">
        <v>764</v>
      </c>
      <c r="BA146" s="210">
        <v>0</v>
      </c>
      <c r="BB146" s="196"/>
      <c r="BC146" s="196"/>
      <c r="BD146" s="216">
        <f t="shared" si="77"/>
        <v>0</v>
      </c>
      <c r="BE146" s="216" t="e">
        <f t="shared" si="78"/>
        <v>#DIV/0!</v>
      </c>
      <c r="BF146" s="216">
        <f t="shared" si="79"/>
        <v>0</v>
      </c>
      <c r="BG146" s="216" t="e">
        <f t="shared" si="80"/>
        <v>#DIV/0!</v>
      </c>
      <c r="BH146" s="217">
        <f t="shared" si="63"/>
        <v>0</v>
      </c>
      <c r="BI146" s="217" t="str">
        <f t="shared" si="64"/>
        <v>No Prog ni Ejec</v>
      </c>
      <c r="BJ146" s="217">
        <f t="shared" si="65"/>
        <v>0</v>
      </c>
      <c r="BK146" s="217" t="str">
        <f t="shared" si="66"/>
        <v>No Prog ni Ejec</v>
      </c>
      <c r="BL146" s="217">
        <f t="shared" si="81"/>
        <v>0</v>
      </c>
      <c r="BM146" s="217" t="str">
        <f t="shared" si="82"/>
        <v>No Prog ni Ejec</v>
      </c>
      <c r="BN146" s="217">
        <f t="shared" si="67"/>
        <v>0</v>
      </c>
      <c r="BO146" s="217" t="str">
        <f t="shared" si="68"/>
        <v>No Prog ni Ejec</v>
      </c>
      <c r="BP146" s="206"/>
      <c r="BQ146" s="277">
        <v>31</v>
      </c>
      <c r="BR146" s="208">
        <f t="shared" si="57"/>
        <v>0.58333333333333337</v>
      </c>
      <c r="BS146" s="1571" t="str">
        <f t="shared" si="83"/>
        <v>Adelantar proceso coactivo a partir de la  ejecutoria del acto administrativo que ordenó el cobro.</v>
      </c>
      <c r="BT146" s="195">
        <f t="shared" si="56"/>
        <v>0</v>
      </c>
      <c r="BU146" s="196"/>
      <c r="BV146" s="196"/>
      <c r="BW146" s="196"/>
      <c r="BX146" s="196"/>
      <c r="BY146" s="196"/>
      <c r="BZ146" s="196"/>
      <c r="CA146" s="146"/>
      <c r="CB146" s="146"/>
      <c r="CC146" s="146"/>
      <c r="CD146" s="146"/>
      <c r="CE146" s="146"/>
      <c r="CF146" s="146"/>
      <c r="CG146" s="146"/>
      <c r="CH146" s="146"/>
      <c r="CI146" s="146"/>
      <c r="CJ146" s="146"/>
      <c r="CK146" s="146"/>
      <c r="CL146" s="146"/>
      <c r="CM146" s="146"/>
      <c r="CN146" s="146"/>
      <c r="CO146" s="146"/>
      <c r="CP146" s="146"/>
      <c r="CQ146" s="146"/>
      <c r="CR146" s="146"/>
      <c r="CS146" s="146"/>
      <c r="CT146" s="146"/>
      <c r="CU146" s="146"/>
      <c r="CV146" s="146"/>
      <c r="CW146" s="146"/>
      <c r="CX146" s="146"/>
      <c r="CY146" s="146"/>
      <c r="CZ146" s="146"/>
      <c r="DA146" s="146"/>
      <c r="DB146" s="146"/>
      <c r="DC146" s="146"/>
      <c r="DD146" s="146"/>
      <c r="DE146" s="146"/>
      <c r="DF146" s="146"/>
      <c r="DG146" s="146"/>
      <c r="DH146" s="146"/>
      <c r="DI146" s="146"/>
      <c r="DJ146" s="146"/>
      <c r="DK146" s="146"/>
      <c r="DL146" s="146"/>
      <c r="DM146" s="146"/>
      <c r="DN146" s="146"/>
      <c r="DO146" s="146"/>
      <c r="DP146" s="146"/>
      <c r="DQ146" s="146"/>
      <c r="DR146" s="146"/>
      <c r="DS146" s="146"/>
      <c r="DT146" s="146"/>
      <c r="DU146" s="146"/>
      <c r="DV146" s="146"/>
      <c r="DW146" s="146"/>
      <c r="DX146" s="146"/>
      <c r="DY146" s="146"/>
      <c r="DZ146" s="146"/>
      <c r="EA146" s="146"/>
      <c r="EB146" s="146"/>
      <c r="EC146" s="146"/>
      <c r="ED146" s="146"/>
      <c r="EE146" s="146"/>
      <c r="EF146" s="146"/>
      <c r="EG146" s="146"/>
      <c r="EH146" s="146"/>
      <c r="EI146" s="146"/>
      <c r="EJ146" s="146"/>
      <c r="EK146" s="146"/>
      <c r="EL146" s="146"/>
      <c r="EM146" s="146"/>
      <c r="EN146" s="146"/>
      <c r="EO146" s="146"/>
      <c r="EP146" s="146"/>
      <c r="EQ146" s="146"/>
      <c r="ER146" s="146"/>
      <c r="ES146" s="146"/>
      <c r="ET146" s="146"/>
      <c r="EU146" s="146"/>
      <c r="EV146" s="146"/>
      <c r="EW146" s="146"/>
      <c r="EX146" s="146"/>
      <c r="EY146" s="146"/>
      <c r="EZ146" s="146"/>
      <c r="FA146" s="146"/>
      <c r="FB146" s="146"/>
      <c r="FC146" s="146"/>
      <c r="FD146" s="146"/>
      <c r="FE146" s="146"/>
      <c r="FF146" s="146"/>
      <c r="FG146" s="146"/>
      <c r="FH146" s="146"/>
      <c r="FI146" s="146"/>
      <c r="FJ146" s="146"/>
      <c r="FK146" s="146"/>
      <c r="FL146" s="146"/>
      <c r="FM146" s="146"/>
      <c r="FN146" s="146"/>
      <c r="FO146" s="146"/>
      <c r="FP146" s="146"/>
      <c r="FQ146" s="146"/>
      <c r="FR146" s="146"/>
      <c r="FS146" s="146"/>
      <c r="FT146" s="146"/>
      <c r="FU146" s="146"/>
      <c r="FV146" s="146"/>
      <c r="FW146" s="146"/>
      <c r="FX146" s="146"/>
      <c r="FY146" s="146"/>
      <c r="FZ146" s="146"/>
      <c r="GA146" s="146"/>
      <c r="GB146" s="146"/>
      <c r="GC146" s="146"/>
      <c r="GD146" s="146"/>
      <c r="GE146" s="146"/>
      <c r="GF146" s="146"/>
      <c r="GG146" s="146"/>
      <c r="GH146" s="146"/>
      <c r="GI146" s="146"/>
      <c r="GJ146" s="146"/>
      <c r="GK146" s="146"/>
      <c r="GL146" s="146"/>
      <c r="GM146" s="146"/>
      <c r="GN146" s="146"/>
      <c r="GO146" s="146"/>
      <c r="GP146" s="146"/>
      <c r="GQ146" s="146"/>
      <c r="GR146" s="146"/>
      <c r="GS146" s="146"/>
      <c r="GT146" s="146"/>
      <c r="GU146" s="146"/>
      <c r="GV146" s="146"/>
      <c r="GW146" s="146"/>
      <c r="GX146" s="146"/>
      <c r="GY146" s="146"/>
      <c r="GZ146" s="146"/>
      <c r="HA146" s="146"/>
      <c r="HB146" s="146"/>
      <c r="HC146" s="146"/>
      <c r="HD146" s="146"/>
      <c r="HE146" s="146"/>
      <c r="HF146" s="146"/>
      <c r="HG146" s="146"/>
      <c r="HH146" s="146"/>
      <c r="HI146" s="146"/>
      <c r="HJ146" s="146"/>
      <c r="HK146" s="146"/>
      <c r="HL146" s="146"/>
      <c r="HM146" s="146"/>
      <c r="HN146" s="146"/>
      <c r="HO146" s="146"/>
      <c r="HP146" s="146"/>
      <c r="HQ146" s="146"/>
      <c r="HR146" s="146"/>
      <c r="HS146" s="146"/>
      <c r="HT146" s="146"/>
      <c r="HU146" s="146"/>
      <c r="HV146" s="146"/>
      <c r="HW146" s="146"/>
      <c r="HX146" s="146"/>
      <c r="HY146" s="146"/>
      <c r="HZ146" s="146"/>
      <c r="IA146" s="146"/>
    </row>
    <row r="147" spans="1:235" s="153" customFormat="1" ht="142.5" x14ac:dyDescent="0.25">
      <c r="A147" s="197">
        <v>11900</v>
      </c>
      <c r="B147" s="194" t="s">
        <v>349</v>
      </c>
      <c r="C147" s="198" t="s">
        <v>357</v>
      </c>
      <c r="D147" s="194" t="s">
        <v>146</v>
      </c>
      <c r="E147" s="1558"/>
      <c r="F147" s="1543"/>
      <c r="G147" s="1558"/>
      <c r="H147" s="200"/>
      <c r="I147" s="1558"/>
      <c r="J147" s="1543"/>
      <c r="K147" s="1561"/>
      <c r="L147" s="202"/>
      <c r="M147" s="1543"/>
      <c r="N147" s="1543"/>
      <c r="O147" s="1543"/>
      <c r="P147" s="1543"/>
      <c r="Q147" s="1543"/>
      <c r="R147" s="201" t="s">
        <v>839</v>
      </c>
      <c r="S147" s="194" t="s">
        <v>99</v>
      </c>
      <c r="T147" s="202"/>
      <c r="U147" s="1546"/>
      <c r="V147" s="1549"/>
      <c r="W147" s="1558"/>
      <c r="X147" s="200"/>
      <c r="Y147" s="1577"/>
      <c r="Z147" s="1561"/>
      <c r="AA147" s="196"/>
      <c r="AB147" s="1567"/>
      <c r="AC147" s="204"/>
      <c r="AD147" s="216"/>
      <c r="AE147" s="216"/>
      <c r="AF147" s="216"/>
      <c r="AG147" s="200"/>
      <c r="AH147" s="1581"/>
      <c r="AI147" s="210"/>
      <c r="AJ147" s="196"/>
      <c r="AK147" s="196"/>
      <c r="AL147" s="216"/>
      <c r="AM147" s="216"/>
      <c r="AN147" s="216"/>
      <c r="AO147" s="216"/>
      <c r="AP147" s="200"/>
      <c r="AQ147" s="214"/>
      <c r="AR147" s="210"/>
      <c r="AS147" s="196"/>
      <c r="AT147" s="196"/>
      <c r="AU147" s="216"/>
      <c r="AV147" s="216"/>
      <c r="AW147" s="216"/>
      <c r="AX147" s="216"/>
      <c r="AY147" s="200"/>
      <c r="AZ147" s="214"/>
      <c r="BA147" s="210"/>
      <c r="BB147" s="196"/>
      <c r="BC147" s="196"/>
      <c r="BD147" s="216"/>
      <c r="BE147" s="216"/>
      <c r="BF147" s="216"/>
      <c r="BG147" s="216"/>
      <c r="BH147" s="217"/>
      <c r="BI147" s="217"/>
      <c r="BJ147" s="217"/>
      <c r="BK147" s="217"/>
      <c r="BL147" s="217"/>
      <c r="BM147" s="217"/>
      <c r="BN147" s="217"/>
      <c r="BO147" s="217"/>
      <c r="BP147" s="206"/>
      <c r="BQ147" s="277">
        <v>31</v>
      </c>
      <c r="BR147" s="208">
        <f t="shared" si="57"/>
        <v>0</v>
      </c>
      <c r="BS147" s="1571"/>
      <c r="BT147" s="195">
        <f t="shared" si="56"/>
        <v>0</v>
      </c>
      <c r="BU147" s="196"/>
      <c r="BV147" s="196"/>
      <c r="BW147" s="196"/>
      <c r="BX147" s="196"/>
      <c r="BY147" s="196"/>
      <c r="BZ147" s="196"/>
      <c r="CA147" s="146"/>
      <c r="CB147" s="146"/>
      <c r="CC147" s="146"/>
      <c r="CD147" s="146"/>
      <c r="CE147" s="146"/>
      <c r="CF147" s="146"/>
      <c r="CG147" s="146"/>
      <c r="CH147" s="146"/>
      <c r="CI147" s="146"/>
      <c r="CJ147" s="146"/>
      <c r="CK147" s="146"/>
      <c r="CL147" s="146"/>
      <c r="CM147" s="146"/>
      <c r="CN147" s="146"/>
      <c r="CO147" s="146"/>
      <c r="CP147" s="146"/>
      <c r="CQ147" s="146"/>
      <c r="CR147" s="146"/>
      <c r="CS147" s="146"/>
      <c r="CT147" s="146"/>
      <c r="CU147" s="146"/>
      <c r="CV147" s="146"/>
      <c r="CW147" s="146"/>
      <c r="CX147" s="146"/>
      <c r="CY147" s="146"/>
      <c r="CZ147" s="146"/>
      <c r="DA147" s="146"/>
      <c r="DB147" s="146"/>
      <c r="DC147" s="146"/>
      <c r="DD147" s="146"/>
      <c r="DE147" s="146"/>
      <c r="DF147" s="146"/>
      <c r="DG147" s="146"/>
      <c r="DH147" s="146"/>
      <c r="DI147" s="146"/>
      <c r="DJ147" s="146"/>
      <c r="DK147" s="146"/>
      <c r="DL147" s="146"/>
      <c r="DM147" s="146"/>
      <c r="DN147" s="146"/>
      <c r="DO147" s="146"/>
      <c r="DP147" s="146"/>
      <c r="DQ147" s="146"/>
      <c r="DR147" s="146"/>
      <c r="DS147" s="146"/>
      <c r="DT147" s="146"/>
      <c r="DU147" s="146"/>
      <c r="DV147" s="146"/>
      <c r="DW147" s="146"/>
      <c r="DX147" s="146"/>
      <c r="DY147" s="146"/>
      <c r="DZ147" s="146"/>
      <c r="EA147" s="146"/>
      <c r="EB147" s="146"/>
      <c r="EC147" s="146"/>
      <c r="ED147" s="146"/>
      <c r="EE147" s="146"/>
      <c r="EF147" s="146"/>
      <c r="EG147" s="146"/>
      <c r="EH147" s="146"/>
      <c r="EI147" s="146"/>
      <c r="EJ147" s="146"/>
      <c r="EK147" s="146"/>
      <c r="EL147" s="146"/>
      <c r="EM147" s="146"/>
      <c r="EN147" s="146"/>
      <c r="EO147" s="146"/>
      <c r="EP147" s="146"/>
      <c r="EQ147" s="146"/>
      <c r="ER147" s="146"/>
      <c r="ES147" s="146"/>
      <c r="ET147" s="146"/>
      <c r="EU147" s="146"/>
      <c r="EV147" s="146"/>
      <c r="EW147" s="146"/>
      <c r="EX147" s="146"/>
      <c r="EY147" s="146"/>
      <c r="EZ147" s="146"/>
      <c r="FA147" s="146"/>
      <c r="FB147" s="146"/>
      <c r="FC147" s="146"/>
      <c r="FD147" s="146"/>
      <c r="FE147" s="146"/>
      <c r="FF147" s="146"/>
      <c r="FG147" s="146"/>
      <c r="FH147" s="146"/>
      <c r="FI147" s="146"/>
      <c r="FJ147" s="146"/>
      <c r="FK147" s="146"/>
      <c r="FL147" s="146"/>
      <c r="FM147" s="146"/>
      <c r="FN147" s="146"/>
      <c r="FO147" s="146"/>
      <c r="FP147" s="146"/>
      <c r="FQ147" s="146"/>
      <c r="FR147" s="146"/>
      <c r="FS147" s="146"/>
      <c r="FT147" s="146"/>
      <c r="FU147" s="146"/>
      <c r="FV147" s="146"/>
      <c r="FW147" s="146"/>
      <c r="FX147" s="146"/>
      <c r="FY147" s="146"/>
      <c r="FZ147" s="146"/>
      <c r="GA147" s="146"/>
      <c r="GB147" s="146"/>
      <c r="GC147" s="146"/>
      <c r="GD147" s="146"/>
      <c r="GE147" s="146"/>
      <c r="GF147" s="146"/>
      <c r="GG147" s="146"/>
      <c r="GH147" s="146"/>
      <c r="GI147" s="146"/>
      <c r="GJ147" s="146"/>
      <c r="GK147" s="146"/>
      <c r="GL147" s="146"/>
      <c r="GM147" s="146"/>
      <c r="GN147" s="146"/>
      <c r="GO147" s="146"/>
      <c r="GP147" s="146"/>
      <c r="GQ147" s="146"/>
      <c r="GR147" s="146"/>
      <c r="GS147" s="146"/>
      <c r="GT147" s="146"/>
      <c r="GU147" s="146"/>
      <c r="GV147" s="146"/>
      <c r="GW147" s="146"/>
      <c r="GX147" s="146"/>
      <c r="GY147" s="146"/>
      <c r="GZ147" s="146"/>
      <c r="HA147" s="146"/>
      <c r="HB147" s="146"/>
      <c r="HC147" s="146"/>
      <c r="HD147" s="146"/>
      <c r="HE147" s="146"/>
      <c r="HF147" s="146"/>
      <c r="HG147" s="146"/>
      <c r="HH147" s="146"/>
      <c r="HI147" s="146"/>
      <c r="HJ147" s="146"/>
      <c r="HK147" s="146"/>
      <c r="HL147" s="146"/>
      <c r="HM147" s="146"/>
      <c r="HN147" s="146"/>
      <c r="HO147" s="146"/>
      <c r="HP147" s="146"/>
      <c r="HQ147" s="146"/>
      <c r="HR147" s="146"/>
      <c r="HS147" s="146"/>
      <c r="HT147" s="146"/>
      <c r="HU147" s="146"/>
      <c r="HV147" s="146"/>
      <c r="HW147" s="146"/>
      <c r="HX147" s="146"/>
      <c r="HY147" s="146"/>
      <c r="HZ147" s="146"/>
      <c r="IA147" s="146"/>
    </row>
    <row r="148" spans="1:235" s="152" customFormat="1" ht="199.5" x14ac:dyDescent="0.25">
      <c r="A148" s="197">
        <v>11900</v>
      </c>
      <c r="B148" s="194" t="s">
        <v>349</v>
      </c>
      <c r="C148" s="198" t="s">
        <v>357</v>
      </c>
      <c r="D148" s="194" t="s">
        <v>146</v>
      </c>
      <c r="E148" s="198" t="s">
        <v>701</v>
      </c>
      <c r="F148" s="194" t="s">
        <v>712</v>
      </c>
      <c r="G148" s="209" t="s">
        <v>123</v>
      </c>
      <c r="H148" s="216">
        <v>1</v>
      </c>
      <c r="I148" s="198" t="s">
        <v>707</v>
      </c>
      <c r="J148" s="194" t="s">
        <v>468</v>
      </c>
      <c r="K148" s="210">
        <v>150000000</v>
      </c>
      <c r="L148" s="211">
        <v>1</v>
      </c>
      <c r="M148" s="194" t="s">
        <v>46</v>
      </c>
      <c r="N148" s="194" t="s">
        <v>74</v>
      </c>
      <c r="O148" s="194" t="s">
        <v>21</v>
      </c>
      <c r="P148" s="194" t="s">
        <v>36</v>
      </c>
      <c r="Q148" s="194" t="s">
        <v>229</v>
      </c>
      <c r="R148" s="194" t="s">
        <v>182</v>
      </c>
      <c r="S148" s="194" t="s">
        <v>99</v>
      </c>
      <c r="T148" s="211">
        <v>1</v>
      </c>
      <c r="U148" s="212" t="str">
        <f t="shared" si="69"/>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V148" s="213">
        <f t="shared" si="69"/>
        <v>150000000</v>
      </c>
      <c r="W148" s="222" t="s">
        <v>114</v>
      </c>
      <c r="X148" s="216">
        <v>0.25</v>
      </c>
      <c r="Y148" s="214" t="s">
        <v>468</v>
      </c>
      <c r="Z148" s="210">
        <f>+V148*X148</f>
        <v>37500000</v>
      </c>
      <c r="AA148" s="196"/>
      <c r="AB148" s="196"/>
      <c r="AC148" s="204">
        <f t="shared" si="70"/>
        <v>0</v>
      </c>
      <c r="AD148" s="216">
        <f t="shared" si="71"/>
        <v>0</v>
      </c>
      <c r="AE148" s="216">
        <f t="shared" si="58"/>
        <v>0</v>
      </c>
      <c r="AF148" s="216">
        <f t="shared" si="59"/>
        <v>0</v>
      </c>
      <c r="AG148" s="216">
        <v>0.25</v>
      </c>
      <c r="AH148" s="214" t="s">
        <v>468</v>
      </c>
      <c r="AI148" s="210">
        <v>37500000</v>
      </c>
      <c r="AJ148" s="196"/>
      <c r="AK148" s="196"/>
      <c r="AL148" s="216">
        <f t="shared" si="72"/>
        <v>0</v>
      </c>
      <c r="AM148" s="216">
        <f t="shared" si="60"/>
        <v>0</v>
      </c>
      <c r="AN148" s="216">
        <f t="shared" si="61"/>
        <v>0</v>
      </c>
      <c r="AO148" s="216">
        <f t="shared" si="62"/>
        <v>0</v>
      </c>
      <c r="AP148" s="216">
        <v>0.25</v>
      </c>
      <c r="AQ148" s="214" t="s">
        <v>468</v>
      </c>
      <c r="AR148" s="210">
        <v>37500000</v>
      </c>
      <c r="AS148" s="196"/>
      <c r="AT148" s="196"/>
      <c r="AU148" s="216">
        <f t="shared" si="73"/>
        <v>0</v>
      </c>
      <c r="AV148" s="216">
        <f t="shared" si="74"/>
        <v>0</v>
      </c>
      <c r="AW148" s="216">
        <f t="shared" si="75"/>
        <v>0</v>
      </c>
      <c r="AX148" s="216">
        <f t="shared" si="76"/>
        <v>0</v>
      </c>
      <c r="AY148" s="216">
        <v>0.25</v>
      </c>
      <c r="AZ148" s="214" t="s">
        <v>468</v>
      </c>
      <c r="BA148" s="210">
        <v>37500000</v>
      </c>
      <c r="BB148" s="196"/>
      <c r="BC148" s="196"/>
      <c r="BD148" s="216">
        <f t="shared" si="77"/>
        <v>0</v>
      </c>
      <c r="BE148" s="216">
        <f t="shared" si="78"/>
        <v>0</v>
      </c>
      <c r="BF148" s="216">
        <f t="shared" si="79"/>
        <v>0</v>
      </c>
      <c r="BG148" s="216">
        <f t="shared" si="80"/>
        <v>0</v>
      </c>
      <c r="BH148" s="243">
        <f t="shared" si="63"/>
        <v>0</v>
      </c>
      <c r="BI148" s="243">
        <f t="shared" si="64"/>
        <v>0</v>
      </c>
      <c r="BJ148" s="243">
        <f t="shared" si="65"/>
        <v>0</v>
      </c>
      <c r="BK148" s="243">
        <f t="shared" si="66"/>
        <v>0</v>
      </c>
      <c r="BL148" s="243">
        <f t="shared" si="81"/>
        <v>0</v>
      </c>
      <c r="BM148" s="243">
        <f t="shared" si="82"/>
        <v>0</v>
      </c>
      <c r="BN148" s="243">
        <f t="shared" si="67"/>
        <v>0</v>
      </c>
      <c r="BO148" s="243">
        <f t="shared" si="68"/>
        <v>0</v>
      </c>
      <c r="BP148" s="206"/>
      <c r="BQ148" s="277">
        <v>32</v>
      </c>
      <c r="BR148" s="208">
        <f t="shared" si="57"/>
        <v>0.58333333333333337</v>
      </c>
      <c r="BS148" s="219" t="str">
        <f t="shared" si="83"/>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T148" s="195">
        <f t="shared" si="56"/>
        <v>87500000</v>
      </c>
      <c r="BU148" s="196"/>
      <c r="BV148" s="196"/>
      <c r="BW148" s="196"/>
      <c r="BX148" s="196"/>
      <c r="BY148" s="196"/>
      <c r="BZ148" s="196"/>
      <c r="CA148" s="146"/>
      <c r="CB148" s="146"/>
      <c r="CC148" s="146"/>
      <c r="CD148" s="146"/>
      <c r="CE148" s="146"/>
      <c r="CF148" s="146"/>
      <c r="CG148" s="146"/>
      <c r="CH148" s="146"/>
      <c r="CI148" s="146"/>
      <c r="CJ148" s="146"/>
      <c r="CK148" s="146"/>
      <c r="CL148" s="146"/>
      <c r="CM148" s="146"/>
      <c r="CN148" s="146"/>
      <c r="CO148" s="146"/>
      <c r="CP148" s="146"/>
      <c r="CQ148" s="146"/>
      <c r="CR148" s="146"/>
      <c r="CS148" s="146"/>
      <c r="CT148" s="146"/>
      <c r="CU148" s="146"/>
      <c r="CV148" s="146"/>
      <c r="CW148" s="146"/>
      <c r="CX148" s="146"/>
      <c r="CY148" s="146"/>
      <c r="CZ148" s="146"/>
      <c r="DA148" s="146"/>
      <c r="DB148" s="146"/>
      <c r="DC148" s="146"/>
      <c r="DD148" s="146"/>
      <c r="DE148" s="146"/>
      <c r="DF148" s="146"/>
      <c r="DG148" s="146"/>
      <c r="DH148" s="146"/>
      <c r="DI148" s="146"/>
      <c r="DJ148" s="146"/>
      <c r="DK148" s="146"/>
      <c r="DL148" s="146"/>
      <c r="DM148" s="146"/>
      <c r="DN148" s="146"/>
      <c r="DO148" s="146"/>
      <c r="DP148" s="146"/>
      <c r="DQ148" s="146"/>
      <c r="DR148" s="146"/>
      <c r="DS148" s="146"/>
      <c r="DT148" s="146"/>
      <c r="DU148" s="146"/>
      <c r="DV148" s="146"/>
      <c r="DW148" s="146"/>
      <c r="DX148" s="146"/>
      <c r="DY148" s="146"/>
      <c r="DZ148" s="146"/>
      <c r="EA148" s="146"/>
      <c r="EB148" s="146"/>
      <c r="EC148" s="146"/>
      <c r="ED148" s="146"/>
      <c r="EE148" s="146"/>
      <c r="EF148" s="146"/>
      <c r="EG148" s="146"/>
      <c r="EH148" s="146"/>
      <c r="EI148" s="146"/>
      <c r="EJ148" s="146"/>
      <c r="EK148" s="146"/>
      <c r="EL148" s="146"/>
      <c r="EM148" s="146"/>
      <c r="EN148" s="146"/>
      <c r="EO148" s="146"/>
      <c r="EP148" s="146"/>
      <c r="EQ148" s="146"/>
      <c r="ER148" s="146"/>
      <c r="ES148" s="146"/>
      <c r="ET148" s="146"/>
      <c r="EU148" s="146"/>
      <c r="EV148" s="146"/>
      <c r="EW148" s="146"/>
      <c r="EX148" s="146"/>
      <c r="EY148" s="146"/>
      <c r="EZ148" s="146"/>
      <c r="FA148" s="146"/>
      <c r="FB148" s="146"/>
      <c r="FC148" s="146"/>
      <c r="FD148" s="146"/>
      <c r="FE148" s="146"/>
      <c r="FF148" s="146"/>
      <c r="FG148" s="146"/>
      <c r="FH148" s="146"/>
      <c r="FI148" s="146"/>
      <c r="FJ148" s="146"/>
      <c r="FK148" s="146"/>
      <c r="FL148" s="146"/>
      <c r="FM148" s="146"/>
      <c r="FN148" s="146"/>
      <c r="FO148" s="146"/>
      <c r="FP148" s="146"/>
      <c r="FQ148" s="146"/>
      <c r="FR148" s="146"/>
      <c r="FS148" s="146"/>
      <c r="FT148" s="146"/>
      <c r="FU148" s="146"/>
      <c r="FV148" s="146"/>
      <c r="FW148" s="146"/>
      <c r="FX148" s="146"/>
      <c r="FY148" s="146"/>
      <c r="FZ148" s="146"/>
      <c r="GA148" s="146"/>
      <c r="GB148" s="146"/>
      <c r="GC148" s="146"/>
      <c r="GD148" s="146"/>
      <c r="GE148" s="146"/>
      <c r="GF148" s="146"/>
      <c r="GG148" s="146"/>
      <c r="GH148" s="146"/>
      <c r="GI148" s="146"/>
      <c r="GJ148" s="146"/>
      <c r="GK148" s="146"/>
      <c r="GL148" s="146"/>
      <c r="GM148" s="146"/>
      <c r="GN148" s="146"/>
      <c r="GO148" s="146"/>
      <c r="GP148" s="146"/>
      <c r="GQ148" s="146"/>
      <c r="GR148" s="146"/>
      <c r="GS148" s="146"/>
      <c r="GT148" s="146"/>
      <c r="GU148" s="146"/>
      <c r="GV148" s="146"/>
      <c r="GW148" s="146"/>
      <c r="GX148" s="146"/>
      <c r="GY148" s="146"/>
      <c r="GZ148" s="146"/>
      <c r="HA148" s="146"/>
      <c r="HB148" s="146"/>
      <c r="HC148" s="146"/>
      <c r="HD148" s="146"/>
      <c r="HE148" s="146"/>
      <c r="HF148" s="146"/>
      <c r="HG148" s="146"/>
      <c r="HH148" s="146"/>
      <c r="HI148" s="146"/>
      <c r="HJ148" s="146"/>
      <c r="HK148" s="146"/>
      <c r="HL148" s="146"/>
      <c r="HM148" s="146"/>
      <c r="HN148" s="146"/>
      <c r="HO148" s="146"/>
      <c r="HP148" s="146"/>
      <c r="HQ148" s="146"/>
      <c r="HR148" s="146"/>
      <c r="HS148" s="146"/>
      <c r="HT148" s="146"/>
      <c r="HU148" s="146"/>
      <c r="HV148" s="146"/>
      <c r="HW148" s="146"/>
      <c r="HX148" s="146"/>
      <c r="HY148" s="146"/>
      <c r="HZ148" s="146"/>
      <c r="IA148" s="146"/>
    </row>
    <row r="149" spans="1:235" s="152" customFormat="1" ht="199.5" x14ac:dyDescent="0.25">
      <c r="A149" s="197">
        <v>11900</v>
      </c>
      <c r="B149" s="194" t="s">
        <v>349</v>
      </c>
      <c r="C149" s="198" t="s">
        <v>357</v>
      </c>
      <c r="D149" s="194" t="s">
        <v>146</v>
      </c>
      <c r="E149" s="198" t="s">
        <v>721</v>
      </c>
      <c r="F149" s="194" t="s">
        <v>709</v>
      </c>
      <c r="G149" s="209" t="s">
        <v>123</v>
      </c>
      <c r="H149" s="216">
        <v>1</v>
      </c>
      <c r="I149" s="198" t="s">
        <v>708</v>
      </c>
      <c r="J149" s="194" t="s">
        <v>374</v>
      </c>
      <c r="K149" s="210">
        <v>144328579</v>
      </c>
      <c r="L149" s="211">
        <v>1</v>
      </c>
      <c r="M149" s="194" t="s">
        <v>46</v>
      </c>
      <c r="N149" s="194" t="s">
        <v>74</v>
      </c>
      <c r="O149" s="194" t="s">
        <v>21</v>
      </c>
      <c r="P149" s="194" t="s">
        <v>36</v>
      </c>
      <c r="Q149" s="194" t="s">
        <v>229</v>
      </c>
      <c r="R149" s="194" t="s">
        <v>182</v>
      </c>
      <c r="S149" s="194" t="s">
        <v>99</v>
      </c>
      <c r="T149" s="211">
        <v>1</v>
      </c>
      <c r="U149" s="212" t="str">
        <f t="shared" si="69"/>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V149" s="213">
        <f t="shared" si="69"/>
        <v>144328579</v>
      </c>
      <c r="W149" s="222" t="s">
        <v>114</v>
      </c>
      <c r="X149" s="216">
        <v>0.25</v>
      </c>
      <c r="Y149" s="214" t="s">
        <v>374</v>
      </c>
      <c r="Z149" s="210">
        <f>+V149*X149</f>
        <v>36082144.75</v>
      </c>
      <c r="AA149" s="196"/>
      <c r="AB149" s="196"/>
      <c r="AC149" s="204">
        <f t="shared" si="70"/>
        <v>0</v>
      </c>
      <c r="AD149" s="216">
        <f t="shared" si="71"/>
        <v>0</v>
      </c>
      <c r="AE149" s="216">
        <f t="shared" si="58"/>
        <v>0</v>
      </c>
      <c r="AF149" s="216">
        <f t="shared" si="59"/>
        <v>0</v>
      </c>
      <c r="AG149" s="216">
        <v>0.25</v>
      </c>
      <c r="AH149" s="214" t="s">
        <v>374</v>
      </c>
      <c r="AI149" s="210">
        <v>36082144.75</v>
      </c>
      <c r="AJ149" s="196"/>
      <c r="AK149" s="196"/>
      <c r="AL149" s="216">
        <f>+(AJ149/AG149)</f>
        <v>0</v>
      </c>
      <c r="AM149" s="216">
        <f>+(AK149/AI149)</f>
        <v>0</v>
      </c>
      <c r="AN149" s="216">
        <f>+(AJ149+AA149)/T149</f>
        <v>0</v>
      </c>
      <c r="AO149" s="216">
        <f>+(AK149+AB149)/V149</f>
        <v>0</v>
      </c>
      <c r="AP149" s="216">
        <v>0.25</v>
      </c>
      <c r="AQ149" s="214" t="s">
        <v>374</v>
      </c>
      <c r="AR149" s="210">
        <v>36082144.75</v>
      </c>
      <c r="AS149" s="196"/>
      <c r="AT149" s="196"/>
      <c r="AU149" s="216">
        <f t="shared" si="73"/>
        <v>0</v>
      </c>
      <c r="AV149" s="216">
        <f t="shared" si="74"/>
        <v>0</v>
      </c>
      <c r="AW149" s="216">
        <f t="shared" si="75"/>
        <v>0</v>
      </c>
      <c r="AX149" s="216">
        <f t="shared" si="76"/>
        <v>0</v>
      </c>
      <c r="AY149" s="216">
        <v>0.25</v>
      </c>
      <c r="AZ149" s="214" t="s">
        <v>374</v>
      </c>
      <c r="BA149" s="210">
        <v>36082144.75</v>
      </c>
      <c r="BB149" s="196"/>
      <c r="BC149" s="196"/>
      <c r="BD149" s="216">
        <f t="shared" si="77"/>
        <v>0</v>
      </c>
      <c r="BE149" s="216">
        <f t="shared" si="78"/>
        <v>0</v>
      </c>
      <c r="BF149" s="216">
        <f t="shared" si="79"/>
        <v>0</v>
      </c>
      <c r="BG149" s="216">
        <f t="shared" si="80"/>
        <v>0</v>
      </c>
      <c r="BH149" s="243">
        <f t="shared" si="63"/>
        <v>0</v>
      </c>
      <c r="BI149" s="243">
        <f t="shared" si="64"/>
        <v>0</v>
      </c>
      <c r="BJ149" s="243">
        <f t="shared" si="65"/>
        <v>0</v>
      </c>
      <c r="BK149" s="243">
        <f t="shared" si="66"/>
        <v>0</v>
      </c>
      <c r="BL149" s="243">
        <f t="shared" si="81"/>
        <v>0</v>
      </c>
      <c r="BM149" s="243">
        <f t="shared" si="82"/>
        <v>0</v>
      </c>
      <c r="BN149" s="243">
        <f t="shared" si="67"/>
        <v>0</v>
      </c>
      <c r="BO149" s="243">
        <f t="shared" si="68"/>
        <v>0</v>
      </c>
      <c r="BP149" s="206"/>
      <c r="BQ149" s="277">
        <v>32</v>
      </c>
      <c r="BR149" s="208">
        <f t="shared" si="57"/>
        <v>0.58333333333333337</v>
      </c>
      <c r="BS149" s="219" t="str">
        <f t="shared" si="83"/>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T149" s="195">
        <f t="shared" si="56"/>
        <v>84191671.083333328</v>
      </c>
      <c r="BU149" s="196"/>
      <c r="BV149" s="196"/>
      <c r="BW149" s="196"/>
      <c r="BX149" s="196"/>
      <c r="BY149" s="196"/>
      <c r="BZ149" s="196"/>
      <c r="CA149" s="146"/>
      <c r="CB149" s="146"/>
      <c r="CC149" s="146"/>
      <c r="CD149" s="146"/>
      <c r="CE149" s="146"/>
      <c r="CF149" s="146"/>
      <c r="CG149" s="146"/>
      <c r="CH149" s="146"/>
      <c r="CI149" s="146"/>
      <c r="CJ149" s="146"/>
      <c r="CK149" s="146"/>
      <c r="CL149" s="146"/>
      <c r="CM149" s="146"/>
      <c r="CN149" s="146"/>
      <c r="CO149" s="146"/>
      <c r="CP149" s="146"/>
      <c r="CQ149" s="146"/>
      <c r="CR149" s="146"/>
      <c r="CS149" s="146"/>
      <c r="CT149" s="146"/>
      <c r="CU149" s="146"/>
      <c r="CV149" s="146"/>
      <c r="CW149" s="146"/>
      <c r="CX149" s="146"/>
      <c r="CY149" s="146"/>
      <c r="CZ149" s="146"/>
      <c r="DA149" s="146"/>
      <c r="DB149" s="146"/>
      <c r="DC149" s="146"/>
      <c r="DD149" s="146"/>
      <c r="DE149" s="146"/>
      <c r="DF149" s="146"/>
      <c r="DG149" s="146"/>
      <c r="DH149" s="146"/>
      <c r="DI149" s="146"/>
      <c r="DJ149" s="146"/>
      <c r="DK149" s="146"/>
      <c r="DL149" s="146"/>
      <c r="DM149" s="146"/>
      <c r="DN149" s="146"/>
      <c r="DO149" s="146"/>
      <c r="DP149" s="146"/>
      <c r="DQ149" s="146"/>
      <c r="DR149" s="146"/>
      <c r="DS149" s="146"/>
      <c r="DT149" s="146"/>
      <c r="DU149" s="146"/>
      <c r="DV149" s="146"/>
      <c r="DW149" s="146"/>
      <c r="DX149" s="146"/>
      <c r="DY149" s="146"/>
      <c r="DZ149" s="146"/>
      <c r="EA149" s="146"/>
      <c r="EB149" s="146"/>
      <c r="EC149" s="146"/>
      <c r="ED149" s="146"/>
      <c r="EE149" s="146"/>
      <c r="EF149" s="146"/>
      <c r="EG149" s="146"/>
      <c r="EH149" s="146"/>
      <c r="EI149" s="146"/>
      <c r="EJ149" s="146"/>
      <c r="EK149" s="146"/>
      <c r="EL149" s="146"/>
      <c r="EM149" s="146"/>
      <c r="EN149" s="146"/>
      <c r="EO149" s="146"/>
      <c r="EP149" s="146"/>
      <c r="EQ149" s="146"/>
      <c r="ER149" s="146"/>
      <c r="ES149" s="146"/>
      <c r="ET149" s="146"/>
      <c r="EU149" s="146"/>
      <c r="EV149" s="146"/>
      <c r="EW149" s="146"/>
      <c r="EX149" s="146"/>
      <c r="EY149" s="146"/>
      <c r="EZ149" s="146"/>
      <c r="FA149" s="146"/>
      <c r="FB149" s="146"/>
      <c r="FC149" s="146"/>
      <c r="FD149" s="146"/>
      <c r="FE149" s="146"/>
      <c r="FF149" s="146"/>
      <c r="FG149" s="146"/>
      <c r="FH149" s="146"/>
      <c r="FI149" s="146"/>
      <c r="FJ149" s="146"/>
      <c r="FK149" s="146"/>
      <c r="FL149" s="146"/>
      <c r="FM149" s="146"/>
      <c r="FN149" s="146"/>
      <c r="FO149" s="146"/>
      <c r="FP149" s="146"/>
      <c r="FQ149" s="146"/>
      <c r="FR149" s="146"/>
      <c r="FS149" s="146"/>
      <c r="FT149" s="146"/>
      <c r="FU149" s="146"/>
      <c r="FV149" s="146"/>
      <c r="FW149" s="146"/>
      <c r="FX149" s="146"/>
      <c r="FY149" s="146"/>
      <c r="FZ149" s="146"/>
      <c r="GA149" s="146"/>
      <c r="GB149" s="146"/>
      <c r="GC149" s="146"/>
      <c r="GD149" s="146"/>
      <c r="GE149" s="146"/>
      <c r="GF149" s="146"/>
      <c r="GG149" s="146"/>
      <c r="GH149" s="146"/>
      <c r="GI149" s="146"/>
      <c r="GJ149" s="146"/>
      <c r="GK149" s="146"/>
      <c r="GL149" s="146"/>
      <c r="GM149" s="146"/>
      <c r="GN149" s="146"/>
      <c r="GO149" s="146"/>
      <c r="GP149" s="146"/>
      <c r="GQ149" s="146"/>
      <c r="GR149" s="146"/>
      <c r="GS149" s="146"/>
      <c r="GT149" s="146"/>
      <c r="GU149" s="146"/>
      <c r="GV149" s="146"/>
      <c r="GW149" s="146"/>
      <c r="GX149" s="146"/>
      <c r="GY149" s="146"/>
      <c r="GZ149" s="146"/>
      <c r="HA149" s="146"/>
      <c r="HB149" s="146"/>
      <c r="HC149" s="146"/>
      <c r="HD149" s="146"/>
      <c r="HE149" s="146"/>
      <c r="HF149" s="146"/>
      <c r="HG149" s="146"/>
      <c r="HH149" s="146"/>
      <c r="HI149" s="146"/>
      <c r="HJ149" s="146"/>
      <c r="HK149" s="146"/>
      <c r="HL149" s="146"/>
      <c r="HM149" s="146"/>
      <c r="HN149" s="146"/>
      <c r="HO149" s="146"/>
      <c r="HP149" s="146"/>
      <c r="HQ149" s="146"/>
      <c r="HR149" s="146"/>
      <c r="HS149" s="146"/>
      <c r="HT149" s="146"/>
      <c r="HU149" s="146"/>
      <c r="HV149" s="146"/>
      <c r="HW149" s="146"/>
      <c r="HX149" s="146"/>
      <c r="HY149" s="146"/>
      <c r="HZ149" s="146"/>
      <c r="IA149" s="146"/>
    </row>
    <row r="150" spans="1:235" s="155" customFormat="1" ht="123.75" customHeight="1" thickBot="1" x14ac:dyDescent="0.3">
      <c r="A150" s="249">
        <v>11900</v>
      </c>
      <c r="B150" s="250" t="s">
        <v>349</v>
      </c>
      <c r="C150" s="251" t="s">
        <v>357</v>
      </c>
      <c r="D150" s="250" t="s">
        <v>146</v>
      </c>
      <c r="E150" s="251" t="s">
        <v>710</v>
      </c>
      <c r="F150" s="250" t="s">
        <v>713</v>
      </c>
      <c r="G150" s="252" t="s">
        <v>123</v>
      </c>
      <c r="H150" s="253">
        <v>1</v>
      </c>
      <c r="I150" s="251" t="s">
        <v>711</v>
      </c>
      <c r="J150" s="250" t="s">
        <v>375</v>
      </c>
      <c r="K150" s="254">
        <v>163716856</v>
      </c>
      <c r="L150" s="255">
        <v>1</v>
      </c>
      <c r="M150" s="250" t="s">
        <v>46</v>
      </c>
      <c r="N150" s="250" t="s">
        <v>74</v>
      </c>
      <c r="O150" s="250" t="s">
        <v>21</v>
      </c>
      <c r="P150" s="250" t="s">
        <v>36</v>
      </c>
      <c r="Q150" s="250" t="s">
        <v>229</v>
      </c>
      <c r="R150" s="250" t="s">
        <v>714</v>
      </c>
      <c r="S150" s="250" t="s">
        <v>99</v>
      </c>
      <c r="T150" s="255">
        <v>1</v>
      </c>
      <c r="U150" s="256" t="str">
        <f t="shared" si="69"/>
        <v>Ejercer la representación judicial en los procesos penales en que sea parte la Administradora de los Recursos del Sistema General de Seguridad Social en Salud – Administradora de los Recursos del Sistema General de Seguridad Social en Salud - ADRES.</v>
      </c>
      <c r="V150" s="257">
        <f t="shared" si="69"/>
        <v>163716856</v>
      </c>
      <c r="W150" s="222" t="s">
        <v>114</v>
      </c>
      <c r="X150" s="253">
        <v>0.25</v>
      </c>
      <c r="Y150" s="258" t="s">
        <v>375</v>
      </c>
      <c r="Z150" s="254">
        <f>+X150*V150</f>
        <v>40929214</v>
      </c>
      <c r="AA150" s="259"/>
      <c r="AB150" s="259"/>
      <c r="AC150" s="260">
        <f t="shared" si="70"/>
        <v>0</v>
      </c>
      <c r="AD150" s="253">
        <f t="shared" si="71"/>
        <v>0</v>
      </c>
      <c r="AE150" s="253">
        <f t="shared" si="58"/>
        <v>0</v>
      </c>
      <c r="AF150" s="253">
        <f t="shared" si="59"/>
        <v>0</v>
      </c>
      <c r="AG150" s="253">
        <v>0.25</v>
      </c>
      <c r="AH150" s="258" t="s">
        <v>375</v>
      </c>
      <c r="AI150" s="254">
        <v>40929214</v>
      </c>
      <c r="AJ150" s="259"/>
      <c r="AK150" s="259"/>
      <c r="AL150" s="253">
        <f t="shared" si="72"/>
        <v>0</v>
      </c>
      <c r="AM150" s="253">
        <f t="shared" si="60"/>
        <v>0</v>
      </c>
      <c r="AN150" s="253">
        <f t="shared" si="61"/>
        <v>0</v>
      </c>
      <c r="AO150" s="253">
        <f t="shared" si="62"/>
        <v>0</v>
      </c>
      <c r="AP150" s="253">
        <v>0.25</v>
      </c>
      <c r="AQ150" s="258" t="s">
        <v>375</v>
      </c>
      <c r="AR150" s="254">
        <v>40929214</v>
      </c>
      <c r="AS150" s="259"/>
      <c r="AT150" s="259"/>
      <c r="AU150" s="253">
        <f t="shared" si="73"/>
        <v>0</v>
      </c>
      <c r="AV150" s="253">
        <f t="shared" si="74"/>
        <v>0</v>
      </c>
      <c r="AW150" s="253">
        <f t="shared" si="75"/>
        <v>0</v>
      </c>
      <c r="AX150" s="253">
        <f t="shared" si="76"/>
        <v>0</v>
      </c>
      <c r="AY150" s="253">
        <v>0.25</v>
      </c>
      <c r="AZ150" s="258" t="s">
        <v>375</v>
      </c>
      <c r="BA150" s="254">
        <v>40929214</v>
      </c>
      <c r="BB150" s="259"/>
      <c r="BC150" s="259"/>
      <c r="BD150" s="253">
        <f t="shared" si="77"/>
        <v>0</v>
      </c>
      <c r="BE150" s="253">
        <f t="shared" si="78"/>
        <v>0</v>
      </c>
      <c r="BF150" s="253">
        <f t="shared" si="79"/>
        <v>0</v>
      </c>
      <c r="BG150" s="253">
        <f t="shared" si="80"/>
        <v>0</v>
      </c>
      <c r="BH150" s="261">
        <f t="shared" si="63"/>
        <v>0</v>
      </c>
      <c r="BI150" s="261">
        <f t="shared" si="64"/>
        <v>0</v>
      </c>
      <c r="BJ150" s="261">
        <f t="shared" si="65"/>
        <v>0</v>
      </c>
      <c r="BK150" s="261">
        <f t="shared" si="66"/>
        <v>0</v>
      </c>
      <c r="BL150" s="261">
        <f t="shared" si="81"/>
        <v>0</v>
      </c>
      <c r="BM150" s="261">
        <f t="shared" si="82"/>
        <v>0</v>
      </c>
      <c r="BN150" s="261">
        <f t="shared" si="67"/>
        <v>0</v>
      </c>
      <c r="BO150" s="261">
        <f t="shared" si="68"/>
        <v>0</v>
      </c>
      <c r="BP150" s="262"/>
      <c r="BQ150" s="277">
        <v>32</v>
      </c>
      <c r="BR150" s="208">
        <f t="shared" si="57"/>
        <v>0.58333333333333337</v>
      </c>
      <c r="BS150" s="219" t="str">
        <f t="shared" si="83"/>
        <v>Ejercer la representación judicial en los procesos penales en que sea parte la Administradora de los Recursos del Sistema General de Seguridad Social en Salud – Administradora de los Recursos del Sistema General de Seguridad Social en Salud - ADRES.</v>
      </c>
      <c r="BT150" s="195">
        <f t="shared" si="56"/>
        <v>95501499.333333328</v>
      </c>
      <c r="BU150" s="196"/>
      <c r="BV150" s="196"/>
      <c r="BW150" s="196"/>
      <c r="BX150" s="196"/>
      <c r="BY150" s="196"/>
      <c r="BZ150" s="196"/>
      <c r="CA150" s="146"/>
      <c r="CB150" s="146"/>
      <c r="CC150" s="146"/>
      <c r="CD150" s="146"/>
      <c r="CE150" s="146"/>
      <c r="CF150" s="146"/>
      <c r="CG150" s="146"/>
      <c r="CH150" s="146"/>
      <c r="CI150" s="146"/>
      <c r="CJ150" s="146"/>
      <c r="CK150" s="146"/>
      <c r="CL150" s="146"/>
      <c r="CM150" s="146"/>
      <c r="CN150" s="146"/>
      <c r="CO150" s="146"/>
      <c r="CP150" s="146"/>
      <c r="CQ150" s="146"/>
      <c r="CR150" s="146"/>
      <c r="CS150" s="146"/>
      <c r="CT150" s="146"/>
      <c r="CU150" s="146"/>
      <c r="CV150" s="146"/>
      <c r="CW150" s="146"/>
      <c r="CX150" s="146"/>
      <c r="CY150" s="146"/>
      <c r="CZ150" s="146"/>
      <c r="DA150" s="146"/>
      <c r="DB150" s="146"/>
      <c r="DC150" s="146"/>
      <c r="DD150" s="146"/>
      <c r="DE150" s="146"/>
      <c r="DF150" s="146"/>
      <c r="DG150" s="146"/>
      <c r="DH150" s="146"/>
      <c r="DI150" s="146"/>
      <c r="DJ150" s="146"/>
      <c r="DK150" s="146"/>
      <c r="DL150" s="146"/>
      <c r="DM150" s="146"/>
      <c r="DN150" s="146"/>
      <c r="DO150" s="146"/>
      <c r="DP150" s="146"/>
      <c r="DQ150" s="146"/>
      <c r="DR150" s="146"/>
      <c r="DS150" s="146"/>
      <c r="DT150" s="146"/>
      <c r="DU150" s="146"/>
      <c r="DV150" s="146"/>
      <c r="DW150" s="146"/>
      <c r="DX150" s="146"/>
      <c r="DY150" s="146"/>
      <c r="DZ150" s="146"/>
      <c r="EA150" s="146"/>
      <c r="EB150" s="146"/>
      <c r="EC150" s="146"/>
      <c r="ED150" s="146"/>
      <c r="EE150" s="146"/>
      <c r="EF150" s="146"/>
      <c r="EG150" s="146"/>
      <c r="EH150" s="146"/>
      <c r="EI150" s="146"/>
      <c r="EJ150" s="146"/>
      <c r="EK150" s="146"/>
      <c r="EL150" s="146"/>
      <c r="EM150" s="146"/>
      <c r="EN150" s="146"/>
      <c r="EO150" s="146"/>
      <c r="EP150" s="146"/>
      <c r="EQ150" s="146"/>
      <c r="ER150" s="146"/>
      <c r="ES150" s="146"/>
      <c r="ET150" s="146"/>
      <c r="EU150" s="146"/>
      <c r="EV150" s="146"/>
      <c r="EW150" s="146"/>
      <c r="EX150" s="146"/>
      <c r="EY150" s="146"/>
      <c r="EZ150" s="146"/>
      <c r="FA150" s="146"/>
      <c r="FB150" s="146"/>
      <c r="FC150" s="146"/>
      <c r="FD150" s="146"/>
      <c r="FE150" s="146"/>
      <c r="FF150" s="146"/>
      <c r="FG150" s="146"/>
      <c r="FH150" s="146"/>
      <c r="FI150" s="146"/>
      <c r="FJ150" s="146"/>
      <c r="FK150" s="146"/>
      <c r="FL150" s="146"/>
      <c r="FM150" s="146"/>
      <c r="FN150" s="146"/>
      <c r="FO150" s="146"/>
      <c r="FP150" s="146"/>
      <c r="FQ150" s="146"/>
      <c r="FR150" s="146"/>
      <c r="FS150" s="146"/>
      <c r="FT150" s="146"/>
      <c r="FU150" s="146"/>
      <c r="FV150" s="146"/>
      <c r="FW150" s="146"/>
      <c r="FX150" s="146"/>
      <c r="FY150" s="146"/>
      <c r="FZ150" s="146"/>
      <c r="GA150" s="146"/>
      <c r="GB150" s="146"/>
      <c r="GC150" s="146"/>
      <c r="GD150" s="146"/>
      <c r="GE150" s="146"/>
      <c r="GF150" s="146"/>
      <c r="GG150" s="146"/>
      <c r="GH150" s="146"/>
      <c r="GI150" s="146"/>
      <c r="GJ150" s="146"/>
      <c r="GK150" s="146"/>
      <c r="GL150" s="146"/>
      <c r="GM150" s="146"/>
      <c r="GN150" s="146"/>
      <c r="GO150" s="146"/>
      <c r="GP150" s="146"/>
      <c r="GQ150" s="146"/>
      <c r="GR150" s="146"/>
      <c r="GS150" s="146"/>
      <c r="GT150" s="146"/>
      <c r="GU150" s="146"/>
      <c r="GV150" s="146"/>
      <c r="GW150" s="146"/>
      <c r="GX150" s="146"/>
      <c r="GY150" s="146"/>
      <c r="GZ150" s="146"/>
      <c r="HA150" s="146"/>
      <c r="HB150" s="146"/>
      <c r="HC150" s="146"/>
      <c r="HD150" s="146"/>
      <c r="HE150" s="146"/>
      <c r="HF150" s="146"/>
      <c r="HG150" s="146"/>
      <c r="HH150" s="146"/>
      <c r="HI150" s="146"/>
      <c r="HJ150" s="146"/>
      <c r="HK150" s="146"/>
      <c r="HL150" s="146"/>
      <c r="HM150" s="146"/>
      <c r="HN150" s="146"/>
      <c r="HO150" s="146"/>
      <c r="HP150" s="146"/>
      <c r="HQ150" s="146"/>
      <c r="HR150" s="146"/>
      <c r="HS150" s="146"/>
      <c r="HT150" s="146"/>
      <c r="HU150" s="146"/>
      <c r="HV150" s="146"/>
      <c r="HW150" s="146"/>
      <c r="HX150" s="146"/>
      <c r="HY150" s="146"/>
      <c r="HZ150" s="146"/>
      <c r="IA150" s="146"/>
    </row>
    <row r="151" spans="1:235" x14ac:dyDescent="0.25">
      <c r="A151" s="173"/>
      <c r="B151" s="173"/>
      <c r="C151" s="173"/>
      <c r="D151" s="173"/>
      <c r="E151" s="173"/>
      <c r="F151" s="173"/>
      <c r="G151" s="263"/>
      <c r="H151" s="173"/>
      <c r="I151" s="173"/>
      <c r="J151" s="173"/>
      <c r="K151" s="264"/>
      <c r="L151" s="173"/>
      <c r="M151" s="173"/>
      <c r="N151" s="173"/>
      <c r="O151" s="173"/>
      <c r="P151" s="173"/>
      <c r="Q151" s="173"/>
      <c r="R151" s="173"/>
      <c r="S151" s="173"/>
      <c r="T151" s="173"/>
      <c r="U151" s="173"/>
      <c r="V151" s="173"/>
      <c r="W151" s="173"/>
      <c r="X151" s="265"/>
      <c r="Y151" s="265"/>
      <c r="Z151" s="265"/>
      <c r="AA151" s="265"/>
      <c r="AB151" s="265"/>
      <c r="AC151" s="265"/>
      <c r="AD151" s="265"/>
      <c r="AE151" s="265"/>
      <c r="AF151" s="265"/>
      <c r="AG151" s="265"/>
      <c r="AH151" s="288"/>
      <c r="AI151" s="265"/>
      <c r="AJ151" s="265"/>
      <c r="AK151" s="265"/>
      <c r="AL151" s="265"/>
      <c r="AM151" s="265"/>
      <c r="AN151" s="265"/>
      <c r="AO151" s="265"/>
      <c r="AP151" s="265"/>
      <c r="AQ151" s="265"/>
      <c r="AR151" s="265"/>
      <c r="AS151" s="265"/>
      <c r="AT151" s="265"/>
      <c r="AU151" s="265"/>
      <c r="AV151" s="265"/>
      <c r="AW151" s="265"/>
      <c r="AX151" s="265"/>
      <c r="AY151" s="265"/>
      <c r="AZ151" s="265"/>
      <c r="BA151" s="265"/>
      <c r="BB151" s="265"/>
      <c r="BC151" s="265"/>
      <c r="BD151" s="265"/>
      <c r="BE151" s="265"/>
      <c r="BF151" s="265"/>
      <c r="BG151" s="265"/>
      <c r="BH151" s="265"/>
      <c r="BI151" s="265"/>
      <c r="BJ151" s="265"/>
      <c r="BK151" s="265"/>
      <c r="BL151" s="265"/>
      <c r="BM151" s="265"/>
      <c r="BN151" s="265"/>
      <c r="BO151" s="265"/>
      <c r="BP151" s="265"/>
      <c r="BQ151" s="265"/>
      <c r="BR151" s="265"/>
      <c r="BS151" s="265"/>
      <c r="BT151" s="265"/>
      <c r="BU151" s="265"/>
      <c r="BV151" s="265"/>
      <c r="BW151" s="265"/>
      <c r="BX151" s="265"/>
      <c r="BY151" s="265"/>
      <c r="BZ151" s="265"/>
    </row>
    <row r="152" spans="1:235" x14ac:dyDescent="0.25">
      <c r="A152" s="176" t="s">
        <v>850</v>
      </c>
      <c r="B152" s="173"/>
      <c r="C152" s="173"/>
      <c r="D152" s="173"/>
      <c r="E152" s="173"/>
      <c r="F152" s="173"/>
      <c r="G152" s="263"/>
      <c r="H152" s="173"/>
      <c r="I152" s="173"/>
      <c r="J152" s="173"/>
      <c r="K152" s="264"/>
      <c r="L152" s="173"/>
      <c r="M152" s="173"/>
      <c r="N152" s="173"/>
      <c r="O152" s="173"/>
      <c r="P152" s="173"/>
      <c r="Q152" s="173"/>
      <c r="R152" s="173"/>
      <c r="S152" s="173"/>
      <c r="T152" s="173"/>
      <c r="U152" s="173"/>
      <c r="V152" s="173"/>
      <c r="W152" s="173"/>
      <c r="X152" s="265"/>
      <c r="Y152" s="265"/>
      <c r="Z152" s="265"/>
      <c r="AA152" s="265"/>
      <c r="AB152" s="265"/>
      <c r="AC152" s="265"/>
      <c r="AD152" s="265"/>
      <c r="AE152" s="265"/>
      <c r="AF152" s="265"/>
      <c r="AG152" s="265"/>
      <c r="AH152" s="265"/>
      <c r="AI152" s="265"/>
      <c r="AJ152" s="265"/>
      <c r="AK152" s="265"/>
      <c r="AL152" s="265"/>
      <c r="AM152" s="265"/>
      <c r="AN152" s="265"/>
      <c r="AO152" s="265"/>
      <c r="AP152" s="265"/>
      <c r="AQ152" s="265"/>
      <c r="AR152" s="265"/>
      <c r="AS152" s="265"/>
      <c r="AT152" s="265"/>
      <c r="AU152" s="265"/>
      <c r="AV152" s="265"/>
      <c r="AW152" s="265"/>
      <c r="AX152" s="265"/>
      <c r="AY152" s="265"/>
      <c r="AZ152" s="265"/>
      <c r="BA152" s="265"/>
      <c r="BB152" s="265"/>
      <c r="BC152" s="265"/>
      <c r="BD152" s="265"/>
      <c r="BE152" s="265"/>
      <c r="BF152" s="265"/>
      <c r="BG152" s="265"/>
      <c r="BH152" s="1582" t="s">
        <v>739</v>
      </c>
      <c r="BI152" s="1583"/>
      <c r="BJ152" s="1583"/>
      <c r="BK152" s="1583"/>
      <c r="BL152" s="1583"/>
      <c r="BM152" s="1584"/>
      <c r="BN152" s="265"/>
      <c r="BO152" s="265"/>
      <c r="BP152" s="265"/>
      <c r="BQ152" s="265"/>
      <c r="BR152" s="265"/>
      <c r="BS152" s="265"/>
      <c r="BT152" s="265"/>
      <c r="BU152" s="265"/>
      <c r="BV152" s="265"/>
      <c r="BW152" s="265"/>
      <c r="BX152" s="265"/>
      <c r="BY152" s="265"/>
      <c r="BZ152" s="265"/>
    </row>
    <row r="153" spans="1:235" ht="15.75" thickBot="1" x14ac:dyDescent="0.3">
      <c r="A153" s="173"/>
      <c r="B153" s="173"/>
      <c r="C153" s="173"/>
      <c r="D153" s="173"/>
      <c r="E153" s="173"/>
      <c r="F153" s="173"/>
      <c r="G153" s="263"/>
      <c r="H153" s="173"/>
      <c r="I153" s="173"/>
      <c r="J153" s="173"/>
      <c r="K153" s="264"/>
      <c r="L153" s="173"/>
      <c r="M153" s="173"/>
      <c r="N153" s="173"/>
      <c r="O153" s="173"/>
      <c r="P153" s="173"/>
      <c r="Q153" s="173"/>
      <c r="R153" s="173"/>
      <c r="S153" s="173"/>
      <c r="T153" s="173"/>
      <c r="U153" s="173"/>
      <c r="V153" s="173"/>
      <c r="W153" s="173"/>
      <c r="X153" s="265"/>
      <c r="Y153" s="265"/>
      <c r="Z153" s="265"/>
      <c r="AA153" s="265"/>
      <c r="AB153" s="265"/>
      <c r="AC153" s="265"/>
      <c r="AD153" s="265"/>
      <c r="AE153" s="265"/>
      <c r="AF153" s="265"/>
      <c r="AG153" s="265"/>
      <c r="AH153" s="265"/>
      <c r="AI153" s="265"/>
      <c r="AJ153" s="265"/>
      <c r="AK153" s="265"/>
      <c r="AL153" s="265"/>
      <c r="AM153" s="265"/>
      <c r="AN153" s="265"/>
      <c r="AO153" s="265"/>
      <c r="AP153" s="265"/>
      <c r="AQ153" s="265"/>
      <c r="AR153" s="265"/>
      <c r="AS153" s="265"/>
      <c r="AT153" s="265"/>
      <c r="AU153" s="265"/>
      <c r="AV153" s="265"/>
      <c r="AW153" s="265"/>
      <c r="AX153" s="265"/>
      <c r="AY153" s="265"/>
      <c r="AZ153" s="265"/>
      <c r="BA153" s="265"/>
      <c r="BB153" s="265"/>
      <c r="BC153" s="265"/>
      <c r="BD153" s="265"/>
      <c r="BE153" s="265"/>
      <c r="BF153" s="265"/>
      <c r="BG153" s="265"/>
      <c r="BH153" s="1585" t="s">
        <v>740</v>
      </c>
      <c r="BI153" s="1586"/>
      <c r="BJ153" s="1587" t="s">
        <v>741</v>
      </c>
      <c r="BK153" s="1588"/>
      <c r="BL153" s="1588"/>
      <c r="BM153" s="1589"/>
      <c r="BN153" s="265"/>
      <c r="BO153" s="265"/>
      <c r="BP153" s="265"/>
      <c r="BQ153" s="265"/>
      <c r="BR153" s="265"/>
      <c r="BS153" s="265"/>
      <c r="BT153" s="265"/>
      <c r="BU153" s="265"/>
      <c r="BV153" s="265"/>
      <c r="BW153" s="265"/>
      <c r="BX153" s="265"/>
      <c r="BY153" s="265"/>
      <c r="BZ153" s="265"/>
    </row>
    <row r="154" spans="1:235" ht="17.25" customHeight="1" thickBot="1" x14ac:dyDescent="0.3">
      <c r="A154" s="1594" t="s">
        <v>851</v>
      </c>
      <c r="B154" s="1595"/>
      <c r="C154" s="274" t="s">
        <v>852</v>
      </c>
      <c r="D154" s="173"/>
      <c r="E154" s="173"/>
      <c r="F154" s="173"/>
      <c r="G154" s="263"/>
      <c r="H154" s="173"/>
      <c r="I154" s="173"/>
      <c r="J154" s="173"/>
      <c r="K154" s="173"/>
      <c r="L154" s="173"/>
      <c r="M154" s="173"/>
      <c r="N154" s="173"/>
      <c r="O154" s="173"/>
      <c r="P154" s="173"/>
      <c r="Q154" s="173"/>
      <c r="R154" s="173"/>
      <c r="S154" s="173"/>
      <c r="T154" s="173"/>
      <c r="U154" s="173"/>
      <c r="V154" s="173"/>
      <c r="W154" s="173"/>
      <c r="X154" s="265"/>
      <c r="Y154" s="265"/>
      <c r="Z154" s="265"/>
      <c r="AA154" s="265"/>
      <c r="AB154" s="265"/>
      <c r="AC154" s="265"/>
      <c r="AD154" s="265"/>
      <c r="AE154" s="265"/>
      <c r="AF154" s="265"/>
      <c r="AG154" s="265"/>
      <c r="AH154" s="265"/>
      <c r="AI154" s="265"/>
      <c r="AJ154" s="265"/>
      <c r="AK154" s="265"/>
      <c r="AL154" s="265"/>
      <c r="AM154" s="265"/>
      <c r="AN154" s="265"/>
      <c r="AO154" s="265"/>
      <c r="AP154" s="265"/>
      <c r="AQ154" s="265"/>
      <c r="AR154" s="265"/>
      <c r="AS154" s="265"/>
      <c r="AT154" s="265"/>
      <c r="AU154" s="265"/>
      <c r="AV154" s="265"/>
      <c r="AW154" s="265"/>
      <c r="AX154" s="265"/>
      <c r="AY154" s="265"/>
      <c r="AZ154" s="265"/>
      <c r="BA154" s="265"/>
      <c r="BB154" s="265"/>
      <c r="BC154" s="265"/>
      <c r="BD154" s="265"/>
      <c r="BE154" s="265"/>
      <c r="BF154" s="265"/>
      <c r="BG154" s="265"/>
      <c r="BH154" s="1590" t="s">
        <v>778</v>
      </c>
      <c r="BI154" s="1591"/>
      <c r="BJ154" s="1587" t="s">
        <v>780</v>
      </c>
      <c r="BK154" s="1588"/>
      <c r="BL154" s="1588"/>
      <c r="BM154" s="1589"/>
      <c r="BN154" s="265"/>
      <c r="BO154" s="265"/>
      <c r="BP154" s="265"/>
      <c r="BQ154" s="265"/>
      <c r="BR154" s="265"/>
      <c r="BS154" s="265"/>
      <c r="BT154" s="265"/>
      <c r="BU154" s="265"/>
      <c r="BV154" s="265"/>
      <c r="BW154" s="265"/>
      <c r="BX154" s="265"/>
      <c r="BY154" s="265"/>
      <c r="BZ154" s="265"/>
    </row>
    <row r="155" spans="1:235" x14ac:dyDescent="0.25">
      <c r="A155" s="1513" t="s">
        <v>853</v>
      </c>
      <c r="B155" s="1514"/>
      <c r="C155" s="272">
        <v>1</v>
      </c>
      <c r="D155" s="173"/>
      <c r="E155" s="173"/>
      <c r="F155" s="173"/>
      <c r="G155" s="263"/>
      <c r="H155" s="173"/>
      <c r="I155" s="173"/>
      <c r="J155" s="173"/>
      <c r="K155" s="264"/>
      <c r="L155" s="173"/>
      <c r="M155" s="173"/>
      <c r="N155" s="173"/>
      <c r="O155" s="173"/>
      <c r="P155" s="173"/>
      <c r="Q155" s="173"/>
      <c r="R155" s="173"/>
      <c r="S155" s="173"/>
      <c r="T155" s="173"/>
      <c r="U155" s="173"/>
      <c r="V155" s="173"/>
      <c r="W155" s="173"/>
      <c r="X155" s="265"/>
      <c r="Y155" s="265"/>
      <c r="Z155" s="265"/>
      <c r="AA155" s="265"/>
      <c r="AB155" s="265"/>
      <c r="AC155" s="265"/>
      <c r="AD155" s="265"/>
      <c r="AE155" s="265"/>
      <c r="AF155" s="265"/>
      <c r="AG155" s="265"/>
      <c r="AH155" s="265"/>
      <c r="AI155" s="265"/>
      <c r="AJ155" s="265"/>
      <c r="AK155" s="265"/>
      <c r="AL155" s="265"/>
      <c r="AM155" s="265"/>
      <c r="AN155" s="265"/>
      <c r="AO155" s="265"/>
      <c r="AP155" s="265"/>
      <c r="AQ155" s="265"/>
      <c r="AR155" s="265"/>
      <c r="AS155" s="265"/>
      <c r="AT155" s="265"/>
      <c r="AU155" s="265"/>
      <c r="AV155" s="265"/>
      <c r="AW155" s="265"/>
      <c r="AX155" s="265"/>
      <c r="AY155" s="265"/>
      <c r="AZ155" s="265"/>
      <c r="BA155" s="265"/>
      <c r="BB155" s="265"/>
      <c r="BC155" s="265"/>
      <c r="BD155" s="265"/>
      <c r="BE155" s="265"/>
      <c r="BF155" s="265"/>
      <c r="BG155" s="265"/>
      <c r="BH155" s="1596" t="s">
        <v>776</v>
      </c>
      <c r="BI155" s="1597"/>
      <c r="BJ155" s="1587" t="s">
        <v>747</v>
      </c>
      <c r="BK155" s="1588"/>
      <c r="BL155" s="1588"/>
      <c r="BM155" s="1589"/>
      <c r="BN155" s="265"/>
      <c r="BO155" s="265"/>
      <c r="BP155" s="265"/>
      <c r="BQ155" s="265"/>
      <c r="BR155" s="265"/>
      <c r="BS155" s="265"/>
      <c r="BT155" s="265"/>
      <c r="BU155" s="265"/>
      <c r="BV155" s="265"/>
      <c r="BW155" s="265"/>
      <c r="BX155" s="265"/>
      <c r="BY155" s="265"/>
      <c r="BZ155" s="265"/>
    </row>
    <row r="156" spans="1:235" x14ac:dyDescent="0.25">
      <c r="A156" s="1513" t="s">
        <v>854</v>
      </c>
      <c r="B156" s="1514"/>
      <c r="C156" s="272">
        <v>2</v>
      </c>
      <c r="D156" s="173"/>
      <c r="E156" s="173"/>
      <c r="F156" s="173"/>
      <c r="G156" s="263"/>
      <c r="H156" s="173"/>
      <c r="I156" s="173"/>
      <c r="J156" s="173"/>
      <c r="K156" s="173"/>
      <c r="L156" s="173"/>
      <c r="M156" s="173"/>
      <c r="N156" s="173"/>
      <c r="O156" s="173"/>
      <c r="P156" s="173"/>
      <c r="Q156" s="173"/>
      <c r="R156" s="173"/>
      <c r="S156" s="173"/>
      <c r="T156" s="173"/>
      <c r="U156" s="173"/>
      <c r="V156" s="173"/>
      <c r="W156" s="173"/>
      <c r="X156" s="265"/>
      <c r="Y156" s="265"/>
      <c r="Z156" s="265"/>
      <c r="AA156" s="265"/>
      <c r="AB156" s="265"/>
      <c r="AC156" s="265"/>
      <c r="AD156" s="265"/>
      <c r="AE156" s="265"/>
      <c r="AF156" s="265"/>
      <c r="AG156" s="265"/>
      <c r="AH156" s="265"/>
      <c r="AI156" s="265"/>
      <c r="AJ156" s="265"/>
      <c r="AK156" s="265"/>
      <c r="AL156" s="265"/>
      <c r="AM156" s="265"/>
      <c r="AN156" s="265"/>
      <c r="AO156" s="265"/>
      <c r="AP156" s="265"/>
      <c r="AQ156" s="265"/>
      <c r="AR156" s="265"/>
      <c r="AS156" s="265"/>
      <c r="AT156" s="265"/>
      <c r="AU156" s="265"/>
      <c r="AV156" s="265"/>
      <c r="AW156" s="265"/>
      <c r="AX156" s="265"/>
      <c r="AY156" s="265"/>
      <c r="AZ156" s="265"/>
      <c r="BA156" s="265"/>
      <c r="BB156" s="265"/>
      <c r="BC156" s="265"/>
      <c r="BD156" s="265"/>
      <c r="BE156" s="265"/>
      <c r="BF156" s="265"/>
      <c r="BG156" s="265"/>
      <c r="BH156" s="1598" t="s">
        <v>847</v>
      </c>
      <c r="BI156" s="1599"/>
      <c r="BJ156" s="1587" t="s">
        <v>748</v>
      </c>
      <c r="BK156" s="1588"/>
      <c r="BL156" s="1588"/>
      <c r="BM156" s="1589"/>
      <c r="BN156" s="265"/>
      <c r="BO156" s="265"/>
      <c r="BP156" s="265"/>
      <c r="BQ156" s="265"/>
      <c r="BR156" s="265"/>
      <c r="BS156" s="265"/>
      <c r="BT156" s="265"/>
      <c r="BU156" s="265"/>
      <c r="BV156" s="265"/>
      <c r="BW156" s="265"/>
      <c r="BX156" s="265"/>
      <c r="BY156" s="265"/>
      <c r="BZ156" s="265"/>
    </row>
    <row r="157" spans="1:235" x14ac:dyDescent="0.25">
      <c r="A157" s="1513" t="s">
        <v>855</v>
      </c>
      <c r="B157" s="1514"/>
      <c r="C157" s="272">
        <v>31</v>
      </c>
      <c r="D157" s="173"/>
      <c r="E157" s="173"/>
      <c r="F157" s="173"/>
      <c r="G157" s="263"/>
      <c r="H157" s="173"/>
      <c r="I157" s="173"/>
      <c r="J157" s="173"/>
      <c r="K157" s="173"/>
      <c r="L157" s="173"/>
      <c r="M157" s="173"/>
      <c r="N157" s="173"/>
      <c r="O157" s="173"/>
      <c r="P157" s="173"/>
      <c r="Q157" s="173"/>
      <c r="R157" s="173"/>
      <c r="S157" s="173"/>
      <c r="T157" s="173"/>
      <c r="U157" s="173"/>
      <c r="V157" s="173"/>
      <c r="W157" s="173"/>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5"/>
      <c r="AU157" s="265"/>
      <c r="AV157" s="265"/>
      <c r="AW157" s="265"/>
      <c r="AX157" s="265"/>
      <c r="AY157" s="265"/>
      <c r="AZ157" s="265"/>
      <c r="BA157" s="265"/>
      <c r="BB157" s="265"/>
      <c r="BC157" s="265"/>
      <c r="BD157" s="265"/>
      <c r="BE157" s="265"/>
      <c r="BF157" s="265"/>
      <c r="BG157" s="265"/>
      <c r="BH157" s="1592" t="s">
        <v>749</v>
      </c>
      <c r="BI157" s="1592"/>
      <c r="BJ157" s="1593" t="s">
        <v>750</v>
      </c>
      <c r="BK157" s="1593"/>
      <c r="BL157" s="1593"/>
      <c r="BM157" s="1593"/>
      <c r="BN157" s="265"/>
      <c r="BO157" s="265"/>
      <c r="BP157" s="265"/>
      <c r="BQ157" s="265"/>
      <c r="BR157" s="265"/>
      <c r="BS157" s="265"/>
      <c r="BT157" s="265"/>
      <c r="BU157" s="265"/>
      <c r="BV157" s="265"/>
      <c r="BW157" s="265"/>
      <c r="BX157" s="265"/>
      <c r="BY157" s="265"/>
      <c r="BZ157" s="265"/>
    </row>
    <row r="158" spans="1:235" x14ac:dyDescent="0.25">
      <c r="A158" s="1513" t="s">
        <v>856</v>
      </c>
      <c r="B158" s="1514"/>
      <c r="C158" s="272">
        <v>32</v>
      </c>
      <c r="D158" s="173"/>
      <c r="E158" s="173"/>
      <c r="F158" s="173"/>
      <c r="G158" s="263"/>
      <c r="H158" s="173"/>
      <c r="I158" s="173"/>
      <c r="J158" s="173"/>
      <c r="K158" s="173"/>
      <c r="L158" s="173"/>
      <c r="M158" s="173"/>
      <c r="N158" s="173"/>
      <c r="O158" s="173"/>
      <c r="P158" s="173"/>
      <c r="Q158" s="173"/>
      <c r="R158" s="173"/>
      <c r="S158" s="173"/>
      <c r="T158" s="173"/>
      <c r="U158" s="173"/>
      <c r="V158" s="173"/>
      <c r="W158" s="173"/>
      <c r="X158" s="265"/>
      <c r="Y158" s="265"/>
      <c r="Z158" s="265"/>
      <c r="AA158" s="265"/>
      <c r="AB158" s="265"/>
      <c r="AC158" s="265"/>
      <c r="AD158" s="265"/>
      <c r="AE158" s="265"/>
      <c r="AF158" s="265"/>
      <c r="AG158" s="265"/>
      <c r="AH158" s="265"/>
      <c r="AI158" s="265"/>
      <c r="AJ158" s="265"/>
      <c r="AK158" s="265"/>
      <c r="AL158" s="265"/>
      <c r="AM158" s="265"/>
      <c r="AN158" s="265"/>
      <c r="AO158" s="265"/>
      <c r="AP158" s="265"/>
      <c r="AQ158" s="265"/>
      <c r="AR158" s="265"/>
      <c r="AS158" s="265"/>
      <c r="AT158" s="265"/>
      <c r="AU158" s="265"/>
      <c r="AV158" s="265"/>
      <c r="AW158" s="265"/>
      <c r="AX158" s="265"/>
      <c r="AY158" s="265"/>
      <c r="AZ158" s="265"/>
      <c r="BA158" s="265"/>
      <c r="BB158" s="265"/>
      <c r="BC158" s="265"/>
      <c r="BD158" s="265"/>
      <c r="BE158" s="265"/>
      <c r="BF158" s="265"/>
      <c r="BG158" s="265"/>
      <c r="BH158" s="265"/>
      <c r="BI158" s="265"/>
      <c r="BJ158" s="265"/>
      <c r="BK158" s="265"/>
      <c r="BL158" s="265"/>
      <c r="BM158" s="265"/>
      <c r="BN158" s="265"/>
      <c r="BO158" s="265"/>
      <c r="BP158" s="265"/>
      <c r="BQ158" s="265"/>
      <c r="BR158" s="265"/>
      <c r="BS158" s="265"/>
      <c r="BT158" s="265"/>
      <c r="BU158" s="265"/>
      <c r="BV158" s="265"/>
      <c r="BW158" s="265"/>
      <c r="BX158" s="265"/>
      <c r="BY158" s="265"/>
      <c r="BZ158" s="265"/>
    </row>
    <row r="159" spans="1:235" x14ac:dyDescent="0.25">
      <c r="A159" s="1513" t="s">
        <v>857</v>
      </c>
      <c r="B159" s="1514"/>
      <c r="C159" s="272">
        <v>4</v>
      </c>
      <c r="D159" s="173"/>
      <c r="E159" s="173"/>
      <c r="F159" s="173"/>
      <c r="G159" s="263"/>
      <c r="H159" s="173"/>
      <c r="I159" s="173"/>
      <c r="J159" s="173"/>
      <c r="K159" s="173"/>
      <c r="L159" s="173"/>
      <c r="M159" s="173"/>
      <c r="N159" s="173"/>
      <c r="O159" s="173"/>
      <c r="P159" s="173"/>
      <c r="Q159" s="173"/>
      <c r="R159" s="173"/>
      <c r="S159" s="173"/>
      <c r="T159" s="173"/>
      <c r="U159" s="173"/>
      <c r="V159" s="173"/>
      <c r="W159" s="173"/>
      <c r="X159" s="265"/>
      <c r="Y159" s="265"/>
      <c r="Z159" s="265"/>
      <c r="AA159" s="265"/>
      <c r="AB159" s="265"/>
      <c r="AC159" s="265"/>
      <c r="AD159" s="265"/>
      <c r="AE159" s="265"/>
      <c r="AF159" s="265"/>
      <c r="AG159" s="265"/>
      <c r="AH159" s="265"/>
      <c r="AI159" s="265"/>
      <c r="AJ159" s="265"/>
      <c r="AK159" s="265"/>
      <c r="AL159" s="265"/>
      <c r="AM159" s="265"/>
      <c r="AN159" s="265"/>
      <c r="AO159" s="265"/>
      <c r="AP159" s="265"/>
      <c r="AQ159" s="265"/>
      <c r="AR159" s="265"/>
      <c r="AS159" s="265"/>
      <c r="AT159" s="265"/>
      <c r="AU159" s="265"/>
      <c r="AV159" s="265"/>
      <c r="AW159" s="265"/>
      <c r="AX159" s="265"/>
      <c r="AY159" s="265"/>
      <c r="AZ159" s="265"/>
      <c r="BA159" s="265"/>
      <c r="BB159" s="265"/>
      <c r="BC159" s="265"/>
      <c r="BD159" s="265"/>
      <c r="BE159" s="265"/>
      <c r="BF159" s="265"/>
      <c r="BG159" s="265"/>
      <c r="BH159" s="265"/>
      <c r="BI159" s="265"/>
      <c r="BJ159" s="265"/>
      <c r="BK159" s="265"/>
      <c r="BL159" s="265"/>
      <c r="BM159" s="265"/>
      <c r="BN159" s="265"/>
      <c r="BO159" s="265"/>
      <c r="BP159" s="265"/>
      <c r="BQ159" s="265"/>
      <c r="BR159" s="265"/>
      <c r="BS159" s="265"/>
      <c r="BT159" s="265"/>
      <c r="BU159" s="265"/>
      <c r="BV159" s="265"/>
      <c r="BW159" s="265"/>
      <c r="BX159" s="265"/>
      <c r="BY159" s="265"/>
      <c r="BZ159" s="265"/>
    </row>
    <row r="160" spans="1:235" x14ac:dyDescent="0.25">
      <c r="A160" s="1513" t="s">
        <v>858</v>
      </c>
      <c r="B160" s="1514"/>
      <c r="C160" s="272">
        <v>5</v>
      </c>
      <c r="D160" s="173"/>
      <c r="E160" s="173"/>
      <c r="F160" s="173"/>
      <c r="G160" s="263"/>
      <c r="H160" s="173"/>
      <c r="I160" s="173"/>
      <c r="J160" s="173"/>
      <c r="K160" s="173"/>
      <c r="L160" s="173"/>
      <c r="M160" s="173"/>
      <c r="N160" s="173"/>
      <c r="O160" s="173"/>
      <c r="P160" s="173"/>
      <c r="Q160" s="173"/>
      <c r="R160" s="173"/>
      <c r="S160" s="173"/>
      <c r="T160" s="173"/>
      <c r="U160" s="173"/>
      <c r="V160" s="173"/>
      <c r="W160" s="173"/>
      <c r="X160" s="265"/>
      <c r="Y160" s="265"/>
      <c r="Z160" s="265"/>
      <c r="AA160" s="265"/>
      <c r="AB160" s="265"/>
      <c r="AC160" s="265"/>
      <c r="AD160" s="265"/>
      <c r="AE160" s="265"/>
      <c r="AF160" s="265"/>
      <c r="AG160" s="265"/>
      <c r="AH160" s="265"/>
      <c r="AI160" s="265"/>
      <c r="AJ160" s="265"/>
      <c r="AK160" s="265"/>
      <c r="AL160" s="265"/>
      <c r="AM160" s="265"/>
      <c r="AN160" s="265"/>
      <c r="AO160" s="265"/>
      <c r="AP160" s="265"/>
      <c r="AQ160" s="265"/>
      <c r="AR160" s="265"/>
      <c r="AS160" s="265"/>
      <c r="AT160" s="265"/>
      <c r="AU160" s="265"/>
      <c r="AV160" s="265"/>
      <c r="AW160" s="265"/>
      <c r="AX160" s="265"/>
      <c r="AY160" s="265"/>
      <c r="AZ160" s="265"/>
      <c r="BA160" s="265"/>
      <c r="BB160" s="265"/>
      <c r="BC160" s="265"/>
      <c r="BD160" s="265"/>
      <c r="BE160" s="265"/>
      <c r="BF160" s="265"/>
      <c r="BG160" s="265"/>
      <c r="BH160" s="265"/>
      <c r="BI160" s="265"/>
      <c r="BJ160" s="265"/>
      <c r="BK160" s="265"/>
      <c r="BL160" s="265"/>
      <c r="BM160" s="265"/>
      <c r="BN160" s="265"/>
      <c r="BO160" s="265"/>
      <c r="BP160" s="265"/>
      <c r="BQ160" s="265"/>
      <c r="BR160" s="265"/>
      <c r="BS160" s="265"/>
      <c r="BT160" s="265"/>
      <c r="BU160" s="265"/>
      <c r="BV160" s="265"/>
      <c r="BW160" s="265"/>
      <c r="BX160" s="265"/>
      <c r="BY160" s="265"/>
      <c r="BZ160" s="265"/>
    </row>
    <row r="161" spans="1:78" x14ac:dyDescent="0.25">
      <c r="A161" s="1513" t="s">
        <v>859</v>
      </c>
      <c r="B161" s="1514"/>
      <c r="C161" s="272">
        <v>6</v>
      </c>
      <c r="D161" s="173"/>
      <c r="E161" s="173"/>
      <c r="F161" s="173"/>
      <c r="G161" s="263"/>
      <c r="H161" s="173"/>
      <c r="I161" s="173"/>
      <c r="J161" s="173"/>
      <c r="K161" s="173"/>
      <c r="L161" s="173"/>
      <c r="M161" s="173"/>
      <c r="N161" s="173"/>
      <c r="O161" s="173"/>
      <c r="P161" s="173"/>
      <c r="Q161" s="173"/>
      <c r="R161" s="173"/>
      <c r="S161" s="173"/>
      <c r="T161" s="173"/>
      <c r="U161" s="173"/>
      <c r="V161" s="173"/>
      <c r="W161" s="173"/>
      <c r="X161" s="265"/>
      <c r="Y161" s="265"/>
      <c r="Z161" s="265"/>
      <c r="AA161" s="265"/>
      <c r="AB161" s="265"/>
      <c r="AC161" s="265"/>
      <c r="AD161" s="265"/>
      <c r="AE161" s="265"/>
      <c r="AF161" s="265"/>
      <c r="AG161" s="265"/>
      <c r="AH161" s="265"/>
      <c r="AI161" s="265"/>
      <c r="AJ161" s="265"/>
      <c r="AK161" s="265"/>
      <c r="AL161" s="265"/>
      <c r="AM161" s="265"/>
      <c r="AN161" s="265"/>
      <c r="AO161" s="265"/>
      <c r="AP161" s="265"/>
      <c r="AQ161" s="265"/>
      <c r="AR161" s="265"/>
      <c r="AS161" s="265"/>
      <c r="AT161" s="265"/>
      <c r="AU161" s="265"/>
      <c r="AV161" s="265"/>
      <c r="AW161" s="265"/>
      <c r="AX161" s="265"/>
      <c r="AY161" s="265"/>
      <c r="AZ161" s="265"/>
      <c r="BA161" s="265"/>
      <c r="BB161" s="265"/>
      <c r="BC161" s="265"/>
      <c r="BD161" s="265"/>
      <c r="BE161" s="265"/>
      <c r="BF161" s="265"/>
      <c r="BG161" s="265"/>
      <c r="BH161" s="265"/>
      <c r="BI161" s="265"/>
      <c r="BJ161" s="265"/>
      <c r="BK161" s="265"/>
      <c r="BL161" s="265"/>
      <c r="BM161" s="265"/>
      <c r="BN161" s="265"/>
      <c r="BO161" s="265"/>
      <c r="BP161" s="265"/>
      <c r="BQ161" s="265"/>
      <c r="BR161" s="265"/>
      <c r="BS161" s="265"/>
      <c r="BT161" s="265"/>
      <c r="BU161" s="265"/>
      <c r="BV161" s="265"/>
      <c r="BW161" s="265"/>
      <c r="BX161" s="265"/>
      <c r="BY161" s="265"/>
      <c r="BZ161" s="265"/>
    </row>
    <row r="162" spans="1:78" x14ac:dyDescent="0.25">
      <c r="A162" s="1513" t="s">
        <v>860</v>
      </c>
      <c r="B162" s="1514"/>
      <c r="C162" s="272">
        <v>7</v>
      </c>
      <c r="D162" s="173"/>
      <c r="E162" s="173"/>
      <c r="F162" s="173"/>
      <c r="G162" s="263"/>
      <c r="H162" s="173"/>
      <c r="I162" s="173"/>
      <c r="J162" s="173"/>
      <c r="K162" s="173"/>
      <c r="L162" s="173"/>
      <c r="M162" s="173"/>
      <c r="N162" s="173"/>
      <c r="O162" s="173"/>
      <c r="P162" s="173"/>
      <c r="Q162" s="173"/>
      <c r="R162" s="173"/>
      <c r="S162" s="173"/>
      <c r="T162" s="173"/>
      <c r="U162" s="173"/>
      <c r="V162" s="173"/>
      <c r="W162" s="173"/>
      <c r="X162" s="265"/>
      <c r="Y162" s="265"/>
      <c r="Z162" s="265"/>
      <c r="AA162" s="265"/>
      <c r="AB162" s="265"/>
      <c r="AC162" s="265"/>
      <c r="AD162" s="265"/>
      <c r="AE162" s="265"/>
      <c r="AF162" s="265"/>
      <c r="AG162" s="265"/>
      <c r="AH162" s="265"/>
      <c r="AI162" s="265"/>
      <c r="AJ162" s="265"/>
      <c r="AK162" s="265"/>
      <c r="AL162" s="265"/>
      <c r="AM162" s="265"/>
      <c r="AN162" s="265"/>
      <c r="AO162" s="265"/>
      <c r="AP162" s="265"/>
      <c r="AQ162" s="265"/>
      <c r="AR162" s="265"/>
      <c r="AS162" s="265"/>
      <c r="AT162" s="265"/>
      <c r="AU162" s="265"/>
      <c r="AV162" s="265"/>
      <c r="AW162" s="265"/>
      <c r="AX162" s="265"/>
      <c r="AY162" s="265"/>
      <c r="AZ162" s="265"/>
      <c r="BA162" s="265"/>
      <c r="BB162" s="265"/>
      <c r="BC162" s="265"/>
      <c r="BD162" s="265"/>
      <c r="BE162" s="265"/>
      <c r="BF162" s="265"/>
      <c r="BG162" s="265"/>
      <c r="BH162" s="265"/>
      <c r="BI162" s="265"/>
      <c r="BJ162" s="265"/>
      <c r="BK162" s="265"/>
      <c r="BL162" s="265"/>
      <c r="BM162" s="265"/>
      <c r="BN162" s="265"/>
      <c r="BO162" s="265"/>
      <c r="BP162" s="265"/>
      <c r="BQ162" s="265"/>
      <c r="BR162" s="265"/>
      <c r="BS162" s="265"/>
      <c r="BT162" s="265"/>
      <c r="BU162" s="265"/>
      <c r="BV162" s="265"/>
      <c r="BW162" s="265"/>
      <c r="BX162" s="265"/>
      <c r="BY162" s="265"/>
      <c r="BZ162" s="265"/>
    </row>
    <row r="163" spans="1:78" x14ac:dyDescent="0.25">
      <c r="A163" s="1513" t="s">
        <v>861</v>
      </c>
      <c r="B163" s="1514"/>
      <c r="C163" s="272">
        <v>8</v>
      </c>
      <c r="D163" s="173"/>
      <c r="E163" s="173"/>
      <c r="F163" s="173"/>
      <c r="G163" s="263"/>
      <c r="H163" s="173"/>
      <c r="I163" s="173"/>
      <c r="J163" s="173"/>
      <c r="K163" s="173"/>
      <c r="L163" s="173"/>
      <c r="M163" s="173"/>
      <c r="N163" s="173"/>
      <c r="O163" s="173"/>
      <c r="P163" s="173"/>
      <c r="Q163" s="173"/>
      <c r="R163" s="173"/>
      <c r="S163" s="173"/>
      <c r="T163" s="173"/>
      <c r="U163" s="173"/>
      <c r="V163" s="173"/>
      <c r="W163" s="173"/>
      <c r="X163" s="265"/>
      <c r="Y163" s="265"/>
      <c r="Z163" s="265"/>
      <c r="AA163" s="265"/>
      <c r="AB163" s="265"/>
      <c r="AC163" s="265"/>
      <c r="AD163" s="265"/>
      <c r="AE163" s="265"/>
      <c r="AF163" s="265"/>
      <c r="AG163" s="265"/>
      <c r="AH163" s="265"/>
      <c r="AI163" s="265"/>
      <c r="AJ163" s="265"/>
      <c r="AK163" s="265"/>
      <c r="AL163" s="265"/>
      <c r="AM163" s="265"/>
      <c r="AN163" s="265"/>
      <c r="AO163" s="265"/>
      <c r="AP163" s="265"/>
      <c r="AQ163" s="265"/>
      <c r="AR163" s="265"/>
      <c r="AS163" s="265"/>
      <c r="AT163" s="265"/>
      <c r="AU163" s="265"/>
      <c r="AV163" s="265"/>
      <c r="AW163" s="265"/>
      <c r="AX163" s="265"/>
      <c r="AY163" s="265"/>
      <c r="AZ163" s="265"/>
      <c r="BA163" s="265"/>
      <c r="BB163" s="265"/>
      <c r="BC163" s="265"/>
      <c r="BD163" s="265"/>
      <c r="BE163" s="265"/>
      <c r="BF163" s="265"/>
      <c r="BG163" s="265"/>
      <c r="BH163" s="265"/>
      <c r="BI163" s="265"/>
      <c r="BJ163" s="265"/>
      <c r="BK163" s="265"/>
      <c r="BL163" s="265"/>
      <c r="BM163" s="265"/>
      <c r="BN163" s="265"/>
      <c r="BO163" s="265"/>
      <c r="BP163" s="265"/>
      <c r="BQ163" s="265"/>
      <c r="BR163" s="265"/>
      <c r="BS163" s="265"/>
      <c r="BT163" s="265"/>
      <c r="BU163" s="265"/>
      <c r="BV163" s="265"/>
      <c r="BW163" s="265"/>
      <c r="BX163" s="265"/>
      <c r="BY163" s="265"/>
      <c r="BZ163" s="265"/>
    </row>
    <row r="164" spans="1:78" x14ac:dyDescent="0.25">
      <c r="A164" s="1513" t="s">
        <v>862</v>
      </c>
      <c r="B164" s="1514"/>
      <c r="C164" s="272">
        <v>9</v>
      </c>
      <c r="D164" s="173"/>
      <c r="E164" s="173"/>
      <c r="F164" s="173"/>
      <c r="G164" s="263"/>
      <c r="H164" s="173"/>
      <c r="I164" s="173"/>
      <c r="J164" s="173"/>
      <c r="K164" s="173"/>
      <c r="L164" s="173"/>
      <c r="M164" s="173"/>
      <c r="N164" s="173"/>
      <c r="O164" s="173"/>
      <c r="P164" s="173"/>
      <c r="Q164" s="173"/>
      <c r="R164" s="173"/>
      <c r="S164" s="173"/>
      <c r="T164" s="173"/>
      <c r="U164" s="173"/>
      <c r="V164" s="173"/>
      <c r="W164" s="173"/>
      <c r="X164" s="265"/>
      <c r="Y164" s="265"/>
      <c r="Z164" s="265"/>
      <c r="AA164" s="265"/>
      <c r="AB164" s="265"/>
      <c r="AC164" s="265"/>
      <c r="AD164" s="265"/>
      <c r="AE164" s="265"/>
      <c r="AF164" s="265"/>
      <c r="AG164" s="265"/>
      <c r="AH164" s="265"/>
      <c r="AI164" s="265"/>
      <c r="AJ164" s="265"/>
      <c r="AK164" s="265"/>
      <c r="AL164" s="265"/>
      <c r="AM164" s="265"/>
      <c r="AN164" s="265"/>
      <c r="AO164" s="265"/>
      <c r="AP164" s="265"/>
      <c r="AQ164" s="265"/>
      <c r="AR164" s="265"/>
      <c r="AS164" s="265"/>
      <c r="AT164" s="265"/>
      <c r="AU164" s="265"/>
      <c r="AV164" s="265"/>
      <c r="AW164" s="265"/>
      <c r="AX164" s="265"/>
      <c r="AY164" s="265"/>
      <c r="AZ164" s="265"/>
      <c r="BA164" s="265"/>
      <c r="BB164" s="265"/>
      <c r="BC164" s="265"/>
      <c r="BD164" s="265"/>
      <c r="BE164" s="265"/>
      <c r="BF164" s="265"/>
      <c r="BG164" s="265"/>
      <c r="BH164" s="265"/>
      <c r="BI164" s="265"/>
      <c r="BJ164" s="265"/>
      <c r="BK164" s="265"/>
      <c r="BL164" s="265"/>
      <c r="BM164" s="265"/>
      <c r="BN164" s="265"/>
      <c r="BO164" s="265"/>
      <c r="BP164" s="265"/>
      <c r="BQ164" s="265"/>
      <c r="BR164" s="265"/>
      <c r="BS164" s="265"/>
      <c r="BT164" s="265"/>
      <c r="BU164" s="265"/>
      <c r="BV164" s="265"/>
      <c r="BW164" s="265"/>
      <c r="BX164" s="265"/>
      <c r="BY164" s="265"/>
      <c r="BZ164" s="265"/>
    </row>
    <row r="165" spans="1:78" x14ac:dyDescent="0.25">
      <c r="A165" s="1513" t="s">
        <v>863</v>
      </c>
      <c r="B165" s="1514"/>
      <c r="C165" s="272">
        <v>10</v>
      </c>
      <c r="D165" s="173"/>
      <c r="E165" s="173"/>
      <c r="F165" s="173"/>
      <c r="G165" s="263"/>
      <c r="H165" s="173"/>
      <c r="I165" s="173"/>
      <c r="J165" s="173"/>
      <c r="K165" s="173"/>
      <c r="L165" s="173"/>
      <c r="M165" s="173"/>
      <c r="N165" s="173"/>
      <c r="O165" s="173"/>
      <c r="P165" s="173"/>
      <c r="Q165" s="173"/>
      <c r="R165" s="173"/>
      <c r="S165" s="173"/>
      <c r="T165" s="173"/>
      <c r="U165" s="173"/>
      <c r="V165" s="173"/>
      <c r="W165" s="173"/>
      <c r="X165" s="265"/>
      <c r="Y165" s="265"/>
      <c r="Z165" s="265"/>
      <c r="AA165" s="265"/>
      <c r="AB165" s="265"/>
      <c r="AC165" s="265"/>
      <c r="AD165" s="265"/>
      <c r="AE165" s="265"/>
      <c r="AF165" s="265"/>
      <c r="AG165" s="265"/>
      <c r="AH165" s="265"/>
      <c r="AI165" s="265"/>
      <c r="AJ165" s="265"/>
      <c r="AK165" s="265"/>
      <c r="AL165" s="265"/>
      <c r="AM165" s="265"/>
      <c r="AN165" s="265"/>
      <c r="AO165" s="265"/>
      <c r="AP165" s="265"/>
      <c r="AQ165" s="265"/>
      <c r="AR165" s="265"/>
      <c r="AS165" s="265"/>
      <c r="AT165" s="265"/>
      <c r="AU165" s="265"/>
      <c r="AV165" s="265"/>
      <c r="AW165" s="265"/>
      <c r="AX165" s="265"/>
      <c r="AY165" s="265"/>
      <c r="AZ165" s="265"/>
      <c r="BA165" s="265"/>
      <c r="BB165" s="265"/>
      <c r="BC165" s="265"/>
      <c r="BD165" s="265"/>
      <c r="BE165" s="265"/>
      <c r="BF165" s="265"/>
      <c r="BG165" s="265"/>
      <c r="BH165" s="265"/>
      <c r="BI165" s="265"/>
      <c r="BJ165" s="265"/>
      <c r="BK165" s="265"/>
      <c r="BL165" s="265"/>
      <c r="BM165" s="265"/>
      <c r="BN165" s="265"/>
      <c r="BO165" s="265"/>
      <c r="BP165" s="265"/>
      <c r="BQ165" s="265"/>
      <c r="BR165" s="265"/>
      <c r="BS165" s="265"/>
      <c r="BT165" s="265"/>
      <c r="BU165" s="265"/>
      <c r="BV165" s="265"/>
      <c r="BW165" s="265"/>
      <c r="BX165" s="265"/>
      <c r="BY165" s="265"/>
      <c r="BZ165" s="265"/>
    </row>
    <row r="166" spans="1:78" x14ac:dyDescent="0.25">
      <c r="A166" s="1513" t="s">
        <v>864</v>
      </c>
      <c r="B166" s="1514"/>
      <c r="C166" s="272">
        <v>11</v>
      </c>
      <c r="D166" s="173"/>
      <c r="E166" s="173"/>
      <c r="F166" s="173"/>
      <c r="G166" s="263"/>
      <c r="H166" s="173"/>
      <c r="I166" s="173"/>
      <c r="J166" s="173"/>
      <c r="K166" s="173"/>
      <c r="L166" s="173"/>
      <c r="M166" s="173"/>
      <c r="N166" s="173"/>
      <c r="O166" s="173"/>
      <c r="P166" s="173"/>
      <c r="Q166" s="173"/>
      <c r="R166" s="173"/>
      <c r="S166" s="173"/>
      <c r="T166" s="173"/>
      <c r="U166" s="173"/>
      <c r="V166" s="173"/>
      <c r="W166" s="173"/>
      <c r="X166" s="265"/>
      <c r="Y166" s="265"/>
      <c r="Z166" s="265"/>
      <c r="AA166" s="265"/>
      <c r="AB166" s="265"/>
      <c r="AC166" s="265"/>
      <c r="AD166" s="265"/>
      <c r="AE166" s="265"/>
      <c r="AF166" s="265"/>
      <c r="AG166" s="265"/>
      <c r="AH166" s="265"/>
      <c r="AI166" s="265"/>
      <c r="AJ166" s="265"/>
      <c r="AK166" s="265"/>
      <c r="AL166" s="265"/>
      <c r="AM166" s="265"/>
      <c r="AN166" s="265"/>
      <c r="AO166" s="265"/>
      <c r="AP166" s="265"/>
      <c r="AQ166" s="265"/>
      <c r="AR166" s="265"/>
      <c r="AS166" s="265"/>
      <c r="AT166" s="265"/>
      <c r="AU166" s="265"/>
      <c r="AV166" s="265"/>
      <c r="AW166" s="265"/>
      <c r="AX166" s="265"/>
      <c r="AY166" s="265"/>
      <c r="AZ166" s="265"/>
      <c r="BA166" s="265"/>
      <c r="BB166" s="265"/>
      <c r="BC166" s="265"/>
      <c r="BD166" s="265"/>
      <c r="BE166" s="265"/>
      <c r="BF166" s="265"/>
      <c r="BG166" s="265"/>
      <c r="BH166" s="265"/>
      <c r="BI166" s="265"/>
      <c r="BJ166" s="265"/>
      <c r="BK166" s="265"/>
      <c r="BL166" s="265"/>
      <c r="BM166" s="265"/>
      <c r="BN166" s="265"/>
      <c r="BO166" s="265"/>
      <c r="BP166" s="265"/>
      <c r="BQ166" s="265"/>
      <c r="BR166" s="265"/>
      <c r="BS166" s="265"/>
      <c r="BT166" s="265"/>
      <c r="BU166" s="265"/>
      <c r="BV166" s="265"/>
      <c r="BW166" s="265"/>
      <c r="BX166" s="265"/>
      <c r="BY166" s="265"/>
      <c r="BZ166" s="265"/>
    </row>
    <row r="167" spans="1:78" ht="15.75" thickBot="1" x14ac:dyDescent="0.3">
      <c r="A167" s="1600" t="s">
        <v>865</v>
      </c>
      <c r="B167" s="1601"/>
      <c r="C167" s="162">
        <v>12</v>
      </c>
    </row>
  </sheetData>
  <autoFilter ref="A7:BR150" xr:uid="{00000000-0009-0000-0000-00000B000000}"/>
  <mergeCells count="134">
    <mergeCell ref="A165:B165"/>
    <mergeCell ref="A166:B166"/>
    <mergeCell ref="A167:B167"/>
    <mergeCell ref="A159:B159"/>
    <mergeCell ref="A160:B160"/>
    <mergeCell ref="A161:B161"/>
    <mergeCell ref="A162:B162"/>
    <mergeCell ref="A163:B163"/>
    <mergeCell ref="A164:B164"/>
    <mergeCell ref="BH157:BI157"/>
    <mergeCell ref="BJ157:BM157"/>
    <mergeCell ref="A154:B154"/>
    <mergeCell ref="A155:B155"/>
    <mergeCell ref="A156:B156"/>
    <mergeCell ref="A158:B158"/>
    <mergeCell ref="A157:B157"/>
    <mergeCell ref="BH155:BI155"/>
    <mergeCell ref="BJ155:BM155"/>
    <mergeCell ref="BH156:BI156"/>
    <mergeCell ref="BJ156:BM156"/>
    <mergeCell ref="BS146:BS147"/>
    <mergeCell ref="BH152:BM152"/>
    <mergeCell ref="BH153:BI153"/>
    <mergeCell ref="BJ153:BM153"/>
    <mergeCell ref="BH154:BI154"/>
    <mergeCell ref="BJ154:BM154"/>
    <mergeCell ref="V146:V147"/>
    <mergeCell ref="W146:W147"/>
    <mergeCell ref="Y146:Y147"/>
    <mergeCell ref="Z146:Z147"/>
    <mergeCell ref="AB146:AB147"/>
    <mergeCell ref="AH146:AH147"/>
    <mergeCell ref="M146:M147"/>
    <mergeCell ref="N146:N147"/>
    <mergeCell ref="O146:O147"/>
    <mergeCell ref="P146:P147"/>
    <mergeCell ref="Q146:Q147"/>
    <mergeCell ref="U146:U147"/>
    <mergeCell ref="E146:E147"/>
    <mergeCell ref="F146:F147"/>
    <mergeCell ref="G146:G147"/>
    <mergeCell ref="I146:I147"/>
    <mergeCell ref="J146:J147"/>
    <mergeCell ref="K146:K147"/>
    <mergeCell ref="AK144:AK145"/>
    <mergeCell ref="AL144:AL145"/>
    <mergeCell ref="AM144:AM145"/>
    <mergeCell ref="AN144:AN145"/>
    <mergeCell ref="AO144:AO145"/>
    <mergeCell ref="BS144:BS145"/>
    <mergeCell ref="AC144:AC145"/>
    <mergeCell ref="AD144:AD145"/>
    <mergeCell ref="AE144:AE145"/>
    <mergeCell ref="AF144:AF145"/>
    <mergeCell ref="AH144:AH145"/>
    <mergeCell ref="AI144:AI145"/>
    <mergeCell ref="U144:U145"/>
    <mergeCell ref="V144:V145"/>
    <mergeCell ref="W144:W145"/>
    <mergeCell ref="Y144:Y145"/>
    <mergeCell ref="Z144:Z145"/>
    <mergeCell ref="AB144:AB145"/>
    <mergeCell ref="K144:K145"/>
    <mergeCell ref="M144:M145"/>
    <mergeCell ref="N144:N145"/>
    <mergeCell ref="O144:O145"/>
    <mergeCell ref="P144:P145"/>
    <mergeCell ref="Q144:Q145"/>
    <mergeCell ref="N135:N136"/>
    <mergeCell ref="O135:O136"/>
    <mergeCell ref="P135:P136"/>
    <mergeCell ref="Q135:Q136"/>
    <mergeCell ref="E144:E145"/>
    <mergeCell ref="F144:F145"/>
    <mergeCell ref="G144:G145"/>
    <mergeCell ref="I144:I145"/>
    <mergeCell ref="J144:J145"/>
    <mergeCell ref="K130:K132"/>
    <mergeCell ref="L130:L132"/>
    <mergeCell ref="E135:E136"/>
    <mergeCell ref="F135:F136"/>
    <mergeCell ref="G135:G136"/>
    <mergeCell ref="I135:I136"/>
    <mergeCell ref="J135:J136"/>
    <mergeCell ref="K135:K136"/>
    <mergeCell ref="M135:M136"/>
    <mergeCell ref="BS9:BS11"/>
    <mergeCell ref="AV9:AV11"/>
    <mergeCell ref="AX9:AX11"/>
    <mergeCell ref="AZ9:AZ11"/>
    <mergeCell ref="BA9:BA11"/>
    <mergeCell ref="BC9:BC11"/>
    <mergeCell ref="BE9:BE11"/>
    <mergeCell ref="K125:K129"/>
    <mergeCell ref="L125:L129"/>
    <mergeCell ref="BR6:BZ6"/>
    <mergeCell ref="E9:E11"/>
    <mergeCell ref="F9:F11"/>
    <mergeCell ref="I9:I11"/>
    <mergeCell ref="J9:J11"/>
    <mergeCell ref="K9:K11"/>
    <mergeCell ref="L9:L11"/>
    <mergeCell ref="M9:M11"/>
    <mergeCell ref="N9:N11"/>
    <mergeCell ref="O9:O11"/>
    <mergeCell ref="AK9:AK11"/>
    <mergeCell ref="AM9:AM11"/>
    <mergeCell ref="AO9:AO11"/>
    <mergeCell ref="AQ9:AQ11"/>
    <mergeCell ref="AR9:AR11"/>
    <mergeCell ref="AT9:AT11"/>
    <mergeCell ref="Z9:Z11"/>
    <mergeCell ref="AB9:AB11"/>
    <mergeCell ref="AD9:AD11"/>
    <mergeCell ref="AF9:AF11"/>
    <mergeCell ref="AH9:AH11"/>
    <mergeCell ref="AI9:AI11"/>
    <mergeCell ref="BG9:BG11"/>
    <mergeCell ref="BI9:BI11"/>
    <mergeCell ref="D5:M5"/>
    <mergeCell ref="X6:AF6"/>
    <mergeCell ref="AG6:AO6"/>
    <mergeCell ref="AP6:AX6"/>
    <mergeCell ref="AY6:BG6"/>
    <mergeCell ref="BH6:BO6"/>
    <mergeCell ref="P9:P11"/>
    <mergeCell ref="Q9:Q11"/>
    <mergeCell ref="U9:U11"/>
    <mergeCell ref="V9:V11"/>
    <mergeCell ref="W9:W11"/>
    <mergeCell ref="Y9:Y11"/>
    <mergeCell ref="BK9:BK11"/>
    <mergeCell ref="BM9:BM11"/>
    <mergeCell ref="BO9:BO11"/>
  </mergeCells>
  <conditionalFormatting sqref="BH8:BO9 BH12:BO150 BH10:BH11 BJ10:BJ11 BL10:BL11 BN10:BN11">
    <cfRule type="cellIs" dxfId="5" priority="1" operator="equal">
      <formula>#REF!</formula>
    </cfRule>
    <cfRule type="cellIs" dxfId="4" priority="2" operator="greaterThan">
      <formula>1</formula>
    </cfRule>
    <cfRule type="cellIs" dxfId="3" priority="3" operator="equal">
      <formula>100%</formula>
    </cfRule>
    <cfRule type="cellIs" dxfId="2" priority="4" operator="between">
      <formula>80%</formula>
      <formula>99%</formula>
    </cfRule>
    <cfRule type="cellIs" dxfId="1" priority="5" operator="between">
      <formula>0%</formula>
      <formula>79%</formula>
    </cfRule>
  </conditionalFormatting>
  <dataValidations count="3">
    <dataValidation type="list" allowBlank="1" showInputMessage="1" showErrorMessage="1" sqref="R104 R111 R136:R137 R147:R150" xr:uid="{00000000-0002-0000-0B00-000000000000}">
      <formula1>$S$3:$S$70</formula1>
    </dataValidation>
    <dataValidation type="list" allowBlank="1" showInputMessage="1" showErrorMessage="1" sqref="R121:R123 R133:R134" xr:uid="{00000000-0002-0000-0B00-000001000000}">
      <formula1>$S$3:$S$69</formula1>
    </dataValidation>
    <dataValidation type="list" allowBlank="1" showInputMessage="1" showErrorMessage="1" sqref="R46:R63 R100:R103 R113:R120 R138:R141 R88:R91 R94:R97 R8 R12:R44" xr:uid="{00000000-0002-0000-0B00-000002000000}">
      <formula1>$S$3:$S$57</formula1>
    </dataValidation>
  </dataValidations>
  <pageMargins left="0.7" right="0.7" top="0.75" bottom="0.75" header="0.3" footer="0.3"/>
  <pageSetup paperSize="41" scale="64"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6" operator="containsText" id="{F71A8AE0-20F7-404B-82A7-72A3409050E0}">
            <xm:f>NOT(ISERROR(SEARCH(#REF!,BH8)))</xm:f>
            <xm:f>#REF!</xm:f>
            <x14:dxf>
              <font>
                <color theme="4"/>
              </font>
              <fill>
                <patternFill>
                  <bgColor theme="5" tint="0.59996337778862885"/>
                </patternFill>
              </fill>
            </x14:dxf>
          </x14:cfRule>
          <xm:sqref>BH8:BO9 BH12:BO150 BH10:BH11 BJ10:BJ11 BL10:BL11 BN10:BN11</xm:sqref>
        </x14:conditionalFormatting>
      </x14:conditionalFormattings>
    </ext>
    <ext xmlns:x14="http://schemas.microsoft.com/office/spreadsheetml/2009/9/main" uri="{CCE6A557-97BC-4b89-ADB6-D9C93CAAB3DF}">
      <x14:dataValidations xmlns:xm="http://schemas.microsoft.com/office/excel/2006/main" count="27">
        <x14:dataValidation type="list" allowBlank="1" showInputMessage="1" showErrorMessage="1" xr:uid="{00000000-0002-0000-0B00-000003000000}">
          <x14:formula1>
            <xm:f>'D:\Users\Alicia.benitez\Documents\PLAN DE ACCION\[Contratacion.xlsx]TAB. REF. PA'!#REF!</xm:f>
          </x14:formula1>
          <xm:sqref>R98:R99</xm:sqref>
        </x14:dataValidation>
        <x14:dataValidation type="list" allowBlank="1" showInputMessage="1" showErrorMessage="1" xr:uid="{00000000-0002-0000-0B00-000004000000}">
          <x14:formula1>
            <xm:f>'D:\Users\magdiela.delacarrera\Documents\PLAN DE ACCIÓN GRUPO COBRO COACTIVO\[Copia de Plan Accion ADRES Vigencia 2018 Cobro Coactivo 15-01-18 remitido x Ricardo.xlsx]TAB. REF. PA'!#REF!</xm:f>
          </x14:formula1>
          <xm:sqref>R135:R137 D137 A137 S144:S150 S136:S137 M137:Q137 D144:D150 M144:R144 W144 A144:A150 M148:Q150 M146:R146 W146</xm:sqref>
        </x14:dataValidation>
        <x14:dataValidation type="list" allowBlank="1" showInputMessage="1" showErrorMessage="1" xr:uid="{00000000-0002-0000-0B00-000005000000}">
          <x14:formula1>
            <xm:f>'C:\Users\norela.briceno\AppData\Local\Microsoft\Windows\INetCache\Content.Outlook\FBI6K8AZ\[Plan Accion ADRES Vigencia 2018 ADRES 26-01-18 JCB.xlsx]TAB. REF. PA'!#REF!</xm:f>
          </x14:formula1>
          <xm:sqref>R107:S107</xm:sqref>
        </x14:dataValidation>
        <x14:dataValidation type="list" allowBlank="1" showInputMessage="1" showErrorMessage="1" xr:uid="{00000000-0002-0000-0B00-000006000000}">
          <x14:formula1>
            <xm:f>'C:\Users\norela.briceno\Documents\Plan de acción\[Plan Accion ADRES - DAF y OAJ.xlsx]TAB. REF. PA'!#REF!</xm:f>
          </x14:formula1>
          <xm:sqref>R106 D92:D93 A121:A137 S121:S137 W134:W136 M92:S93 R124:R132 A92:A93 W121:W123 D121:D137 M121:Q135 M137:Q137</xm:sqref>
        </x14:dataValidation>
        <x14:dataValidation type="list" allowBlank="1" showInputMessage="1" showErrorMessage="1" xr:uid="{00000000-0002-0000-0B00-000007000000}">
          <x14:formula1>
            <xm:f>'C:\Users\norela.briceno\AppData\Local\Microsoft\Windows\INetCache\Content.Outlook\FBI6K8AZ\[PLAN DE ACCION TALENTO HUMANO OK.xlsx]TAB. REF. PA'!#REF!</xm:f>
          </x14:formula1>
          <xm:sqref>S104 S142:S143 R105</xm:sqref>
        </x14:dataValidation>
        <x14:dataValidation type="list" allowBlank="1" showInputMessage="1" showErrorMessage="1" xr:uid="{00000000-0002-0000-0B00-000008000000}">
          <x14:formula1>
            <xm:f>'D:\Users\Alicia.benitez\Documents\PLAN DE ACCION\[Apoyo Logistico.xlsx]TAB. REF. PA'!#REF!</xm:f>
          </x14:formula1>
          <xm:sqref>R142:R143</xm:sqref>
        </x14:dataValidation>
        <x14:dataValidation type="list" allowBlank="1" showInputMessage="1" showErrorMessage="1" xr:uid="{00000000-0002-0000-0B00-000009000000}">
          <x14:formula1>
            <xm:f>'D:\Users\Alicia.benitez\Documents\PLAN DE ACCION\[Atencion al Ciudadano.XLSX]TAB. REF. PA'!#REF!</xm:f>
          </x14:formula1>
          <xm:sqref>S110</xm:sqref>
        </x14:dataValidation>
        <x14:dataValidation type="list" allowBlank="1" showInputMessage="1" showErrorMessage="1" xr:uid="{00000000-0002-0000-0B00-00000A000000}">
          <x14:formula1>
            <xm:f>'C:\Users\norela.briceno\Documents\Plan de acción\Plan Accion 2018\[Plan Accion ADRES Vigencia 2018 26-01-18 Atención al Ciudadano.xlsx]TAB. REF. PA'!#REF!</xm:f>
          </x14:formula1>
          <xm:sqref>D110:D111 S111 A110:A111 R110</xm:sqref>
        </x14:dataValidation>
        <x14:dataValidation type="list" allowBlank="1" showInputMessage="1" showErrorMessage="1" xr:uid="{00000000-0002-0000-0B00-00000B000000}">
          <x14:formula1>
            <xm:f>'C:\Users\norela.briceno\Documents\Plan de acción\Plan Accion 2018\[Plan Accion ADRES - DAF Gestión Documental.xlsx]TAB. REF. PA'!#REF!</xm:f>
          </x14:formula1>
          <xm:sqref>M109:S109 M112:S112 A109 A112 A142:A143 D109 D112 D142:D143</xm:sqref>
        </x14:dataValidation>
        <x14:dataValidation type="list" allowBlank="1" showInputMessage="1" showErrorMessage="1" xr:uid="{00000000-0002-0000-0B00-00000C000000}">
          <x14:formula1>
            <xm:f>'C:\Users\norela.briceno\Documents\Plan de acción\[Plan Accion ADRES Vigencia 2018 Preliminar DTIC ADRES 25-01-18.xlsx]TAB. REF. PA'!#REF!</xm:f>
          </x14:formula1>
          <xm:sqref>D75:D87 M75:S87 W78 W75:W76 A75:A87</xm:sqref>
        </x14:dataValidation>
        <x14:dataValidation type="list" allowBlank="1" showInputMessage="1" showErrorMessage="1" xr:uid="{00000000-0002-0000-0B00-00000D000000}">
          <x14:formula1>
            <xm:f>'TAB. REF. PA'!$A$3:$A$14</xm:f>
          </x14:formula1>
          <xm:sqref>A94:A108 A113:A120 A138:A141 A88:A91 A8:A74</xm:sqref>
        </x14:dataValidation>
        <x14:dataValidation type="list" allowBlank="1" showInputMessage="1" showErrorMessage="1" xr:uid="{00000000-0002-0000-0B00-00000E000000}">
          <x14:formula1>
            <xm:f>'TAB. REF. PA'!$U$3:$U$24</xm:f>
          </x14:formula1>
          <xm:sqref>S94:S103 S108 S105:S106 S113:S120 S138:S141 S88:S91 S8:S74</xm:sqref>
        </x14:dataValidation>
        <x14:dataValidation type="list" allowBlank="1" showInputMessage="1" showErrorMessage="1" xr:uid="{00000000-0002-0000-0B00-00000F000000}">
          <x14:formula1>
            <xm:f>'TAB. REF. PA'!$N$3:$N$25</xm:f>
          </x14:formula1>
          <xm:sqref>Q94:Q108 Q110:Q111 Q113:Q120 Q138:Q143 Q88:Q91 Q8:Q9 Q12:Q74</xm:sqref>
        </x14:dataValidation>
        <x14:dataValidation type="list" allowBlank="1" showInputMessage="1" showErrorMessage="1" xr:uid="{00000000-0002-0000-0B00-000010000000}">
          <x14:formula1>
            <xm:f>'TAB. REF. PA'!$L$3:$L$11</xm:f>
          </x14:formula1>
          <xm:sqref>P94:P108 P110:P111 P113:P120 P138:P143 P88:P91 P8:P9 P12:P74</xm:sqref>
        </x14:dataValidation>
        <x14:dataValidation type="list" allowBlank="1" showInputMessage="1" showErrorMessage="1" xr:uid="{00000000-0002-0000-0B00-000011000000}">
          <x14:formula1>
            <xm:f>'TAB. REF. PA'!$J$3:$J$6</xm:f>
          </x14:formula1>
          <xm:sqref>O94:O108 O110:O111 O113:O120 O138:O143 O88:O91 O8:O9 O12:O74</xm:sqref>
        </x14:dataValidation>
        <x14:dataValidation type="list" allowBlank="1" showInputMessage="1" showErrorMessage="1" xr:uid="{00000000-0002-0000-0B00-000012000000}">
          <x14:formula1>
            <xm:f>'TAB. REF. PA'!$H$3:$H$21</xm:f>
          </x14:formula1>
          <xm:sqref>N94:N108 N110:N111 N113:N120 N138:N143 N88:N91 N8:N9 N12:N74</xm:sqref>
        </x14:dataValidation>
        <x14:dataValidation type="list" allowBlank="1" showInputMessage="1" showErrorMessage="1" xr:uid="{00000000-0002-0000-0B00-000013000000}">
          <x14:formula1>
            <xm:f>'TAB. REF. PA'!$F$3:$F$10</xm:f>
          </x14:formula1>
          <xm:sqref>M94:M108 M110:M111 M113:M120 M138:M143 M88:M91 M8:M9 M12:M74</xm:sqref>
        </x14:dataValidation>
        <x14:dataValidation type="list" allowBlank="1" showInputMessage="1" showErrorMessage="1" xr:uid="{00000000-0002-0000-0B00-000014000000}">
          <x14:formula1>
            <xm:f>'TAB. REF. PA'!$W$3:$W$7</xm:f>
          </x14:formula1>
          <xm:sqref>W79:W120 W77 W137:W143 W124:W133 W148:W150 W8:W9 W12:W74</xm:sqref>
        </x14:dataValidation>
        <x14:dataValidation type="list" allowBlank="1" showInputMessage="1" showErrorMessage="1" xr:uid="{00000000-0002-0000-0B00-000015000000}">
          <x14:formula1>
            <xm:f>'C:\Users\Ricardo.triana\AppData\Local\Microsoft\Windows\INetCache\Content.Outlook\NSJG1V0A\[Plan Accion ADRES DOP 24-01-2018.xlsx]TAB. REF. PA'!#REF!</xm:f>
          </x14:formula1>
          <xm:sqref>D64:D74</xm:sqref>
        </x14:dataValidation>
        <x14:dataValidation type="list" allowBlank="1" showInputMessage="1" showErrorMessage="1" xr:uid="{00000000-0002-0000-0B00-000016000000}">
          <x14:formula1>
            <xm:f>'D:\Users\ricardo.triana\Documents\ADRES\Plan de Accion\Plan Accion 2018\[Plan Accion ADRES Vigencia 2018 DLG 17-01-18.xlsx]TAB. REF. PA'!#REF!</xm:f>
          </x14:formula1>
          <xm:sqref>D45:D63</xm:sqref>
        </x14:dataValidation>
        <x14:dataValidation type="list" allowBlank="1" showInputMessage="1" showErrorMessage="1" xr:uid="{00000000-0002-0000-0B00-000017000000}">
          <x14:formula1>
            <xm:f>'D:\Users\ricardo.triana\Documents\ADRES\Plan de Accion\Plan Accion 2018\[Plan Accion ADRES Vigencia 2018 DGRFS 17-01-18.xlsx]TAB. REF. PA'!#REF!</xm:f>
          </x14:formula1>
          <xm:sqref>D12:D44</xm:sqref>
        </x14:dataValidation>
        <x14:dataValidation type="list" allowBlank="1" showInputMessage="1" showErrorMessage="1" xr:uid="{00000000-0002-0000-0B00-000018000000}">
          <x14:formula1>
            <xm:f>'TAB. REF. PA'!$D$3:$D$9</xm:f>
          </x14:formula1>
          <xm:sqref>D94:D108 D113:D120 D138:D141 D88:D91 D8:D11</xm:sqref>
        </x14:dataValidation>
        <x14:dataValidation type="list" allowBlank="1" showInputMessage="1" showErrorMessage="1" xr:uid="{00000000-0002-0000-0B00-000019000000}">
          <x14:formula1>
            <xm:f>'TAB. REF. PA'!$S$3:$S$80</xm:f>
          </x14:formula1>
          <xm:sqref>R9:R11</xm:sqref>
        </x14:dataValidation>
        <x14:dataValidation type="list" allowBlank="1" showInputMessage="1" showErrorMessage="1" xr:uid="{00000000-0002-0000-0B00-00001A000000}">
          <x14:formula1>
            <xm:f>'TAB. REF. PA'!$S$3:$S$76</xm:f>
          </x14:formula1>
          <xm:sqref>R145</xm:sqref>
        </x14:dataValidation>
        <x14:dataValidation type="list" allowBlank="1" showInputMessage="1" showErrorMessage="1" xr:uid="{00000000-0002-0000-0B00-00001B000000}">
          <x14:formula1>
            <xm:f>'TAB. REF. PA'!$S$3:$S$77</xm:f>
          </x14:formula1>
          <xm:sqref>R45</xm:sqref>
        </x14:dataValidation>
        <x14:dataValidation type="list" allowBlank="1" showInputMessage="1" showErrorMessage="1" xr:uid="{00000000-0002-0000-0B00-00001C000000}">
          <x14:formula1>
            <xm:f>'TAB. REF. PA'!$S$3:$S$78</xm:f>
          </x14:formula1>
          <xm:sqref>R64:R74</xm:sqref>
        </x14:dataValidation>
        <x14:dataValidation type="list" allowBlank="1" showInputMessage="1" showErrorMessage="1" xr:uid="{00000000-0002-0000-0B00-00001D000000}">
          <x14:formula1>
            <xm:f>'TAB. REF. PA'!$S$3:$S$62</xm:f>
          </x14:formula1>
          <xm:sqref>R108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H21"/>
  <sheetViews>
    <sheetView topLeftCell="B4" workbookViewId="0">
      <selection activeCell="G13" sqref="G13:H14"/>
    </sheetView>
  </sheetViews>
  <sheetFormatPr baseColWidth="10" defaultRowHeight="15" x14ac:dyDescent="0.25"/>
  <cols>
    <col min="1" max="1" width="48.140625" customWidth="1"/>
    <col min="2" max="2" width="16.28515625" style="20" customWidth="1"/>
    <col min="4" max="4" width="34.28515625" bestFit="1" customWidth="1"/>
    <col min="5" max="5" width="15.140625" style="20" bestFit="1" customWidth="1"/>
    <col min="6" max="6" width="33.85546875" customWidth="1"/>
    <col min="7" max="7" width="15.140625" style="20" bestFit="1" customWidth="1"/>
    <col min="8" max="8" width="14.140625" bestFit="1" customWidth="1"/>
  </cols>
  <sheetData>
    <row r="2" spans="1:8" x14ac:dyDescent="0.25">
      <c r="D2" s="1602"/>
      <c r="E2" s="1603"/>
      <c r="F2" s="1604" t="s">
        <v>734</v>
      </c>
      <c r="G2" s="1605"/>
      <c r="H2" s="1606"/>
    </row>
    <row r="3" spans="1:8" ht="15.75" thickBot="1" x14ac:dyDescent="0.3">
      <c r="A3" t="s">
        <v>722</v>
      </c>
      <c r="B3" s="20" t="s">
        <v>735</v>
      </c>
      <c r="D3" t="s">
        <v>3</v>
      </c>
      <c r="E3" s="20">
        <f>+GETPIVOTDATA("Valor total estimado ",$A$3,"Dependencia ADRES","Dirección General")</f>
        <v>500000000</v>
      </c>
      <c r="F3" s="131" t="s">
        <v>3</v>
      </c>
      <c r="G3" s="132">
        <v>500000000</v>
      </c>
      <c r="H3" s="133">
        <f>+E3-G3</f>
        <v>0</v>
      </c>
    </row>
    <row r="4" spans="1:8" x14ac:dyDescent="0.25">
      <c r="A4" s="128" t="s">
        <v>29</v>
      </c>
      <c r="B4" s="20">
        <v>3793739894.5</v>
      </c>
      <c r="D4" s="128" t="s">
        <v>29</v>
      </c>
      <c r="E4" s="20">
        <f>+GETPIVOTDATA("Valor total estimado ",$A$3,"Dependencia ADRES","Dirección Administrativa y Financiera")+GETPIVOTDATA("Valor total estimado ",$A$3,"Dependencia ADRES","Dirección Administrativa y Financiera - Grupo de Contratación")+GETPIVOTDATA("Valor total estimado ",$A$3,"Dependencia ADRES","Dirección Administrativa y Financiera - Grupo de Talento Humano")</f>
        <v>5154732198.5</v>
      </c>
      <c r="F4" s="131" t="s">
        <v>29</v>
      </c>
      <c r="G4" s="132">
        <v>5129672798.5</v>
      </c>
      <c r="H4" s="134">
        <f t="shared" ref="H4:H11" si="0">+E4-G4</f>
        <v>25059400</v>
      </c>
    </row>
    <row r="5" spans="1:8" x14ac:dyDescent="0.25">
      <c r="A5" s="128" t="s">
        <v>470</v>
      </c>
      <c r="B5" s="20">
        <v>321766980</v>
      </c>
      <c r="D5" s="128" t="s">
        <v>4</v>
      </c>
      <c r="E5" s="20">
        <f>+GETPIVOTDATA("Valor total estimado ",$A$3,"Dependencia ADRES","Dirección de Gestión de Recursos Financieros de Salud")</f>
        <v>1490946380</v>
      </c>
      <c r="F5" s="131" t="s">
        <v>4</v>
      </c>
      <c r="G5" s="132">
        <v>1184794516</v>
      </c>
      <c r="H5" s="135">
        <f t="shared" si="0"/>
        <v>306151864</v>
      </c>
    </row>
    <row r="6" spans="1:8" x14ac:dyDescent="0.25">
      <c r="A6" s="128" t="s">
        <v>546</v>
      </c>
      <c r="B6" s="20">
        <v>1039225324</v>
      </c>
      <c r="D6" s="128" t="s">
        <v>6</v>
      </c>
      <c r="E6" s="20">
        <f>+GETPIVOTDATA("Valor total estimado ",$A$3,"Dependencia ADRES","Dirección de Gestión de Tecnología de la Información y la Comunicación")</f>
        <v>6222584634</v>
      </c>
      <c r="F6" s="131" t="s">
        <v>6</v>
      </c>
      <c r="G6" s="132">
        <v>5965245278</v>
      </c>
      <c r="H6" s="135">
        <f t="shared" si="0"/>
        <v>257339356</v>
      </c>
    </row>
    <row r="7" spans="1:8" x14ac:dyDescent="0.25">
      <c r="A7" s="128" t="s">
        <v>4</v>
      </c>
      <c r="B7" s="20">
        <v>1490946380</v>
      </c>
      <c r="D7" s="128" t="s">
        <v>26</v>
      </c>
      <c r="E7" s="20">
        <f>+GETPIVOTDATA("Valor total estimado ",$A$3,"Dependencia ADRES","Dirección de Liquidaciones y Garantías - Subdirección de Garantías")+GETPIVOTDATA("Valor total estimado ",$A$3,"Dependencia ADRES","Dirección de Liquidaciones y Garantías - Subdirección de Liquidaciones del Aseguramiento")</f>
        <v>368855224</v>
      </c>
      <c r="F7" s="131" t="s">
        <v>26</v>
      </c>
      <c r="G7" s="132">
        <v>274573156</v>
      </c>
      <c r="H7" s="135">
        <f t="shared" si="0"/>
        <v>94282068</v>
      </c>
    </row>
    <row r="8" spans="1:8" x14ac:dyDescent="0.25">
      <c r="A8" s="128" t="s">
        <v>6</v>
      </c>
      <c r="B8" s="20">
        <v>6222584634</v>
      </c>
      <c r="D8" t="s">
        <v>465</v>
      </c>
      <c r="E8" s="20">
        <f>+GETPIVOTDATA("Valor total estimado ",$A$3,"Dependencia ADRES","Dirección Otras Prestaciones")</f>
        <v>31126827540</v>
      </c>
      <c r="F8" s="131" t="s">
        <v>465</v>
      </c>
      <c r="G8" s="132">
        <v>31045227540</v>
      </c>
      <c r="H8" s="135">
        <f>+E8-G8</f>
        <v>81600000</v>
      </c>
    </row>
    <row r="9" spans="1:8" x14ac:dyDescent="0.25">
      <c r="A9" s="128" t="s">
        <v>456</v>
      </c>
      <c r="B9" s="20">
        <v>86009020</v>
      </c>
      <c r="D9" t="s">
        <v>454</v>
      </c>
      <c r="E9" s="20">
        <f>+GETPIVOTDATA("Valor total estimado ",$A$3,"Dependencia ADRES","Oficina Asesora de Planeación y Control de Riesgo")</f>
        <v>41094712</v>
      </c>
      <c r="F9" s="131" t="s">
        <v>454</v>
      </c>
      <c r="G9" s="132">
        <v>41094712</v>
      </c>
      <c r="H9" s="135">
        <f t="shared" si="0"/>
        <v>0</v>
      </c>
    </row>
    <row r="10" spans="1:8" ht="15.75" thickBot="1" x14ac:dyDescent="0.3">
      <c r="A10" s="128" t="s">
        <v>455</v>
      </c>
      <c r="B10" s="20">
        <v>282846204</v>
      </c>
      <c r="D10" s="128" t="s">
        <v>349</v>
      </c>
      <c r="E10" s="20">
        <f>+GETPIVOTDATA("Valor total estimado ",$A$3,"Dependencia ADRES","Oficina Asesora Jurídica")+GETPIVOTDATA("Valor total estimado ",$A$3,"Dependencia ADRES","Oficina Asesora Jurídica - Grupo de Acciones Constitucionales y Tutelas")+GETPIVOTDATA("Valor total estimado ",$A$3,"Dependencia ADRES","Oficina Asesora Jurídica - Grupo de Cobro Coactivo")+GETPIVOTDATA("Valor total estimado ",$A$3,"Dependencia ADRES","Oficina Asesora Jurídica - Grupo de Representación Judicial")</f>
        <v>2202188951</v>
      </c>
      <c r="F10" s="131" t="s">
        <v>349</v>
      </c>
      <c r="G10" s="132">
        <v>1203517459</v>
      </c>
      <c r="H10" s="136">
        <f t="shared" si="0"/>
        <v>998671492</v>
      </c>
    </row>
    <row r="11" spans="1:8" x14ac:dyDescent="0.25">
      <c r="A11" s="128" t="s">
        <v>3</v>
      </c>
      <c r="B11" s="20">
        <v>500000000</v>
      </c>
      <c r="D11" s="128" t="s">
        <v>736</v>
      </c>
      <c r="E11" s="20">
        <v>200000000</v>
      </c>
      <c r="F11" s="137" t="s">
        <v>736</v>
      </c>
      <c r="G11" s="138">
        <v>200000000</v>
      </c>
      <c r="H11" s="139">
        <f t="shared" si="0"/>
        <v>0</v>
      </c>
    </row>
    <row r="12" spans="1:8" x14ac:dyDescent="0.25">
      <c r="A12" s="128" t="s">
        <v>465</v>
      </c>
      <c r="B12" s="20">
        <v>31126827540</v>
      </c>
    </row>
    <row r="13" spans="1:8" x14ac:dyDescent="0.25">
      <c r="A13" s="128" t="s">
        <v>454</v>
      </c>
      <c r="B13" s="20">
        <v>41094712</v>
      </c>
      <c r="E13" s="20">
        <f>+SUM(E3:E11)</f>
        <v>47307229639.5</v>
      </c>
      <c r="G13" s="20">
        <f>SUM(G3:G11)</f>
        <v>45544125459.5</v>
      </c>
      <c r="H13" s="48">
        <f>E13-G13</f>
        <v>1763104180</v>
      </c>
    </row>
    <row r="14" spans="1:8" x14ac:dyDescent="0.25">
      <c r="A14" s="128" t="s">
        <v>349</v>
      </c>
      <c r="B14" s="20">
        <v>542477052</v>
      </c>
    </row>
    <row r="15" spans="1:8" x14ac:dyDescent="0.25">
      <c r="A15" s="128" t="s">
        <v>466</v>
      </c>
      <c r="B15" s="20">
        <v>307607868</v>
      </c>
    </row>
    <row r="16" spans="1:8" x14ac:dyDescent="0.25">
      <c r="A16" s="128" t="s">
        <v>469</v>
      </c>
      <c r="B16" s="20">
        <v>55760808</v>
      </c>
    </row>
    <row r="17" spans="1:2" x14ac:dyDescent="0.25">
      <c r="A17" s="128" t="s">
        <v>467</v>
      </c>
      <c r="B17" s="20">
        <v>1296343223</v>
      </c>
    </row>
    <row r="18" spans="1:2" x14ac:dyDescent="0.25">
      <c r="A18" s="128" t="s">
        <v>737</v>
      </c>
      <c r="B18" s="20">
        <v>47532004351.5</v>
      </c>
    </row>
    <row r="19" spans="1:2" x14ac:dyDescent="0.25">
      <c r="A19" s="128" t="s">
        <v>723</v>
      </c>
      <c r="B19" s="20">
        <v>94639233991</v>
      </c>
    </row>
    <row r="21" spans="1:2" x14ac:dyDescent="0.25">
      <c r="B21" s="20">
        <f>+GETPIVOTDATA("Valor total estimado ",$A$3,"Dependencia ADRES",)-E13</f>
        <v>224774712</v>
      </c>
    </row>
  </sheetData>
  <mergeCells count="2">
    <mergeCell ref="D2:E2"/>
    <mergeCell ref="F2:H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4"/>
  <dimension ref="A1:W83"/>
  <sheetViews>
    <sheetView workbookViewId="0">
      <selection activeCell="S47" sqref="S47"/>
    </sheetView>
  </sheetViews>
  <sheetFormatPr baseColWidth="10" defaultRowHeight="15" x14ac:dyDescent="0.25"/>
  <cols>
    <col min="1" max="1" width="16.5703125" bestFit="1" customWidth="1"/>
    <col min="2" max="2" width="65.42578125" bestFit="1" customWidth="1"/>
    <col min="3" max="3" width="5.140625" customWidth="1"/>
    <col min="4" max="4" width="43.42578125" customWidth="1"/>
    <col min="5" max="5" width="5.140625" customWidth="1"/>
    <col min="6" max="6" width="30.28515625" customWidth="1"/>
    <col min="7" max="7" width="4.5703125" customWidth="1"/>
    <col min="8" max="8" width="34.5703125" customWidth="1"/>
    <col min="9" max="9" width="4.85546875" customWidth="1"/>
    <col min="10" max="10" width="38.42578125" customWidth="1"/>
    <col min="11" max="11" width="5.5703125" customWidth="1"/>
    <col min="12" max="12" width="38.42578125" customWidth="1"/>
    <col min="13" max="13" width="5" customWidth="1"/>
    <col min="14" max="14" width="37.140625" customWidth="1"/>
    <col min="15" max="15" width="4.28515625" customWidth="1"/>
    <col min="16" max="16" width="15.7109375" customWidth="1"/>
    <col min="17" max="17" width="5.28515625" customWidth="1"/>
    <col min="18" max="18" width="15.5703125" customWidth="1"/>
    <col min="19" max="19" width="56" bestFit="1" customWidth="1"/>
    <col min="20" max="20" width="4.5703125" customWidth="1"/>
    <col min="21" max="21" width="57.28515625" customWidth="1"/>
    <col min="22" max="22" width="4.5703125" customWidth="1"/>
    <col min="23" max="23" width="19.85546875" customWidth="1"/>
  </cols>
  <sheetData>
    <row r="1" spans="1:23" x14ac:dyDescent="0.25">
      <c r="A1" s="1616" t="s">
        <v>42</v>
      </c>
      <c r="B1" s="1616"/>
      <c r="F1" t="s">
        <v>43</v>
      </c>
      <c r="H1" t="s">
        <v>44</v>
      </c>
      <c r="J1" s="11" t="s">
        <v>65</v>
      </c>
      <c r="L1" s="11" t="s">
        <v>66</v>
      </c>
      <c r="N1" t="s">
        <v>76</v>
      </c>
      <c r="P1" t="s">
        <v>78</v>
      </c>
      <c r="S1" t="s">
        <v>84</v>
      </c>
      <c r="U1" t="s">
        <v>89</v>
      </c>
    </row>
    <row r="2" spans="1:23" s="9" customFormat="1" x14ac:dyDescent="0.25">
      <c r="A2" s="8" t="s">
        <v>25</v>
      </c>
      <c r="B2" s="8" t="s">
        <v>31</v>
      </c>
      <c r="D2" s="8" t="s">
        <v>141</v>
      </c>
      <c r="F2" s="10" t="s">
        <v>53</v>
      </c>
      <c r="H2" s="10" t="s">
        <v>52</v>
      </c>
      <c r="J2" s="10" t="s">
        <v>32</v>
      </c>
      <c r="L2" s="10" t="s">
        <v>33</v>
      </c>
      <c r="N2" s="10" t="s">
        <v>67</v>
      </c>
      <c r="P2" s="10" t="s">
        <v>77</v>
      </c>
      <c r="Q2" s="22"/>
      <c r="S2" s="10" t="s">
        <v>79</v>
      </c>
      <c r="U2" s="10" t="s">
        <v>1</v>
      </c>
      <c r="W2" s="10" t="s">
        <v>113</v>
      </c>
    </row>
    <row r="3" spans="1:23" x14ac:dyDescent="0.25">
      <c r="A3" s="1"/>
      <c r="B3" s="1"/>
      <c r="D3" s="1"/>
      <c r="F3" s="1"/>
      <c r="H3" s="1"/>
      <c r="J3" s="1"/>
      <c r="L3" s="1"/>
      <c r="N3" s="1"/>
      <c r="P3" s="1"/>
      <c r="Q3" s="23"/>
      <c r="S3" s="3" t="s">
        <v>570</v>
      </c>
      <c r="U3" s="1"/>
      <c r="W3" s="1" t="s">
        <v>122</v>
      </c>
    </row>
    <row r="4" spans="1:23" ht="60" x14ac:dyDescent="0.25">
      <c r="A4" s="2">
        <v>11200</v>
      </c>
      <c r="B4" s="2" t="s">
        <v>3</v>
      </c>
      <c r="D4" s="3" t="s">
        <v>144</v>
      </c>
      <c r="F4" s="3" t="s">
        <v>45</v>
      </c>
      <c r="H4" s="3" t="s">
        <v>54</v>
      </c>
      <c r="J4" s="3" t="s">
        <v>34</v>
      </c>
      <c r="L4" s="3" t="s">
        <v>35</v>
      </c>
      <c r="N4" s="3" t="s">
        <v>75</v>
      </c>
      <c r="P4" s="1"/>
      <c r="Q4" s="23"/>
      <c r="S4" s="3" t="s">
        <v>137</v>
      </c>
      <c r="U4" s="3" t="s">
        <v>92</v>
      </c>
      <c r="W4" s="1" t="s">
        <v>117</v>
      </c>
    </row>
    <row r="5" spans="1:23" ht="60.75" thickBot="1" x14ac:dyDescent="0.3">
      <c r="A5" s="2">
        <v>11300</v>
      </c>
      <c r="B5" s="2" t="s">
        <v>4</v>
      </c>
      <c r="D5" s="3" t="s">
        <v>145</v>
      </c>
      <c r="F5" s="3" t="s">
        <v>51</v>
      </c>
      <c r="H5" s="3" t="s">
        <v>55</v>
      </c>
      <c r="J5" s="3" t="s">
        <v>21</v>
      </c>
      <c r="K5" s="9"/>
      <c r="L5" s="3" t="s">
        <v>36</v>
      </c>
      <c r="N5" s="3" t="s">
        <v>210</v>
      </c>
      <c r="P5" s="1"/>
      <c r="Q5" s="23"/>
      <c r="S5" s="24" t="s">
        <v>182</v>
      </c>
      <c r="U5" s="3" t="s">
        <v>93</v>
      </c>
      <c r="W5" s="1" t="s">
        <v>114</v>
      </c>
    </row>
    <row r="6" spans="1:23" ht="30" x14ac:dyDescent="0.25">
      <c r="A6" s="2">
        <v>11400</v>
      </c>
      <c r="B6" s="2" t="s">
        <v>26</v>
      </c>
      <c r="D6" s="3" t="s">
        <v>146</v>
      </c>
      <c r="F6" s="3" t="s">
        <v>46</v>
      </c>
      <c r="H6" s="3" t="s">
        <v>56</v>
      </c>
      <c r="J6" s="3" t="s">
        <v>37</v>
      </c>
      <c r="L6" s="3" t="s">
        <v>22</v>
      </c>
      <c r="N6" s="3" t="s">
        <v>211</v>
      </c>
      <c r="P6" s="1"/>
      <c r="Q6" s="23"/>
      <c r="R6" s="1617" t="s">
        <v>511</v>
      </c>
      <c r="S6" s="28" t="s">
        <v>909</v>
      </c>
      <c r="U6" s="3" t="s">
        <v>94</v>
      </c>
      <c r="W6" s="1" t="s">
        <v>115</v>
      </c>
    </row>
    <row r="7" spans="1:23" ht="45" x14ac:dyDescent="0.25">
      <c r="A7" s="2">
        <v>11420</v>
      </c>
      <c r="B7" s="2" t="s">
        <v>27</v>
      </c>
      <c r="D7" s="3" t="s">
        <v>147</v>
      </c>
      <c r="F7" s="3" t="s">
        <v>47</v>
      </c>
      <c r="H7" s="3" t="s">
        <v>57</v>
      </c>
      <c r="L7" s="3" t="s">
        <v>23</v>
      </c>
      <c r="N7" s="3" t="s">
        <v>212</v>
      </c>
      <c r="P7" s="1"/>
      <c r="Q7" s="23"/>
      <c r="R7" s="1618"/>
      <c r="S7" s="29" t="s">
        <v>910</v>
      </c>
      <c r="U7" s="3" t="s">
        <v>95</v>
      </c>
      <c r="W7" s="1" t="s">
        <v>116</v>
      </c>
    </row>
    <row r="8" spans="1:23" ht="90" x14ac:dyDescent="0.25">
      <c r="A8" s="2">
        <v>11430</v>
      </c>
      <c r="B8" s="2" t="s">
        <v>2</v>
      </c>
      <c r="D8" s="19" t="s">
        <v>256</v>
      </c>
      <c r="F8" s="6" t="s">
        <v>48</v>
      </c>
      <c r="H8" s="7" t="s">
        <v>68</v>
      </c>
      <c r="K8" s="9"/>
      <c r="L8" s="1" t="s">
        <v>39</v>
      </c>
      <c r="N8" s="3" t="s">
        <v>213</v>
      </c>
      <c r="P8" s="1"/>
      <c r="Q8" s="23"/>
      <c r="R8" s="1618"/>
      <c r="S8" s="29" t="s">
        <v>911</v>
      </c>
      <c r="U8" s="3" t="s">
        <v>96</v>
      </c>
    </row>
    <row r="9" spans="1:23" ht="45" x14ac:dyDescent="0.25">
      <c r="A9" s="2">
        <v>11500</v>
      </c>
      <c r="B9" s="2" t="s">
        <v>28</v>
      </c>
      <c r="D9" s="19" t="s">
        <v>153</v>
      </c>
      <c r="F9" s="6" t="s">
        <v>49</v>
      </c>
      <c r="H9" s="7" t="s">
        <v>69</v>
      </c>
      <c r="L9" s="6" t="s">
        <v>38</v>
      </c>
      <c r="N9" s="3" t="s">
        <v>214</v>
      </c>
      <c r="P9" s="1"/>
      <c r="Q9" s="23"/>
      <c r="R9" s="1618"/>
      <c r="S9" s="29" t="s">
        <v>235</v>
      </c>
      <c r="U9" s="3" t="s">
        <v>97</v>
      </c>
    </row>
    <row r="10" spans="1:23" ht="30" x14ac:dyDescent="0.25">
      <c r="A10" s="2">
        <v>11600</v>
      </c>
      <c r="B10" s="2" t="s">
        <v>6</v>
      </c>
      <c r="F10" s="6" t="s">
        <v>50</v>
      </c>
      <c r="H10" s="6" t="s">
        <v>73</v>
      </c>
      <c r="L10" s="6" t="s">
        <v>40</v>
      </c>
      <c r="N10" s="3" t="s">
        <v>215</v>
      </c>
      <c r="P10" s="1"/>
      <c r="Q10" s="23"/>
      <c r="R10" s="1618"/>
      <c r="S10" s="29" t="s">
        <v>236</v>
      </c>
      <c r="U10" s="3" t="s">
        <v>98</v>
      </c>
    </row>
    <row r="11" spans="1:23" ht="30" x14ac:dyDescent="0.25">
      <c r="A11" s="2">
        <v>11700</v>
      </c>
      <c r="B11" s="2" t="s">
        <v>29</v>
      </c>
      <c r="H11" s="6" t="s">
        <v>58</v>
      </c>
      <c r="K11" s="9"/>
      <c r="L11" s="6" t="s">
        <v>41</v>
      </c>
      <c r="N11" s="3" t="s">
        <v>216</v>
      </c>
      <c r="P11" s="1"/>
      <c r="Q11" s="23"/>
      <c r="R11" s="1618"/>
      <c r="S11" s="29" t="s">
        <v>474</v>
      </c>
      <c r="U11" s="3" t="s">
        <v>99</v>
      </c>
    </row>
    <row r="12" spans="1:23" ht="30" x14ac:dyDescent="0.25">
      <c r="A12" s="2">
        <v>11800</v>
      </c>
      <c r="B12" s="2" t="s">
        <v>5</v>
      </c>
      <c r="H12" s="6" t="s">
        <v>74</v>
      </c>
      <c r="N12" s="3" t="s">
        <v>217</v>
      </c>
      <c r="P12" s="1"/>
      <c r="Q12" s="23"/>
      <c r="R12" s="1618"/>
      <c r="S12" s="29" t="s">
        <v>475</v>
      </c>
      <c r="U12" s="3" t="s">
        <v>100</v>
      </c>
    </row>
    <row r="13" spans="1:23" ht="30" x14ac:dyDescent="0.25">
      <c r="A13" s="2">
        <v>11900</v>
      </c>
      <c r="B13" s="2" t="s">
        <v>349</v>
      </c>
      <c r="H13" s="6" t="s">
        <v>59</v>
      </c>
      <c r="N13" s="3" t="s">
        <v>218</v>
      </c>
      <c r="P13" s="1"/>
      <c r="Q13" s="23"/>
      <c r="R13" s="1618"/>
      <c r="S13" s="29" t="s">
        <v>238</v>
      </c>
      <c r="U13" s="3" t="s">
        <v>101</v>
      </c>
    </row>
    <row r="14" spans="1:23" ht="45" x14ac:dyDescent="0.25">
      <c r="A14" s="2">
        <v>12000</v>
      </c>
      <c r="B14" s="2" t="s">
        <v>30</v>
      </c>
      <c r="H14" s="6" t="s">
        <v>70</v>
      </c>
      <c r="N14" s="3" t="s">
        <v>219</v>
      </c>
      <c r="P14" s="1"/>
      <c r="Q14" s="23"/>
      <c r="R14" s="1618"/>
      <c r="S14" s="29" t="s">
        <v>507</v>
      </c>
      <c r="U14" s="3" t="s">
        <v>102</v>
      </c>
    </row>
    <row r="15" spans="1:23" ht="30" x14ac:dyDescent="0.25">
      <c r="H15" s="6" t="s">
        <v>71</v>
      </c>
      <c r="N15" s="3" t="s">
        <v>220</v>
      </c>
      <c r="P15" s="1"/>
      <c r="Q15" s="23"/>
      <c r="R15" s="1618"/>
      <c r="S15" s="29" t="s">
        <v>238</v>
      </c>
      <c r="U15" s="3" t="s">
        <v>103</v>
      </c>
    </row>
    <row r="16" spans="1:23" ht="30" x14ac:dyDescent="0.25">
      <c r="H16" s="6" t="s">
        <v>72</v>
      </c>
      <c r="N16" s="3" t="s">
        <v>221</v>
      </c>
      <c r="P16" s="1"/>
      <c r="Q16" s="23"/>
      <c r="R16" s="1618"/>
      <c r="S16" s="29" t="s">
        <v>508</v>
      </c>
      <c r="U16" s="3" t="s">
        <v>104</v>
      </c>
    </row>
    <row r="17" spans="8:21" ht="30" x14ac:dyDescent="0.25">
      <c r="H17" s="6" t="s">
        <v>60</v>
      </c>
      <c r="N17" s="3" t="s">
        <v>222</v>
      </c>
      <c r="P17" s="1"/>
      <c r="Q17" s="23"/>
      <c r="R17" s="1618"/>
      <c r="S17" s="29" t="s">
        <v>509</v>
      </c>
      <c r="U17" s="3" t="s">
        <v>105</v>
      </c>
    </row>
    <row r="18" spans="8:21" ht="30.75" thickBot="1" x14ac:dyDescent="0.3">
      <c r="H18" s="6" t="s">
        <v>61</v>
      </c>
      <c r="N18" s="3" t="s">
        <v>223</v>
      </c>
      <c r="P18" s="1"/>
      <c r="Q18" s="23"/>
      <c r="R18" s="1619"/>
      <c r="S18" s="30" t="s">
        <v>510</v>
      </c>
      <c r="U18" s="3" t="s">
        <v>106</v>
      </c>
    </row>
    <row r="19" spans="8:21" ht="45" customHeight="1" x14ac:dyDescent="0.25">
      <c r="H19" s="6" t="s">
        <v>62</v>
      </c>
      <c r="N19" s="3" t="s">
        <v>224</v>
      </c>
      <c r="P19" s="1"/>
      <c r="Q19" s="23"/>
      <c r="R19" s="1610" t="s">
        <v>4</v>
      </c>
      <c r="S19" s="25" t="s">
        <v>594</v>
      </c>
      <c r="U19" s="3" t="s">
        <v>107</v>
      </c>
    </row>
    <row r="20" spans="8:21" ht="30" x14ac:dyDescent="0.25">
      <c r="H20" s="6" t="s">
        <v>63</v>
      </c>
      <c r="N20" s="3" t="s">
        <v>225</v>
      </c>
      <c r="P20" s="1"/>
      <c r="Q20" s="23"/>
      <c r="R20" s="1611"/>
      <c r="S20" s="26" t="s">
        <v>249</v>
      </c>
      <c r="U20" s="3" t="s">
        <v>108</v>
      </c>
    </row>
    <row r="21" spans="8:21" ht="30" x14ac:dyDescent="0.25">
      <c r="H21" s="6" t="s">
        <v>64</v>
      </c>
      <c r="N21" s="3" t="s">
        <v>226</v>
      </c>
      <c r="P21" s="1"/>
      <c r="Q21" s="23"/>
      <c r="R21" s="1611"/>
      <c r="S21" s="29" t="s">
        <v>626</v>
      </c>
      <c r="U21" s="3" t="s">
        <v>109</v>
      </c>
    </row>
    <row r="22" spans="8:21" ht="30" customHeight="1" x14ac:dyDescent="0.25">
      <c r="N22" s="3" t="s">
        <v>227</v>
      </c>
      <c r="P22" s="1"/>
      <c r="Q22" s="23"/>
      <c r="R22" s="1611"/>
      <c r="S22" s="29" t="s">
        <v>595</v>
      </c>
      <c r="U22" s="3" t="s">
        <v>110</v>
      </c>
    </row>
    <row r="23" spans="8:21" x14ac:dyDescent="0.25">
      <c r="N23" s="3" t="s">
        <v>228</v>
      </c>
      <c r="P23" s="1"/>
      <c r="Q23" s="23"/>
      <c r="R23" s="1611"/>
      <c r="S23" s="29" t="s">
        <v>596</v>
      </c>
      <c r="U23" s="3" t="s">
        <v>111</v>
      </c>
    </row>
    <row r="24" spans="8:21" ht="45" customHeight="1" x14ac:dyDescent="0.25">
      <c r="N24" s="3" t="s">
        <v>229</v>
      </c>
      <c r="P24" s="1"/>
      <c r="Q24" s="23"/>
      <c r="R24" s="1611"/>
      <c r="S24" s="33" t="s">
        <v>627</v>
      </c>
      <c r="U24" s="3" t="s">
        <v>112</v>
      </c>
    </row>
    <row r="25" spans="8:21" ht="45" customHeight="1" x14ac:dyDescent="0.25">
      <c r="N25" s="3" t="s">
        <v>230</v>
      </c>
      <c r="R25" s="1611"/>
      <c r="S25" s="27"/>
    </row>
    <row r="26" spans="8:21" x14ac:dyDescent="0.25">
      <c r="R26" s="1620"/>
      <c r="S26" s="33"/>
    </row>
    <row r="27" spans="8:21" ht="45.75" customHeight="1" x14ac:dyDescent="0.25">
      <c r="R27" s="1621" t="s">
        <v>29</v>
      </c>
      <c r="S27" s="7" t="s">
        <v>398</v>
      </c>
    </row>
    <row r="28" spans="8:21" ht="45" customHeight="1" x14ac:dyDescent="0.25">
      <c r="R28" s="1621"/>
      <c r="S28" s="7" t="s">
        <v>402</v>
      </c>
    </row>
    <row r="29" spans="8:21" x14ac:dyDescent="0.25">
      <c r="R29" s="1621"/>
      <c r="S29" s="7" t="s">
        <v>406</v>
      </c>
    </row>
    <row r="30" spans="8:21" x14ac:dyDescent="0.25">
      <c r="R30" s="1621"/>
      <c r="S30" s="7" t="s">
        <v>410</v>
      </c>
    </row>
    <row r="31" spans="8:21" x14ac:dyDescent="0.25">
      <c r="R31" s="1621"/>
      <c r="S31" s="7" t="s">
        <v>664</v>
      </c>
    </row>
    <row r="32" spans="8:21" ht="30" x14ac:dyDescent="0.25">
      <c r="R32" s="1621"/>
      <c r="S32" s="7" t="s">
        <v>411</v>
      </c>
    </row>
    <row r="33" spans="2:19" x14ac:dyDescent="0.25">
      <c r="R33" s="1621"/>
      <c r="S33" s="7" t="s">
        <v>512</v>
      </c>
    </row>
    <row r="34" spans="2:19" x14ac:dyDescent="0.25">
      <c r="R34" s="1621"/>
      <c r="S34" s="7" t="s">
        <v>628</v>
      </c>
    </row>
    <row r="35" spans="2:19" ht="30" customHeight="1" x14ac:dyDescent="0.25">
      <c r="R35" s="1621"/>
      <c r="S35" s="19" t="s">
        <v>657</v>
      </c>
    </row>
    <row r="36" spans="2:19" x14ac:dyDescent="0.25">
      <c r="R36" s="1621"/>
      <c r="S36" s="19" t="s">
        <v>658</v>
      </c>
    </row>
    <row r="37" spans="2:19" x14ac:dyDescent="0.25">
      <c r="R37" s="1621"/>
      <c r="S37" s="19" t="s">
        <v>631</v>
      </c>
    </row>
    <row r="38" spans="2:19" ht="30" x14ac:dyDescent="0.25">
      <c r="R38" s="1621"/>
      <c r="S38" s="19" t="s">
        <v>822</v>
      </c>
    </row>
    <row r="39" spans="2:19" ht="30" x14ac:dyDescent="0.25">
      <c r="R39" s="1621"/>
      <c r="S39" s="19" t="s">
        <v>821</v>
      </c>
    </row>
    <row r="40" spans="2:19" x14ac:dyDescent="0.25">
      <c r="R40" s="1621"/>
      <c r="S40" s="19" t="s">
        <v>879</v>
      </c>
    </row>
    <row r="41" spans="2:19" ht="45" x14ac:dyDescent="0.25">
      <c r="R41" s="1621"/>
      <c r="S41" s="19" t="s">
        <v>891</v>
      </c>
    </row>
    <row r="42" spans="2:19" x14ac:dyDescent="0.25">
      <c r="R42" s="1621"/>
      <c r="S42" s="19" t="s">
        <v>883</v>
      </c>
    </row>
    <row r="43" spans="2:19" ht="45" x14ac:dyDescent="0.25">
      <c r="R43" s="1621"/>
      <c r="S43" s="19" t="s">
        <v>936</v>
      </c>
    </row>
    <row r="44" spans="2:19" ht="30" x14ac:dyDescent="0.25">
      <c r="R44" s="1621"/>
      <c r="S44" s="19" t="s">
        <v>946</v>
      </c>
    </row>
    <row r="45" spans="2:19" ht="30" x14ac:dyDescent="0.25">
      <c r="R45" s="1621"/>
      <c r="S45" s="19" t="s">
        <v>937</v>
      </c>
    </row>
    <row r="46" spans="2:19" x14ac:dyDescent="0.25">
      <c r="R46" s="1621"/>
      <c r="S46" s="19" t="s">
        <v>947</v>
      </c>
    </row>
    <row r="47" spans="2:19" ht="30" x14ac:dyDescent="0.25">
      <c r="B47" s="5"/>
      <c r="R47" s="1621"/>
      <c r="S47" s="19" t="s">
        <v>672</v>
      </c>
    </row>
    <row r="48" spans="2:19" ht="30" x14ac:dyDescent="0.25">
      <c r="R48" s="1613" t="s">
        <v>5</v>
      </c>
      <c r="S48" s="60" t="s">
        <v>340</v>
      </c>
    </row>
    <row r="49" spans="18:19" x14ac:dyDescent="0.25">
      <c r="R49" s="1613"/>
      <c r="S49" s="26" t="s">
        <v>341</v>
      </c>
    </row>
    <row r="50" spans="18:19" ht="30" x14ac:dyDescent="0.25">
      <c r="R50" s="1613"/>
      <c r="S50" s="26" t="s">
        <v>342</v>
      </c>
    </row>
    <row r="51" spans="18:19" ht="30" x14ac:dyDescent="0.25">
      <c r="R51" s="1613"/>
      <c r="S51" s="26" t="s">
        <v>343</v>
      </c>
    </row>
    <row r="52" spans="18:19" ht="45.75" thickBot="1" x14ac:dyDescent="0.3">
      <c r="R52" s="1614"/>
      <c r="S52" s="32" t="s">
        <v>344</v>
      </c>
    </row>
    <row r="53" spans="18:19" ht="30" x14ac:dyDescent="0.25">
      <c r="R53" s="1615" t="s">
        <v>349</v>
      </c>
      <c r="S53" s="25" t="s">
        <v>360</v>
      </c>
    </row>
    <row r="54" spans="18:19" ht="30" x14ac:dyDescent="0.25">
      <c r="R54" s="1613"/>
      <c r="S54" s="26" t="s">
        <v>437</v>
      </c>
    </row>
    <row r="55" spans="18:19" ht="45" x14ac:dyDescent="0.25">
      <c r="R55" s="1613"/>
      <c r="S55" s="26" t="s">
        <v>370</v>
      </c>
    </row>
    <row r="56" spans="18:19" ht="30" x14ac:dyDescent="0.25">
      <c r="R56" s="1613"/>
      <c r="S56" s="26" t="s">
        <v>438</v>
      </c>
    </row>
    <row r="57" spans="18:19" ht="30" x14ac:dyDescent="0.25">
      <c r="R57" s="1613"/>
      <c r="S57" s="26" t="s">
        <v>440</v>
      </c>
    </row>
    <row r="58" spans="18:19" ht="60" x14ac:dyDescent="0.25">
      <c r="R58" s="1613"/>
      <c r="S58" s="26" t="s">
        <v>441</v>
      </c>
    </row>
    <row r="59" spans="18:19" ht="45" x14ac:dyDescent="0.25">
      <c r="R59" s="1613"/>
      <c r="S59" s="26" t="s">
        <v>442</v>
      </c>
    </row>
    <row r="60" spans="18:19" ht="45" x14ac:dyDescent="0.25">
      <c r="R60" s="1613"/>
      <c r="S60" s="26" t="s">
        <v>445</v>
      </c>
    </row>
    <row r="61" spans="18:19" ht="30" x14ac:dyDescent="0.25">
      <c r="R61" s="1613"/>
      <c r="S61" s="26" t="s">
        <v>446</v>
      </c>
    </row>
    <row r="62" spans="18:19" ht="45" x14ac:dyDescent="0.25">
      <c r="R62" s="1613"/>
      <c r="S62" s="26" t="s">
        <v>453</v>
      </c>
    </row>
    <row r="63" spans="18:19" ht="45" x14ac:dyDescent="0.25">
      <c r="R63" s="1613"/>
      <c r="S63" s="27" t="s">
        <v>714</v>
      </c>
    </row>
    <row r="64" spans="18:19" x14ac:dyDescent="0.25">
      <c r="R64" s="1613"/>
      <c r="S64" s="27" t="s">
        <v>765</v>
      </c>
    </row>
    <row r="65" spans="18:19" ht="30" x14ac:dyDescent="0.25">
      <c r="R65" s="1613"/>
      <c r="S65" s="27" t="s">
        <v>833</v>
      </c>
    </row>
    <row r="66" spans="18:19" ht="60" x14ac:dyDescent="0.25">
      <c r="R66" s="1613"/>
      <c r="S66" s="59" t="s">
        <v>840</v>
      </c>
    </row>
    <row r="67" spans="18:19" ht="75" x14ac:dyDescent="0.25">
      <c r="R67" s="1613"/>
      <c r="S67" s="59" t="s">
        <v>839</v>
      </c>
    </row>
    <row r="68" spans="18:19" ht="45.75" thickBot="1" x14ac:dyDescent="0.3">
      <c r="R68" s="1613"/>
      <c r="S68" s="59" t="s">
        <v>834</v>
      </c>
    </row>
    <row r="69" spans="18:19" x14ac:dyDescent="0.25">
      <c r="R69" s="1610" t="s">
        <v>625</v>
      </c>
      <c r="S69" s="25" t="s">
        <v>673</v>
      </c>
    </row>
    <row r="70" spans="18:19" ht="45" x14ac:dyDescent="0.25">
      <c r="R70" s="1611"/>
      <c r="S70" s="26" t="s">
        <v>674</v>
      </c>
    </row>
    <row r="71" spans="18:19" x14ac:dyDescent="0.25">
      <c r="R71" s="1611"/>
      <c r="S71" s="26" t="s">
        <v>675</v>
      </c>
    </row>
    <row r="72" spans="18:19" ht="30" x14ac:dyDescent="0.25">
      <c r="R72" s="1611"/>
      <c r="S72" s="26" t="s">
        <v>622</v>
      </c>
    </row>
    <row r="73" spans="18:19" x14ac:dyDescent="0.25">
      <c r="R73" s="1611"/>
      <c r="S73" s="26" t="s">
        <v>623</v>
      </c>
    </row>
    <row r="74" spans="18:19" ht="30" x14ac:dyDescent="0.25">
      <c r="R74" s="1611"/>
      <c r="S74" s="26" t="s">
        <v>624</v>
      </c>
    </row>
    <row r="75" spans="18:19" ht="45" x14ac:dyDescent="0.25">
      <c r="R75" s="1611"/>
      <c r="S75" s="26" t="s">
        <v>676</v>
      </c>
    </row>
    <row r="76" spans="18:19" ht="15.75" thickBot="1" x14ac:dyDescent="0.3">
      <c r="R76" s="1612"/>
      <c r="S76" s="31"/>
    </row>
    <row r="77" spans="18:19" ht="30" x14ac:dyDescent="0.25">
      <c r="R77" s="1607" t="s">
        <v>3</v>
      </c>
      <c r="S77" s="157" t="s">
        <v>876</v>
      </c>
    </row>
    <row r="78" spans="18:19" ht="45" x14ac:dyDescent="0.25">
      <c r="R78" s="1608"/>
      <c r="S78" s="158" t="s">
        <v>842</v>
      </c>
    </row>
    <row r="79" spans="18:19" ht="30" x14ac:dyDescent="0.25">
      <c r="R79" s="1608"/>
      <c r="S79" s="158" t="s">
        <v>878</v>
      </c>
    </row>
    <row r="80" spans="18:19" ht="45.75" thickBot="1" x14ac:dyDescent="0.3">
      <c r="R80" s="1609"/>
      <c r="S80" s="158" t="s">
        <v>873</v>
      </c>
    </row>
    <row r="82" spans="21:21" x14ac:dyDescent="0.25">
      <c r="U82">
        <f>15/10</f>
        <v>1.5</v>
      </c>
    </row>
    <row r="83" spans="21:21" x14ac:dyDescent="0.25">
      <c r="U83">
        <f>1-U82</f>
        <v>-0.5</v>
      </c>
    </row>
  </sheetData>
  <mergeCells count="8">
    <mergeCell ref="R77:R80"/>
    <mergeCell ref="R69:R76"/>
    <mergeCell ref="R48:R52"/>
    <mergeCell ref="R53:R68"/>
    <mergeCell ref="A1:B1"/>
    <mergeCell ref="R6:R18"/>
    <mergeCell ref="R19:R26"/>
    <mergeCell ref="R27:R47"/>
  </mergeCells>
  <dataValidations count="1">
    <dataValidation type="list" allowBlank="1" showInputMessage="1" showErrorMessage="1" sqref="S44" xr:uid="{00000000-0002-0000-0D00-000000000000}">
      <formula1>$S$3:$S$80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1000000}">
          <x14:formula1>
            <xm:f>'C:\Users\norela.briceno\AppData\Local\Microsoft\Windows\INetCache\Content.Outlook\FBI6K8AZ\[Copia de Plan Accion ADRES Vigencia 2018 con Cuadro de Mando.xlsx]TAB. REF. PA'!#REF!</xm:f>
          </x14:formula1>
          <xm:sqref>S44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C46"/>
  <sheetViews>
    <sheetView workbookViewId="0">
      <selection activeCell="A12" sqref="A12"/>
    </sheetView>
  </sheetViews>
  <sheetFormatPr baseColWidth="10" defaultRowHeight="15" x14ac:dyDescent="0.25"/>
  <cols>
    <col min="1" max="1" width="33.85546875" customWidth="1"/>
    <col min="2" max="2" width="26.140625" customWidth="1"/>
    <col min="3" max="3" width="25.42578125" customWidth="1"/>
  </cols>
  <sheetData>
    <row r="4" spans="1:3" x14ac:dyDescent="0.25">
      <c r="A4" t="s">
        <v>722</v>
      </c>
      <c r="C4" t="s">
        <v>733</v>
      </c>
    </row>
    <row r="5" spans="1:3" x14ac:dyDescent="0.25">
      <c r="A5" t="s">
        <v>29</v>
      </c>
      <c r="B5" t="s">
        <v>256</v>
      </c>
      <c r="C5" s="20">
        <v>36862182273.800003</v>
      </c>
    </row>
    <row r="7" spans="1:3" x14ac:dyDescent="0.25">
      <c r="A7" t="s">
        <v>724</v>
      </c>
      <c r="C7">
        <v>36862182273.800003</v>
      </c>
    </row>
    <row r="8" spans="1:3" x14ac:dyDescent="0.25">
      <c r="A8" t="s">
        <v>4</v>
      </c>
    </row>
    <row r="9" spans="1:3" x14ac:dyDescent="0.25">
      <c r="A9" t="s">
        <v>256</v>
      </c>
      <c r="C9">
        <v>0</v>
      </c>
    </row>
    <row r="10" spans="1:3" x14ac:dyDescent="0.25">
      <c r="A10" t="s">
        <v>145</v>
      </c>
      <c r="C10">
        <v>42728440868380</v>
      </c>
    </row>
    <row r="11" spans="1:3" x14ac:dyDescent="0.25">
      <c r="A11" t="s">
        <v>153</v>
      </c>
      <c r="C11">
        <v>0</v>
      </c>
    </row>
    <row r="12" spans="1:3" x14ac:dyDescent="0.25">
      <c r="A12" t="s">
        <v>725</v>
      </c>
      <c r="C12">
        <v>42728440868380</v>
      </c>
    </row>
    <row r="13" spans="1:3" x14ac:dyDescent="0.25">
      <c r="A13" t="s">
        <v>6</v>
      </c>
    </row>
    <row r="14" spans="1:3" x14ac:dyDescent="0.25">
      <c r="A14" t="s">
        <v>147</v>
      </c>
      <c r="C14">
        <v>9419435140</v>
      </c>
    </row>
    <row r="15" spans="1:3" x14ac:dyDescent="0.25">
      <c r="A15" t="s">
        <v>256</v>
      </c>
      <c r="C15">
        <v>0</v>
      </c>
    </row>
    <row r="16" spans="1:3" x14ac:dyDescent="0.25">
      <c r="A16" t="s">
        <v>153</v>
      </c>
      <c r="C16">
        <v>0</v>
      </c>
    </row>
    <row r="17" spans="1:3" x14ac:dyDescent="0.25">
      <c r="A17" t="s">
        <v>726</v>
      </c>
      <c r="C17">
        <v>9419435140</v>
      </c>
    </row>
    <row r="18" spans="1:3" x14ac:dyDescent="0.25">
      <c r="A18" t="s">
        <v>26</v>
      </c>
    </row>
    <row r="19" spans="1:3" x14ac:dyDescent="0.25">
      <c r="A19" t="s">
        <v>256</v>
      </c>
      <c r="C19">
        <v>0</v>
      </c>
    </row>
    <row r="20" spans="1:3" x14ac:dyDescent="0.25">
      <c r="A20" t="s">
        <v>144</v>
      </c>
      <c r="C20">
        <v>368855224</v>
      </c>
    </row>
    <row r="21" spans="1:3" x14ac:dyDescent="0.25">
      <c r="A21" t="s">
        <v>153</v>
      </c>
      <c r="C21">
        <v>0</v>
      </c>
    </row>
    <row r="22" spans="1:3" x14ac:dyDescent="0.25">
      <c r="A22" t="s">
        <v>727</v>
      </c>
      <c r="C22">
        <v>368855224</v>
      </c>
    </row>
    <row r="23" spans="1:3" x14ac:dyDescent="0.25">
      <c r="A23" t="s">
        <v>28</v>
      </c>
    </row>
    <row r="24" spans="1:3" x14ac:dyDescent="0.25">
      <c r="A24" t="s">
        <v>256</v>
      </c>
      <c r="C24">
        <v>0</v>
      </c>
    </row>
    <row r="25" spans="1:3" x14ac:dyDescent="0.25">
      <c r="A25" t="s">
        <v>144</v>
      </c>
      <c r="C25">
        <v>30930987540</v>
      </c>
    </row>
    <row r="26" spans="1:3" x14ac:dyDescent="0.25">
      <c r="A26" t="s">
        <v>146</v>
      </c>
      <c r="C26">
        <v>195840000</v>
      </c>
    </row>
    <row r="27" spans="1:3" x14ac:dyDescent="0.25">
      <c r="A27" t="s">
        <v>153</v>
      </c>
      <c r="C27">
        <v>0</v>
      </c>
    </row>
    <row r="28" spans="1:3" x14ac:dyDescent="0.25">
      <c r="A28" t="s">
        <v>728</v>
      </c>
      <c r="C28">
        <v>31126827540</v>
      </c>
    </row>
    <row r="29" spans="1:3" x14ac:dyDescent="0.25">
      <c r="A29" t="s">
        <v>3</v>
      </c>
    </row>
    <row r="30" spans="1:3" x14ac:dyDescent="0.25">
      <c r="A30" t="s">
        <v>256</v>
      </c>
      <c r="C30">
        <v>500000000</v>
      </c>
    </row>
    <row r="31" spans="1:3" x14ac:dyDescent="0.25">
      <c r="A31" t="s">
        <v>153</v>
      </c>
      <c r="C31">
        <v>0</v>
      </c>
    </row>
    <row r="32" spans="1:3" x14ac:dyDescent="0.25">
      <c r="A32" t="s">
        <v>729</v>
      </c>
      <c r="C32">
        <v>500000000</v>
      </c>
    </row>
    <row r="33" spans="1:3" x14ac:dyDescent="0.25">
      <c r="A33" t="s">
        <v>30</v>
      </c>
    </row>
    <row r="34" spans="1:3" x14ac:dyDescent="0.25">
      <c r="A34" t="s">
        <v>256</v>
      </c>
      <c r="C34">
        <v>61642068</v>
      </c>
    </row>
    <row r="35" spans="1:3" x14ac:dyDescent="0.25">
      <c r="A35" t="s">
        <v>153</v>
      </c>
      <c r="C35">
        <v>0</v>
      </c>
    </row>
    <row r="36" spans="1:3" x14ac:dyDescent="0.25">
      <c r="A36" t="s">
        <v>730</v>
      </c>
      <c r="C36">
        <v>61642068</v>
      </c>
    </row>
    <row r="37" spans="1:3" x14ac:dyDescent="0.25">
      <c r="A37" t="s">
        <v>349</v>
      </c>
    </row>
    <row r="38" spans="1:3" x14ac:dyDescent="0.25">
      <c r="A38" t="s">
        <v>256</v>
      </c>
      <c r="C38">
        <v>0</v>
      </c>
    </row>
    <row r="39" spans="1:3" x14ac:dyDescent="0.25">
      <c r="A39" t="s">
        <v>146</v>
      </c>
      <c r="C39">
        <v>2205388943</v>
      </c>
    </row>
    <row r="40" spans="1:3" x14ac:dyDescent="0.25">
      <c r="A40" t="s">
        <v>153</v>
      </c>
      <c r="C40">
        <v>0</v>
      </c>
    </row>
    <row r="41" spans="1:3" x14ac:dyDescent="0.25">
      <c r="A41" t="s">
        <v>731</v>
      </c>
      <c r="C41">
        <v>2205388943</v>
      </c>
    </row>
    <row r="42" spans="1:3" x14ac:dyDescent="0.25">
      <c r="A42" t="s">
        <v>5</v>
      </c>
    </row>
    <row r="43" spans="1:3" x14ac:dyDescent="0.25">
      <c r="A43" t="s">
        <v>256</v>
      </c>
      <c r="C43">
        <v>200000000</v>
      </c>
    </row>
    <row r="44" spans="1:3" x14ac:dyDescent="0.25">
      <c r="A44" t="s">
        <v>153</v>
      </c>
      <c r="C44">
        <v>0</v>
      </c>
    </row>
    <row r="45" spans="1:3" x14ac:dyDescent="0.25">
      <c r="A45" t="s">
        <v>732</v>
      </c>
      <c r="C45">
        <v>200000000</v>
      </c>
    </row>
    <row r="46" spans="1:3" x14ac:dyDescent="0.25">
      <c r="A46" t="s">
        <v>723</v>
      </c>
      <c r="C46">
        <v>42809185199568.797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XCO356"/>
  <sheetViews>
    <sheetView showGridLines="0" tabSelected="1" zoomScale="70" zoomScaleNormal="70" workbookViewId="0">
      <pane ySplit="7" topLeftCell="A8" activePane="bottomLeft" state="frozen"/>
      <selection pane="bottomLeft" activeCell="A8" sqref="A8"/>
    </sheetView>
  </sheetViews>
  <sheetFormatPr baseColWidth="10" defaultRowHeight="15" x14ac:dyDescent="0.25"/>
  <cols>
    <col min="1" max="1" width="12.85546875" customWidth="1"/>
    <col min="2" max="2" width="26.5703125" customWidth="1"/>
    <col min="3" max="3" width="25.28515625" customWidth="1"/>
    <col min="4" max="4" width="19.28515625" customWidth="1"/>
    <col min="5" max="5" width="40.5703125" customWidth="1"/>
    <col min="6" max="6" width="12.85546875" customWidth="1"/>
    <col min="7" max="7" width="35.7109375" customWidth="1"/>
    <col min="8" max="8" width="14.7109375" style="14" customWidth="1"/>
    <col min="9" max="9" width="12" customWidth="1"/>
    <col min="10" max="10" width="14.5703125" customWidth="1"/>
    <col min="11" max="11" width="35.7109375" customWidth="1"/>
    <col min="12" max="12" width="26.85546875" customWidth="1"/>
    <col min="13" max="13" width="22.140625" customWidth="1"/>
    <col min="14" max="14" width="21.42578125" customWidth="1"/>
    <col min="15" max="15" width="23.7109375" customWidth="1"/>
    <col min="16" max="16" width="25.7109375" customWidth="1"/>
    <col min="17" max="17" width="35" customWidth="1"/>
    <col min="18" max="18" width="19.140625" customWidth="1"/>
    <col min="19" max="19" width="42" customWidth="1"/>
    <col min="20" max="20" width="29.7109375" customWidth="1"/>
    <col min="21" max="21" width="18.7109375" customWidth="1"/>
    <col min="22" max="22" width="50.7109375" customWidth="1"/>
    <col min="23" max="23" width="27.7109375" customWidth="1"/>
    <col min="24" max="24" width="29.140625" bestFit="1" customWidth="1"/>
    <col min="25" max="25" width="20.140625" style="146" bestFit="1" customWidth="1"/>
    <col min="26" max="26" width="108.140625" style="146" bestFit="1" customWidth="1"/>
    <col min="27" max="27" width="34.140625" style="146" bestFit="1" customWidth="1"/>
    <col min="28" max="28" width="20.140625" style="146" bestFit="1" customWidth="1"/>
    <col min="29" max="29" width="37" style="146" bestFit="1" customWidth="1"/>
    <col min="30" max="30" width="16.5703125" style="146" bestFit="1" customWidth="1"/>
    <col min="31" max="31" width="22" style="146" bestFit="1" customWidth="1"/>
    <col min="32" max="32" width="16.5703125" style="146" bestFit="1" customWidth="1"/>
    <col min="33" max="33" width="22" style="146" bestFit="1" customWidth="1"/>
    <col min="34" max="34" width="176.5703125" style="146" bestFit="1" customWidth="1"/>
    <col min="35" max="35" width="20.140625" style="146" bestFit="1" customWidth="1"/>
    <col min="36" max="36" width="98.5703125" style="146" bestFit="1" customWidth="1"/>
    <col min="37" max="37" width="34.140625" style="146" bestFit="1" customWidth="1"/>
    <col min="38" max="38" width="20.140625" style="146" bestFit="1" customWidth="1"/>
    <col min="39" max="39" width="34.140625" style="146" bestFit="1" customWidth="1"/>
    <col min="40" max="40" width="16.5703125" style="146" bestFit="1" customWidth="1"/>
    <col min="41" max="41" width="22" style="146" bestFit="1" customWidth="1"/>
    <col min="42" max="42" width="16.5703125" style="146" bestFit="1" customWidth="1"/>
    <col min="43" max="43" width="22" style="146" bestFit="1" customWidth="1"/>
    <col min="44" max="44" width="110.28515625" style="146" customWidth="1"/>
    <col min="45" max="45" width="20.140625" style="146" bestFit="1" customWidth="1"/>
    <col min="46" max="46" width="98.5703125" style="146" bestFit="1" customWidth="1"/>
    <col min="47" max="47" width="34.140625" style="146" bestFit="1" customWidth="1"/>
    <col min="48" max="48" width="29.140625" style="146" bestFit="1" customWidth="1"/>
    <col min="49" max="49" width="34.140625" style="146" bestFit="1" customWidth="1"/>
    <col min="50" max="50" width="16.5703125" style="146" bestFit="1" customWidth="1"/>
    <col min="51" max="51" width="22" style="146" bestFit="1" customWidth="1"/>
    <col min="52" max="52" width="16.5703125" style="146" bestFit="1" customWidth="1"/>
    <col min="53" max="53" width="22" style="146" bestFit="1" customWidth="1"/>
    <col min="54" max="54" width="85" style="146" customWidth="1"/>
    <col min="55" max="55" width="20.140625" style="146" bestFit="1" customWidth="1"/>
    <col min="56" max="56" width="98.5703125" style="146" bestFit="1" customWidth="1"/>
    <col min="57" max="57" width="34.140625" style="146" bestFit="1" customWidth="1"/>
    <col min="58" max="58" width="13.7109375" style="146" customWidth="1"/>
    <col min="59" max="59" width="27.7109375" style="146" customWidth="1"/>
    <col min="60" max="60" width="13.7109375" style="146" customWidth="1"/>
    <col min="61" max="61" width="15.7109375" style="146" customWidth="1"/>
    <col min="62" max="62" width="13.7109375" style="146" customWidth="1"/>
    <col min="63" max="63" width="15.7109375" style="146" customWidth="1"/>
    <col min="64" max="64" width="127.42578125" style="958" customWidth="1"/>
    <col min="65" max="65" width="13.7109375" style="146" customWidth="1"/>
    <col min="66" max="66" width="15.7109375" style="146" customWidth="1"/>
    <col min="67" max="67" width="13.7109375" style="146" customWidth="1"/>
    <col min="68" max="68" width="15.7109375" style="146" customWidth="1"/>
    <col min="69" max="69" width="13.7109375" style="146" customWidth="1"/>
    <col min="70" max="70" width="15.7109375" style="146" customWidth="1"/>
    <col min="71" max="71" width="13.7109375" style="146" customWidth="1"/>
    <col min="72" max="72" width="15.7109375" style="146" customWidth="1"/>
    <col min="73" max="16384" width="11.42578125" style="146"/>
  </cols>
  <sheetData>
    <row r="1" spans="1:72" ht="22.5" customHeight="1" thickBot="1" x14ac:dyDescent="0.3">
      <c r="A1" s="1171"/>
      <c r="B1" s="1172"/>
      <c r="C1" s="703"/>
      <c r="D1" s="1177" t="s">
        <v>952</v>
      </c>
      <c r="E1" s="1178"/>
      <c r="F1" s="1178"/>
      <c r="G1" s="1178" t="s">
        <v>953</v>
      </c>
      <c r="H1" s="1179"/>
      <c r="I1" s="1179"/>
      <c r="J1" s="1179"/>
      <c r="K1" s="1179"/>
      <c r="L1" s="1179"/>
      <c r="M1" s="1179"/>
      <c r="N1" s="1179"/>
      <c r="O1" s="1179"/>
      <c r="P1" s="1179"/>
      <c r="Q1" s="1179"/>
      <c r="R1" s="1179"/>
      <c r="S1" s="1179"/>
      <c r="T1" s="1179"/>
      <c r="U1" s="1179"/>
      <c r="V1" s="1179"/>
      <c r="W1" s="1179"/>
      <c r="X1" s="1179"/>
      <c r="Y1" s="1179"/>
      <c r="Z1" s="1179"/>
      <c r="AA1" s="1179"/>
      <c r="AB1" s="1179"/>
      <c r="AC1" s="1179"/>
      <c r="AD1" s="1179"/>
      <c r="AE1" s="1179"/>
      <c r="AF1" s="1179"/>
      <c r="AG1" s="1179"/>
      <c r="AH1" s="1179"/>
      <c r="AI1" s="1179"/>
      <c r="AJ1" s="1179"/>
      <c r="AK1" s="1179"/>
      <c r="AL1" s="1179"/>
      <c r="AM1" s="1179"/>
      <c r="AN1" s="1179"/>
      <c r="AO1" s="1179"/>
      <c r="AP1" s="1179"/>
      <c r="AQ1" s="1179"/>
      <c r="AR1" s="1179"/>
      <c r="AS1" s="1179"/>
      <c r="AT1" s="1179"/>
      <c r="AU1" s="1179"/>
      <c r="AV1" s="1179"/>
      <c r="AW1" s="1179"/>
      <c r="AX1" s="1179"/>
      <c r="AY1" s="1179"/>
      <c r="AZ1" s="1179"/>
      <c r="BA1" s="1179"/>
      <c r="BB1" s="1179"/>
      <c r="BC1" s="1179"/>
      <c r="BD1" s="1179"/>
      <c r="BE1" s="1179"/>
      <c r="BF1" s="1179"/>
      <c r="BG1" s="1179"/>
      <c r="BH1" s="1179"/>
      <c r="BI1" s="1179"/>
      <c r="BJ1" s="1179"/>
      <c r="BK1" s="1179"/>
      <c r="BL1" s="1180"/>
      <c r="BM1" s="1179"/>
      <c r="BN1" s="1178"/>
      <c r="BO1" s="1181"/>
      <c r="BP1" s="1182"/>
      <c r="BQ1" s="1183"/>
      <c r="BR1" s="1183"/>
      <c r="BS1" s="1183"/>
      <c r="BT1" s="1184"/>
    </row>
    <row r="2" spans="1:72" ht="24" customHeight="1" x14ac:dyDescent="0.25">
      <c r="A2" s="1173"/>
      <c r="B2" s="1174"/>
      <c r="C2" s="704"/>
      <c r="D2" s="1191" t="s">
        <v>954</v>
      </c>
      <c r="E2" s="1192"/>
      <c r="F2" s="1192"/>
      <c r="G2" s="1193" t="s">
        <v>955</v>
      </c>
      <c r="H2" s="1195" t="s">
        <v>956</v>
      </c>
      <c r="I2" s="1178"/>
      <c r="J2" s="1178"/>
      <c r="K2" s="1178"/>
      <c r="L2" s="1178"/>
      <c r="M2" s="1178"/>
      <c r="N2" s="1178"/>
      <c r="O2" s="1178"/>
      <c r="P2" s="1178"/>
      <c r="Q2" s="1178"/>
      <c r="R2" s="1178"/>
      <c r="S2" s="1178"/>
      <c r="T2" s="1178"/>
      <c r="U2" s="1178"/>
      <c r="V2" s="1178"/>
      <c r="W2" s="1178"/>
      <c r="X2" s="1178"/>
      <c r="Y2" s="1178"/>
      <c r="Z2" s="1178"/>
      <c r="AA2" s="1178"/>
      <c r="AB2" s="1178"/>
      <c r="AC2" s="1178"/>
      <c r="AD2" s="1178"/>
      <c r="AE2" s="1178"/>
      <c r="AF2" s="1178"/>
      <c r="AG2" s="1178"/>
      <c r="AH2" s="1178"/>
      <c r="AI2" s="1178"/>
      <c r="AJ2" s="1178"/>
      <c r="AK2" s="1178"/>
      <c r="AL2" s="1178"/>
      <c r="AM2" s="1178"/>
      <c r="AN2" s="1178"/>
      <c r="AO2" s="1178"/>
      <c r="AP2" s="1178"/>
      <c r="AQ2" s="1178"/>
      <c r="AR2" s="1178"/>
      <c r="AS2" s="1178"/>
      <c r="AT2" s="1178"/>
      <c r="AU2" s="1178"/>
      <c r="AV2" s="1178"/>
      <c r="AW2" s="1178"/>
      <c r="AX2" s="1178"/>
      <c r="AY2" s="1178"/>
      <c r="AZ2" s="1178"/>
      <c r="BA2" s="1178"/>
      <c r="BB2" s="1178"/>
      <c r="BC2" s="1178"/>
      <c r="BD2" s="1178"/>
      <c r="BE2" s="1178"/>
      <c r="BF2" s="1178"/>
      <c r="BG2" s="1178"/>
      <c r="BH2" s="1178"/>
      <c r="BI2" s="1178"/>
      <c r="BJ2" s="1178"/>
      <c r="BK2" s="1178"/>
      <c r="BL2" s="1196"/>
      <c r="BM2" s="1197"/>
      <c r="BN2" s="1191" t="s">
        <v>957</v>
      </c>
      <c r="BO2" s="1203">
        <v>1</v>
      </c>
      <c r="BP2" s="1185"/>
      <c r="BQ2" s="1186"/>
      <c r="BR2" s="1186"/>
      <c r="BS2" s="1186"/>
      <c r="BT2" s="1187"/>
    </row>
    <row r="3" spans="1:72" ht="25.5" customHeight="1" thickBot="1" x14ac:dyDescent="0.3">
      <c r="A3" s="1175"/>
      <c r="B3" s="1176"/>
      <c r="C3" s="705"/>
      <c r="D3" s="1202" t="s">
        <v>852</v>
      </c>
      <c r="E3" s="1199"/>
      <c r="F3" s="1199"/>
      <c r="G3" s="1194"/>
      <c r="H3" s="1198"/>
      <c r="I3" s="1199"/>
      <c r="J3" s="1199"/>
      <c r="K3" s="1199"/>
      <c r="L3" s="1199"/>
      <c r="M3" s="1199"/>
      <c r="N3" s="1199"/>
      <c r="O3" s="1199"/>
      <c r="P3" s="1199"/>
      <c r="Q3" s="1199"/>
      <c r="R3" s="1199"/>
      <c r="S3" s="1199"/>
      <c r="T3" s="1199"/>
      <c r="U3" s="1199"/>
      <c r="V3" s="1199"/>
      <c r="W3" s="1199"/>
      <c r="X3" s="1199"/>
      <c r="Y3" s="1199"/>
      <c r="Z3" s="1199"/>
      <c r="AA3" s="1199"/>
      <c r="AB3" s="1199"/>
      <c r="AC3" s="1199"/>
      <c r="AD3" s="1199"/>
      <c r="AE3" s="1199"/>
      <c r="AF3" s="1199"/>
      <c r="AG3" s="1199"/>
      <c r="AH3" s="1199"/>
      <c r="AI3" s="1199"/>
      <c r="AJ3" s="1199"/>
      <c r="AK3" s="1199"/>
      <c r="AL3" s="1199"/>
      <c r="AM3" s="1199"/>
      <c r="AN3" s="1199"/>
      <c r="AO3" s="1199"/>
      <c r="AP3" s="1199"/>
      <c r="AQ3" s="1199"/>
      <c r="AR3" s="1199"/>
      <c r="AS3" s="1199"/>
      <c r="AT3" s="1199"/>
      <c r="AU3" s="1199"/>
      <c r="AV3" s="1199"/>
      <c r="AW3" s="1199"/>
      <c r="AX3" s="1199"/>
      <c r="AY3" s="1199"/>
      <c r="AZ3" s="1199"/>
      <c r="BA3" s="1199"/>
      <c r="BB3" s="1199"/>
      <c r="BC3" s="1199"/>
      <c r="BD3" s="1199"/>
      <c r="BE3" s="1199"/>
      <c r="BF3" s="1199"/>
      <c r="BG3" s="1199"/>
      <c r="BH3" s="1199"/>
      <c r="BI3" s="1199"/>
      <c r="BJ3" s="1199"/>
      <c r="BK3" s="1199"/>
      <c r="BL3" s="1200"/>
      <c r="BM3" s="1201"/>
      <c r="BN3" s="1202"/>
      <c r="BO3" s="1204"/>
      <c r="BP3" s="1188"/>
      <c r="BQ3" s="1189"/>
      <c r="BR3" s="1189"/>
      <c r="BS3" s="1189"/>
      <c r="BT3" s="1190"/>
    </row>
    <row r="4" spans="1:72" ht="15.75" x14ac:dyDescent="0.25">
      <c r="E4" s="415"/>
      <c r="F4" s="415"/>
      <c r="G4" s="415"/>
      <c r="H4" s="415"/>
      <c r="I4" s="415"/>
      <c r="J4" s="415"/>
      <c r="K4" s="961"/>
      <c r="L4" s="415"/>
      <c r="M4" s="415"/>
      <c r="N4" s="415"/>
      <c r="AU4" s="611"/>
      <c r="BE4" s="1044"/>
    </row>
    <row r="5" spans="1:72" ht="16.5" thickBot="1" x14ac:dyDescent="0.3">
      <c r="A5" s="434" t="s">
        <v>766</v>
      </c>
      <c r="E5" s="1205"/>
      <c r="F5" s="1206"/>
      <c r="G5" s="1206"/>
      <c r="H5" s="1206"/>
      <c r="I5" s="1206"/>
      <c r="J5" s="1206"/>
      <c r="K5" s="1206"/>
      <c r="L5" s="1206"/>
      <c r="M5" s="1206"/>
      <c r="N5" s="1206"/>
      <c r="P5" s="48"/>
      <c r="W5" s="531"/>
      <c r="AA5" s="611"/>
      <c r="AC5" s="611"/>
      <c r="BE5" s="551"/>
    </row>
    <row r="6" spans="1:72" ht="15.75" thickBot="1" x14ac:dyDescent="0.3">
      <c r="A6" s="173"/>
      <c r="B6" s="173"/>
      <c r="C6" s="173"/>
      <c r="D6" s="173"/>
      <c r="E6" s="173"/>
      <c r="F6" s="173"/>
      <c r="G6" s="173"/>
      <c r="H6" s="263"/>
      <c r="I6" s="173"/>
      <c r="J6" s="173"/>
      <c r="K6" s="962"/>
      <c r="L6" s="963"/>
      <c r="M6" s="963"/>
      <c r="N6" s="173"/>
      <c r="O6" s="264"/>
      <c r="P6" s="173"/>
      <c r="Q6" s="173"/>
      <c r="R6" s="173"/>
      <c r="S6" s="173"/>
      <c r="T6" s="173"/>
      <c r="U6" s="173"/>
      <c r="V6" s="173"/>
      <c r="W6" s="173"/>
      <c r="X6" s="173"/>
      <c r="Y6" s="1207" t="s">
        <v>771</v>
      </c>
      <c r="Z6" s="1208"/>
      <c r="AA6" s="1208"/>
      <c r="AB6" s="1208"/>
      <c r="AC6" s="1208"/>
      <c r="AD6" s="1208"/>
      <c r="AE6" s="1208"/>
      <c r="AF6" s="1208"/>
      <c r="AG6" s="1208"/>
      <c r="AH6" s="1209"/>
      <c r="AI6" s="1210" t="s">
        <v>773</v>
      </c>
      <c r="AJ6" s="1211"/>
      <c r="AK6" s="1211"/>
      <c r="AL6" s="1211"/>
      <c r="AM6" s="1211"/>
      <c r="AN6" s="1211"/>
      <c r="AO6" s="1211"/>
      <c r="AP6" s="1211"/>
      <c r="AQ6" s="1211"/>
      <c r="AR6" s="1212"/>
      <c r="AS6" s="1207" t="s">
        <v>772</v>
      </c>
      <c r="AT6" s="1208"/>
      <c r="AU6" s="1208"/>
      <c r="AV6" s="1208"/>
      <c r="AW6" s="1208"/>
      <c r="AX6" s="1208"/>
      <c r="AY6" s="1208"/>
      <c r="AZ6" s="1208"/>
      <c r="BA6" s="1208"/>
      <c r="BB6" s="1209"/>
      <c r="BC6" s="1210" t="s">
        <v>774</v>
      </c>
      <c r="BD6" s="1211"/>
      <c r="BE6" s="1211"/>
      <c r="BF6" s="1211"/>
      <c r="BG6" s="1211"/>
      <c r="BH6" s="1211"/>
      <c r="BI6" s="1211"/>
      <c r="BJ6" s="1211"/>
      <c r="BK6" s="1211"/>
      <c r="BL6" s="1216"/>
      <c r="BM6" s="1213" t="s">
        <v>880</v>
      </c>
      <c r="BN6" s="1214"/>
      <c r="BO6" s="1214"/>
      <c r="BP6" s="1214"/>
      <c r="BQ6" s="1214"/>
      <c r="BR6" s="1214"/>
      <c r="BS6" s="1214"/>
      <c r="BT6" s="1215"/>
    </row>
    <row r="7" spans="1:72" ht="34.5" thickBot="1" x14ac:dyDescent="0.3">
      <c r="A7" s="435" t="s">
        <v>80</v>
      </c>
      <c r="B7" s="436" t="s">
        <v>81</v>
      </c>
      <c r="C7" s="706" t="s">
        <v>1250</v>
      </c>
      <c r="D7" s="436" t="s">
        <v>142</v>
      </c>
      <c r="E7" s="436" t="s">
        <v>141</v>
      </c>
      <c r="F7" s="436" t="s">
        <v>82</v>
      </c>
      <c r="G7" s="436" t="s">
        <v>119</v>
      </c>
      <c r="H7" s="436" t="s">
        <v>86</v>
      </c>
      <c r="I7" s="436" t="s">
        <v>16</v>
      </c>
      <c r="J7" s="436" t="s">
        <v>83</v>
      </c>
      <c r="K7" s="436" t="s">
        <v>120</v>
      </c>
      <c r="L7" s="436" t="s">
        <v>569</v>
      </c>
      <c r="M7" s="436" t="s">
        <v>12</v>
      </c>
      <c r="N7" s="436" t="s">
        <v>88</v>
      </c>
      <c r="O7" s="436" t="s">
        <v>87</v>
      </c>
      <c r="P7" s="436" t="s">
        <v>90</v>
      </c>
      <c r="Q7" s="436" t="s">
        <v>91</v>
      </c>
      <c r="R7" s="436" t="s">
        <v>13</v>
      </c>
      <c r="S7" s="436" t="s">
        <v>0</v>
      </c>
      <c r="T7" s="436" t="s">
        <v>85</v>
      </c>
      <c r="U7" s="436" t="s">
        <v>16</v>
      </c>
      <c r="V7" s="437" t="s">
        <v>768</v>
      </c>
      <c r="W7" s="437" t="s">
        <v>569</v>
      </c>
      <c r="X7" s="438" t="s">
        <v>17</v>
      </c>
      <c r="Y7" s="439" t="s">
        <v>16</v>
      </c>
      <c r="Z7" s="439" t="s">
        <v>120</v>
      </c>
      <c r="AA7" s="439" t="s">
        <v>569</v>
      </c>
      <c r="AB7" s="439" t="s">
        <v>16</v>
      </c>
      <c r="AC7" s="439" t="s">
        <v>569</v>
      </c>
      <c r="AD7" s="439" t="s">
        <v>15</v>
      </c>
      <c r="AE7" s="439" t="s">
        <v>20</v>
      </c>
      <c r="AF7" s="439" t="s">
        <v>15</v>
      </c>
      <c r="AG7" s="439" t="s">
        <v>20</v>
      </c>
      <c r="AH7" s="439" t="s">
        <v>770</v>
      </c>
      <c r="AI7" s="436" t="s">
        <v>16</v>
      </c>
      <c r="AJ7" s="436" t="s">
        <v>120</v>
      </c>
      <c r="AK7" s="436" t="s">
        <v>569</v>
      </c>
      <c r="AL7" s="436" t="s">
        <v>16</v>
      </c>
      <c r="AM7" s="436" t="s">
        <v>569</v>
      </c>
      <c r="AN7" s="436" t="s">
        <v>15</v>
      </c>
      <c r="AO7" s="436" t="s">
        <v>20</v>
      </c>
      <c r="AP7" s="436" t="s">
        <v>15</v>
      </c>
      <c r="AQ7" s="436" t="s">
        <v>20</v>
      </c>
      <c r="AR7" s="436" t="s">
        <v>770</v>
      </c>
      <c r="AS7" s="439" t="s">
        <v>16</v>
      </c>
      <c r="AT7" s="439" t="s">
        <v>120</v>
      </c>
      <c r="AU7" s="439" t="s">
        <v>569</v>
      </c>
      <c r="AV7" s="439" t="s">
        <v>16</v>
      </c>
      <c r="AW7" s="439" t="s">
        <v>569</v>
      </c>
      <c r="AX7" s="439" t="s">
        <v>15</v>
      </c>
      <c r="AY7" s="439" t="s">
        <v>20</v>
      </c>
      <c r="AZ7" s="439" t="s">
        <v>15</v>
      </c>
      <c r="BA7" s="439" t="s">
        <v>20</v>
      </c>
      <c r="BB7" s="439" t="s">
        <v>770</v>
      </c>
      <c r="BC7" s="436" t="s">
        <v>16</v>
      </c>
      <c r="BD7" s="436" t="s">
        <v>120</v>
      </c>
      <c r="BE7" s="436" t="s">
        <v>569</v>
      </c>
      <c r="BF7" s="436" t="s">
        <v>16</v>
      </c>
      <c r="BG7" s="436" t="s">
        <v>569</v>
      </c>
      <c r="BH7" s="436" t="s">
        <v>15</v>
      </c>
      <c r="BI7" s="436" t="s">
        <v>20</v>
      </c>
      <c r="BJ7" s="436" t="s">
        <v>15</v>
      </c>
      <c r="BK7" s="436" t="s">
        <v>20</v>
      </c>
      <c r="BL7" s="706" t="s">
        <v>770</v>
      </c>
      <c r="BM7" s="440" t="s">
        <v>15</v>
      </c>
      <c r="BN7" s="440" t="s">
        <v>20</v>
      </c>
      <c r="BO7" s="440" t="s">
        <v>15</v>
      </c>
      <c r="BP7" s="440" t="s">
        <v>20</v>
      </c>
      <c r="BQ7" s="440" t="s">
        <v>15</v>
      </c>
      <c r="BR7" s="440" t="s">
        <v>20</v>
      </c>
      <c r="BS7" s="440" t="s">
        <v>15</v>
      </c>
      <c r="BT7" s="440" t="s">
        <v>20</v>
      </c>
    </row>
    <row r="8" spans="1:72" s="404" customFormat="1" ht="51" x14ac:dyDescent="0.25">
      <c r="A8" s="452">
        <v>11200</v>
      </c>
      <c r="B8" s="453" t="s">
        <v>3</v>
      </c>
      <c r="C8" s="826" t="s">
        <v>1209</v>
      </c>
      <c r="D8" s="454" t="s">
        <v>291</v>
      </c>
      <c r="E8" s="453" t="s">
        <v>153</v>
      </c>
      <c r="F8" s="454" t="s">
        <v>818</v>
      </c>
      <c r="G8" s="453" t="s">
        <v>133</v>
      </c>
      <c r="H8" s="455" t="s">
        <v>124</v>
      </c>
      <c r="I8" s="454">
        <v>4</v>
      </c>
      <c r="J8" s="454" t="s">
        <v>292</v>
      </c>
      <c r="K8" s="453" t="s">
        <v>24</v>
      </c>
      <c r="L8" s="456">
        <v>0</v>
      </c>
      <c r="M8" s="457">
        <v>1</v>
      </c>
      <c r="N8" s="453" t="s">
        <v>51</v>
      </c>
      <c r="O8" s="453" t="s">
        <v>68</v>
      </c>
      <c r="P8" s="453" t="s">
        <v>21</v>
      </c>
      <c r="Q8" s="453" t="s">
        <v>36</v>
      </c>
      <c r="R8" s="453" t="s">
        <v>75</v>
      </c>
      <c r="S8" s="453" t="s">
        <v>631</v>
      </c>
      <c r="T8" s="453" t="s">
        <v>98</v>
      </c>
      <c r="U8" s="454">
        <v>4</v>
      </c>
      <c r="V8" s="453" t="str">
        <f>+K8</f>
        <v>Reportar el cumplimiento del Plan de Acción de la Dependencia</v>
      </c>
      <c r="W8" s="458">
        <f>+L8</f>
        <v>0</v>
      </c>
      <c r="X8" s="459" t="s">
        <v>117</v>
      </c>
      <c r="Y8" s="460">
        <v>1</v>
      </c>
      <c r="Z8" s="453" t="str">
        <f>+V8</f>
        <v>Reportar el cumplimiento del Plan de Acción de la Dependencia</v>
      </c>
      <c r="AA8" s="456">
        <v>0</v>
      </c>
      <c r="AB8" s="462">
        <v>1</v>
      </c>
      <c r="AC8" s="479">
        <v>0</v>
      </c>
      <c r="AD8" s="461">
        <f>+(AB8/Y8)</f>
        <v>1</v>
      </c>
      <c r="AE8" s="461" t="e">
        <f>+(AC8/AA8)</f>
        <v>#DIV/0!</v>
      </c>
      <c r="AF8" s="461">
        <f>+(AB8/U8)</f>
        <v>0.25</v>
      </c>
      <c r="AG8" s="461" t="e">
        <f>+(AC8/W8)</f>
        <v>#DIV/0!</v>
      </c>
      <c r="AH8" s="959"/>
      <c r="AI8" s="460">
        <v>1</v>
      </c>
      <c r="AJ8" s="453" t="str">
        <f>+V8</f>
        <v>Reportar el cumplimiento del Plan de Acción de la Dependencia</v>
      </c>
      <c r="AK8" s="456">
        <v>0</v>
      </c>
      <c r="AL8" s="189">
        <v>1</v>
      </c>
      <c r="AM8" s="791">
        <v>0</v>
      </c>
      <c r="AN8" s="461">
        <f>+(AL8/AI8)</f>
        <v>1</v>
      </c>
      <c r="AO8" s="461" t="e">
        <f>+(AM8/AK8)</f>
        <v>#DIV/0!</v>
      </c>
      <c r="AP8" s="461">
        <f>+(AL8+AB8)/U8</f>
        <v>0.5</v>
      </c>
      <c r="AQ8" s="461" t="e">
        <f>+(AM8+AC8)/W8</f>
        <v>#DIV/0!</v>
      </c>
      <c r="AR8" s="1654"/>
      <c r="AS8" s="460">
        <v>1</v>
      </c>
      <c r="AT8" s="453" t="str">
        <f>+V8</f>
        <v>Reportar el cumplimiento del Plan de Acción de la Dependencia</v>
      </c>
      <c r="AU8" s="456">
        <v>0</v>
      </c>
      <c r="AV8" s="929">
        <v>1</v>
      </c>
      <c r="AW8" s="930">
        <v>0</v>
      </c>
      <c r="AX8" s="461">
        <f>+(AV8/AS8)</f>
        <v>1</v>
      </c>
      <c r="AY8" s="461" t="e">
        <f>+(AW8/AU8)</f>
        <v>#DIV/0!</v>
      </c>
      <c r="AZ8" s="461">
        <f>+(AL8+AB8+AV8)/U8</f>
        <v>0.75</v>
      </c>
      <c r="BA8" s="461" t="e">
        <f>+(AM8+AC8+AW8)/W8</f>
        <v>#DIV/0!</v>
      </c>
      <c r="BB8" s="1665" t="s">
        <v>2247</v>
      </c>
      <c r="BC8" s="460">
        <v>1</v>
      </c>
      <c r="BD8" s="453" t="str">
        <f>+V8</f>
        <v>Reportar el cumplimiento del Plan de Acción de la Dependencia</v>
      </c>
      <c r="BE8" s="456">
        <v>0</v>
      </c>
      <c r="BF8" s="1666">
        <v>1</v>
      </c>
      <c r="BG8" s="1667">
        <v>0</v>
      </c>
      <c r="BH8" s="461">
        <f>+(BF8/BC8)</f>
        <v>1</v>
      </c>
      <c r="BI8" s="461" t="e">
        <f>+(BG8/BE8)</f>
        <v>#DIV/0!</v>
      </c>
      <c r="BJ8" s="461">
        <f>+(AL8+AB8+AV8+BF8)/U8</f>
        <v>1</v>
      </c>
      <c r="BK8" s="461" t="e">
        <f>+(AM8+AC8+AW8+BG8)/W8</f>
        <v>#DIV/0!</v>
      </c>
      <c r="BL8" s="959" t="s">
        <v>2247</v>
      </c>
      <c r="BM8" s="480">
        <f>IF(AND(Y8=0,AB8=0),"No Prog ni Ejec",IF(Y8=0,CONCATENATE("No Prog, Ejec=  ",AB8),AB8/Y8))</f>
        <v>1</v>
      </c>
      <c r="BN8" s="480" t="str">
        <f>IF(AND(AA8=0,AC8=0),"No Prog ni Ejec",IF(AA8=0,CONCATENATE("No Prog, Ejec=  ",AC8),AC8/AA8))</f>
        <v>No Prog ni Ejec</v>
      </c>
      <c r="BO8" s="480">
        <f>IF(AND(AI8=0,AL8=0),"No Prog ni Ejec",IF(AI8=0,CONCATENATE("No Prog, Ejec=  ",AL8),AL8/AI8))</f>
        <v>1</v>
      </c>
      <c r="BP8" s="480" t="str">
        <f>IF(AND(AK8=0,AM8=0),"No Prog ni Ejec",IF(AK8=0,CONCATENATE("No Prog, Ejec=  ",AM8),AM8/AK8))</f>
        <v>No Prog ni Ejec</v>
      </c>
      <c r="BQ8" s="480">
        <f t="shared" ref="BQ8:BQ14" si="0">IF(AND(AS8=0,AV8=0),"No Prog ni Ejec",IF(AS8=0,CONCATENATE("No Prog, Ejec=  ",AV8),AV8/AS8))</f>
        <v>1</v>
      </c>
      <c r="BR8" s="480" t="str">
        <f>IF(AND(AU8=0,AW8=0),"No Prog ni Ejec",IF(AU8=0,CONCATENATE("No Prog, Ejec=  ",AW8),AW8/AU8))</f>
        <v>No Prog ni Ejec</v>
      </c>
      <c r="BS8" s="480">
        <f>IF(AND(BC8=0,BF8=0),"No Prog ni Ejec",IF(BC8=0,CONCATENATE("No Prog, Ejec=  ",BF8),BF8/BC8))</f>
        <v>1</v>
      </c>
      <c r="BT8" s="827" t="str">
        <f>IF(AND(BE8=0,BG8=0),"No Prog ni Ejec",IF(BE8=0,CONCATENATE("No Prog, Ejec=  ",BG8),BG8/BE8))</f>
        <v>No Prog ni Ejec</v>
      </c>
    </row>
    <row r="9" spans="1:72" s="404" customFormat="1" ht="120" x14ac:dyDescent="0.25">
      <c r="A9" s="1092">
        <v>11200</v>
      </c>
      <c r="B9" s="1060" t="s">
        <v>3</v>
      </c>
      <c r="C9" s="1068" t="s">
        <v>1209</v>
      </c>
      <c r="D9" s="1059" t="s">
        <v>152</v>
      </c>
      <c r="E9" s="1060" t="s">
        <v>256</v>
      </c>
      <c r="F9" s="1156" t="s">
        <v>154</v>
      </c>
      <c r="G9" s="1151" t="s">
        <v>149</v>
      </c>
      <c r="H9" s="1079" t="s">
        <v>124</v>
      </c>
      <c r="I9" s="533">
        <v>40</v>
      </c>
      <c r="J9" s="1156" t="s">
        <v>155</v>
      </c>
      <c r="K9" s="1151" t="s">
        <v>148</v>
      </c>
      <c r="L9" s="1152">
        <v>0</v>
      </c>
      <c r="M9" s="1153">
        <v>1</v>
      </c>
      <c r="N9" s="1151" t="s">
        <v>48</v>
      </c>
      <c r="O9" s="1151" t="s">
        <v>62</v>
      </c>
      <c r="P9" s="1151" t="s">
        <v>37</v>
      </c>
      <c r="Q9" s="1151" t="s">
        <v>40</v>
      </c>
      <c r="R9" s="1151" t="s">
        <v>227</v>
      </c>
      <c r="S9" s="1060" t="s">
        <v>876</v>
      </c>
      <c r="T9" s="1060" t="s">
        <v>99</v>
      </c>
      <c r="U9" s="532">
        <v>40</v>
      </c>
      <c r="V9" s="1154" t="str">
        <f>+K9</f>
        <v>Diseño y ejecución de estrategias de campaña Marketing para la ADRES.</v>
      </c>
      <c r="W9" s="1155">
        <f>+L9</f>
        <v>0</v>
      </c>
      <c r="X9" s="1156" t="s">
        <v>117</v>
      </c>
      <c r="Y9" s="465">
        <v>7</v>
      </c>
      <c r="Z9" s="1159" t="str">
        <f>+V9</f>
        <v>Diseño y ejecución de estrategias de campaña Marketing para la ADRES.</v>
      </c>
      <c r="AA9" s="1152">
        <v>150000000</v>
      </c>
      <c r="AB9" s="465">
        <f>58/3</f>
        <v>19.333333333333332</v>
      </c>
      <c r="AC9" s="1152">
        <v>0</v>
      </c>
      <c r="AD9" s="1064">
        <f>+(AB9/Y9)</f>
        <v>2.7619047619047619</v>
      </c>
      <c r="AE9" s="1157">
        <f>+(AC9/AA9)</f>
        <v>0</v>
      </c>
      <c r="AF9" s="1064">
        <f>+(AB9/U9)</f>
        <v>0.48333333333333328</v>
      </c>
      <c r="AG9" s="1157" t="e">
        <f t="shared" ref="AG9:AG74" si="1">+(AC9/W9)</f>
        <v>#DIV/0!</v>
      </c>
      <c r="AH9" s="527"/>
      <c r="AI9" s="746">
        <v>15</v>
      </c>
      <c r="AJ9" s="1159" t="str">
        <f>+V9</f>
        <v>Diseño y ejecución de estrategias de campaña Marketing para la ADRES.</v>
      </c>
      <c r="AK9" s="1152">
        <v>150000000</v>
      </c>
      <c r="AL9" s="196">
        <f>48/5</f>
        <v>9.6</v>
      </c>
      <c r="AM9" s="1220">
        <v>0</v>
      </c>
      <c r="AN9" s="1064">
        <f>+(AL9/AI9)</f>
        <v>0.64</v>
      </c>
      <c r="AO9" s="1157">
        <f t="shared" ref="AO9:AO74" si="2">+(AM9/AK9)</f>
        <v>0</v>
      </c>
      <c r="AP9" s="1064">
        <f t="shared" ref="AP9:AP74" si="3">+(AL9+AB9)/U9</f>
        <v>0.72333333333333327</v>
      </c>
      <c r="AQ9" s="1240" t="e">
        <f>+(AM9+AC9)/W9</f>
        <v>#DIV/0!</v>
      </c>
      <c r="AR9" s="820" t="s">
        <v>1140</v>
      </c>
      <c r="AS9" s="746">
        <v>15</v>
      </c>
      <c r="AT9" s="1159" t="str">
        <f>+V9</f>
        <v>Diseño y ejecución de estrategias de campaña Marketing para la ADRES.</v>
      </c>
      <c r="AU9" s="1152">
        <v>0</v>
      </c>
      <c r="AV9" s="931">
        <f>65/19</f>
        <v>3.4210526315789473</v>
      </c>
      <c r="AW9" s="1239">
        <v>0</v>
      </c>
      <c r="AX9" s="1064">
        <f>+(AV9/AS9)</f>
        <v>0.22807017543859648</v>
      </c>
      <c r="AY9" s="1157" t="e">
        <f>+(AW9/AU9)</f>
        <v>#DIV/0!</v>
      </c>
      <c r="AZ9" s="1064">
        <f>+(AL9+AB9+AV9)/U9</f>
        <v>0.80885964912280683</v>
      </c>
      <c r="BA9" s="1157" t="e">
        <f>+(AM9+AC9+AW9)/W9</f>
        <v>#DIV/0!</v>
      </c>
      <c r="BB9" s="1665" t="s">
        <v>2295</v>
      </c>
      <c r="BC9" s="889">
        <v>3</v>
      </c>
      <c r="BD9" s="1663" t="str">
        <f>+V9</f>
        <v>Diseño y ejecución de estrategias de campaña Marketing para la ADRES.</v>
      </c>
      <c r="BE9" s="1152">
        <v>0</v>
      </c>
      <c r="BF9" s="1668">
        <f>(100/3)</f>
        <v>33.333333333333336</v>
      </c>
      <c r="BG9" s="1152">
        <v>0</v>
      </c>
      <c r="BH9" s="1064">
        <f>+(BF9/BC9)</f>
        <v>11.111111111111112</v>
      </c>
      <c r="BI9" s="1157" t="e">
        <f>+(BG9/BE9)</f>
        <v>#DIV/0!</v>
      </c>
      <c r="BJ9" s="1064">
        <f>+(AL9+AB9+AV9+BF9)/U9</f>
        <v>1.6421929824561403</v>
      </c>
      <c r="BK9" s="1157" t="e">
        <f>+(AM9+AC9+AW9+BG9)/W9</f>
        <v>#DIV/0!</v>
      </c>
      <c r="BL9" s="1050"/>
      <c r="BM9" s="477">
        <f t="shared" ref="BM9:BM74" si="4">IF(AND(Y9=0,AB9=0),"No Prog ni Ejec",IF(Y9=0,CONCATENATE("No Prog, Ejec=  ",AB9),AB9/Y9))</f>
        <v>2.7619047619047619</v>
      </c>
      <c r="BN9" s="1222">
        <f t="shared" ref="BN9:BN74" si="5">IF(AND(AA9=0,AC9=0),"No Prog ni Ejec",IF(AA9=0,CONCATENATE("No Prog, Ejec=  ",AC9),AC9/AA9))</f>
        <v>0</v>
      </c>
      <c r="BO9" s="477">
        <f t="shared" ref="BO9:BO74" si="6">IF(AND(AI9=0,AL9=0),"No Prog ni Ejec",IF(AI9=0,CONCATENATE("No Prog, Ejec=  ",AL9),AL9/AI9))</f>
        <v>0.64</v>
      </c>
      <c r="BP9" s="1222">
        <f t="shared" ref="BP9:BP74" si="7">IF(AND(AK9=0,AM9=0),"No Prog ni Ejec",IF(AK9=0,CONCATENATE("No Prog, Ejec=  ",AM9),AM9/AK9))</f>
        <v>0</v>
      </c>
      <c r="BQ9" s="477">
        <f t="shared" si="0"/>
        <v>0.22807017543859648</v>
      </c>
      <c r="BR9" s="1222" t="str">
        <f>IF(AND(AU9=0,AW9=0),"No Prog ni Ejec",IF(AU9=0,CONCATENATE("No Prog, Ejec=  ",AW9),AW9/AU9))</f>
        <v>No Prog ni Ejec</v>
      </c>
      <c r="BS9" s="477">
        <f t="shared" ref="BS9:BS74" si="8">IF(AND(BC9=0,BF9=0),"No Prog ni Ejec",IF(BC9=0,CONCATENATE("No Prog, Ejec=  ",BF9),BF9/BC9))</f>
        <v>11.111111111111112</v>
      </c>
      <c r="BT9" s="1235" t="str">
        <f t="shared" ref="BT9:BT74" si="9">IF(AND(BE9=0,BG9=0),"No Prog ni Ejec",IF(BE9=0,CONCATENATE("No Prog, Ejec=  ",BG9),BG9/BE9))</f>
        <v>No Prog ni Ejec</v>
      </c>
    </row>
    <row r="10" spans="1:72" s="404" customFormat="1" ht="89.25" x14ac:dyDescent="0.25">
      <c r="A10" s="1092">
        <v>11200</v>
      </c>
      <c r="B10" s="1060" t="s">
        <v>3</v>
      </c>
      <c r="C10" s="1068" t="s">
        <v>1209</v>
      </c>
      <c r="D10" s="1059" t="s">
        <v>152</v>
      </c>
      <c r="E10" s="1060" t="s">
        <v>256</v>
      </c>
      <c r="F10" s="1156"/>
      <c r="G10" s="1151"/>
      <c r="H10" s="1079" t="s">
        <v>877</v>
      </c>
      <c r="I10" s="1056">
        <v>1.2</v>
      </c>
      <c r="J10" s="1156"/>
      <c r="K10" s="1151"/>
      <c r="L10" s="1152"/>
      <c r="M10" s="1153"/>
      <c r="N10" s="1151"/>
      <c r="O10" s="1151"/>
      <c r="P10" s="1151"/>
      <c r="Q10" s="1151"/>
      <c r="R10" s="1151"/>
      <c r="S10" s="1060" t="s">
        <v>842</v>
      </c>
      <c r="T10" s="1060" t="s">
        <v>99</v>
      </c>
      <c r="U10" s="1056">
        <v>1.2</v>
      </c>
      <c r="V10" s="1154"/>
      <c r="W10" s="1155"/>
      <c r="X10" s="1156"/>
      <c r="Y10" s="1056">
        <v>0.3</v>
      </c>
      <c r="Z10" s="1151"/>
      <c r="AA10" s="1152"/>
      <c r="AB10" s="1056">
        <f>(738-444)/444</f>
        <v>0.66216216216216217</v>
      </c>
      <c r="AC10" s="1152"/>
      <c r="AD10" s="1064">
        <f>+(AB10/Y10)</f>
        <v>2.2072072072072073</v>
      </c>
      <c r="AE10" s="1157"/>
      <c r="AF10" s="1064">
        <f>+(AB10/U10)</f>
        <v>0.55180180180180183</v>
      </c>
      <c r="AG10" s="1157"/>
      <c r="AH10" s="527"/>
      <c r="AI10" s="1075">
        <v>0.3</v>
      </c>
      <c r="AJ10" s="1151"/>
      <c r="AK10" s="1152"/>
      <c r="AL10" s="208">
        <f>(1225-738)/738</f>
        <v>0.65989159891598914</v>
      </c>
      <c r="AM10" s="1220"/>
      <c r="AN10" s="1064">
        <f>+(AL10/AI10)</f>
        <v>2.1996386630532974</v>
      </c>
      <c r="AO10" s="1157"/>
      <c r="AP10" s="1064">
        <f t="shared" si="3"/>
        <v>1.1017114675651261</v>
      </c>
      <c r="AQ10" s="1157"/>
      <c r="AR10" s="820" t="s">
        <v>1083</v>
      </c>
      <c r="AS10" s="1075">
        <v>0.3</v>
      </c>
      <c r="AT10" s="1151"/>
      <c r="AU10" s="1152"/>
      <c r="AV10" s="932">
        <f>(1728-1230)/1230</f>
        <v>0.40487804878048783</v>
      </c>
      <c r="AW10" s="1239"/>
      <c r="AX10" s="1064">
        <f>+(AV10/AS10)</f>
        <v>1.3495934959349596</v>
      </c>
      <c r="AY10" s="1157"/>
      <c r="AZ10" s="1064">
        <f>+(AL10+AB10+AV10)/U10</f>
        <v>1.4391098415488661</v>
      </c>
      <c r="BA10" s="1157"/>
      <c r="BB10" s="527"/>
      <c r="BC10" s="1075">
        <v>0.3</v>
      </c>
      <c r="BD10" s="1664"/>
      <c r="BE10" s="1152"/>
      <c r="BF10" s="1088">
        <f>(2073-1727)/1727</f>
        <v>0.20034742327735958</v>
      </c>
      <c r="BG10" s="1152"/>
      <c r="BH10" s="1064">
        <f>+(BF10/BC10)</f>
        <v>0.66782474425786531</v>
      </c>
      <c r="BI10" s="1157"/>
      <c r="BJ10" s="1064">
        <f>+(AL10+AB10+AV10+BF10)/U10</f>
        <v>1.6060660276133325</v>
      </c>
      <c r="BK10" s="1157"/>
      <c r="BL10" s="1050" t="s">
        <v>2248</v>
      </c>
      <c r="BM10" s="477">
        <f t="shared" si="4"/>
        <v>2.2072072072072073</v>
      </c>
      <c r="BN10" s="1222"/>
      <c r="BO10" s="477">
        <f t="shared" si="6"/>
        <v>2.1996386630532974</v>
      </c>
      <c r="BP10" s="1222"/>
      <c r="BQ10" s="477">
        <f t="shared" si="0"/>
        <v>1.3495934959349596</v>
      </c>
      <c r="BR10" s="1222"/>
      <c r="BS10" s="477">
        <f t="shared" si="8"/>
        <v>0.66782474425786531</v>
      </c>
      <c r="BT10" s="1235"/>
    </row>
    <row r="11" spans="1:72" s="404" customFormat="1" ht="89.25" x14ac:dyDescent="0.25">
      <c r="A11" s="1092">
        <v>11200</v>
      </c>
      <c r="B11" s="1060" t="s">
        <v>3</v>
      </c>
      <c r="C11" s="1068" t="s">
        <v>1209</v>
      </c>
      <c r="D11" s="1059" t="s">
        <v>152</v>
      </c>
      <c r="E11" s="1060" t="s">
        <v>256</v>
      </c>
      <c r="F11" s="1156"/>
      <c r="G11" s="1151"/>
      <c r="H11" s="1079" t="s">
        <v>877</v>
      </c>
      <c r="I11" s="1002">
        <v>0.17</v>
      </c>
      <c r="J11" s="1156"/>
      <c r="K11" s="1151"/>
      <c r="L11" s="1152"/>
      <c r="M11" s="1153"/>
      <c r="N11" s="1151"/>
      <c r="O11" s="1151"/>
      <c r="P11" s="1151"/>
      <c r="Q11" s="1151"/>
      <c r="R11" s="1151"/>
      <c r="S11" s="1060" t="s">
        <v>878</v>
      </c>
      <c r="T11" s="1060" t="s">
        <v>99</v>
      </c>
      <c r="U11" s="1002">
        <v>0.17</v>
      </c>
      <c r="V11" s="1154"/>
      <c r="W11" s="1155"/>
      <c r="X11" s="1156"/>
      <c r="Y11" s="1056">
        <v>0</v>
      </c>
      <c r="Z11" s="1151"/>
      <c r="AA11" s="1152"/>
      <c r="AB11" s="1056" t="s">
        <v>792</v>
      </c>
      <c r="AC11" s="1152"/>
      <c r="AD11" s="1064" t="s">
        <v>792</v>
      </c>
      <c r="AE11" s="1157"/>
      <c r="AF11" s="1064" t="s">
        <v>792</v>
      </c>
      <c r="AG11" s="1157"/>
      <c r="AH11" s="1060" t="s">
        <v>884</v>
      </c>
      <c r="AI11" s="1075">
        <v>0.09</v>
      </c>
      <c r="AJ11" s="1151"/>
      <c r="AK11" s="1152"/>
      <c r="AL11" s="208">
        <f>(1654948-1521776)/1521776</f>
        <v>8.7510908307135871E-2</v>
      </c>
      <c r="AM11" s="1220"/>
      <c r="AN11" s="1064">
        <f>+(AL11/AI11)</f>
        <v>0.97234342563484299</v>
      </c>
      <c r="AO11" s="1157"/>
      <c r="AP11" s="1064">
        <f>+(AL11)/U11</f>
        <v>0.51477004886550504</v>
      </c>
      <c r="AQ11" s="1157"/>
      <c r="AR11" s="1655"/>
      <c r="AS11" s="1075">
        <v>0.05</v>
      </c>
      <c r="AT11" s="1151"/>
      <c r="AU11" s="1152"/>
      <c r="AV11" s="932">
        <f>(1595973-1747149)/1747149</f>
        <v>-8.6527250967147043E-2</v>
      </c>
      <c r="AW11" s="1239"/>
      <c r="AX11" s="1064">
        <f>+(AV11/AS11)</f>
        <v>-1.7305450193429408</v>
      </c>
      <c r="AY11" s="1157"/>
      <c r="AZ11" s="1064">
        <f>+(AL11+AV11)/U11</f>
        <v>5.7862196469931036E-3</v>
      </c>
      <c r="BA11" s="1157"/>
      <c r="BB11" s="1665" t="s">
        <v>2296</v>
      </c>
      <c r="BC11" s="1002">
        <v>0.03</v>
      </c>
      <c r="BD11" s="1664"/>
      <c r="BE11" s="1152"/>
      <c r="BF11" s="1088">
        <f>(20190293-13323092)/13323092</f>
        <v>0.51543598137729585</v>
      </c>
      <c r="BG11" s="1152"/>
      <c r="BH11" s="1064">
        <f>+(BF11/BC11)</f>
        <v>17.181199379243196</v>
      </c>
      <c r="BI11" s="1157"/>
      <c r="BJ11" s="1064">
        <f>+(AL11+AV11+BF11)/U11</f>
        <v>3.0377625806899098</v>
      </c>
      <c r="BK11" s="1157"/>
      <c r="BL11" s="1050" t="s">
        <v>2249</v>
      </c>
      <c r="BM11" s="477" t="str">
        <f t="shared" si="4"/>
        <v>No Prog, Ejec=  N.A</v>
      </c>
      <c r="BN11" s="1222"/>
      <c r="BO11" s="477">
        <f t="shared" si="6"/>
        <v>0.97234342563484299</v>
      </c>
      <c r="BP11" s="1222"/>
      <c r="BQ11" s="477">
        <f t="shared" si="0"/>
        <v>-1.7305450193429408</v>
      </c>
      <c r="BR11" s="1222"/>
      <c r="BS11" s="477">
        <f t="shared" si="8"/>
        <v>17.181199379243196</v>
      </c>
      <c r="BT11" s="1235"/>
    </row>
    <row r="12" spans="1:72" s="404" customFormat="1" ht="67.5" customHeight="1" x14ac:dyDescent="0.25">
      <c r="A12" s="1092">
        <v>11300</v>
      </c>
      <c r="B12" s="1060" t="s">
        <v>4</v>
      </c>
      <c r="C12" s="1068" t="s">
        <v>1209</v>
      </c>
      <c r="D12" s="1059" t="s">
        <v>150</v>
      </c>
      <c r="E12" s="1060" t="s">
        <v>153</v>
      </c>
      <c r="F12" s="1059" t="s">
        <v>151</v>
      </c>
      <c r="G12" s="1060" t="s">
        <v>133</v>
      </c>
      <c r="H12" s="1079" t="s">
        <v>124</v>
      </c>
      <c r="I12" s="1059">
        <v>4</v>
      </c>
      <c r="J12" s="1059" t="s">
        <v>293</v>
      </c>
      <c r="K12" s="1060" t="s">
        <v>24</v>
      </c>
      <c r="L12" s="443">
        <v>0</v>
      </c>
      <c r="M12" s="444">
        <v>1</v>
      </c>
      <c r="N12" s="1060" t="s">
        <v>51</v>
      </c>
      <c r="O12" s="1060" t="s">
        <v>68</v>
      </c>
      <c r="P12" s="1060" t="s">
        <v>21</v>
      </c>
      <c r="Q12" s="1060" t="s">
        <v>36</v>
      </c>
      <c r="R12" s="1060" t="s">
        <v>75</v>
      </c>
      <c r="S12" s="1060" t="s">
        <v>631</v>
      </c>
      <c r="T12" s="1060" t="s">
        <v>98</v>
      </c>
      <c r="U12" s="1059">
        <v>4</v>
      </c>
      <c r="V12" s="1058" t="str">
        <f t="shared" ref="V12:W75" si="10">+K12</f>
        <v>Reportar el cumplimiento del Plan de Acción de la Dependencia</v>
      </c>
      <c r="W12" s="445">
        <f t="shared" ref="W12:W75" si="11">+L12</f>
        <v>0</v>
      </c>
      <c r="X12" s="1097" t="s">
        <v>117</v>
      </c>
      <c r="Y12" s="463">
        <v>1</v>
      </c>
      <c r="Z12" s="1083" t="str">
        <f>+V12</f>
        <v>Reportar el cumplimiento del Plan de Acción de la Dependencia</v>
      </c>
      <c r="AA12" s="443">
        <v>0</v>
      </c>
      <c r="AB12" s="446">
        <v>1</v>
      </c>
      <c r="AC12" s="448">
        <v>0</v>
      </c>
      <c r="AD12" s="1064">
        <f t="shared" ref="AD12:AD74" si="12">+(AB12/Y12)</f>
        <v>1</v>
      </c>
      <c r="AE12" s="1064" t="e">
        <f t="shared" ref="AE12:AE74" si="13">+(AC12/AA12)</f>
        <v>#DIV/0!</v>
      </c>
      <c r="AF12" s="1064">
        <f t="shared" ref="AF12:AF74" si="14">+(AB12/U12)</f>
        <v>0.25</v>
      </c>
      <c r="AG12" s="1064" t="e">
        <f t="shared" si="1"/>
        <v>#DIV/0!</v>
      </c>
      <c r="AH12" s="527"/>
      <c r="AI12" s="463">
        <v>1</v>
      </c>
      <c r="AJ12" s="1083" t="str">
        <f>+V12</f>
        <v>Reportar el cumplimiento del Plan de Acción de la Dependencia</v>
      </c>
      <c r="AK12" s="443">
        <v>0</v>
      </c>
      <c r="AL12" s="700">
        <v>1</v>
      </c>
      <c r="AM12" s="529">
        <v>0</v>
      </c>
      <c r="AN12" s="1064">
        <f t="shared" ref="AN12:AN74" si="15">+(AL12/AI12)</f>
        <v>1</v>
      </c>
      <c r="AO12" s="1064" t="e">
        <f t="shared" si="2"/>
        <v>#DIV/0!</v>
      </c>
      <c r="AP12" s="1064">
        <f t="shared" si="3"/>
        <v>0.5</v>
      </c>
      <c r="AQ12" s="1064" t="e">
        <f t="shared" ref="AQ12:AQ74" si="16">+(AM12+AC12)/W12</f>
        <v>#DIV/0!</v>
      </c>
      <c r="AR12" s="1071" t="s">
        <v>1141</v>
      </c>
      <c r="AS12" s="463">
        <v>1</v>
      </c>
      <c r="AT12" s="1083" t="str">
        <f>+V12</f>
        <v>Reportar el cumplimiento del Plan de Acción de la Dependencia</v>
      </c>
      <c r="AU12" s="443">
        <v>0</v>
      </c>
      <c r="AV12" s="929">
        <v>1</v>
      </c>
      <c r="AW12" s="930">
        <v>0</v>
      </c>
      <c r="AX12" s="1064">
        <f>+(AV12/AS12)</f>
        <v>1</v>
      </c>
      <c r="AY12" s="1064" t="e">
        <f>+(AW12/AU12)</f>
        <v>#DIV/0!</v>
      </c>
      <c r="AZ12" s="1064">
        <f>+(AL12+AB12+AV12)/U12</f>
        <v>0.75</v>
      </c>
      <c r="BA12" s="469" t="e">
        <f>+(AM12+AC12+AW12)/W12</f>
        <v>#DIV/0!</v>
      </c>
      <c r="BB12" s="1665" t="s">
        <v>2297</v>
      </c>
      <c r="BC12" s="463">
        <v>1</v>
      </c>
      <c r="BD12" s="1083" t="str">
        <f>+V12</f>
        <v>Reportar el cumplimiento del Plan de Acción de la Dependencia</v>
      </c>
      <c r="BE12" s="443">
        <v>0</v>
      </c>
      <c r="BF12" s="1067">
        <v>1</v>
      </c>
      <c r="BG12" s="744">
        <v>0</v>
      </c>
      <c r="BH12" s="1056">
        <f t="shared" ref="BH12:BH75" si="17">+(BF12/BC12)</f>
        <v>1</v>
      </c>
      <c r="BI12" s="1056" t="e">
        <f t="shared" ref="BI12:BI75" si="18">+(BG12/BE12)</f>
        <v>#DIV/0!</v>
      </c>
      <c r="BJ12" s="1056">
        <f>+(AL12+AB12+AV12+BF12)/U12</f>
        <v>1</v>
      </c>
      <c r="BK12" s="1056" t="e">
        <f>+(AM12+AC12+AW37+BG12)/W12</f>
        <v>#DIV/0!</v>
      </c>
      <c r="BL12" s="1068" t="s">
        <v>2110</v>
      </c>
      <c r="BM12" s="477">
        <f t="shared" si="4"/>
        <v>1</v>
      </c>
      <c r="BN12" s="477" t="str">
        <f t="shared" si="5"/>
        <v>No Prog ni Ejec</v>
      </c>
      <c r="BO12" s="477">
        <f t="shared" si="6"/>
        <v>1</v>
      </c>
      <c r="BP12" s="477" t="str">
        <f t="shared" si="7"/>
        <v>No Prog ni Ejec</v>
      </c>
      <c r="BQ12" s="477">
        <f t="shared" si="0"/>
        <v>1</v>
      </c>
      <c r="BR12" s="477" t="str">
        <f>IF(AND(AU12=0,AW12=0),"No Prog ni Ejec",IF(AU12=0,CONCATENATE("No Prog, Ejec=  ",AW12),AW12/AU12))</f>
        <v>No Prog ni Ejec</v>
      </c>
      <c r="BS12" s="477">
        <f t="shared" si="8"/>
        <v>1</v>
      </c>
      <c r="BT12" s="828" t="str">
        <f t="shared" si="9"/>
        <v>No Prog ni Ejec</v>
      </c>
    </row>
    <row r="13" spans="1:72" s="404" customFormat="1" ht="89.25" x14ac:dyDescent="0.25">
      <c r="A13" s="1092">
        <v>11300</v>
      </c>
      <c r="B13" s="1060" t="s">
        <v>4</v>
      </c>
      <c r="C13" s="1068" t="s">
        <v>1209</v>
      </c>
      <c r="D13" s="1059" t="s">
        <v>157</v>
      </c>
      <c r="E13" s="1060" t="s">
        <v>256</v>
      </c>
      <c r="F13" s="1059" t="s">
        <v>576</v>
      </c>
      <c r="G13" s="1060" t="s">
        <v>159</v>
      </c>
      <c r="H13" s="1079" t="s">
        <v>123</v>
      </c>
      <c r="I13" s="1056">
        <v>1</v>
      </c>
      <c r="J13" s="1059" t="s">
        <v>577</v>
      </c>
      <c r="K13" s="1060" t="s">
        <v>156</v>
      </c>
      <c r="L13" s="443">
        <v>0</v>
      </c>
      <c r="M13" s="444">
        <v>1</v>
      </c>
      <c r="N13" s="1060" t="s">
        <v>51</v>
      </c>
      <c r="O13" s="1060" t="s">
        <v>68</v>
      </c>
      <c r="P13" s="1060" t="s">
        <v>21</v>
      </c>
      <c r="Q13" s="1060" t="s">
        <v>36</v>
      </c>
      <c r="R13" s="1060" t="s">
        <v>75</v>
      </c>
      <c r="S13" s="1060" t="s">
        <v>672</v>
      </c>
      <c r="T13" s="1060" t="s">
        <v>98</v>
      </c>
      <c r="U13" s="444">
        <v>1</v>
      </c>
      <c r="V13" s="1058" t="str">
        <f t="shared" si="10"/>
        <v>Formular los proceso y procedimientos en el marco del MIPG</v>
      </c>
      <c r="W13" s="445">
        <f t="shared" si="11"/>
        <v>0</v>
      </c>
      <c r="X13" s="1097" t="s">
        <v>117</v>
      </c>
      <c r="Y13" s="1056">
        <v>0.25</v>
      </c>
      <c r="Z13" s="1083" t="str">
        <f>+V13</f>
        <v>Formular los proceso y procedimientos en el marco del MIPG</v>
      </c>
      <c r="AA13" s="443">
        <v>0</v>
      </c>
      <c r="AB13" s="447">
        <f>(38/41)</f>
        <v>0.92682926829268297</v>
      </c>
      <c r="AC13" s="448">
        <v>0</v>
      </c>
      <c r="AD13" s="1064">
        <f>+(AB13/Y13)</f>
        <v>3.7073170731707319</v>
      </c>
      <c r="AE13" s="1064" t="e">
        <f t="shared" si="13"/>
        <v>#DIV/0!</v>
      </c>
      <c r="AF13" s="1064">
        <f t="shared" si="14"/>
        <v>0.92682926829268297</v>
      </c>
      <c r="AG13" s="1064" t="e">
        <f t="shared" si="1"/>
        <v>#DIV/0!</v>
      </c>
      <c r="AH13" s="527"/>
      <c r="AI13" s="1056">
        <v>0.25</v>
      </c>
      <c r="AJ13" s="1083" t="str">
        <f>+V13</f>
        <v>Formular los proceso y procedimientos en el marco del MIPG</v>
      </c>
      <c r="AK13" s="443">
        <v>0</v>
      </c>
      <c r="AL13" s="792">
        <f>+(0/47)</f>
        <v>0</v>
      </c>
      <c r="AM13" s="702">
        <v>0</v>
      </c>
      <c r="AN13" s="1064">
        <f t="shared" si="15"/>
        <v>0</v>
      </c>
      <c r="AO13" s="1064" t="e">
        <f t="shared" si="2"/>
        <v>#DIV/0!</v>
      </c>
      <c r="AP13" s="1064">
        <f t="shared" si="3"/>
        <v>0.92682926829268297</v>
      </c>
      <c r="AQ13" s="1064" t="e">
        <f t="shared" si="16"/>
        <v>#DIV/0!</v>
      </c>
      <c r="AR13" s="1656" t="s">
        <v>1142</v>
      </c>
      <c r="AS13" s="1056">
        <v>0.25</v>
      </c>
      <c r="AT13" s="1083" t="str">
        <f>+V13</f>
        <v>Formular los proceso y procedimientos en el marco del MIPG</v>
      </c>
      <c r="AU13" s="443">
        <v>0</v>
      </c>
      <c r="AV13" s="932">
        <f>0/47</f>
        <v>0</v>
      </c>
      <c r="AW13" s="930">
        <v>0</v>
      </c>
      <c r="AX13" s="1064">
        <f t="shared" ref="AX13:AX14" si="19">+(AV13/AS13)</f>
        <v>0</v>
      </c>
      <c r="AY13" s="1064" t="e">
        <f t="shared" ref="AY13:AY14" si="20">+(AW13/AU13)</f>
        <v>#DIV/0!</v>
      </c>
      <c r="AZ13" s="1064">
        <f>+(AL13+AB13+AV13)/U13</f>
        <v>0.92682926829268297</v>
      </c>
      <c r="BA13" s="469" t="e">
        <f t="shared" ref="BA13:BA14" si="21">+(AM13+AC13+AW13)/W13</f>
        <v>#DIV/0!</v>
      </c>
      <c r="BB13" s="1665"/>
      <c r="BC13" s="1056">
        <v>0.25</v>
      </c>
      <c r="BD13" s="1083" t="str">
        <f>+V13</f>
        <v>Formular los proceso y procedimientos en el marco del MIPG</v>
      </c>
      <c r="BE13" s="443">
        <v>0</v>
      </c>
      <c r="BF13" s="1669">
        <f>+(38/47)*25%</f>
        <v>0.20212765957446807</v>
      </c>
      <c r="BG13" s="744">
        <v>0</v>
      </c>
      <c r="BH13" s="1056">
        <f t="shared" si="17"/>
        <v>0.80851063829787229</v>
      </c>
      <c r="BI13" s="1056" t="e">
        <f t="shared" si="18"/>
        <v>#DIV/0!</v>
      </c>
      <c r="BJ13" s="1056">
        <f>+(AL13+AB13+AV13+BF13)/U13</f>
        <v>1.128956927867151</v>
      </c>
      <c r="BK13" s="1056" t="e">
        <f>+(AM13+AC13+AW38+BG13)/W13</f>
        <v>#DIV/0!</v>
      </c>
      <c r="BL13" s="1068" t="s">
        <v>2111</v>
      </c>
      <c r="BM13" s="477">
        <f t="shared" si="4"/>
        <v>3.7073170731707319</v>
      </c>
      <c r="BN13" s="477" t="str">
        <f t="shared" si="5"/>
        <v>No Prog ni Ejec</v>
      </c>
      <c r="BO13" s="477">
        <f t="shared" si="6"/>
        <v>0</v>
      </c>
      <c r="BP13" s="477" t="str">
        <f t="shared" si="7"/>
        <v>No Prog ni Ejec</v>
      </c>
      <c r="BQ13" s="477">
        <f t="shared" si="0"/>
        <v>0</v>
      </c>
      <c r="BR13" s="477" t="str">
        <f>IF(AND(AU13=0,AW13=0),"No Prog ni Ejec",IF(AU13=0,CONCATENATE("No Prog, Ejec=  ",AW13),AW13/AU13))</f>
        <v>No Prog ni Ejec</v>
      </c>
      <c r="BS13" s="477">
        <f t="shared" si="8"/>
        <v>0.80851063829787229</v>
      </c>
      <c r="BT13" s="828" t="str">
        <f t="shared" si="9"/>
        <v>No Prog ni Ejec</v>
      </c>
    </row>
    <row r="14" spans="1:72" s="404" customFormat="1" ht="87.75" customHeight="1" x14ac:dyDescent="0.25">
      <c r="A14" s="1092">
        <v>11300</v>
      </c>
      <c r="B14" s="1060" t="s">
        <v>4</v>
      </c>
      <c r="C14" s="1068" t="s">
        <v>1209</v>
      </c>
      <c r="D14" s="1059" t="s">
        <v>157</v>
      </c>
      <c r="E14" s="1060" t="s">
        <v>256</v>
      </c>
      <c r="F14" s="1059" t="s">
        <v>158</v>
      </c>
      <c r="G14" s="1060" t="s">
        <v>127</v>
      </c>
      <c r="H14" s="1079" t="s">
        <v>123</v>
      </c>
      <c r="I14" s="1056">
        <v>1</v>
      </c>
      <c r="J14" s="1059" t="s">
        <v>294</v>
      </c>
      <c r="K14" s="1060" t="s">
        <v>128</v>
      </c>
      <c r="L14" s="443">
        <v>0</v>
      </c>
      <c r="M14" s="444">
        <v>1</v>
      </c>
      <c r="N14" s="1060" t="s">
        <v>51</v>
      </c>
      <c r="O14" s="1060" t="s">
        <v>68</v>
      </c>
      <c r="P14" s="1060" t="s">
        <v>21</v>
      </c>
      <c r="Q14" s="1060" t="s">
        <v>36</v>
      </c>
      <c r="R14" s="1060" t="s">
        <v>75</v>
      </c>
      <c r="S14" s="1060" t="s">
        <v>570</v>
      </c>
      <c r="T14" s="1060" t="s">
        <v>98</v>
      </c>
      <c r="U14" s="444">
        <v>1</v>
      </c>
      <c r="V14" s="1058" t="str">
        <f t="shared" si="10"/>
        <v>Remitir informes trimestrales de los indicadores formulados y las acciones de mejoras</v>
      </c>
      <c r="W14" s="445">
        <f t="shared" si="11"/>
        <v>0</v>
      </c>
      <c r="X14" s="1097" t="s">
        <v>117</v>
      </c>
      <c r="Y14" s="1056">
        <v>0</v>
      </c>
      <c r="Z14" s="1083" t="str">
        <f>+V14</f>
        <v>Remitir informes trimestrales de los indicadores formulados y las acciones de mejoras</v>
      </c>
      <c r="AA14" s="443">
        <v>0</v>
      </c>
      <c r="AB14" s="478">
        <v>0</v>
      </c>
      <c r="AC14" s="448">
        <v>0</v>
      </c>
      <c r="AD14" s="1064" t="e">
        <f t="shared" si="12"/>
        <v>#DIV/0!</v>
      </c>
      <c r="AE14" s="1064" t="e">
        <f>+(AC14/AA14)</f>
        <v>#DIV/0!</v>
      </c>
      <c r="AF14" s="1064">
        <f>+(AB14/U14)</f>
        <v>0</v>
      </c>
      <c r="AG14" s="1064" t="e">
        <f>+(AC14/W14)</f>
        <v>#DIV/0!</v>
      </c>
      <c r="AH14" s="527"/>
      <c r="AI14" s="1056">
        <v>0</v>
      </c>
      <c r="AJ14" s="1083" t="str">
        <f>+V14</f>
        <v>Remitir informes trimestrales de los indicadores formulados y las acciones de mejoras</v>
      </c>
      <c r="AK14" s="443">
        <v>0</v>
      </c>
      <c r="AL14" s="793">
        <v>0</v>
      </c>
      <c r="AM14" s="529">
        <v>0</v>
      </c>
      <c r="AN14" s="1064" t="e">
        <f t="shared" si="15"/>
        <v>#DIV/0!</v>
      </c>
      <c r="AO14" s="1064" t="e">
        <f t="shared" si="2"/>
        <v>#DIV/0!</v>
      </c>
      <c r="AP14" s="1064">
        <f>+(AL14+AB14)/U14</f>
        <v>0</v>
      </c>
      <c r="AQ14" s="1064" t="e">
        <f t="shared" si="16"/>
        <v>#DIV/0!</v>
      </c>
      <c r="AR14" s="527"/>
      <c r="AS14" s="1056">
        <v>0</v>
      </c>
      <c r="AT14" s="1083" t="str">
        <f t="shared" ref="AT14:AT76" si="22">+V14</f>
        <v>Remitir informes trimestrales de los indicadores formulados y las acciones de mejoras</v>
      </c>
      <c r="AU14" s="443">
        <v>0</v>
      </c>
      <c r="AV14" s="929">
        <f>+(4/4)*0%</f>
        <v>0</v>
      </c>
      <c r="AW14" s="930">
        <v>0</v>
      </c>
      <c r="AX14" s="1064" t="e">
        <f t="shared" si="19"/>
        <v>#DIV/0!</v>
      </c>
      <c r="AY14" s="1064" t="e">
        <f t="shared" si="20"/>
        <v>#DIV/0!</v>
      </c>
      <c r="AZ14" s="1064">
        <f t="shared" ref="AZ14" si="23">+(AL14+AB14+AV14)/U14</f>
        <v>0</v>
      </c>
      <c r="BA14" s="469" t="e">
        <f t="shared" si="21"/>
        <v>#DIV/0!</v>
      </c>
      <c r="BB14" s="1665" t="s">
        <v>2029</v>
      </c>
      <c r="BC14" s="1056">
        <v>1</v>
      </c>
      <c r="BD14" s="1083" t="str">
        <f t="shared" ref="BD14:BD76" si="24">+V14</f>
        <v>Remitir informes trimestrales de los indicadores formulados y las acciones de mejoras</v>
      </c>
      <c r="BE14" s="443">
        <v>0</v>
      </c>
      <c r="BF14" s="1669">
        <f>+(4/4)</f>
        <v>1</v>
      </c>
      <c r="BG14" s="744">
        <v>0</v>
      </c>
      <c r="BH14" s="1056">
        <f t="shared" si="17"/>
        <v>1</v>
      </c>
      <c r="BI14" s="1056" t="e">
        <f t="shared" si="18"/>
        <v>#DIV/0!</v>
      </c>
      <c r="BJ14" s="1056">
        <f>+(AL14+AB14+AV14+BF14)/U14</f>
        <v>1</v>
      </c>
      <c r="BK14" s="1056" t="e">
        <f>+(AM14+AC14+AW39+BG14)/W14</f>
        <v>#DIV/0!</v>
      </c>
      <c r="BL14" s="1068" t="s">
        <v>2250</v>
      </c>
      <c r="BM14" s="477" t="str">
        <f t="shared" si="4"/>
        <v>No Prog ni Ejec</v>
      </c>
      <c r="BN14" s="477" t="str">
        <f t="shared" si="5"/>
        <v>No Prog ni Ejec</v>
      </c>
      <c r="BO14" s="477" t="str">
        <f t="shared" si="6"/>
        <v>No Prog ni Ejec</v>
      </c>
      <c r="BP14" s="477" t="str">
        <f t="shared" si="7"/>
        <v>No Prog ni Ejec</v>
      </c>
      <c r="BQ14" s="477" t="str">
        <f t="shared" si="0"/>
        <v>No Prog ni Ejec</v>
      </c>
      <c r="BR14" s="477" t="str">
        <f>IF(AND(AU14=0,AW14=0),"No Prog ni Ejec",IF(AU14=0,CONCATENATE("No Prog, Ejec=  ",AW14),AW14/AU14))</f>
        <v>No Prog ni Ejec</v>
      </c>
      <c r="BS14" s="477">
        <f t="shared" si="8"/>
        <v>1</v>
      </c>
      <c r="BT14" s="828" t="str">
        <f t="shared" si="9"/>
        <v>No Prog ni Ejec</v>
      </c>
    </row>
    <row r="15" spans="1:72" s="404" customFormat="1" ht="49.5" customHeight="1" x14ac:dyDescent="0.25">
      <c r="A15" s="1092">
        <v>11300</v>
      </c>
      <c r="B15" s="1060" t="s">
        <v>4</v>
      </c>
      <c r="C15" s="1068" t="s">
        <v>1209</v>
      </c>
      <c r="D15" s="1059" t="s">
        <v>160</v>
      </c>
      <c r="E15" s="1060" t="s">
        <v>145</v>
      </c>
      <c r="F15" s="1059" t="s">
        <v>161</v>
      </c>
      <c r="G15" s="1060" t="s">
        <v>162</v>
      </c>
      <c r="H15" s="1079" t="s">
        <v>123</v>
      </c>
      <c r="I15" s="1056">
        <v>1</v>
      </c>
      <c r="J15" s="1059" t="s">
        <v>295</v>
      </c>
      <c r="K15" s="1060" t="s">
        <v>165</v>
      </c>
      <c r="L15" s="528">
        <f>74955308000-1388998244</f>
        <v>73566309756</v>
      </c>
      <c r="M15" s="466">
        <v>1.7542864196212072E-3</v>
      </c>
      <c r="N15" s="1060" t="s">
        <v>46</v>
      </c>
      <c r="O15" s="1060" t="s">
        <v>68</v>
      </c>
      <c r="P15" s="1060" t="s">
        <v>21</v>
      </c>
      <c r="Q15" s="1060" t="s">
        <v>36</v>
      </c>
      <c r="R15" s="1060" t="s">
        <v>213</v>
      </c>
      <c r="S15" s="1060" t="s">
        <v>182</v>
      </c>
      <c r="T15" s="1060" t="s">
        <v>99</v>
      </c>
      <c r="U15" s="444">
        <v>1</v>
      </c>
      <c r="V15" s="1058" t="str">
        <f t="shared" si="10"/>
        <v>Transferencias Entidades de Administración Publica Central</v>
      </c>
      <c r="W15" s="794">
        <f>+L15</f>
        <v>73566309756</v>
      </c>
      <c r="X15" s="1097" t="s">
        <v>116</v>
      </c>
      <c r="Y15" s="1056">
        <v>0.25</v>
      </c>
      <c r="Z15" s="1083" t="str">
        <f t="shared" ref="Z15:Z75" si="25">+V15</f>
        <v>Transferencias Entidades de Administración Publica Central</v>
      </c>
      <c r="AA15" s="443">
        <v>18738827000</v>
      </c>
      <c r="AB15" s="481">
        <f>+(AC15/AA15)*Y15</f>
        <v>0.24536724522564832</v>
      </c>
      <c r="AC15" s="443">
        <v>18391577439</v>
      </c>
      <c r="AD15" s="1064">
        <f t="shared" si="12"/>
        <v>0.98146898090259327</v>
      </c>
      <c r="AE15" s="1064">
        <f t="shared" si="13"/>
        <v>0.98146898090259327</v>
      </c>
      <c r="AF15" s="1064">
        <f t="shared" si="14"/>
        <v>0.24536724522564832</v>
      </c>
      <c r="AG15" s="1064">
        <f t="shared" si="1"/>
        <v>0.25</v>
      </c>
      <c r="AH15" s="1060"/>
      <c r="AI15" s="1075">
        <v>0.25</v>
      </c>
      <c r="AJ15" s="1083" t="str">
        <f t="shared" ref="AJ15:AJ77" si="26">+V15</f>
        <v>Transferencias Entidades de Administración Publica Central</v>
      </c>
      <c r="AK15" s="529">
        <v>18738827000</v>
      </c>
      <c r="AL15" s="793">
        <f>+(AM15/AK15)*AI15</f>
        <v>0.24536724522564832</v>
      </c>
      <c r="AM15" s="529">
        <v>18391577439</v>
      </c>
      <c r="AN15" s="1064">
        <f t="shared" si="15"/>
        <v>0.98146898090259327</v>
      </c>
      <c r="AO15" s="1064">
        <f t="shared" si="2"/>
        <v>0.98146898090259327</v>
      </c>
      <c r="AP15" s="1064">
        <f t="shared" si="3"/>
        <v>0.49073449045129663</v>
      </c>
      <c r="AQ15" s="1064">
        <f t="shared" si="16"/>
        <v>0.5</v>
      </c>
      <c r="AR15" s="804"/>
      <c r="AS15" s="1075">
        <v>0.25</v>
      </c>
      <c r="AT15" s="1083" t="str">
        <f t="shared" si="22"/>
        <v>Transferencias Entidades de Administración Publica Central</v>
      </c>
      <c r="AU15" s="529">
        <v>18738827000</v>
      </c>
      <c r="AV15" s="933">
        <f>+(AW15/AU15)*AS15</f>
        <v>0.24536724522564832</v>
      </c>
      <c r="AW15" s="930">
        <v>18391577439</v>
      </c>
      <c r="AX15" s="1064">
        <f t="shared" ref="AX15:AX74" si="27">+(AV15/AS15)</f>
        <v>0.98146898090259327</v>
      </c>
      <c r="AY15" s="1064">
        <f t="shared" ref="AY15:AY74" si="28">+(AW15/AU15)</f>
        <v>0.98146898090259327</v>
      </c>
      <c r="AZ15" s="1064">
        <f t="shared" ref="AZ15:AZ74" si="29">+(AL15+AB15+AV15)/U15</f>
        <v>0.73610173567694492</v>
      </c>
      <c r="BA15" s="1064">
        <f t="shared" ref="BA15:BA74" si="30">+(AM15+AC15+AW15)/W15</f>
        <v>0.75</v>
      </c>
      <c r="BB15" s="1670"/>
      <c r="BC15" s="1075">
        <v>0.25</v>
      </c>
      <c r="BD15" s="1083" t="str">
        <f t="shared" si="24"/>
        <v>Transferencias Entidades de Administración Publica Central</v>
      </c>
      <c r="BE15" s="528">
        <f>18738827000-1388998244</f>
        <v>17349828756</v>
      </c>
      <c r="BF15" s="937">
        <f>+(BG15/BE15)*BC15</f>
        <v>0.26501093609698795</v>
      </c>
      <c r="BG15" s="930">
        <v>18391577439</v>
      </c>
      <c r="BH15" s="1056">
        <f t="shared" si="17"/>
        <v>1.0600437443879518</v>
      </c>
      <c r="BI15" s="1056">
        <f t="shared" si="18"/>
        <v>1.0600437443879518</v>
      </c>
      <c r="BJ15" s="1056">
        <f t="shared" ref="BJ15:BJ75" si="31">+(AL15+AB15+AV15+BF15)/U15</f>
        <v>1.0011126717739329</v>
      </c>
      <c r="BK15" s="1056">
        <f t="shared" ref="BK15:BK75" si="32">+(AM15+AC15+AW15+BG15)/W15</f>
        <v>1</v>
      </c>
      <c r="BL15" s="1665" t="s">
        <v>2170</v>
      </c>
      <c r="BM15" s="477">
        <f t="shared" si="4"/>
        <v>0.98146898090259327</v>
      </c>
      <c r="BN15" s="477">
        <f t="shared" si="5"/>
        <v>0.98146898090259327</v>
      </c>
      <c r="BO15" s="477">
        <f t="shared" si="6"/>
        <v>0.98146898090259327</v>
      </c>
      <c r="BP15" s="477">
        <f t="shared" si="7"/>
        <v>0.98146898090259327</v>
      </c>
      <c r="BQ15" s="477">
        <f t="shared" ref="BQ15:BQ74" si="33">IF(AND(AS15=0,AV15=0),"No Prog ni Ejec",IF(AS15=0,CONCATENATE("No Prog, Ejec=  ",AV15),AV15/AS15))</f>
        <v>0.98146898090259327</v>
      </c>
      <c r="BR15" s="477">
        <f t="shared" ref="BR15:BR74" si="34">IF(AND(AU15=0,AW15=0),"No Prog ni Ejec",IF(AU15=0,CONCATENATE("No Prog, Ejec=  ",AW15),AW15/AU15))</f>
        <v>0.98146898090259327</v>
      </c>
      <c r="BS15" s="477">
        <f t="shared" si="8"/>
        <v>1.0600437443879518</v>
      </c>
      <c r="BT15" s="828">
        <f t="shared" si="9"/>
        <v>1.0600437443879518</v>
      </c>
    </row>
    <row r="16" spans="1:72" s="404" customFormat="1" ht="51" x14ac:dyDescent="0.25">
      <c r="A16" s="1092">
        <v>11300</v>
      </c>
      <c r="B16" s="1060" t="s">
        <v>4</v>
      </c>
      <c r="C16" s="1068" t="s">
        <v>1209</v>
      </c>
      <c r="D16" s="1059" t="s">
        <v>160</v>
      </c>
      <c r="E16" s="1060" t="s">
        <v>145</v>
      </c>
      <c r="F16" s="1059" t="s">
        <v>161</v>
      </c>
      <c r="G16" s="1060" t="s">
        <v>162</v>
      </c>
      <c r="H16" s="1079" t="s">
        <v>123</v>
      </c>
      <c r="I16" s="1056">
        <v>1</v>
      </c>
      <c r="J16" s="1059" t="s">
        <v>296</v>
      </c>
      <c r="K16" s="1060" t="s">
        <v>166</v>
      </c>
      <c r="L16" s="528">
        <f>122333530698-21651985187</f>
        <v>100681545511</v>
      </c>
      <c r="M16" s="466">
        <v>2.0898994700771331E-3</v>
      </c>
      <c r="N16" s="1060" t="s">
        <v>46</v>
      </c>
      <c r="O16" s="1060" t="s">
        <v>68</v>
      </c>
      <c r="P16" s="1060" t="s">
        <v>21</v>
      </c>
      <c r="Q16" s="1060" t="s">
        <v>36</v>
      </c>
      <c r="R16" s="1060" t="s">
        <v>213</v>
      </c>
      <c r="S16" s="1060" t="s">
        <v>182</v>
      </c>
      <c r="T16" s="1060" t="s">
        <v>99</v>
      </c>
      <c r="U16" s="444">
        <v>1</v>
      </c>
      <c r="V16" s="1058" t="str">
        <f t="shared" si="10"/>
        <v>Empresas Publicas nacionales No Financieras - ADRES</v>
      </c>
      <c r="W16" s="794">
        <f t="shared" ref="W16:W36" si="35">+L16</f>
        <v>100681545511</v>
      </c>
      <c r="X16" s="1097" t="s">
        <v>116</v>
      </c>
      <c r="Y16" s="1056">
        <v>0.25</v>
      </c>
      <c r="Z16" s="1083" t="str">
        <f>+V16</f>
        <v>Empresas Publicas nacionales No Financieras - ADRES</v>
      </c>
      <c r="AA16" s="443">
        <v>22323757500</v>
      </c>
      <c r="AB16" s="481">
        <f>+(AC16/AA16)*Y16</f>
        <v>0.17572054186308017</v>
      </c>
      <c r="AC16" s="443">
        <v>15690971057.280001</v>
      </c>
      <c r="AD16" s="1064">
        <f t="shared" si="12"/>
        <v>0.70288216745232068</v>
      </c>
      <c r="AE16" s="1064">
        <f t="shared" si="13"/>
        <v>0.70288216745232068</v>
      </c>
      <c r="AF16" s="1064">
        <f t="shared" si="14"/>
        <v>0.17572054186308017</v>
      </c>
      <c r="AG16" s="1064">
        <f t="shared" si="1"/>
        <v>0.15584753866899748</v>
      </c>
      <c r="AH16" s="1060" t="s">
        <v>979</v>
      </c>
      <c r="AI16" s="1075">
        <v>0.25</v>
      </c>
      <c r="AJ16" s="1083" t="str">
        <f t="shared" si="26"/>
        <v>Empresas Publicas nacionales No Financieras - ADRES</v>
      </c>
      <c r="AK16" s="529">
        <v>22323757500</v>
      </c>
      <c r="AL16" s="793">
        <f t="shared" ref="AL16:AL36" si="36">+(AM16/AK16)*AI16</f>
        <v>0.17339561109952031</v>
      </c>
      <c r="AM16" s="529">
        <v>15483366295</v>
      </c>
      <c r="AN16" s="1064">
        <f t="shared" si="15"/>
        <v>0.69358244439808125</v>
      </c>
      <c r="AO16" s="1064">
        <f t="shared" si="2"/>
        <v>0.69358244439808125</v>
      </c>
      <c r="AP16" s="1064">
        <f t="shared" si="3"/>
        <v>0.34911615296260046</v>
      </c>
      <c r="AQ16" s="1064">
        <f t="shared" si="16"/>
        <v>0.30963308314406074</v>
      </c>
      <c r="AR16" s="804"/>
      <c r="AS16" s="1075">
        <v>0.25</v>
      </c>
      <c r="AT16" s="1083" t="str">
        <f t="shared" si="22"/>
        <v>Empresas Publicas nacionales No Financieras - ADRES</v>
      </c>
      <c r="AU16" s="529">
        <v>22323757500</v>
      </c>
      <c r="AV16" s="934">
        <f t="shared" ref="AV16:AV34" si="37">+(AW16/AU16)*AS16</f>
        <v>0.22112019730549393</v>
      </c>
      <c r="AW16" s="930">
        <v>19744934652</v>
      </c>
      <c r="AX16" s="1064">
        <f t="shared" si="27"/>
        <v>0.88448078922197571</v>
      </c>
      <c r="AY16" s="1064">
        <f t="shared" si="28"/>
        <v>0.88448078922197571</v>
      </c>
      <c r="AZ16" s="1064">
        <f t="shared" si="29"/>
        <v>0.57023635026809438</v>
      </c>
      <c r="BA16" s="1064">
        <f t="shared" si="30"/>
        <v>0.50574583202754664</v>
      </c>
      <c r="BB16" s="527"/>
      <c r="BC16" s="1075">
        <v>0.25</v>
      </c>
      <c r="BD16" s="1083" t="str">
        <f t="shared" si="24"/>
        <v>Empresas Publicas nacionales No Financieras - ADRES</v>
      </c>
      <c r="BE16" s="528">
        <f>22323757500-21651985187</f>
        <v>671772313</v>
      </c>
      <c r="BF16" s="937">
        <f t="shared" ref="BF16:BF35" si="38">+(BG16/BE16)*BC16</f>
        <v>4.6808224120722288</v>
      </c>
      <c r="BG16" s="930">
        <v>12577787594</v>
      </c>
      <c r="BH16" s="1056">
        <f t="shared" si="17"/>
        <v>18.723289648288915</v>
      </c>
      <c r="BI16" s="1056">
        <f t="shared" si="18"/>
        <v>18.723289648288915</v>
      </c>
      <c r="BJ16" s="1056">
        <f t="shared" si="31"/>
        <v>5.2510587623403229</v>
      </c>
      <c r="BK16" s="1056">
        <f t="shared" si="32"/>
        <v>0.63067227738714637</v>
      </c>
      <c r="BL16" s="1665" t="s">
        <v>2171</v>
      </c>
      <c r="BM16" s="477">
        <f t="shared" si="4"/>
        <v>0.70288216745232068</v>
      </c>
      <c r="BN16" s="477">
        <f t="shared" si="5"/>
        <v>0.70288216745232068</v>
      </c>
      <c r="BO16" s="477">
        <f t="shared" si="6"/>
        <v>0.69358244439808125</v>
      </c>
      <c r="BP16" s="477">
        <f t="shared" si="7"/>
        <v>0.69358244439808125</v>
      </c>
      <c r="BQ16" s="477">
        <f t="shared" si="33"/>
        <v>0.88448078922197571</v>
      </c>
      <c r="BR16" s="477">
        <f t="shared" si="34"/>
        <v>0.88448078922197571</v>
      </c>
      <c r="BS16" s="477">
        <f t="shared" si="8"/>
        <v>18.723289648288915</v>
      </c>
      <c r="BT16" s="828">
        <f t="shared" si="9"/>
        <v>18.723289648288915</v>
      </c>
    </row>
    <row r="17" spans="1:72" s="404" customFormat="1" ht="51" x14ac:dyDescent="0.25">
      <c r="A17" s="1092">
        <v>11300</v>
      </c>
      <c r="B17" s="1060" t="s">
        <v>4</v>
      </c>
      <c r="C17" s="1068" t="s">
        <v>1209</v>
      </c>
      <c r="D17" s="1059" t="s">
        <v>160</v>
      </c>
      <c r="E17" s="1060" t="s">
        <v>145</v>
      </c>
      <c r="F17" s="1059" t="s">
        <v>161</v>
      </c>
      <c r="G17" s="1060" t="s">
        <v>162</v>
      </c>
      <c r="H17" s="1079" t="s">
        <v>123</v>
      </c>
      <c r="I17" s="1056">
        <v>1</v>
      </c>
      <c r="J17" s="1059" t="s">
        <v>297</v>
      </c>
      <c r="K17" s="1060" t="s">
        <v>167</v>
      </c>
      <c r="L17" s="528">
        <f>6000000000+2000000000</f>
        <v>8000000000</v>
      </c>
      <c r="M17" s="466">
        <v>7.0213296420096381E-5</v>
      </c>
      <c r="N17" s="1060" t="s">
        <v>46</v>
      </c>
      <c r="O17" s="1060" t="s">
        <v>68</v>
      </c>
      <c r="P17" s="1060" t="s">
        <v>21</v>
      </c>
      <c r="Q17" s="1060" t="s">
        <v>36</v>
      </c>
      <c r="R17" s="1060" t="s">
        <v>213</v>
      </c>
      <c r="S17" s="1060" t="s">
        <v>182</v>
      </c>
      <c r="T17" s="1060" t="s">
        <v>99</v>
      </c>
      <c r="U17" s="444">
        <v>1</v>
      </c>
      <c r="V17" s="1058" t="str">
        <f t="shared" si="10"/>
        <v>Sentencias y Conciliaciones URA</v>
      </c>
      <c r="W17" s="794">
        <f t="shared" si="35"/>
        <v>8000000000</v>
      </c>
      <c r="X17" s="1097" t="s">
        <v>116</v>
      </c>
      <c r="Y17" s="1056">
        <v>0.25</v>
      </c>
      <c r="Z17" s="1083" t="str">
        <f t="shared" si="25"/>
        <v>Sentencias y Conciliaciones URA</v>
      </c>
      <c r="AA17" s="443">
        <v>750000000</v>
      </c>
      <c r="AB17" s="481">
        <f>+(AC17/AA17)*Y17</f>
        <v>0.48054275674666669</v>
      </c>
      <c r="AC17" s="443">
        <v>1441628270.24</v>
      </c>
      <c r="AD17" s="1064">
        <f t="shared" si="12"/>
        <v>1.9221710269866668</v>
      </c>
      <c r="AE17" s="1064">
        <f t="shared" si="13"/>
        <v>1.9221710269866668</v>
      </c>
      <c r="AF17" s="1064">
        <f t="shared" si="14"/>
        <v>0.48054275674666669</v>
      </c>
      <c r="AG17" s="1064">
        <f t="shared" si="1"/>
        <v>0.18020353378000001</v>
      </c>
      <c r="AH17" s="1060"/>
      <c r="AI17" s="1056">
        <f>+AK17/W17</f>
        <v>0.21875</v>
      </c>
      <c r="AJ17" s="1083" t="str">
        <f t="shared" si="26"/>
        <v>Sentencias y Conciliaciones URA</v>
      </c>
      <c r="AK17" s="443">
        <v>1750000000</v>
      </c>
      <c r="AL17" s="793">
        <f t="shared" si="36"/>
        <v>0.12648005387875</v>
      </c>
      <c r="AM17" s="529">
        <v>1011840431.03</v>
      </c>
      <c r="AN17" s="1064">
        <f t="shared" si="15"/>
        <v>0.57819453201714288</v>
      </c>
      <c r="AO17" s="1064">
        <f t="shared" si="2"/>
        <v>0.57819453201714288</v>
      </c>
      <c r="AP17" s="1064">
        <f t="shared" si="3"/>
        <v>0.60702281062541674</v>
      </c>
      <c r="AQ17" s="1064">
        <f t="shared" si="16"/>
        <v>0.30668358765874998</v>
      </c>
      <c r="AR17" s="1068" t="s">
        <v>1082</v>
      </c>
      <c r="AS17" s="1056">
        <f>+AU17/W17</f>
        <v>1.21875</v>
      </c>
      <c r="AT17" s="1083" t="str">
        <f t="shared" si="22"/>
        <v>Sentencias y Conciliaciones URA</v>
      </c>
      <c r="AU17" s="443">
        <f>1750000000+8000000000</f>
        <v>9750000000</v>
      </c>
      <c r="AV17" s="934">
        <f t="shared" si="37"/>
        <v>0.15833042775</v>
      </c>
      <c r="AW17" s="930">
        <v>1266643422</v>
      </c>
      <c r="AX17" s="1064">
        <f t="shared" si="27"/>
        <v>0.12991214584615385</v>
      </c>
      <c r="AY17" s="1064">
        <f t="shared" si="28"/>
        <v>0.12991214584615385</v>
      </c>
      <c r="AZ17" s="1064">
        <f t="shared" si="29"/>
        <v>0.76535323837541669</v>
      </c>
      <c r="BA17" s="1064">
        <f t="shared" si="30"/>
        <v>0.46501401540874998</v>
      </c>
      <c r="BB17" s="527"/>
      <c r="BC17" s="1056">
        <f>+BE17/W17</f>
        <v>0.21875</v>
      </c>
      <c r="BD17" s="1083" t="str">
        <f t="shared" si="24"/>
        <v>Sentencias y Conciliaciones URA</v>
      </c>
      <c r="BE17" s="528">
        <v>1750000000</v>
      </c>
      <c r="BF17" s="937">
        <f t="shared" si="38"/>
        <v>0.49560001337499998</v>
      </c>
      <c r="BG17" s="930">
        <v>3964800107</v>
      </c>
      <c r="BH17" s="1056">
        <f t="shared" si="17"/>
        <v>2.2656000611428571</v>
      </c>
      <c r="BI17" s="1056">
        <f t="shared" si="18"/>
        <v>2.2656000611428571</v>
      </c>
      <c r="BJ17" s="1056">
        <f t="shared" si="31"/>
        <v>1.2609532517504167</v>
      </c>
      <c r="BK17" s="1056">
        <f t="shared" si="32"/>
        <v>0.96061402878375002</v>
      </c>
      <c r="BL17" s="1665" t="s">
        <v>2172</v>
      </c>
      <c r="BM17" s="477">
        <f t="shared" si="4"/>
        <v>1.9221710269866668</v>
      </c>
      <c r="BN17" s="477">
        <f t="shared" si="5"/>
        <v>1.9221710269866668</v>
      </c>
      <c r="BO17" s="477">
        <f t="shared" si="6"/>
        <v>0.57819453201714288</v>
      </c>
      <c r="BP17" s="477">
        <f t="shared" si="7"/>
        <v>0.57819453201714288</v>
      </c>
      <c r="BQ17" s="477">
        <f t="shared" si="33"/>
        <v>0.12991214584615385</v>
      </c>
      <c r="BR17" s="477">
        <f t="shared" si="34"/>
        <v>0.12991214584615385</v>
      </c>
      <c r="BS17" s="477">
        <f t="shared" si="8"/>
        <v>2.2656000611428571</v>
      </c>
      <c r="BT17" s="828">
        <f t="shared" si="9"/>
        <v>2.2656000611428571</v>
      </c>
    </row>
    <row r="18" spans="1:72" s="404" customFormat="1" ht="51" x14ac:dyDescent="0.25">
      <c r="A18" s="1092">
        <v>11300</v>
      </c>
      <c r="B18" s="1060" t="s">
        <v>4</v>
      </c>
      <c r="C18" s="1068" t="s">
        <v>1209</v>
      </c>
      <c r="D18" s="1059" t="s">
        <v>160</v>
      </c>
      <c r="E18" s="1060" t="s">
        <v>145</v>
      </c>
      <c r="F18" s="1059" t="s">
        <v>161</v>
      </c>
      <c r="G18" s="1060" t="s">
        <v>162</v>
      </c>
      <c r="H18" s="1079" t="s">
        <v>123</v>
      </c>
      <c r="I18" s="1056">
        <v>1</v>
      </c>
      <c r="J18" s="1059" t="s">
        <v>298</v>
      </c>
      <c r="K18" s="1060" t="s">
        <v>163</v>
      </c>
      <c r="L18" s="528">
        <f>11895487272837-200829603639</f>
        <v>11694657669198</v>
      </c>
      <c r="M18" s="466">
        <v>0.28123295664530629</v>
      </c>
      <c r="N18" s="1060" t="s">
        <v>46</v>
      </c>
      <c r="O18" s="1060" t="s">
        <v>68</v>
      </c>
      <c r="P18" s="1060" t="s">
        <v>21</v>
      </c>
      <c r="Q18" s="1060" t="s">
        <v>36</v>
      </c>
      <c r="R18" s="1060" t="s">
        <v>213</v>
      </c>
      <c r="S18" s="1060" t="s">
        <v>182</v>
      </c>
      <c r="T18" s="1060" t="s">
        <v>99</v>
      </c>
      <c r="U18" s="444">
        <v>1</v>
      </c>
      <c r="V18" s="1058" t="str">
        <f t="shared" si="10"/>
        <v>Financiación UPC Régimen Contributivo SSF</v>
      </c>
      <c r="W18" s="794">
        <f t="shared" si="35"/>
        <v>11694657669198</v>
      </c>
      <c r="X18" s="1097" t="s">
        <v>116</v>
      </c>
      <c r="Y18" s="1056">
        <f>+AA18/W18</f>
        <v>0.25687426675705449</v>
      </c>
      <c r="Z18" s="1083" t="str">
        <f t="shared" si="25"/>
        <v>Financiación UPC Régimen Contributivo SSF</v>
      </c>
      <c r="AA18" s="443">
        <v>3004056613750</v>
      </c>
      <c r="AB18" s="481">
        <f>+(AC18/AA18)*Y18</f>
        <v>0.22595685843040308</v>
      </c>
      <c r="AC18" s="443">
        <v>2642488107351</v>
      </c>
      <c r="AD18" s="1064">
        <f t="shared" si="12"/>
        <v>0.87963991599091418</v>
      </c>
      <c r="AE18" s="1064">
        <f t="shared" si="13"/>
        <v>0.87963991599091418</v>
      </c>
      <c r="AF18" s="1064">
        <f t="shared" si="14"/>
        <v>0.22595685843040308</v>
      </c>
      <c r="AG18" s="1064">
        <f t="shared" si="1"/>
        <v>0.22595685843040306</v>
      </c>
      <c r="AH18" s="1060"/>
      <c r="AI18" s="1075">
        <f>+AK18/W18</f>
        <v>0.2534882140389576</v>
      </c>
      <c r="AJ18" s="1083" t="str">
        <f t="shared" si="26"/>
        <v>Financiación UPC Régimen Contributivo SSF</v>
      </c>
      <c r="AK18" s="443">
        <v>2964457886362</v>
      </c>
      <c r="AL18" s="793">
        <f t="shared" si="36"/>
        <v>0.25350928626475255</v>
      </c>
      <c r="AM18" s="529">
        <v>2964704318829</v>
      </c>
      <c r="AN18" s="1064">
        <f t="shared" si="15"/>
        <v>1.0000831290159775</v>
      </c>
      <c r="AO18" s="1064">
        <f t="shared" si="2"/>
        <v>1.0000831290159775</v>
      </c>
      <c r="AP18" s="1064">
        <f t="shared" si="3"/>
        <v>0.47946614469515564</v>
      </c>
      <c r="AQ18" s="1064">
        <f t="shared" si="16"/>
        <v>0.47946614469515564</v>
      </c>
      <c r="AR18" s="1068" t="s">
        <v>1080</v>
      </c>
      <c r="AS18" s="1002">
        <f>+AU18/W18</f>
        <v>0.26885330996987794</v>
      </c>
      <c r="AT18" s="1083" t="str">
        <f t="shared" si="22"/>
        <v>Financiación UPC Régimen Contributivo SSF</v>
      </c>
      <c r="AU18" s="528">
        <v>3144147423328.5</v>
      </c>
      <c r="AV18" s="934">
        <f t="shared" si="37"/>
        <v>0.24659019719606429</v>
      </c>
      <c r="AW18" s="930">
        <v>2883787940788</v>
      </c>
      <c r="AX18" s="1064">
        <f t="shared" si="27"/>
        <v>0.91719234263357963</v>
      </c>
      <c r="AY18" s="1064">
        <f t="shared" si="28"/>
        <v>0.91719234263357963</v>
      </c>
      <c r="AZ18" s="1064">
        <f t="shared" si="29"/>
        <v>0.72605634189121993</v>
      </c>
      <c r="BA18" s="1064">
        <f t="shared" si="30"/>
        <v>0.72605634189121993</v>
      </c>
      <c r="BB18" s="1068" t="s">
        <v>2010</v>
      </c>
      <c r="BC18" s="1002">
        <f>+BE18/W18</f>
        <v>0.25168054533496642</v>
      </c>
      <c r="BD18" s="1083" t="str">
        <f t="shared" si="24"/>
        <v>Financiación UPC Régimen Contributivo SSF</v>
      </c>
      <c r="BE18" s="528">
        <f>3144147423328.5-200829603639</f>
        <v>2943317819689.5</v>
      </c>
      <c r="BF18" s="937">
        <f t="shared" si="38"/>
        <v>0.24835361696869401</v>
      </c>
      <c r="BG18" s="930">
        <v>2904410531356</v>
      </c>
      <c r="BH18" s="1056">
        <f t="shared" si="17"/>
        <v>0.98678114606814549</v>
      </c>
      <c r="BI18" s="1056">
        <f t="shared" si="18"/>
        <v>0.98678114606814549</v>
      </c>
      <c r="BJ18" s="1056">
        <f t="shared" si="31"/>
        <v>0.97440995885991399</v>
      </c>
      <c r="BK18" s="1056">
        <f t="shared" si="32"/>
        <v>0.97440995885991388</v>
      </c>
      <c r="BL18" s="1665" t="s">
        <v>2173</v>
      </c>
      <c r="BM18" s="477">
        <f t="shared" si="4"/>
        <v>0.87963991599091418</v>
      </c>
      <c r="BN18" s="477">
        <f t="shared" si="5"/>
        <v>0.87963991599091418</v>
      </c>
      <c r="BO18" s="477">
        <f t="shared" si="6"/>
        <v>1.0000831290159775</v>
      </c>
      <c r="BP18" s="477">
        <f t="shared" si="7"/>
        <v>1.0000831290159775</v>
      </c>
      <c r="BQ18" s="477">
        <f t="shared" si="33"/>
        <v>0.91719234263357963</v>
      </c>
      <c r="BR18" s="477">
        <f t="shared" si="34"/>
        <v>0.91719234263357963</v>
      </c>
      <c r="BS18" s="477">
        <f t="shared" si="8"/>
        <v>0.98678114606814549</v>
      </c>
      <c r="BT18" s="828">
        <f t="shared" si="9"/>
        <v>0.98678114606814549</v>
      </c>
    </row>
    <row r="19" spans="1:72" s="404" customFormat="1" ht="51" x14ac:dyDescent="0.25">
      <c r="A19" s="1092">
        <v>11300</v>
      </c>
      <c r="B19" s="1060" t="s">
        <v>4</v>
      </c>
      <c r="C19" s="1068" t="s">
        <v>1209</v>
      </c>
      <c r="D19" s="1059" t="s">
        <v>160</v>
      </c>
      <c r="E19" s="1060" t="s">
        <v>145</v>
      </c>
      <c r="F19" s="1059" t="s">
        <v>161</v>
      </c>
      <c r="G19" s="1060" t="s">
        <v>162</v>
      </c>
      <c r="H19" s="1079" t="s">
        <v>123</v>
      </c>
      <c r="I19" s="1056">
        <v>1</v>
      </c>
      <c r="J19" s="1059" t="s">
        <v>299</v>
      </c>
      <c r="K19" s="1060" t="s">
        <v>164</v>
      </c>
      <c r="L19" s="528">
        <f>7784554371500+1702334022587</f>
        <v>9486888394087</v>
      </c>
      <c r="M19" s="466">
        <v>0.2116420563955087</v>
      </c>
      <c r="N19" s="1060" t="s">
        <v>46</v>
      </c>
      <c r="O19" s="1060" t="s">
        <v>68</v>
      </c>
      <c r="P19" s="1060" t="s">
        <v>21</v>
      </c>
      <c r="Q19" s="1060" t="s">
        <v>36</v>
      </c>
      <c r="R19" s="1060" t="s">
        <v>213</v>
      </c>
      <c r="S19" s="1060" t="s">
        <v>182</v>
      </c>
      <c r="T19" s="1060" t="s">
        <v>99</v>
      </c>
      <c r="U19" s="444">
        <v>1</v>
      </c>
      <c r="V19" s="1058" t="str">
        <f t="shared" si="10"/>
        <v>Financiación UPC Régimen Contributivo CSF</v>
      </c>
      <c r="W19" s="794">
        <f t="shared" si="35"/>
        <v>9486888394087</v>
      </c>
      <c r="X19" s="1097" t="s">
        <v>116</v>
      </c>
      <c r="Y19" s="1056">
        <v>0.25</v>
      </c>
      <c r="Z19" s="1083" t="str">
        <f t="shared" si="25"/>
        <v>Financiación UPC Régimen Contributivo CSF</v>
      </c>
      <c r="AA19" s="443">
        <v>2260704886250</v>
      </c>
      <c r="AB19" s="481">
        <f t="shared" ref="AB19:AB35" si="39">+(AC19/AA19)*Y19</f>
        <v>0.25406609209837994</v>
      </c>
      <c r="AC19" s="443">
        <v>2297473823349</v>
      </c>
      <c r="AD19" s="1064">
        <f t="shared" si="12"/>
        <v>1.0162643683935197</v>
      </c>
      <c r="AE19" s="1064">
        <f t="shared" si="13"/>
        <v>1.0162643683935197</v>
      </c>
      <c r="AF19" s="1064">
        <f t="shared" si="14"/>
        <v>0.25406609209837994</v>
      </c>
      <c r="AG19" s="1064">
        <f t="shared" si="1"/>
        <v>0.2421735903187153</v>
      </c>
      <c r="AH19" s="1060" t="s">
        <v>979</v>
      </c>
      <c r="AI19" s="1075">
        <v>0.25</v>
      </c>
      <c r="AJ19" s="1083" t="str">
        <f t="shared" si="26"/>
        <v>Financiación UPC Régimen Contributivo CSF</v>
      </c>
      <c r="AK19" s="529">
        <v>2403860660774</v>
      </c>
      <c r="AL19" s="793">
        <f>+(AM19/AK19)*AI19</f>
        <v>0.25</v>
      </c>
      <c r="AM19" s="529">
        <v>2403860660774</v>
      </c>
      <c r="AN19" s="1064">
        <f t="shared" si="15"/>
        <v>1</v>
      </c>
      <c r="AO19" s="1064">
        <f t="shared" si="2"/>
        <v>1</v>
      </c>
      <c r="AP19" s="1064">
        <f t="shared" si="3"/>
        <v>0.50406609209837994</v>
      </c>
      <c r="AQ19" s="1064">
        <f t="shared" si="16"/>
        <v>0.49556127244558434</v>
      </c>
      <c r="AR19" s="1068" t="s">
        <v>1081</v>
      </c>
      <c r="AS19" s="1075">
        <v>0.25</v>
      </c>
      <c r="AT19" s="1083" t="str">
        <f t="shared" si="22"/>
        <v>Financiación UPC Régimen Contributivo CSF</v>
      </c>
      <c r="AU19" s="528">
        <v>1541609943688.5</v>
      </c>
      <c r="AV19" s="934">
        <f>+(AW19/AU19)*AS19</f>
        <v>0.38180255869926555</v>
      </c>
      <c r="AW19" s="930">
        <v>2354362484066</v>
      </c>
      <c r="AX19" s="1064">
        <f>+(AV19/AS19)</f>
        <v>1.5272102347970622</v>
      </c>
      <c r="AY19" s="1064">
        <f t="shared" si="28"/>
        <v>1.5272102347970622</v>
      </c>
      <c r="AZ19" s="1064">
        <f>+(AL19+AB19+AV19)/U19</f>
        <v>0.88586865079764543</v>
      </c>
      <c r="BA19" s="1064">
        <f>+(AM19+AC19+AW19)/W19</f>
        <v>0.743731419101197</v>
      </c>
      <c r="BB19" s="1068" t="s">
        <v>2010</v>
      </c>
      <c r="BC19" s="1075">
        <v>0.25</v>
      </c>
      <c r="BD19" s="1083" t="str">
        <f t="shared" si="24"/>
        <v>Financiación UPC Régimen Contributivo CSF</v>
      </c>
      <c r="BE19" s="528">
        <f>1541609943688.5+1702334022587</f>
        <v>3243943966275.5</v>
      </c>
      <c r="BF19" s="937">
        <f t="shared" si="38"/>
        <v>0.18492993401964386</v>
      </c>
      <c r="BG19" s="930">
        <v>2399609374587</v>
      </c>
      <c r="BH19" s="1056">
        <f t="shared" si="17"/>
        <v>0.73971973607857544</v>
      </c>
      <c r="BI19" s="1056">
        <f t="shared" si="18"/>
        <v>0.73971973607857544</v>
      </c>
      <c r="BJ19" s="1056">
        <f t="shared" si="31"/>
        <v>1.0707985848172892</v>
      </c>
      <c r="BK19" s="1056">
        <f t="shared" si="32"/>
        <v>0.99667097893439072</v>
      </c>
      <c r="BL19" s="1665" t="s">
        <v>2174</v>
      </c>
      <c r="BM19" s="477">
        <f t="shared" si="4"/>
        <v>1.0162643683935197</v>
      </c>
      <c r="BN19" s="477">
        <f t="shared" si="5"/>
        <v>1.0162643683935197</v>
      </c>
      <c r="BO19" s="477">
        <f t="shared" si="6"/>
        <v>1</v>
      </c>
      <c r="BP19" s="477">
        <f t="shared" si="7"/>
        <v>1</v>
      </c>
      <c r="BQ19" s="477">
        <f t="shared" si="33"/>
        <v>1.5272102347970622</v>
      </c>
      <c r="BR19" s="477">
        <f t="shared" si="34"/>
        <v>1.5272102347970622</v>
      </c>
      <c r="BS19" s="477">
        <f t="shared" si="8"/>
        <v>0.73971973607857544</v>
      </c>
      <c r="BT19" s="828">
        <f t="shared" si="9"/>
        <v>0.73971973607857544</v>
      </c>
    </row>
    <row r="20" spans="1:72" s="404" customFormat="1" ht="51" x14ac:dyDescent="0.25">
      <c r="A20" s="1092">
        <v>11300</v>
      </c>
      <c r="B20" s="1060" t="s">
        <v>4</v>
      </c>
      <c r="C20" s="1068" t="s">
        <v>1209</v>
      </c>
      <c r="D20" s="1059" t="s">
        <v>160</v>
      </c>
      <c r="E20" s="1060" t="s">
        <v>145</v>
      </c>
      <c r="F20" s="1059" t="s">
        <v>161</v>
      </c>
      <c r="G20" s="1060" t="s">
        <v>162</v>
      </c>
      <c r="H20" s="1079" t="s">
        <v>123</v>
      </c>
      <c r="I20" s="1056">
        <v>1</v>
      </c>
      <c r="J20" s="1059" t="s">
        <v>300</v>
      </c>
      <c r="K20" s="1060" t="s">
        <v>173</v>
      </c>
      <c r="L20" s="528">
        <f>76596232219-73616323412</f>
        <v>2979908807</v>
      </c>
      <c r="M20" s="466">
        <v>1.8723545712025702E-3</v>
      </c>
      <c r="N20" s="1060" t="s">
        <v>46</v>
      </c>
      <c r="O20" s="1060" t="s">
        <v>68</v>
      </c>
      <c r="P20" s="1060" t="s">
        <v>21</v>
      </c>
      <c r="Q20" s="1060" t="s">
        <v>36</v>
      </c>
      <c r="R20" s="1060" t="s">
        <v>213</v>
      </c>
      <c r="S20" s="1060" t="s">
        <v>182</v>
      </c>
      <c r="T20" s="1060" t="s">
        <v>99</v>
      </c>
      <c r="U20" s="444">
        <v>1</v>
      </c>
      <c r="V20" s="1058" t="str">
        <f t="shared" si="10"/>
        <v>Devolución de Aportes y Cotizaciones no conciliadas de vigencias anteriores</v>
      </c>
      <c r="W20" s="794">
        <f t="shared" si="35"/>
        <v>2979908807</v>
      </c>
      <c r="X20" s="1097" t="s">
        <v>116</v>
      </c>
      <c r="Y20" s="1056">
        <v>0.25</v>
      </c>
      <c r="Z20" s="1083" t="str">
        <f t="shared" si="25"/>
        <v>Devolución de Aportes y Cotizaciones no conciliadas de vigencias anteriores</v>
      </c>
      <c r="AA20" s="443">
        <v>20000000000</v>
      </c>
      <c r="AB20" s="481">
        <f>+(AC20/AA20)*Y20</f>
        <v>1.2711216975E-2</v>
      </c>
      <c r="AC20" s="443">
        <v>1016897358</v>
      </c>
      <c r="AD20" s="1064">
        <f t="shared" si="12"/>
        <v>5.08448679E-2</v>
      </c>
      <c r="AE20" s="1064">
        <f t="shared" si="13"/>
        <v>5.08448679E-2</v>
      </c>
      <c r="AF20" s="1064">
        <f t="shared" si="14"/>
        <v>1.2711216975E-2</v>
      </c>
      <c r="AG20" s="1064">
        <f t="shared" si="1"/>
        <v>0.34125116701935371</v>
      </c>
      <c r="AH20" s="1060"/>
      <c r="AI20" s="1002">
        <f>+AK20/W20</f>
        <v>6.7116147826466017</v>
      </c>
      <c r="AJ20" s="1083" t="str">
        <f t="shared" si="26"/>
        <v>Devolución de Aportes y Cotizaciones no conciliadas de vigencias anteriores</v>
      </c>
      <c r="AK20" s="528">
        <v>20000000000</v>
      </c>
      <c r="AL20" s="793">
        <f t="shared" si="36"/>
        <v>0.2833865848566553</v>
      </c>
      <c r="AM20" s="529">
        <v>844466180</v>
      </c>
      <c r="AN20" s="1064">
        <f t="shared" si="15"/>
        <v>4.2223309000000001E-2</v>
      </c>
      <c r="AO20" s="1064">
        <f t="shared" si="2"/>
        <v>4.2223309000000001E-2</v>
      </c>
      <c r="AP20" s="1064">
        <f t="shared" si="3"/>
        <v>0.29609780183165529</v>
      </c>
      <c r="AQ20" s="1064">
        <f t="shared" si="16"/>
        <v>0.62463775187600901</v>
      </c>
      <c r="AR20" s="1068" t="s">
        <v>1080</v>
      </c>
      <c r="AS20" s="1075">
        <v>0.25</v>
      </c>
      <c r="AT20" s="1083" t="str">
        <f t="shared" si="22"/>
        <v>Devolución de Aportes y Cotizaciones no conciliadas de vigencias anteriores</v>
      </c>
      <c r="AU20" s="528">
        <v>37367434340.5</v>
      </c>
      <c r="AV20" s="934">
        <f>+(AW20/AU20)*AS20</f>
        <v>4.1025298553571694E-3</v>
      </c>
      <c r="AW20" s="930">
        <v>613204060</v>
      </c>
      <c r="AX20" s="1064">
        <f t="shared" si="27"/>
        <v>1.6410119421428677E-2</v>
      </c>
      <c r="AY20" s="1064">
        <f t="shared" si="28"/>
        <v>1.6410119421428677E-2</v>
      </c>
      <c r="AZ20" s="1064">
        <f t="shared" si="29"/>
        <v>0.30020033168701249</v>
      </c>
      <c r="BA20" s="1064">
        <f t="shared" si="30"/>
        <v>0.83041722356975467</v>
      </c>
      <c r="BB20" s="1068" t="s">
        <v>2011</v>
      </c>
      <c r="BC20" s="1075">
        <v>0.25</v>
      </c>
      <c r="BD20" s="1083" t="str">
        <f t="shared" si="24"/>
        <v>Devolución de Aportes y Cotizaciones no conciliadas de vigencias anteriores</v>
      </c>
      <c r="BE20" s="528">
        <v>37367434340.5</v>
      </c>
      <c r="BF20" s="937">
        <f t="shared" si="38"/>
        <v>2.6241981348374237E-3</v>
      </c>
      <c r="BG20" s="930">
        <v>392238206</v>
      </c>
      <c r="BH20" s="1056">
        <f t="shared" si="17"/>
        <v>1.0496792539349695E-2</v>
      </c>
      <c r="BI20" s="1056">
        <f t="shared" si="18"/>
        <v>1.0496792539349695E-2</v>
      </c>
      <c r="BJ20" s="1056">
        <f t="shared" si="31"/>
        <v>0.30282452982184993</v>
      </c>
      <c r="BK20" s="1056">
        <f t="shared" si="32"/>
        <v>0.96204481065517389</v>
      </c>
      <c r="BL20" s="1665" t="s">
        <v>2175</v>
      </c>
      <c r="BM20" s="477">
        <f t="shared" si="4"/>
        <v>5.08448679E-2</v>
      </c>
      <c r="BN20" s="477">
        <f t="shared" si="5"/>
        <v>5.08448679E-2</v>
      </c>
      <c r="BO20" s="477">
        <f t="shared" si="6"/>
        <v>4.2223309000000001E-2</v>
      </c>
      <c r="BP20" s="477">
        <f t="shared" si="7"/>
        <v>4.2223309000000001E-2</v>
      </c>
      <c r="BQ20" s="477">
        <f t="shared" si="33"/>
        <v>1.6410119421428677E-2</v>
      </c>
      <c r="BR20" s="477">
        <f t="shared" si="34"/>
        <v>1.6410119421428677E-2</v>
      </c>
      <c r="BS20" s="477">
        <f t="shared" si="8"/>
        <v>1.0496792539349695E-2</v>
      </c>
      <c r="BT20" s="828">
        <f t="shared" si="9"/>
        <v>1.0496792539349695E-2</v>
      </c>
    </row>
    <row r="21" spans="1:72" s="404" customFormat="1" ht="51" x14ac:dyDescent="0.25">
      <c r="A21" s="1092">
        <v>11300</v>
      </c>
      <c r="B21" s="1060" t="s">
        <v>4</v>
      </c>
      <c r="C21" s="1068" t="s">
        <v>1209</v>
      </c>
      <c r="D21" s="1059" t="s">
        <v>160</v>
      </c>
      <c r="E21" s="1060" t="s">
        <v>145</v>
      </c>
      <c r="F21" s="1059" t="s">
        <v>161</v>
      </c>
      <c r="G21" s="1060" t="s">
        <v>162</v>
      </c>
      <c r="H21" s="1079" t="s">
        <v>123</v>
      </c>
      <c r="I21" s="1056">
        <v>1</v>
      </c>
      <c r="J21" s="1059" t="s">
        <v>301</v>
      </c>
      <c r="K21" s="1060" t="s">
        <v>174</v>
      </c>
      <c r="L21" s="528">
        <f>7000000000-7000000000</f>
        <v>0</v>
      </c>
      <c r="M21" s="466">
        <v>1.6383102498022489E-4</v>
      </c>
      <c r="N21" s="1060" t="s">
        <v>46</v>
      </c>
      <c r="O21" s="1060" t="s">
        <v>68</v>
      </c>
      <c r="P21" s="1060" t="s">
        <v>21</v>
      </c>
      <c r="Q21" s="1060" t="s">
        <v>36</v>
      </c>
      <c r="R21" s="1060" t="s">
        <v>213</v>
      </c>
      <c r="S21" s="1060" t="s">
        <v>182</v>
      </c>
      <c r="T21" s="1060" t="s">
        <v>99</v>
      </c>
      <c r="U21" s="444">
        <v>1</v>
      </c>
      <c r="V21" s="1058" t="str">
        <f t="shared" si="10"/>
        <v>Rendimientos Financieros saldo de Aportes Patronales no compensados - Art, 12 Decreto 1363 de 2016</v>
      </c>
      <c r="W21" s="794">
        <f t="shared" si="35"/>
        <v>0</v>
      </c>
      <c r="X21" s="1097" t="s">
        <v>116</v>
      </c>
      <c r="Y21" s="1056">
        <v>0.25</v>
      </c>
      <c r="Z21" s="1083" t="str">
        <f t="shared" si="25"/>
        <v>Rendimientos Financieros saldo de Aportes Patronales no compensados - Art, 12 Decreto 1363 de 2016</v>
      </c>
      <c r="AA21" s="443">
        <v>1750000000</v>
      </c>
      <c r="AB21" s="481">
        <f t="shared" si="39"/>
        <v>0</v>
      </c>
      <c r="AC21" s="443">
        <v>0</v>
      </c>
      <c r="AD21" s="1064">
        <f t="shared" si="12"/>
        <v>0</v>
      </c>
      <c r="AE21" s="1064">
        <f t="shared" si="13"/>
        <v>0</v>
      </c>
      <c r="AF21" s="1064">
        <f t="shared" si="14"/>
        <v>0</v>
      </c>
      <c r="AG21" s="1064" t="e">
        <f t="shared" si="1"/>
        <v>#DIV/0!</v>
      </c>
      <c r="AH21" s="1060"/>
      <c r="AI21" s="1075">
        <v>0.25</v>
      </c>
      <c r="AJ21" s="1083" t="str">
        <f t="shared" si="26"/>
        <v>Rendimientos Financieros saldo de Aportes Patronales no compensados - Art, 12 Decreto 1363 de 2016</v>
      </c>
      <c r="AK21" s="529">
        <v>1750000000</v>
      </c>
      <c r="AL21" s="793">
        <f t="shared" si="36"/>
        <v>0</v>
      </c>
      <c r="AM21" s="529">
        <v>0</v>
      </c>
      <c r="AN21" s="1064">
        <f t="shared" si="15"/>
        <v>0</v>
      </c>
      <c r="AO21" s="1064">
        <f t="shared" si="2"/>
        <v>0</v>
      </c>
      <c r="AP21" s="1064">
        <f t="shared" si="3"/>
        <v>0</v>
      </c>
      <c r="AQ21" s="1064" t="e">
        <f t="shared" si="16"/>
        <v>#DIV/0!</v>
      </c>
      <c r="AR21" s="804"/>
      <c r="AS21" s="1075">
        <v>0.25</v>
      </c>
      <c r="AT21" s="1083" t="str">
        <f t="shared" si="22"/>
        <v>Rendimientos Financieros saldo de Aportes Patronales no compensados - Art, 12 Decreto 1363 de 2016</v>
      </c>
      <c r="AU21" s="529">
        <v>1750000000</v>
      </c>
      <c r="AV21" s="934">
        <f t="shared" si="37"/>
        <v>0</v>
      </c>
      <c r="AW21" s="930">
        <v>0</v>
      </c>
      <c r="AX21" s="1064">
        <f t="shared" si="27"/>
        <v>0</v>
      </c>
      <c r="AY21" s="1064">
        <f t="shared" si="28"/>
        <v>0</v>
      </c>
      <c r="AZ21" s="1064">
        <f t="shared" si="29"/>
        <v>0</v>
      </c>
      <c r="BA21" s="1064" t="e">
        <f t="shared" si="30"/>
        <v>#DIV/0!</v>
      </c>
      <c r="BB21" s="527"/>
      <c r="BC21" s="1075">
        <v>0.25</v>
      </c>
      <c r="BD21" s="1083" t="str">
        <f t="shared" si="24"/>
        <v>Rendimientos Financieros saldo de Aportes Patronales no compensados - Art, 12 Decreto 1363 de 2016</v>
      </c>
      <c r="BE21" s="528">
        <v>1750000000</v>
      </c>
      <c r="BF21" s="937">
        <f t="shared" si="38"/>
        <v>0</v>
      </c>
      <c r="BG21" s="930">
        <v>0</v>
      </c>
      <c r="BH21" s="1056">
        <f t="shared" si="17"/>
        <v>0</v>
      </c>
      <c r="BI21" s="1056">
        <f t="shared" si="18"/>
        <v>0</v>
      </c>
      <c r="BJ21" s="1056">
        <f t="shared" si="31"/>
        <v>0</v>
      </c>
      <c r="BK21" s="1056" t="e">
        <f t="shared" si="32"/>
        <v>#DIV/0!</v>
      </c>
      <c r="BL21" s="1665" t="s">
        <v>2170</v>
      </c>
      <c r="BM21" s="477">
        <f t="shared" si="4"/>
        <v>0</v>
      </c>
      <c r="BN21" s="477">
        <f t="shared" si="5"/>
        <v>0</v>
      </c>
      <c r="BO21" s="477">
        <f t="shared" si="6"/>
        <v>0</v>
      </c>
      <c r="BP21" s="477">
        <f t="shared" si="7"/>
        <v>0</v>
      </c>
      <c r="BQ21" s="477">
        <f t="shared" si="33"/>
        <v>0</v>
      </c>
      <c r="BR21" s="477">
        <f t="shared" si="34"/>
        <v>0</v>
      </c>
      <c r="BS21" s="477">
        <f t="shared" si="8"/>
        <v>0</v>
      </c>
      <c r="BT21" s="828">
        <f t="shared" si="9"/>
        <v>0</v>
      </c>
    </row>
    <row r="22" spans="1:72" s="404" customFormat="1" ht="51" x14ac:dyDescent="0.25">
      <c r="A22" s="1092">
        <v>11300</v>
      </c>
      <c r="B22" s="1060" t="s">
        <v>4</v>
      </c>
      <c r="C22" s="1068" t="s">
        <v>1209</v>
      </c>
      <c r="D22" s="1059" t="s">
        <v>160</v>
      </c>
      <c r="E22" s="1060" t="s">
        <v>145</v>
      </c>
      <c r="F22" s="1059" t="s">
        <v>161</v>
      </c>
      <c r="G22" s="1060" t="s">
        <v>162</v>
      </c>
      <c r="H22" s="1079" t="s">
        <v>123</v>
      </c>
      <c r="I22" s="1056">
        <v>1</v>
      </c>
      <c r="J22" s="1059" t="s">
        <v>302</v>
      </c>
      <c r="K22" s="1060" t="s">
        <v>757</v>
      </c>
      <c r="L22" s="528">
        <f>483767006000+58360144854</f>
        <v>542127150854</v>
      </c>
      <c r="M22" s="466">
        <v>1.1322292063513515E-2</v>
      </c>
      <c r="N22" s="1060" t="s">
        <v>46</v>
      </c>
      <c r="O22" s="1060" t="s">
        <v>68</v>
      </c>
      <c r="P22" s="1060" t="s">
        <v>21</v>
      </c>
      <c r="Q22" s="1060" t="s">
        <v>36</v>
      </c>
      <c r="R22" s="1060" t="s">
        <v>213</v>
      </c>
      <c r="S22" s="1060" t="s">
        <v>182</v>
      </c>
      <c r="T22" s="1060" t="s">
        <v>99</v>
      </c>
      <c r="U22" s="444">
        <v>1</v>
      </c>
      <c r="V22" s="1058" t="str">
        <f t="shared" si="10"/>
        <v>Per cápita Programas de Promoción y Prevención</v>
      </c>
      <c r="W22" s="794">
        <f t="shared" si="35"/>
        <v>542127150854</v>
      </c>
      <c r="X22" s="1097" t="s">
        <v>116</v>
      </c>
      <c r="Y22" s="1056">
        <v>0.25</v>
      </c>
      <c r="Z22" s="1083" t="str">
        <f t="shared" si="25"/>
        <v>Per cápita Programas de Promoción y Prevención</v>
      </c>
      <c r="AA22" s="443">
        <v>120941751500</v>
      </c>
      <c r="AB22" s="481">
        <f t="shared" si="39"/>
        <v>0.24380171399700623</v>
      </c>
      <c r="AC22" s="443">
        <v>117943225238</v>
      </c>
      <c r="AD22" s="1064">
        <f t="shared" si="12"/>
        <v>0.97520685598802492</v>
      </c>
      <c r="AE22" s="1064">
        <f t="shared" si="13"/>
        <v>0.97520685598802492</v>
      </c>
      <c r="AF22" s="1064">
        <f t="shared" si="14"/>
        <v>0.24380171399700623</v>
      </c>
      <c r="AG22" s="1064">
        <f t="shared" si="1"/>
        <v>0.21755638885122586</v>
      </c>
      <c r="AH22" s="1060"/>
      <c r="AI22" s="1075">
        <v>0.25</v>
      </c>
      <c r="AJ22" s="1083" t="str">
        <f t="shared" si="26"/>
        <v>Per cápita Programas de Promoción y Prevención</v>
      </c>
      <c r="AK22" s="529">
        <v>120941751500</v>
      </c>
      <c r="AL22" s="793">
        <f t="shared" si="36"/>
        <v>0.26836580200552163</v>
      </c>
      <c r="AM22" s="529">
        <v>129826520549</v>
      </c>
      <c r="AN22" s="1064">
        <f t="shared" si="15"/>
        <v>1.0734632080220865</v>
      </c>
      <c r="AO22" s="1064">
        <f t="shared" si="2"/>
        <v>1.0734632080220865</v>
      </c>
      <c r="AP22" s="1064">
        <f t="shared" si="3"/>
        <v>0.51216751600252786</v>
      </c>
      <c r="AQ22" s="1064">
        <f t="shared" si="16"/>
        <v>0.45703253452016601</v>
      </c>
      <c r="AR22" s="804"/>
      <c r="AS22" s="1075">
        <v>0.25</v>
      </c>
      <c r="AT22" s="1083" t="str">
        <f t="shared" si="22"/>
        <v>Per cápita Programas de Promoción y Prevención</v>
      </c>
      <c r="AU22" s="529">
        <v>120941751500</v>
      </c>
      <c r="AV22" s="934">
        <f t="shared" si="37"/>
        <v>0.2602699159458593</v>
      </c>
      <c r="AW22" s="930">
        <v>125909997989</v>
      </c>
      <c r="AX22" s="1064">
        <f t="shared" si="27"/>
        <v>1.0410796637834372</v>
      </c>
      <c r="AY22" s="1064">
        <f t="shared" si="28"/>
        <v>1.0410796637834372</v>
      </c>
      <c r="AZ22" s="1064">
        <f t="shared" si="29"/>
        <v>0.7724374319483871</v>
      </c>
      <c r="BA22" s="1064">
        <f t="shared" si="30"/>
        <v>0.68928431860929895</v>
      </c>
      <c r="BB22" s="527"/>
      <c r="BC22" s="1075">
        <v>0.25</v>
      </c>
      <c r="BD22" s="1083" t="str">
        <f t="shared" si="24"/>
        <v>Per cápita Programas de Promoción y Prevención</v>
      </c>
      <c r="BE22" s="528">
        <f>120941751500+58360144854</f>
        <v>179301896354</v>
      </c>
      <c r="BF22" s="937">
        <f t="shared" si="38"/>
        <v>0.17841418727575184</v>
      </c>
      <c r="BG22" s="930">
        <v>127960008460</v>
      </c>
      <c r="BH22" s="1056">
        <f t="shared" si="17"/>
        <v>0.71365674910300736</v>
      </c>
      <c r="BI22" s="1056">
        <f t="shared" si="18"/>
        <v>0.71365674910300736</v>
      </c>
      <c r="BJ22" s="1056">
        <f t="shared" si="31"/>
        <v>0.95085161922413897</v>
      </c>
      <c r="BK22" s="1056">
        <f t="shared" si="32"/>
        <v>0.9253175227357251</v>
      </c>
      <c r="BL22" s="1665" t="s">
        <v>2175</v>
      </c>
      <c r="BM22" s="477">
        <f t="shared" si="4"/>
        <v>0.97520685598802492</v>
      </c>
      <c r="BN22" s="477">
        <f t="shared" si="5"/>
        <v>0.97520685598802492</v>
      </c>
      <c r="BO22" s="477">
        <f t="shared" si="6"/>
        <v>1.0734632080220865</v>
      </c>
      <c r="BP22" s="477">
        <f t="shared" si="7"/>
        <v>1.0734632080220865</v>
      </c>
      <c r="BQ22" s="477">
        <f t="shared" si="33"/>
        <v>1.0410796637834372</v>
      </c>
      <c r="BR22" s="477">
        <f t="shared" si="34"/>
        <v>1.0410796637834372</v>
      </c>
      <c r="BS22" s="477">
        <f t="shared" si="8"/>
        <v>0.71365674910300736</v>
      </c>
      <c r="BT22" s="828">
        <f t="shared" si="9"/>
        <v>0.71365674910300736</v>
      </c>
    </row>
    <row r="23" spans="1:72" s="404" customFormat="1" ht="51" x14ac:dyDescent="0.25">
      <c r="A23" s="1092">
        <v>11300</v>
      </c>
      <c r="B23" s="1060" t="s">
        <v>4</v>
      </c>
      <c r="C23" s="1068" t="s">
        <v>1209</v>
      </c>
      <c r="D23" s="1059" t="s">
        <v>160</v>
      </c>
      <c r="E23" s="1060" t="s">
        <v>145</v>
      </c>
      <c r="F23" s="1059" t="s">
        <v>161</v>
      </c>
      <c r="G23" s="1060" t="s">
        <v>162</v>
      </c>
      <c r="H23" s="1079" t="s">
        <v>123</v>
      </c>
      <c r="I23" s="1056">
        <v>1</v>
      </c>
      <c r="J23" s="1059" t="s">
        <v>303</v>
      </c>
      <c r="K23" s="1060" t="s">
        <v>168</v>
      </c>
      <c r="L23" s="528">
        <f>918476359163-24969375965</f>
        <v>893506983198</v>
      </c>
      <c r="M23" s="466">
        <v>1.8716060436325382E-2</v>
      </c>
      <c r="N23" s="1060" t="s">
        <v>46</v>
      </c>
      <c r="O23" s="1060" t="s">
        <v>68</v>
      </c>
      <c r="P23" s="1060" t="s">
        <v>21</v>
      </c>
      <c r="Q23" s="1060" t="s">
        <v>36</v>
      </c>
      <c r="R23" s="1060" t="s">
        <v>213</v>
      </c>
      <c r="S23" s="1060" t="s">
        <v>182</v>
      </c>
      <c r="T23" s="1060" t="s">
        <v>99</v>
      </c>
      <c r="U23" s="444">
        <v>1</v>
      </c>
      <c r="V23" s="1058" t="str">
        <f t="shared" si="10"/>
        <v>Incapacidades</v>
      </c>
      <c r="W23" s="794">
        <f t="shared" si="35"/>
        <v>893506983198</v>
      </c>
      <c r="X23" s="1097" t="s">
        <v>116</v>
      </c>
      <c r="Y23" s="1056">
        <v>0.25</v>
      </c>
      <c r="Z23" s="1083" t="str">
        <f t="shared" si="25"/>
        <v>Incapacidades</v>
      </c>
      <c r="AA23" s="443">
        <v>199920044250</v>
      </c>
      <c r="AB23" s="481">
        <f t="shared" si="39"/>
        <v>0.25892237729684275</v>
      </c>
      <c r="AC23" s="443">
        <v>207055092506</v>
      </c>
      <c r="AD23" s="1064">
        <f t="shared" si="12"/>
        <v>1.035689509187371</v>
      </c>
      <c r="AE23" s="1064">
        <f t="shared" si="13"/>
        <v>1.035689509187371</v>
      </c>
      <c r="AF23" s="1064">
        <f t="shared" si="14"/>
        <v>0.25892237729684275</v>
      </c>
      <c r="AG23" s="1064">
        <f t="shared" si="1"/>
        <v>0.23173304338922762</v>
      </c>
      <c r="AH23" s="1060"/>
      <c r="AI23" s="1056">
        <f>+AK23/W23</f>
        <v>0.26806592017937214</v>
      </c>
      <c r="AJ23" s="1083" t="str">
        <f t="shared" si="26"/>
        <v>Incapacidades</v>
      </c>
      <c r="AK23" s="443">
        <v>239518771637.66666</v>
      </c>
      <c r="AL23" s="793">
        <f t="shared" si="36"/>
        <v>0.24288484469730082</v>
      </c>
      <c r="AM23" s="529">
        <v>217019304850</v>
      </c>
      <c r="AN23" s="1064">
        <f t="shared" si="15"/>
        <v>0.90606386867371358</v>
      </c>
      <c r="AO23" s="1064">
        <f t="shared" si="2"/>
        <v>0.90606386867371358</v>
      </c>
      <c r="AP23" s="1064">
        <f t="shared" si="3"/>
        <v>0.50180722199414363</v>
      </c>
      <c r="AQ23" s="1064">
        <f t="shared" si="16"/>
        <v>0.47461788808652844</v>
      </c>
      <c r="AR23" s="1068" t="s">
        <v>1080</v>
      </c>
      <c r="AS23" s="1056">
        <f>+AU23/W23</f>
        <v>0.26806592017937214</v>
      </c>
      <c r="AT23" s="1083" t="str">
        <f t="shared" si="22"/>
        <v>Incapacidades</v>
      </c>
      <c r="AU23" s="443">
        <v>239518771637.66666</v>
      </c>
      <c r="AV23" s="934">
        <f t="shared" si="37"/>
        <v>0.23908735315240476</v>
      </c>
      <c r="AW23" s="930">
        <v>213626219636</v>
      </c>
      <c r="AX23" s="1064">
        <f t="shared" si="27"/>
        <v>0.8918976085897945</v>
      </c>
      <c r="AY23" s="1064">
        <f t="shared" si="28"/>
        <v>0.8918976085897945</v>
      </c>
      <c r="AZ23" s="1064">
        <f t="shared" si="29"/>
        <v>0.74089457514654833</v>
      </c>
      <c r="BA23" s="1064">
        <f t="shared" si="30"/>
        <v>0.7137052412389332</v>
      </c>
      <c r="BB23" s="527"/>
      <c r="BC23" s="1056">
        <f>+BE23/W23</f>
        <v>0.24012055832486215</v>
      </c>
      <c r="BD23" s="1083" t="str">
        <f t="shared" si="24"/>
        <v>Incapacidades</v>
      </c>
      <c r="BE23" s="528">
        <f>239518771637.667-24969375965</f>
        <v>214549395672.66699</v>
      </c>
      <c r="BF23" s="937">
        <f t="shared" si="38"/>
        <v>0.24086901000225078</v>
      </c>
      <c r="BG23" s="930">
        <v>215218142473</v>
      </c>
      <c r="BH23" s="1056">
        <f t="shared" si="17"/>
        <v>1.003116982913125</v>
      </c>
      <c r="BI23" s="1056">
        <f t="shared" si="18"/>
        <v>1.003116982913125</v>
      </c>
      <c r="BJ23" s="1056">
        <f t="shared" si="31"/>
        <v>0.98176358514879913</v>
      </c>
      <c r="BK23" s="1056">
        <f t="shared" si="32"/>
        <v>0.954574251241184</v>
      </c>
      <c r="BL23" s="1665" t="s">
        <v>2175</v>
      </c>
      <c r="BM23" s="477">
        <f t="shared" si="4"/>
        <v>1.035689509187371</v>
      </c>
      <c r="BN23" s="477">
        <f t="shared" si="5"/>
        <v>1.035689509187371</v>
      </c>
      <c r="BO23" s="477">
        <f t="shared" si="6"/>
        <v>0.90606386867371358</v>
      </c>
      <c r="BP23" s="477">
        <f t="shared" si="7"/>
        <v>0.90606386867371358</v>
      </c>
      <c r="BQ23" s="477">
        <f t="shared" si="33"/>
        <v>0.8918976085897945</v>
      </c>
      <c r="BR23" s="477">
        <f t="shared" si="34"/>
        <v>0.8918976085897945</v>
      </c>
      <c r="BS23" s="477">
        <f t="shared" si="8"/>
        <v>1.003116982913125</v>
      </c>
      <c r="BT23" s="828">
        <f t="shared" si="9"/>
        <v>1.003116982913125</v>
      </c>
    </row>
    <row r="24" spans="1:72" s="404" customFormat="1" ht="51" x14ac:dyDescent="0.25">
      <c r="A24" s="1092">
        <v>11300</v>
      </c>
      <c r="B24" s="1060" t="s">
        <v>4</v>
      </c>
      <c r="C24" s="1068" t="s">
        <v>1209</v>
      </c>
      <c r="D24" s="1059" t="s">
        <v>160</v>
      </c>
      <c r="E24" s="1060" t="s">
        <v>145</v>
      </c>
      <c r="F24" s="1059" t="s">
        <v>161</v>
      </c>
      <c r="G24" s="1060" t="s">
        <v>162</v>
      </c>
      <c r="H24" s="1079" t="s">
        <v>123</v>
      </c>
      <c r="I24" s="1056">
        <v>1</v>
      </c>
      <c r="J24" s="1059" t="s">
        <v>304</v>
      </c>
      <c r="K24" s="1060" t="s">
        <v>169</v>
      </c>
      <c r="L24" s="528">
        <f>720776535000+113731612174</f>
        <v>834508147174</v>
      </c>
      <c r="M24" s="466">
        <v>1.6869365501534991E-2</v>
      </c>
      <c r="N24" s="1060" t="s">
        <v>46</v>
      </c>
      <c r="O24" s="1060" t="s">
        <v>68</v>
      </c>
      <c r="P24" s="1060" t="s">
        <v>21</v>
      </c>
      <c r="Q24" s="1060" t="s">
        <v>36</v>
      </c>
      <c r="R24" s="1060" t="s">
        <v>213</v>
      </c>
      <c r="S24" s="1060" t="s">
        <v>182</v>
      </c>
      <c r="T24" s="1060" t="s">
        <v>99</v>
      </c>
      <c r="U24" s="444">
        <v>1</v>
      </c>
      <c r="V24" s="1058" t="str">
        <f t="shared" si="10"/>
        <v>Licencias de Maternidad y Paternidad</v>
      </c>
      <c r="W24" s="794">
        <f t="shared" si="35"/>
        <v>834508147174</v>
      </c>
      <c r="X24" s="1097" t="s">
        <v>116</v>
      </c>
      <c r="Y24" s="1056">
        <v>0.25</v>
      </c>
      <c r="Z24" s="1083" t="str">
        <f t="shared" si="25"/>
        <v>Licencias de Maternidad y Paternidad</v>
      </c>
      <c r="AA24" s="443">
        <v>180194133750</v>
      </c>
      <c r="AB24" s="481">
        <f t="shared" si="39"/>
        <v>0.25045429000543146</v>
      </c>
      <c r="AC24" s="443">
        <v>180521575326</v>
      </c>
      <c r="AD24" s="1064">
        <f t="shared" si="12"/>
        <v>1.0018171600217258</v>
      </c>
      <c r="AE24" s="1064">
        <f t="shared" si="13"/>
        <v>1.0018171600217258</v>
      </c>
      <c r="AF24" s="1064">
        <f t="shared" si="14"/>
        <v>0.25045429000543146</v>
      </c>
      <c r="AG24" s="1064">
        <f t="shared" si="1"/>
        <v>0.21632092620943599</v>
      </c>
      <c r="AH24" s="1060"/>
      <c r="AI24" s="1056">
        <v>0.25</v>
      </c>
      <c r="AJ24" s="1083" t="str">
        <f t="shared" si="26"/>
        <v>Licencias de Maternidad y Paternidad</v>
      </c>
      <c r="AK24" s="443">
        <v>180194133750</v>
      </c>
      <c r="AL24" s="793">
        <f t="shared" si="36"/>
        <v>0.29107446829134082</v>
      </c>
      <c r="AM24" s="529">
        <v>209799646682</v>
      </c>
      <c r="AN24" s="1064">
        <f t="shared" si="15"/>
        <v>1.1642978731653633</v>
      </c>
      <c r="AO24" s="1064">
        <f t="shared" si="2"/>
        <v>1.1642978731653633</v>
      </c>
      <c r="AP24" s="1064">
        <f t="shared" si="3"/>
        <v>0.54152875829677227</v>
      </c>
      <c r="AQ24" s="1064">
        <f t="shared" si="16"/>
        <v>0.46772607712674091</v>
      </c>
      <c r="AR24" s="804"/>
      <c r="AS24" s="1056">
        <v>0.25</v>
      </c>
      <c r="AT24" s="1083" t="str">
        <f t="shared" si="22"/>
        <v>Licencias de Maternidad y Paternidad</v>
      </c>
      <c r="AU24" s="443">
        <v>180194133750</v>
      </c>
      <c r="AV24" s="934">
        <f t="shared" si="37"/>
        <v>0.28329940466638526</v>
      </c>
      <c r="AW24" s="930">
        <v>204195563263</v>
      </c>
      <c r="AX24" s="1064">
        <f t="shared" si="27"/>
        <v>1.133197618665541</v>
      </c>
      <c r="AY24" s="1064">
        <f t="shared" si="28"/>
        <v>1.133197618665541</v>
      </c>
      <c r="AZ24" s="1064">
        <f t="shared" si="29"/>
        <v>0.82482816296315753</v>
      </c>
      <c r="BA24" s="1064">
        <f t="shared" si="30"/>
        <v>0.71241579520138543</v>
      </c>
      <c r="BB24" s="527"/>
      <c r="BC24" s="1056">
        <v>0.25</v>
      </c>
      <c r="BD24" s="1083" t="str">
        <f t="shared" si="24"/>
        <v>Licencias de Maternidad y Paternidad</v>
      </c>
      <c r="BE24" s="528">
        <f>180194133750+113731612174</f>
        <v>293925745924</v>
      </c>
      <c r="BF24" s="937">
        <f t="shared" si="38"/>
        <v>0.19658258316775787</v>
      </c>
      <c r="BG24" s="930">
        <v>231122729573</v>
      </c>
      <c r="BH24" s="1056">
        <f t="shared" si="17"/>
        <v>0.78633033267103147</v>
      </c>
      <c r="BI24" s="1056">
        <f t="shared" si="18"/>
        <v>0.78633033267103147</v>
      </c>
      <c r="BJ24" s="1056">
        <f t="shared" si="31"/>
        <v>1.0214107461309154</v>
      </c>
      <c r="BK24" s="1056">
        <f t="shared" si="32"/>
        <v>0.98937262343090004</v>
      </c>
      <c r="BL24" s="1665" t="s">
        <v>2176</v>
      </c>
      <c r="BM24" s="477">
        <f t="shared" si="4"/>
        <v>1.0018171600217258</v>
      </c>
      <c r="BN24" s="477">
        <f t="shared" si="5"/>
        <v>1.0018171600217258</v>
      </c>
      <c r="BO24" s="477">
        <f t="shared" si="6"/>
        <v>1.1642978731653633</v>
      </c>
      <c r="BP24" s="477">
        <f t="shared" si="7"/>
        <v>1.1642978731653633</v>
      </c>
      <c r="BQ24" s="477">
        <f t="shared" si="33"/>
        <v>1.133197618665541</v>
      </c>
      <c r="BR24" s="477">
        <f t="shared" si="34"/>
        <v>1.133197618665541</v>
      </c>
      <c r="BS24" s="477">
        <f t="shared" si="8"/>
        <v>0.78633033267103147</v>
      </c>
      <c r="BT24" s="828">
        <f t="shared" si="9"/>
        <v>0.78633033267103147</v>
      </c>
    </row>
    <row r="25" spans="1:72" s="404" customFormat="1" ht="51" x14ac:dyDescent="0.25">
      <c r="A25" s="1092">
        <v>11300</v>
      </c>
      <c r="B25" s="1060" t="s">
        <v>4</v>
      </c>
      <c r="C25" s="1068" t="s">
        <v>1209</v>
      </c>
      <c r="D25" s="1059" t="s">
        <v>160</v>
      </c>
      <c r="E25" s="1060" t="s">
        <v>145</v>
      </c>
      <c r="F25" s="1059" t="s">
        <v>161</v>
      </c>
      <c r="G25" s="1060" t="s">
        <v>162</v>
      </c>
      <c r="H25" s="1079" t="s">
        <v>123</v>
      </c>
      <c r="I25" s="1056">
        <v>1</v>
      </c>
      <c r="J25" s="1059" t="s">
        <v>305</v>
      </c>
      <c r="K25" s="1060" t="s">
        <v>561</v>
      </c>
      <c r="L25" s="528">
        <f>3500000000+600000000</f>
        <v>4100000000</v>
      </c>
      <c r="M25" s="466">
        <v>3.5106648210048191E-5</v>
      </c>
      <c r="N25" s="1060" t="s">
        <v>46</v>
      </c>
      <c r="O25" s="1060" t="s">
        <v>68</v>
      </c>
      <c r="P25" s="1060" t="s">
        <v>21</v>
      </c>
      <c r="Q25" s="1060" t="s">
        <v>36</v>
      </c>
      <c r="R25" s="1060" t="s">
        <v>213</v>
      </c>
      <c r="S25" s="1060" t="s">
        <v>182</v>
      </c>
      <c r="T25" s="1060" t="s">
        <v>99</v>
      </c>
      <c r="U25" s="444">
        <v>1</v>
      </c>
      <c r="V25" s="1058" t="str">
        <f t="shared" si="10"/>
        <v>Prestaciones Económicas Regímenes Especiales de Excepción</v>
      </c>
      <c r="W25" s="794">
        <f t="shared" si="35"/>
        <v>4100000000</v>
      </c>
      <c r="X25" s="1097" t="s">
        <v>116</v>
      </c>
      <c r="Y25" s="1056">
        <v>0.25</v>
      </c>
      <c r="Z25" s="1083" t="str">
        <f t="shared" si="25"/>
        <v>Prestaciones Económicas Regímenes Especiales de Excepción</v>
      </c>
      <c r="AA25" s="443">
        <v>375000000</v>
      </c>
      <c r="AB25" s="481">
        <f t="shared" si="39"/>
        <v>0.42038601666666664</v>
      </c>
      <c r="AC25" s="443">
        <v>630579025</v>
      </c>
      <c r="AD25" s="1064">
        <f t="shared" si="12"/>
        <v>1.6815440666666666</v>
      </c>
      <c r="AE25" s="1064">
        <f t="shared" si="13"/>
        <v>1.6815440666666666</v>
      </c>
      <c r="AF25" s="1064">
        <f t="shared" si="14"/>
        <v>0.42038601666666664</v>
      </c>
      <c r="AG25" s="1064">
        <f t="shared" si="1"/>
        <v>0.15379976219512195</v>
      </c>
      <c r="AH25" s="1060"/>
      <c r="AI25" s="1056">
        <f>+AK25/W25</f>
        <v>0.25406504065040647</v>
      </c>
      <c r="AJ25" s="1083" t="str">
        <f t="shared" si="26"/>
        <v>Prestaciones Económicas Regímenes Especiales de Excepción</v>
      </c>
      <c r="AK25" s="443">
        <v>1041666666.6666666</v>
      </c>
      <c r="AL25" s="793">
        <f>+(AM25/AK25)*AI25</f>
        <v>0.14907192731707317</v>
      </c>
      <c r="AM25" s="529">
        <v>611194902</v>
      </c>
      <c r="AN25" s="1064">
        <f t="shared" si="15"/>
        <v>0.58674710592000001</v>
      </c>
      <c r="AO25" s="1064">
        <f t="shared" si="2"/>
        <v>0.58674710592000001</v>
      </c>
      <c r="AP25" s="1064">
        <f t="shared" si="3"/>
        <v>0.56945794398373983</v>
      </c>
      <c r="AQ25" s="1064">
        <f t="shared" si="16"/>
        <v>0.30287168951219512</v>
      </c>
      <c r="AR25" s="1068" t="s">
        <v>1143</v>
      </c>
      <c r="AS25" s="1056">
        <f>+AU25/W25</f>
        <v>0.25406504065040647</v>
      </c>
      <c r="AT25" s="1083" t="str">
        <f t="shared" si="22"/>
        <v>Prestaciones Económicas Regímenes Especiales de Excepción</v>
      </c>
      <c r="AU25" s="443">
        <v>1041666666.6666666</v>
      </c>
      <c r="AV25" s="934">
        <f t="shared" si="37"/>
        <v>0.17073090585365852</v>
      </c>
      <c r="AW25" s="930">
        <v>699996714</v>
      </c>
      <c r="AX25" s="1064">
        <f t="shared" si="27"/>
        <v>0.67199684544000005</v>
      </c>
      <c r="AY25" s="1064">
        <f t="shared" si="28"/>
        <v>0.67199684544000005</v>
      </c>
      <c r="AZ25" s="1064">
        <f t="shared" si="29"/>
        <v>0.7401888498373983</v>
      </c>
      <c r="BA25" s="1064">
        <f t="shared" si="30"/>
        <v>0.47360259536585364</v>
      </c>
      <c r="BB25" s="527"/>
      <c r="BC25" s="1056">
        <f>+BE25/W25</f>
        <v>0.40040650406504141</v>
      </c>
      <c r="BD25" s="1083" t="str">
        <f t="shared" si="24"/>
        <v>Prestaciones Económicas Regímenes Especiales de Excepción</v>
      </c>
      <c r="BE25" s="528">
        <f>1041666666.66667+600000000</f>
        <v>1641666666.6666698</v>
      </c>
      <c r="BF25" s="937">
        <f t="shared" si="38"/>
        <v>0.24473758243902438</v>
      </c>
      <c r="BG25" s="930">
        <v>1003424088</v>
      </c>
      <c r="BH25" s="1056">
        <f t="shared" si="17"/>
        <v>0.61122279472081098</v>
      </c>
      <c r="BI25" s="1056">
        <f t="shared" si="18"/>
        <v>0.61122279472081098</v>
      </c>
      <c r="BJ25" s="1056">
        <f t="shared" si="31"/>
        <v>0.98492643227642263</v>
      </c>
      <c r="BK25" s="1056">
        <f t="shared" si="32"/>
        <v>0.71834017780487802</v>
      </c>
      <c r="BL25" s="1665" t="s">
        <v>2177</v>
      </c>
      <c r="BM25" s="477">
        <f t="shared" si="4"/>
        <v>1.6815440666666666</v>
      </c>
      <c r="BN25" s="477">
        <f t="shared" si="5"/>
        <v>1.6815440666666666</v>
      </c>
      <c r="BO25" s="477">
        <f t="shared" si="6"/>
        <v>0.58674710592000001</v>
      </c>
      <c r="BP25" s="477">
        <f t="shared" si="7"/>
        <v>0.58674710592000001</v>
      </c>
      <c r="BQ25" s="477">
        <f t="shared" si="33"/>
        <v>0.67199684544000005</v>
      </c>
      <c r="BR25" s="477">
        <f t="shared" si="34"/>
        <v>0.67199684544000005</v>
      </c>
      <c r="BS25" s="477">
        <f t="shared" si="8"/>
        <v>0.61122279472081098</v>
      </c>
      <c r="BT25" s="828">
        <f t="shared" si="9"/>
        <v>0.61122279472081098</v>
      </c>
    </row>
    <row r="26" spans="1:72" s="404" customFormat="1" ht="63.75" x14ac:dyDescent="0.25">
      <c r="A26" s="1092">
        <v>11300</v>
      </c>
      <c r="B26" s="1060" t="s">
        <v>4</v>
      </c>
      <c r="C26" s="1068" t="s">
        <v>1209</v>
      </c>
      <c r="D26" s="1059" t="s">
        <v>160</v>
      </c>
      <c r="E26" s="1060" t="s">
        <v>145</v>
      </c>
      <c r="F26" s="1059" t="s">
        <v>161</v>
      </c>
      <c r="G26" s="1060" t="s">
        <v>162</v>
      </c>
      <c r="H26" s="1079" t="s">
        <v>123</v>
      </c>
      <c r="I26" s="1056">
        <v>1</v>
      </c>
      <c r="J26" s="1059" t="s">
        <v>306</v>
      </c>
      <c r="K26" s="1060" t="s">
        <v>170</v>
      </c>
      <c r="L26" s="528">
        <f>19424225941025-154146610454.39</f>
        <v>19270079330570.609</v>
      </c>
      <c r="M26" s="466">
        <v>0.43795196233665762</v>
      </c>
      <c r="N26" s="1060" t="s">
        <v>46</v>
      </c>
      <c r="O26" s="1060" t="s">
        <v>68</v>
      </c>
      <c r="P26" s="1060" t="s">
        <v>21</v>
      </c>
      <c r="Q26" s="1060" t="s">
        <v>36</v>
      </c>
      <c r="R26" s="1060" t="s">
        <v>213</v>
      </c>
      <c r="S26" s="1060" t="s">
        <v>182</v>
      </c>
      <c r="T26" s="1060" t="s">
        <v>99</v>
      </c>
      <c r="U26" s="444">
        <v>1</v>
      </c>
      <c r="V26" s="1058" t="str">
        <f t="shared" si="10"/>
        <v>Financiación UPC Régimen Subsidiado CSF</v>
      </c>
      <c r="W26" s="794">
        <f t="shared" si="35"/>
        <v>19270079330570.609</v>
      </c>
      <c r="X26" s="1097" t="s">
        <v>116</v>
      </c>
      <c r="Y26" s="1056">
        <v>0.25</v>
      </c>
      <c r="Z26" s="1083" t="str">
        <f t="shared" si="25"/>
        <v>Financiación UPC Régimen Subsidiado CSF</v>
      </c>
      <c r="AA26" s="443">
        <v>4678087890750</v>
      </c>
      <c r="AB26" s="481">
        <f t="shared" si="39"/>
        <v>0.24873164869078085</v>
      </c>
      <c r="AC26" s="443">
        <v>4654354055146.5</v>
      </c>
      <c r="AD26" s="1064">
        <f t="shared" si="12"/>
        <v>0.9949265947631234</v>
      </c>
      <c r="AE26" s="1064">
        <f t="shared" si="13"/>
        <v>0.9949265947631234</v>
      </c>
      <c r="AF26" s="1064">
        <f t="shared" si="14"/>
        <v>0.24873164869078085</v>
      </c>
      <c r="AG26" s="1064">
        <f t="shared" si="1"/>
        <v>0.24153268781632353</v>
      </c>
      <c r="AH26" s="1060" t="s">
        <v>979</v>
      </c>
      <c r="AI26" s="1075">
        <v>0.25</v>
      </c>
      <c r="AJ26" s="1083" t="str">
        <f t="shared" si="26"/>
        <v>Financiación UPC Régimen Subsidiado CSF</v>
      </c>
      <c r="AK26" s="529">
        <v>4678087890750</v>
      </c>
      <c r="AL26" s="793">
        <f>+(AM26/AK26)*AI26</f>
        <v>0.25797109481752045</v>
      </c>
      <c r="AM26" s="529">
        <v>4827245819317.4502</v>
      </c>
      <c r="AN26" s="1064">
        <f t="shared" si="15"/>
        <v>1.0318843792700818</v>
      </c>
      <c r="AO26" s="1064">
        <f t="shared" si="2"/>
        <v>1.0318843792700818</v>
      </c>
      <c r="AP26" s="1064">
        <f t="shared" si="3"/>
        <v>0.50670274350830136</v>
      </c>
      <c r="AQ26" s="1064">
        <f t="shared" si="16"/>
        <v>0.49203740741337093</v>
      </c>
      <c r="AR26" s="804"/>
      <c r="AS26" s="1075">
        <v>0.25</v>
      </c>
      <c r="AT26" s="1083" t="str">
        <f t="shared" si="22"/>
        <v>Financiación UPC Régimen Subsidiado CSF</v>
      </c>
      <c r="AU26" s="528">
        <v>4971313033280.75</v>
      </c>
      <c r="AV26" s="934">
        <f t="shared" si="37"/>
        <v>0.24369940090248818</v>
      </c>
      <c r="AW26" s="930">
        <v>4846024031637</v>
      </c>
      <c r="AX26" s="1064">
        <f t="shared" si="27"/>
        <v>0.97479760360995271</v>
      </c>
      <c r="AY26" s="1064">
        <f t="shared" si="28"/>
        <v>0.97479760360995271</v>
      </c>
      <c r="AZ26" s="1064">
        <f t="shared" si="29"/>
        <v>0.75040214441078956</v>
      </c>
      <c r="BA26" s="1064">
        <f t="shared" si="30"/>
        <v>0.74351660210195369</v>
      </c>
      <c r="BB26" s="1068" t="s">
        <v>2012</v>
      </c>
      <c r="BC26" s="1075">
        <v>0.25</v>
      </c>
      <c r="BD26" s="1083" t="str">
        <f t="shared" si="24"/>
        <v>Financiación UPC Régimen Subsidiado CSF</v>
      </c>
      <c r="BE26" s="528">
        <f>4971313033280.75-154146610454.39</f>
        <v>4817166422826.3604</v>
      </c>
      <c r="BF26" s="937">
        <f t="shared" si="38"/>
        <v>0.2547895470080247</v>
      </c>
      <c r="BG26" s="930">
        <v>4909454602936.7803</v>
      </c>
      <c r="BH26" s="1056">
        <f t="shared" si="17"/>
        <v>1.0191581880320988</v>
      </c>
      <c r="BI26" s="1056">
        <f t="shared" si="18"/>
        <v>1.0191581880320988</v>
      </c>
      <c r="BJ26" s="1056">
        <f t="shared" si="31"/>
        <v>1.0051916914188141</v>
      </c>
      <c r="BK26" s="1056">
        <f t="shared" si="32"/>
        <v>0.99828745793067253</v>
      </c>
      <c r="BL26" s="1665" t="s">
        <v>2178</v>
      </c>
      <c r="BM26" s="477">
        <f t="shared" si="4"/>
        <v>0.9949265947631234</v>
      </c>
      <c r="BN26" s="477">
        <f t="shared" si="5"/>
        <v>0.9949265947631234</v>
      </c>
      <c r="BO26" s="477">
        <f t="shared" si="6"/>
        <v>1.0318843792700818</v>
      </c>
      <c r="BP26" s="477">
        <f t="shared" si="7"/>
        <v>1.0318843792700818</v>
      </c>
      <c r="BQ26" s="477">
        <f t="shared" si="33"/>
        <v>0.97479760360995271</v>
      </c>
      <c r="BR26" s="477">
        <f t="shared" si="34"/>
        <v>0.97479760360995271</v>
      </c>
      <c r="BS26" s="477">
        <f t="shared" si="8"/>
        <v>1.0191581880320988</v>
      </c>
      <c r="BT26" s="828">
        <f t="shared" si="9"/>
        <v>1.0191581880320988</v>
      </c>
    </row>
    <row r="27" spans="1:72" s="404" customFormat="1" ht="51" x14ac:dyDescent="0.25">
      <c r="A27" s="1092">
        <v>11300</v>
      </c>
      <c r="B27" s="1060" t="s">
        <v>4</v>
      </c>
      <c r="C27" s="1068" t="s">
        <v>1209</v>
      </c>
      <c r="D27" s="1059" t="s">
        <v>160</v>
      </c>
      <c r="E27" s="1060" t="s">
        <v>145</v>
      </c>
      <c r="F27" s="1059" t="s">
        <v>161</v>
      </c>
      <c r="G27" s="1060" t="s">
        <v>162</v>
      </c>
      <c r="H27" s="1079" t="s">
        <v>123</v>
      </c>
      <c r="I27" s="1056">
        <v>1</v>
      </c>
      <c r="J27" s="1059" t="s">
        <v>307</v>
      </c>
      <c r="K27" s="1060" t="s">
        <v>171</v>
      </c>
      <c r="L27" s="528">
        <f>26475329000+829603639</f>
        <v>27304932639</v>
      </c>
      <c r="M27" s="466">
        <v>6.1964004096552467E-4</v>
      </c>
      <c r="N27" s="1060" t="s">
        <v>46</v>
      </c>
      <c r="O27" s="1060" t="s">
        <v>68</v>
      </c>
      <c r="P27" s="1060" t="s">
        <v>21</v>
      </c>
      <c r="Q27" s="1060" t="s">
        <v>36</v>
      </c>
      <c r="R27" s="1060" t="s">
        <v>213</v>
      </c>
      <c r="S27" s="1060" t="s">
        <v>182</v>
      </c>
      <c r="T27" s="1060" t="s">
        <v>99</v>
      </c>
      <c r="U27" s="444">
        <v>1</v>
      </c>
      <c r="V27" s="1058" t="str">
        <f t="shared" si="10"/>
        <v>Financiación UPC Régimen Subsidiado - CCF - SSF</v>
      </c>
      <c r="W27" s="794">
        <f t="shared" si="35"/>
        <v>27304932639</v>
      </c>
      <c r="X27" s="1097" t="s">
        <v>116</v>
      </c>
      <c r="Y27" s="1056">
        <v>0.25</v>
      </c>
      <c r="Z27" s="1083" t="str">
        <f t="shared" si="25"/>
        <v>Financiación UPC Régimen Subsidiado - CCF - SSF</v>
      </c>
      <c r="AA27" s="443">
        <v>6618832250</v>
      </c>
      <c r="AB27" s="481">
        <f t="shared" si="39"/>
        <v>0.24367466379737907</v>
      </c>
      <c r="AC27" s="443">
        <v>6451366893</v>
      </c>
      <c r="AD27" s="1064">
        <f t="shared" si="12"/>
        <v>0.97469865518951626</v>
      </c>
      <c r="AE27" s="1064">
        <f t="shared" si="13"/>
        <v>0.97469865518951626</v>
      </c>
      <c r="AF27" s="1064">
        <f t="shared" si="14"/>
        <v>0.24367466379737907</v>
      </c>
      <c r="AG27" s="1064">
        <f t="shared" si="1"/>
        <v>0.23627111549015237</v>
      </c>
      <c r="AH27" s="1060"/>
      <c r="AI27" s="1075">
        <v>0.25</v>
      </c>
      <c r="AJ27" s="1083" t="str">
        <f t="shared" si="26"/>
        <v>Financiación UPC Régimen Subsidiado - CCF - SSF</v>
      </c>
      <c r="AK27" s="529">
        <v>6618832250</v>
      </c>
      <c r="AL27" s="793">
        <f>+(AM27/AK27)*AI27</f>
        <v>0.24367466379737907</v>
      </c>
      <c r="AM27" s="529">
        <v>6451366893</v>
      </c>
      <c r="AN27" s="1064">
        <f t="shared" si="15"/>
        <v>0.97469865518951626</v>
      </c>
      <c r="AO27" s="1064">
        <f t="shared" si="2"/>
        <v>0.97469865518951626</v>
      </c>
      <c r="AP27" s="1064">
        <f t="shared" si="3"/>
        <v>0.48734932759475813</v>
      </c>
      <c r="AQ27" s="1064">
        <f t="shared" si="16"/>
        <v>0.47254223098030473</v>
      </c>
      <c r="AR27" s="804"/>
      <c r="AS27" s="1075">
        <v>0.25</v>
      </c>
      <c r="AT27" s="1083" t="str">
        <f t="shared" si="22"/>
        <v>Financiación UPC Régimen Subsidiado - CCF - SSF</v>
      </c>
      <c r="AU27" s="529">
        <v>6618832250</v>
      </c>
      <c r="AV27" s="934">
        <f t="shared" si="37"/>
        <v>0.24845469085577745</v>
      </c>
      <c r="AW27" s="930">
        <v>6577919682</v>
      </c>
      <c r="AX27" s="1064">
        <f t="shared" si="27"/>
        <v>0.99381876342310982</v>
      </c>
      <c r="AY27" s="1064">
        <f t="shared" si="28"/>
        <v>0.99381876342310982</v>
      </c>
      <c r="AZ27" s="1064">
        <f t="shared" si="29"/>
        <v>0.73580401845053556</v>
      </c>
      <c r="BA27" s="1064">
        <f t="shared" si="30"/>
        <v>0.71344814233950982</v>
      </c>
      <c r="BB27" s="527"/>
      <c r="BC27" s="1075">
        <v>0.25</v>
      </c>
      <c r="BD27" s="1083" t="str">
        <f t="shared" si="24"/>
        <v>Financiación UPC Régimen Subsidiado - CCF - SSF</v>
      </c>
      <c r="BE27" s="528">
        <f>6618832250+829603639</f>
        <v>7448435889</v>
      </c>
      <c r="BF27" s="937">
        <f t="shared" si="38"/>
        <v>0.26261483912867711</v>
      </c>
      <c r="BG27" s="930">
        <v>7824279171</v>
      </c>
      <c r="BH27" s="1056">
        <f t="shared" si="17"/>
        <v>1.0504593565147085</v>
      </c>
      <c r="BI27" s="1056">
        <f t="shared" si="18"/>
        <v>1.0504593565147085</v>
      </c>
      <c r="BJ27" s="1056">
        <f t="shared" si="31"/>
        <v>0.99841885757921267</v>
      </c>
      <c r="BK27" s="1056">
        <f t="shared" si="32"/>
        <v>1</v>
      </c>
      <c r="BL27" s="1665" t="s">
        <v>2179</v>
      </c>
      <c r="BM27" s="477">
        <f t="shared" si="4"/>
        <v>0.97469865518951626</v>
      </c>
      <c r="BN27" s="477">
        <f t="shared" si="5"/>
        <v>0.97469865518951626</v>
      </c>
      <c r="BO27" s="477">
        <f t="shared" si="6"/>
        <v>0.97469865518951626</v>
      </c>
      <c r="BP27" s="477">
        <f t="shared" si="7"/>
        <v>0.97469865518951626</v>
      </c>
      <c r="BQ27" s="477">
        <f t="shared" si="33"/>
        <v>0.99381876342310982</v>
      </c>
      <c r="BR27" s="477">
        <f t="shared" si="34"/>
        <v>0.99381876342310982</v>
      </c>
      <c r="BS27" s="477">
        <f t="shared" si="8"/>
        <v>1.0504593565147085</v>
      </c>
      <c r="BT27" s="828">
        <f t="shared" si="9"/>
        <v>1.0504593565147085</v>
      </c>
    </row>
    <row r="28" spans="1:72" s="404" customFormat="1" ht="51" x14ac:dyDescent="0.25">
      <c r="A28" s="1092">
        <v>11300</v>
      </c>
      <c r="B28" s="1060" t="s">
        <v>4</v>
      </c>
      <c r="C28" s="1068" t="s">
        <v>1209</v>
      </c>
      <c r="D28" s="1059" t="s">
        <v>160</v>
      </c>
      <c r="E28" s="1060" t="s">
        <v>145</v>
      </c>
      <c r="F28" s="1059" t="s">
        <v>161</v>
      </c>
      <c r="G28" s="1060" t="s">
        <v>162</v>
      </c>
      <c r="H28" s="1079" t="s">
        <v>123</v>
      </c>
      <c r="I28" s="1056">
        <v>1</v>
      </c>
      <c r="J28" s="1059" t="s">
        <v>308</v>
      </c>
      <c r="K28" s="1060" t="s">
        <v>175</v>
      </c>
      <c r="L28" s="528">
        <f>2443709066388+705928087467</f>
        <v>3149637153855</v>
      </c>
      <c r="M28" s="466">
        <v>4.9165875725623717E-3</v>
      </c>
      <c r="N28" s="1060" t="s">
        <v>46</v>
      </c>
      <c r="O28" s="1060" t="s">
        <v>68</v>
      </c>
      <c r="P28" s="1060" t="s">
        <v>21</v>
      </c>
      <c r="Q28" s="1060" t="s">
        <v>36</v>
      </c>
      <c r="R28" s="1060" t="s">
        <v>213</v>
      </c>
      <c r="S28" s="1060" t="s">
        <v>182</v>
      </c>
      <c r="T28" s="1060" t="s">
        <v>99</v>
      </c>
      <c r="U28" s="444">
        <v>1</v>
      </c>
      <c r="V28" s="1058" t="str">
        <f t="shared" si="10"/>
        <v>Prestaciones Excepcionales - Recobros</v>
      </c>
      <c r="W28" s="794">
        <f t="shared" si="35"/>
        <v>3149637153855</v>
      </c>
      <c r="X28" s="1097" t="s">
        <v>116</v>
      </c>
      <c r="Y28" s="1056">
        <f>+AC28/W28</f>
        <v>0.16954226850595935</v>
      </c>
      <c r="Z28" s="1083" t="str">
        <f t="shared" si="25"/>
        <v>Prestaciones Excepcionales - Recobros</v>
      </c>
      <c r="AA28" s="443">
        <v>52517697750</v>
      </c>
      <c r="AB28" s="481">
        <f>+(AC28/AA28)*Y28</f>
        <v>1.7238950595778137</v>
      </c>
      <c r="AC28" s="443">
        <v>533996628035.22998</v>
      </c>
      <c r="AD28" s="1064">
        <f t="shared" si="12"/>
        <v>10.167936732055814</v>
      </c>
      <c r="AE28" s="1064">
        <f>+(AC28/AA28)</f>
        <v>10.167936732055814</v>
      </c>
      <c r="AF28" s="1064">
        <f t="shared" si="14"/>
        <v>1.7238950595778137</v>
      </c>
      <c r="AG28" s="1064">
        <f t="shared" si="1"/>
        <v>0.16954226850595935</v>
      </c>
      <c r="AH28" s="1060" t="s">
        <v>979</v>
      </c>
      <c r="AI28" s="1056">
        <f>+AK28/W28</f>
        <v>0.2683500409990594</v>
      </c>
      <c r="AJ28" s="1083" t="str">
        <f t="shared" si="26"/>
        <v>Prestaciones Excepcionales - Recobros</v>
      </c>
      <c r="AK28" s="443">
        <v>845205259369.15002</v>
      </c>
      <c r="AL28" s="793">
        <f>+(AM28/AK28)*AI28</f>
        <v>0.2683500409990594</v>
      </c>
      <c r="AM28" s="529">
        <v>845205259369.15002</v>
      </c>
      <c r="AN28" s="1064">
        <f t="shared" si="15"/>
        <v>1</v>
      </c>
      <c r="AO28" s="1064">
        <f t="shared" si="2"/>
        <v>1</v>
      </c>
      <c r="AP28" s="1064">
        <f t="shared" si="3"/>
        <v>1.9922451005768731</v>
      </c>
      <c r="AQ28" s="1064">
        <f t="shared" si="16"/>
        <v>0.43789230950501873</v>
      </c>
      <c r="AR28" s="1068" t="s">
        <v>1144</v>
      </c>
      <c r="AS28" s="1002">
        <f>+AU28/W28</f>
        <v>0.16898885918983969</v>
      </c>
      <c r="AT28" s="1083" t="str">
        <f t="shared" si="22"/>
        <v>Prestaciones Excepcionales - Recobros</v>
      </c>
      <c r="AU28" s="528">
        <v>532253589491.89001</v>
      </c>
      <c r="AV28" s="934">
        <f t="shared" si="37"/>
        <v>0.28634848348233594</v>
      </c>
      <c r="AW28" s="930">
        <v>901893822526</v>
      </c>
      <c r="AX28" s="1064">
        <f t="shared" si="27"/>
        <v>1.6944814282736598</v>
      </c>
      <c r="AY28" s="1064">
        <f t="shared" si="28"/>
        <v>1.6944814282736598</v>
      </c>
      <c r="AZ28" s="1064">
        <f t="shared" si="29"/>
        <v>2.2785935840592089</v>
      </c>
      <c r="BA28" s="1064">
        <f t="shared" si="30"/>
        <v>0.72424079298735466</v>
      </c>
      <c r="BB28" s="1083" t="s">
        <v>2010</v>
      </c>
      <c r="BC28" s="1002">
        <f>+BE28/W28</f>
        <v>0.39311883130519243</v>
      </c>
      <c r="BD28" s="1083" t="str">
        <f t="shared" si="24"/>
        <v>Prestaciones Excepcionales - Recobros</v>
      </c>
      <c r="BE28" s="528">
        <f>532253589491.89+705928087467</f>
        <v>1238181676958.8901</v>
      </c>
      <c r="BF28" s="937">
        <f t="shared" si="38"/>
        <v>0.27373078451751431</v>
      </c>
      <c r="BG28" s="930">
        <v>862152649070.23999</v>
      </c>
      <c r="BH28" s="1056">
        <f t="shared" si="17"/>
        <v>0.6963054494456592</v>
      </c>
      <c r="BI28" s="1056">
        <f t="shared" si="18"/>
        <v>0.6963054494456592</v>
      </c>
      <c r="BJ28" s="1056">
        <f t="shared" si="31"/>
        <v>2.5523243685767234</v>
      </c>
      <c r="BK28" s="1056">
        <f t="shared" si="32"/>
        <v>0.99797157750486898</v>
      </c>
      <c r="BL28" s="1665" t="s">
        <v>2180</v>
      </c>
      <c r="BM28" s="477">
        <f t="shared" si="4"/>
        <v>10.167936732055814</v>
      </c>
      <c r="BN28" s="477">
        <f t="shared" si="5"/>
        <v>10.167936732055814</v>
      </c>
      <c r="BO28" s="477">
        <f t="shared" si="6"/>
        <v>1</v>
      </c>
      <c r="BP28" s="477">
        <f t="shared" si="7"/>
        <v>1</v>
      </c>
      <c r="BQ28" s="477">
        <f t="shared" si="33"/>
        <v>1.6944814282736598</v>
      </c>
      <c r="BR28" s="477">
        <f t="shared" si="34"/>
        <v>1.6944814282736598</v>
      </c>
      <c r="BS28" s="477">
        <f t="shared" si="8"/>
        <v>0.6963054494456592</v>
      </c>
      <c r="BT28" s="828">
        <f t="shared" si="9"/>
        <v>0.6963054494456592</v>
      </c>
    </row>
    <row r="29" spans="1:72" s="404" customFormat="1" ht="51" x14ac:dyDescent="0.25">
      <c r="A29" s="1092">
        <v>11300</v>
      </c>
      <c r="B29" s="1060" t="s">
        <v>4</v>
      </c>
      <c r="C29" s="1068" t="s">
        <v>1209</v>
      </c>
      <c r="D29" s="1059" t="s">
        <v>160</v>
      </c>
      <c r="E29" s="1060" t="s">
        <v>145</v>
      </c>
      <c r="F29" s="1059" t="s">
        <v>161</v>
      </c>
      <c r="G29" s="1060" t="s">
        <v>162</v>
      </c>
      <c r="H29" s="1079" t="s">
        <v>123</v>
      </c>
      <c r="I29" s="1056">
        <v>1</v>
      </c>
      <c r="J29" s="1059" t="s">
        <v>309</v>
      </c>
      <c r="K29" s="1060" t="s">
        <v>172</v>
      </c>
      <c r="L29" s="528">
        <f>298369468205-48910020710.61</f>
        <v>249459447494.39001</v>
      </c>
      <c r="M29" s="466">
        <v>3.8834487203722474E-3</v>
      </c>
      <c r="N29" s="1060" t="s">
        <v>46</v>
      </c>
      <c r="O29" s="1060" t="s">
        <v>68</v>
      </c>
      <c r="P29" s="1060" t="s">
        <v>21</v>
      </c>
      <c r="Q29" s="1060" t="s">
        <v>36</v>
      </c>
      <c r="R29" s="1060" t="s">
        <v>213</v>
      </c>
      <c r="S29" s="1060" t="s">
        <v>182</v>
      </c>
      <c r="T29" s="1060" t="s">
        <v>99</v>
      </c>
      <c r="U29" s="444">
        <v>1</v>
      </c>
      <c r="V29" s="1058" t="str">
        <f t="shared" si="10"/>
        <v>Atención en salud, transporte primario, indemnizaciones y auxilios funerarios víctimas</v>
      </c>
      <c r="W29" s="794">
        <f t="shared" si="35"/>
        <v>249459447494.39001</v>
      </c>
      <c r="X29" s="1097" t="s">
        <v>116</v>
      </c>
      <c r="Y29" s="1056">
        <v>0.25</v>
      </c>
      <c r="Z29" s="1083" t="str">
        <f t="shared" si="25"/>
        <v>Atención en salud, transporte primario, indemnizaciones y auxilios funerarios víctimas</v>
      </c>
      <c r="AA29" s="443">
        <v>41481979750</v>
      </c>
      <c r="AB29" s="481">
        <f t="shared" si="39"/>
        <v>0.37511077803977039</v>
      </c>
      <c r="AC29" s="443">
        <v>62241350794.610001</v>
      </c>
      <c r="AD29" s="1064">
        <f t="shared" si="12"/>
        <v>1.5004431121590815</v>
      </c>
      <c r="AE29" s="1064">
        <f t="shared" si="13"/>
        <v>1.5004431121590815</v>
      </c>
      <c r="AF29" s="1064">
        <f t="shared" si="14"/>
        <v>0.37511077803977039</v>
      </c>
      <c r="AG29" s="1064">
        <f t="shared" si="1"/>
        <v>0.24950488514174121</v>
      </c>
      <c r="AH29" s="1060"/>
      <c r="AI29" s="1075">
        <v>0.25</v>
      </c>
      <c r="AJ29" s="1083" t="str">
        <f t="shared" si="26"/>
        <v>Atención en salud, transporte primario, indemnizaciones y auxilios funerarios víctimas</v>
      </c>
      <c r="AK29" s="529">
        <v>41481979750</v>
      </c>
      <c r="AL29" s="793">
        <f>+(AM29/AK29)*AI29</f>
        <v>0.33268006801037503</v>
      </c>
      <c r="AM29" s="529">
        <v>55200911377.739998</v>
      </c>
      <c r="AN29" s="1064">
        <f t="shared" si="15"/>
        <v>1.3307202720415001</v>
      </c>
      <c r="AO29" s="1064">
        <f t="shared" si="2"/>
        <v>1.3307202720415001</v>
      </c>
      <c r="AP29" s="1064">
        <f t="shared" si="3"/>
        <v>0.70779084605014542</v>
      </c>
      <c r="AQ29" s="1064">
        <f t="shared" si="16"/>
        <v>0.47078698903552696</v>
      </c>
      <c r="AR29" s="1068" t="s">
        <v>1080</v>
      </c>
      <c r="AS29" s="1075">
        <v>0.25</v>
      </c>
      <c r="AT29" s="1083" t="str">
        <f t="shared" si="22"/>
        <v>Atención en salud, transporte primario, indemnizaciones y auxilios funerarios víctimas</v>
      </c>
      <c r="AU29" s="528">
        <v>40879110158</v>
      </c>
      <c r="AV29" s="934">
        <f t="shared" si="37"/>
        <v>0.25</v>
      </c>
      <c r="AW29" s="930">
        <v>40879110158</v>
      </c>
      <c r="AX29" s="1064">
        <f t="shared" si="27"/>
        <v>1</v>
      </c>
      <c r="AY29" s="1064">
        <f t="shared" si="28"/>
        <v>1</v>
      </c>
      <c r="AZ29" s="1064">
        <f t="shared" si="29"/>
        <v>0.95779084605014542</v>
      </c>
      <c r="BA29" s="1064">
        <f t="shared" si="30"/>
        <v>0.6346577526750532</v>
      </c>
      <c r="BB29" s="1083" t="s">
        <v>2011</v>
      </c>
      <c r="BC29" s="1075">
        <v>0.25</v>
      </c>
      <c r="BD29" s="1083" t="str">
        <f t="shared" si="24"/>
        <v>Atención en salud, transporte primario, indemnizaciones y auxilios funerarios víctimas</v>
      </c>
      <c r="BE29" s="528">
        <f>90463603016.2-48910020710.61</f>
        <v>41553582305.589996</v>
      </c>
      <c r="BF29" s="937">
        <f t="shared" si="38"/>
        <v>0.33037666175301561</v>
      </c>
      <c r="BG29" s="930">
        <v>54913335224</v>
      </c>
      <c r="BH29" s="1056">
        <f t="shared" si="17"/>
        <v>1.3215066470120624</v>
      </c>
      <c r="BI29" s="1056">
        <f t="shared" si="18"/>
        <v>1.3215066470120624</v>
      </c>
      <c r="BJ29" s="1056">
        <f t="shared" si="31"/>
        <v>1.2881675078031609</v>
      </c>
      <c r="BK29" s="1056">
        <f t="shared" si="32"/>
        <v>0.85478705936420929</v>
      </c>
      <c r="BL29" s="1665" t="s">
        <v>2181</v>
      </c>
      <c r="BM29" s="477">
        <f t="shared" si="4"/>
        <v>1.5004431121590815</v>
      </c>
      <c r="BN29" s="477">
        <f t="shared" si="5"/>
        <v>1.5004431121590815</v>
      </c>
      <c r="BO29" s="477">
        <f t="shared" si="6"/>
        <v>1.3307202720415001</v>
      </c>
      <c r="BP29" s="477">
        <f t="shared" si="7"/>
        <v>1.3307202720415001</v>
      </c>
      <c r="BQ29" s="477">
        <f t="shared" si="33"/>
        <v>1</v>
      </c>
      <c r="BR29" s="477">
        <f t="shared" si="34"/>
        <v>1</v>
      </c>
      <c r="BS29" s="477">
        <f t="shared" si="8"/>
        <v>1.3215066470120624</v>
      </c>
      <c r="BT29" s="828">
        <f t="shared" si="9"/>
        <v>1.3215066470120624</v>
      </c>
    </row>
    <row r="30" spans="1:72" s="404" customFormat="1" ht="51" x14ac:dyDescent="0.25">
      <c r="A30" s="1092">
        <v>11300</v>
      </c>
      <c r="B30" s="1060" t="s">
        <v>4</v>
      </c>
      <c r="C30" s="1068" t="s">
        <v>1209</v>
      </c>
      <c r="D30" s="1059" t="s">
        <v>160</v>
      </c>
      <c r="E30" s="1060" t="s">
        <v>145</v>
      </c>
      <c r="F30" s="1059" t="s">
        <v>161</v>
      </c>
      <c r="G30" s="1060" t="s">
        <v>162</v>
      </c>
      <c r="H30" s="1079" t="s">
        <v>123</v>
      </c>
      <c r="I30" s="1056">
        <v>1</v>
      </c>
      <c r="J30" s="1059" t="s">
        <v>310</v>
      </c>
      <c r="K30" s="1060" t="s">
        <v>176</v>
      </c>
      <c r="L30" s="794">
        <v>3872113000</v>
      </c>
      <c r="M30" s="466">
        <v>9.0624605947036218E-5</v>
      </c>
      <c r="N30" s="1060" t="s">
        <v>46</v>
      </c>
      <c r="O30" s="1060" t="s">
        <v>68</v>
      </c>
      <c r="P30" s="1060" t="s">
        <v>21</v>
      </c>
      <c r="Q30" s="1060" t="s">
        <v>36</v>
      </c>
      <c r="R30" s="1060" t="s">
        <v>213</v>
      </c>
      <c r="S30" s="1060" t="s">
        <v>182</v>
      </c>
      <c r="T30" s="1060" t="s">
        <v>99</v>
      </c>
      <c r="U30" s="444">
        <v>1</v>
      </c>
      <c r="V30" s="1058" t="str">
        <f t="shared" si="10"/>
        <v>Fortalecimiento red de urgencias nacional, emergencias sanitarias y eventos catastróficos</v>
      </c>
      <c r="W30" s="794">
        <f t="shared" si="35"/>
        <v>3872113000</v>
      </c>
      <c r="X30" s="1097" t="s">
        <v>116</v>
      </c>
      <c r="Y30" s="1056">
        <v>0.25</v>
      </c>
      <c r="Z30" s="1083" t="str">
        <f t="shared" si="25"/>
        <v>Fortalecimiento red de urgencias nacional, emergencias sanitarias y eventos catastróficos</v>
      </c>
      <c r="AA30" s="443">
        <v>968028250</v>
      </c>
      <c r="AB30" s="481">
        <f t="shared" si="39"/>
        <v>0</v>
      </c>
      <c r="AC30" s="443">
        <v>0</v>
      </c>
      <c r="AD30" s="1064">
        <f t="shared" si="12"/>
        <v>0</v>
      </c>
      <c r="AE30" s="1064">
        <f t="shared" si="13"/>
        <v>0</v>
      </c>
      <c r="AF30" s="1064">
        <f t="shared" si="14"/>
        <v>0</v>
      </c>
      <c r="AG30" s="1064">
        <f t="shared" si="1"/>
        <v>0</v>
      </c>
      <c r="AH30" s="1060"/>
      <c r="AI30" s="1075">
        <v>0.25</v>
      </c>
      <c r="AJ30" s="1083" t="str">
        <f t="shared" si="26"/>
        <v>Fortalecimiento red de urgencias nacional, emergencias sanitarias y eventos catastróficos</v>
      </c>
      <c r="AK30" s="529">
        <v>968028250</v>
      </c>
      <c r="AL30" s="793">
        <f t="shared" si="36"/>
        <v>0</v>
      </c>
      <c r="AM30" s="529">
        <v>0</v>
      </c>
      <c r="AN30" s="1064">
        <f t="shared" si="15"/>
        <v>0</v>
      </c>
      <c r="AO30" s="1064">
        <f t="shared" si="2"/>
        <v>0</v>
      </c>
      <c r="AP30" s="1064">
        <f t="shared" si="3"/>
        <v>0</v>
      </c>
      <c r="AQ30" s="1064">
        <f t="shared" si="16"/>
        <v>0</v>
      </c>
      <c r="AR30" s="804"/>
      <c r="AS30" s="1075">
        <v>0.25</v>
      </c>
      <c r="AT30" s="1083" t="str">
        <f t="shared" si="22"/>
        <v>Fortalecimiento red de urgencias nacional, emergencias sanitarias y eventos catastróficos</v>
      </c>
      <c r="AU30" s="528">
        <v>1936056500</v>
      </c>
      <c r="AV30" s="934">
        <f t="shared" si="37"/>
        <v>0</v>
      </c>
      <c r="AW30" s="930">
        <v>0</v>
      </c>
      <c r="AX30" s="1064">
        <f t="shared" si="27"/>
        <v>0</v>
      </c>
      <c r="AY30" s="1064">
        <f t="shared" si="28"/>
        <v>0</v>
      </c>
      <c r="AZ30" s="1064">
        <f t="shared" si="29"/>
        <v>0</v>
      </c>
      <c r="BA30" s="1064">
        <f t="shared" si="30"/>
        <v>0</v>
      </c>
      <c r="BB30" s="1083" t="s">
        <v>2011</v>
      </c>
      <c r="BC30" s="1075">
        <v>0.25</v>
      </c>
      <c r="BD30" s="1083" t="str">
        <f t="shared" si="24"/>
        <v>Fortalecimiento red de urgencias nacional, emergencias sanitarias y eventos catastróficos</v>
      </c>
      <c r="BE30" s="443">
        <v>1936056500</v>
      </c>
      <c r="BF30" s="937">
        <f t="shared" si="38"/>
        <v>0.5</v>
      </c>
      <c r="BG30" s="930">
        <v>3872113000</v>
      </c>
      <c r="BH30" s="1056">
        <f t="shared" si="17"/>
        <v>2</v>
      </c>
      <c r="BI30" s="1056">
        <f t="shared" si="18"/>
        <v>2</v>
      </c>
      <c r="BJ30" s="1056">
        <f t="shared" si="31"/>
        <v>0.5</v>
      </c>
      <c r="BK30" s="1056">
        <f t="shared" si="32"/>
        <v>1</v>
      </c>
      <c r="BL30" s="1665"/>
      <c r="BM30" s="477">
        <f t="shared" si="4"/>
        <v>0</v>
      </c>
      <c r="BN30" s="477">
        <f t="shared" si="5"/>
        <v>0</v>
      </c>
      <c r="BO30" s="477">
        <f t="shared" si="6"/>
        <v>0</v>
      </c>
      <c r="BP30" s="477">
        <f t="shared" si="7"/>
        <v>0</v>
      </c>
      <c r="BQ30" s="477">
        <f t="shared" si="33"/>
        <v>0</v>
      </c>
      <c r="BR30" s="477">
        <f t="shared" si="34"/>
        <v>0</v>
      </c>
      <c r="BS30" s="477">
        <f t="shared" si="8"/>
        <v>2</v>
      </c>
      <c r="BT30" s="828">
        <f t="shared" si="9"/>
        <v>2</v>
      </c>
    </row>
    <row r="31" spans="1:72" s="404" customFormat="1" ht="51" x14ac:dyDescent="0.25">
      <c r="A31" s="1092">
        <v>11300</v>
      </c>
      <c r="B31" s="1060" t="s">
        <v>4</v>
      </c>
      <c r="C31" s="1068" t="s">
        <v>1209</v>
      </c>
      <c r="D31" s="1059" t="s">
        <v>160</v>
      </c>
      <c r="E31" s="1060" t="s">
        <v>145</v>
      </c>
      <c r="F31" s="1059" t="s">
        <v>161</v>
      </c>
      <c r="G31" s="1060" t="s">
        <v>162</v>
      </c>
      <c r="H31" s="1079" t="s">
        <v>123</v>
      </c>
      <c r="I31" s="1056">
        <v>1</v>
      </c>
      <c r="J31" s="1059" t="s">
        <v>311</v>
      </c>
      <c r="K31" s="1060" t="s">
        <v>177</v>
      </c>
      <c r="L31" s="528">
        <f>75379386353-4363199915</f>
        <v>71016186438</v>
      </c>
      <c r="M31" s="466">
        <v>4.9135456751127002E-4</v>
      </c>
      <c r="N31" s="1060" t="s">
        <v>46</v>
      </c>
      <c r="O31" s="1060" t="s">
        <v>68</v>
      </c>
      <c r="P31" s="1060" t="s">
        <v>21</v>
      </c>
      <c r="Q31" s="1060" t="s">
        <v>36</v>
      </c>
      <c r="R31" s="1060" t="s">
        <v>213</v>
      </c>
      <c r="S31" s="1060" t="s">
        <v>182</v>
      </c>
      <c r="T31" s="1060" t="s">
        <v>99</v>
      </c>
      <c r="U31" s="444">
        <v>1</v>
      </c>
      <c r="V31" s="1058" t="str">
        <f t="shared" si="10"/>
        <v>Otros programas de salud promoción y prevención</v>
      </c>
      <c r="W31" s="794">
        <f t="shared" si="35"/>
        <v>71016186438</v>
      </c>
      <c r="X31" s="1097" t="s">
        <v>116</v>
      </c>
      <c r="Y31" s="1056">
        <f>+AA31/W31</f>
        <v>7.3905975007291763E-2</v>
      </c>
      <c r="Z31" s="1083" t="str">
        <f t="shared" si="25"/>
        <v>Otros programas de salud promoción y prevención</v>
      </c>
      <c r="AA31" s="443">
        <v>5248520500</v>
      </c>
      <c r="AB31" s="481">
        <f>+(AC31/AA31)*Y31</f>
        <v>2.7353518929039064E-4</v>
      </c>
      <c r="AC31" s="443">
        <v>19425426</v>
      </c>
      <c r="AD31" s="466">
        <f t="shared" si="12"/>
        <v>3.7011241548927936E-3</v>
      </c>
      <c r="AE31" s="466">
        <f t="shared" si="13"/>
        <v>3.7011241548927931E-3</v>
      </c>
      <c r="AF31" s="466">
        <f t="shared" si="14"/>
        <v>2.7353518929039064E-4</v>
      </c>
      <c r="AG31" s="466">
        <f t="shared" si="1"/>
        <v>2.7353518929039059E-4</v>
      </c>
      <c r="AH31" s="1060" t="s">
        <v>979</v>
      </c>
      <c r="AI31" s="1075">
        <f>+AK31/W31</f>
        <v>7.45374590428243E-2</v>
      </c>
      <c r="AJ31" s="1083" t="str">
        <f t="shared" si="26"/>
        <v>Otros programas de salud promoción y prevención</v>
      </c>
      <c r="AK31" s="443">
        <v>5293366088</v>
      </c>
      <c r="AL31" s="793">
        <f>+(AM31/AK31)*AI31</f>
        <v>0</v>
      </c>
      <c r="AM31" s="529">
        <v>0</v>
      </c>
      <c r="AN31" s="1064">
        <f t="shared" si="15"/>
        <v>0</v>
      </c>
      <c r="AO31" s="1064">
        <f t="shared" si="2"/>
        <v>0</v>
      </c>
      <c r="AP31" s="1064">
        <f t="shared" si="3"/>
        <v>2.7353518929039064E-4</v>
      </c>
      <c r="AQ31" s="1064">
        <f t="shared" si="16"/>
        <v>2.7353518929039059E-4</v>
      </c>
      <c r="AR31" s="1068" t="s">
        <v>1080</v>
      </c>
      <c r="AS31" s="1075">
        <v>0.43</v>
      </c>
      <c r="AT31" s="1083" t="str">
        <f t="shared" si="22"/>
        <v>Otros programas de salud promoción y prevención</v>
      </c>
      <c r="AU31" s="528">
        <v>37679980463.5</v>
      </c>
      <c r="AV31" s="934">
        <f t="shared" si="37"/>
        <v>8.8262966410547863E-5</v>
      </c>
      <c r="AW31" s="930">
        <v>7734295</v>
      </c>
      <c r="AX31" s="1064">
        <f t="shared" si="27"/>
        <v>2.0526271258266944E-4</v>
      </c>
      <c r="AY31" s="1064">
        <f t="shared" si="28"/>
        <v>2.0526271258266944E-4</v>
      </c>
      <c r="AZ31" s="1064">
        <f t="shared" si="29"/>
        <v>3.6179815570093851E-4</v>
      </c>
      <c r="BA31" s="1064">
        <f t="shared" si="30"/>
        <v>3.8244409285074094E-4</v>
      </c>
      <c r="BB31" s="1083" t="s">
        <v>2011</v>
      </c>
      <c r="BC31" s="1075">
        <v>0.43</v>
      </c>
      <c r="BD31" s="1083" t="str">
        <f t="shared" si="24"/>
        <v>Otros programas de salud promoción y prevención</v>
      </c>
      <c r="BE31" s="528">
        <f>37679980463.5-4363199915</f>
        <v>33316780548.5</v>
      </c>
      <c r="BF31" s="937">
        <f t="shared" si="38"/>
        <v>0.88058211395070929</v>
      </c>
      <c r="BG31" s="930">
        <v>68228281501</v>
      </c>
      <c r="BH31" s="1056">
        <f t="shared" si="17"/>
        <v>2.0478653812807193</v>
      </c>
      <c r="BI31" s="1056">
        <f t="shared" si="18"/>
        <v>2.0478653812807193</v>
      </c>
      <c r="BJ31" s="1056">
        <f t="shared" si="31"/>
        <v>0.88094391210641021</v>
      </c>
      <c r="BK31" s="1056">
        <f t="shared" si="32"/>
        <v>0.96112512717913623</v>
      </c>
      <c r="BL31" s="1665" t="s">
        <v>2182</v>
      </c>
      <c r="BM31" s="477">
        <f t="shared" si="4"/>
        <v>3.7011241548927936E-3</v>
      </c>
      <c r="BN31" s="477">
        <f t="shared" si="5"/>
        <v>3.7011241548927931E-3</v>
      </c>
      <c r="BO31" s="477">
        <f t="shared" si="6"/>
        <v>0</v>
      </c>
      <c r="BP31" s="477">
        <f t="shared" si="7"/>
        <v>0</v>
      </c>
      <c r="BQ31" s="477">
        <f t="shared" si="33"/>
        <v>2.0526271258266944E-4</v>
      </c>
      <c r="BR31" s="477">
        <f t="shared" si="34"/>
        <v>2.0526271258266944E-4</v>
      </c>
      <c r="BS31" s="477">
        <f t="shared" si="8"/>
        <v>2.0478653812807193</v>
      </c>
      <c r="BT31" s="828">
        <f t="shared" si="9"/>
        <v>2.0478653812807193</v>
      </c>
    </row>
    <row r="32" spans="1:72" s="404" customFormat="1" ht="51" x14ac:dyDescent="0.25">
      <c r="A32" s="1092">
        <v>11300</v>
      </c>
      <c r="B32" s="1060" t="s">
        <v>4</v>
      </c>
      <c r="C32" s="1068" t="s">
        <v>1209</v>
      </c>
      <c r="D32" s="1059" t="s">
        <v>160</v>
      </c>
      <c r="E32" s="1060" t="s">
        <v>145</v>
      </c>
      <c r="F32" s="1059" t="s">
        <v>161</v>
      </c>
      <c r="G32" s="1060" t="s">
        <v>162</v>
      </c>
      <c r="H32" s="1079" t="s">
        <v>123</v>
      </c>
      <c r="I32" s="1056">
        <v>1</v>
      </c>
      <c r="J32" s="1059" t="s">
        <v>312</v>
      </c>
      <c r="K32" s="1060" t="s">
        <v>178</v>
      </c>
      <c r="L32" s="528">
        <f>16509434574+36153000000</f>
        <v>52662434574</v>
      </c>
      <c r="M32" s="466">
        <v>3.7813179338788E-3</v>
      </c>
      <c r="N32" s="1060" t="s">
        <v>46</v>
      </c>
      <c r="O32" s="1060" t="s">
        <v>68</v>
      </c>
      <c r="P32" s="1060" t="s">
        <v>21</v>
      </c>
      <c r="Q32" s="1060" t="s">
        <v>36</v>
      </c>
      <c r="R32" s="1060" t="s">
        <v>213</v>
      </c>
      <c r="S32" s="1060" t="s">
        <v>182</v>
      </c>
      <c r="T32" s="1060" t="s">
        <v>99</v>
      </c>
      <c r="U32" s="444">
        <v>1</v>
      </c>
      <c r="V32" s="1058" t="str">
        <f t="shared" si="10"/>
        <v>Recursos con destinación especifica</v>
      </c>
      <c r="W32" s="794">
        <f t="shared" si="35"/>
        <v>52662434574</v>
      </c>
      <c r="X32" s="1097" t="s">
        <v>116</v>
      </c>
      <c r="Y32" s="1056">
        <v>0.25</v>
      </c>
      <c r="Z32" s="1083" t="str">
        <f t="shared" si="25"/>
        <v>Recursos con destinación especifica</v>
      </c>
      <c r="AA32" s="443">
        <v>40391045500</v>
      </c>
      <c r="AB32" s="481">
        <f t="shared" si="39"/>
        <v>1.7306364600044829E-3</v>
      </c>
      <c r="AC32" s="443">
        <v>279608864</v>
      </c>
      <c r="AD32" s="466">
        <f t="shared" si="12"/>
        <v>6.9225458400179315E-3</v>
      </c>
      <c r="AE32" s="466">
        <f t="shared" si="13"/>
        <v>6.9225458400179315E-3</v>
      </c>
      <c r="AF32" s="466">
        <f t="shared" si="14"/>
        <v>1.7306364600044829E-3</v>
      </c>
      <c r="AG32" s="466">
        <f>+(AC32/W32)</f>
        <v>5.3094557109223707E-3</v>
      </c>
      <c r="AH32" s="1060"/>
      <c r="AI32" s="1075">
        <v>0.25</v>
      </c>
      <c r="AJ32" s="1083" t="str">
        <f t="shared" si="26"/>
        <v>Recursos con destinación especifica</v>
      </c>
      <c r="AK32" s="529">
        <v>40391045500</v>
      </c>
      <c r="AL32" s="793">
        <f t="shared" si="36"/>
        <v>3.4039135140733111E-2</v>
      </c>
      <c r="AM32" s="529">
        <v>5499505025</v>
      </c>
      <c r="AN32" s="1064">
        <f t="shared" si="15"/>
        <v>0.13615654056293244</v>
      </c>
      <c r="AO32" s="1064">
        <f t="shared" si="2"/>
        <v>0.13615654056293244</v>
      </c>
      <c r="AP32" s="1064">
        <f t="shared" si="3"/>
        <v>3.576977160073759E-2</v>
      </c>
      <c r="AQ32" s="1064">
        <f t="shared" si="16"/>
        <v>0.10973882874479202</v>
      </c>
      <c r="AR32" s="804"/>
      <c r="AS32" s="1075">
        <v>0.25</v>
      </c>
      <c r="AT32" s="1083" t="str">
        <f t="shared" si="22"/>
        <v>Recursos con destinación especifica</v>
      </c>
      <c r="AU32" s="528">
        <v>5225355910.5</v>
      </c>
      <c r="AV32" s="934">
        <f t="shared" si="37"/>
        <v>0.16215022340342838</v>
      </c>
      <c r="AW32" s="930">
        <v>3389170513</v>
      </c>
      <c r="AX32" s="1064">
        <f t="shared" si="27"/>
        <v>0.64860089361371354</v>
      </c>
      <c r="AY32" s="1064">
        <f t="shared" si="28"/>
        <v>0.64860089361371354</v>
      </c>
      <c r="AZ32" s="1064">
        <f t="shared" si="29"/>
        <v>0.19791999500416596</v>
      </c>
      <c r="BA32" s="1064">
        <f t="shared" si="30"/>
        <v>0.17409533904318353</v>
      </c>
      <c r="BB32" s="1083" t="s">
        <v>2013</v>
      </c>
      <c r="BC32" s="1075">
        <v>0.25</v>
      </c>
      <c r="BD32" s="1083" t="str">
        <f t="shared" si="24"/>
        <v>Recursos con destinación especifica</v>
      </c>
      <c r="BE32" s="528">
        <f>5225355910.5+36153000000</f>
        <v>41378355910.5</v>
      </c>
      <c r="BF32" s="937">
        <f t="shared" si="38"/>
        <v>9.9089669219060445E-3</v>
      </c>
      <c r="BG32" s="930">
        <v>1640067040</v>
      </c>
      <c r="BH32" s="1056">
        <f t="shared" si="17"/>
        <v>3.9635867687624178E-2</v>
      </c>
      <c r="BI32" s="1056">
        <f t="shared" si="18"/>
        <v>3.9635867687624178E-2</v>
      </c>
      <c r="BJ32" s="1056">
        <f t="shared" si="31"/>
        <v>0.207828961926072</v>
      </c>
      <c r="BK32" s="1056">
        <f t="shared" si="32"/>
        <v>0.20523835499500809</v>
      </c>
      <c r="BL32" s="1665" t="s">
        <v>2183</v>
      </c>
      <c r="BM32" s="477">
        <f t="shared" si="4"/>
        <v>6.9225458400179315E-3</v>
      </c>
      <c r="BN32" s="477">
        <f t="shared" si="5"/>
        <v>6.9225458400179315E-3</v>
      </c>
      <c r="BO32" s="477">
        <f t="shared" si="6"/>
        <v>0.13615654056293244</v>
      </c>
      <c r="BP32" s="477">
        <f t="shared" si="7"/>
        <v>0.13615654056293244</v>
      </c>
      <c r="BQ32" s="477">
        <f t="shared" si="33"/>
        <v>0.64860089361371354</v>
      </c>
      <c r="BR32" s="477">
        <f t="shared" si="34"/>
        <v>0.64860089361371354</v>
      </c>
      <c r="BS32" s="477">
        <f t="shared" si="8"/>
        <v>3.9635867687624178E-2</v>
      </c>
      <c r="BT32" s="828">
        <f t="shared" si="9"/>
        <v>3.9635867687624178E-2</v>
      </c>
    </row>
    <row r="33" spans="1:72" s="404" customFormat="1" ht="51" x14ac:dyDescent="0.25">
      <c r="A33" s="1092">
        <v>11300</v>
      </c>
      <c r="B33" s="1060" t="s">
        <v>4</v>
      </c>
      <c r="C33" s="1068" t="s">
        <v>1209</v>
      </c>
      <c r="D33" s="1059" t="s">
        <v>160</v>
      </c>
      <c r="E33" s="1060" t="s">
        <v>145</v>
      </c>
      <c r="F33" s="1059" t="s">
        <v>161</v>
      </c>
      <c r="G33" s="1060" t="s">
        <v>162</v>
      </c>
      <c r="H33" s="1079" t="s">
        <v>123</v>
      </c>
      <c r="I33" s="1056">
        <v>1</v>
      </c>
      <c r="J33" s="1059" t="s">
        <v>313</v>
      </c>
      <c r="K33" s="1060" t="s">
        <v>179</v>
      </c>
      <c r="L33" s="528">
        <f>51737471000+34491646806</f>
        <v>86229117806</v>
      </c>
      <c r="M33" s="466">
        <v>1.2108861291163801E-3</v>
      </c>
      <c r="N33" s="1060" t="s">
        <v>46</v>
      </c>
      <c r="O33" s="1060" t="s">
        <v>68</v>
      </c>
      <c r="P33" s="1060" t="s">
        <v>21</v>
      </c>
      <c r="Q33" s="1060" t="s">
        <v>36</v>
      </c>
      <c r="R33" s="1060" t="s">
        <v>213</v>
      </c>
      <c r="S33" s="1060" t="s">
        <v>182</v>
      </c>
      <c r="T33" s="1060" t="s">
        <v>99</v>
      </c>
      <c r="U33" s="444">
        <v>1</v>
      </c>
      <c r="V33" s="1058" t="str">
        <f t="shared" si="10"/>
        <v>FONSAET</v>
      </c>
      <c r="W33" s="794">
        <f t="shared" si="35"/>
        <v>86229117806</v>
      </c>
      <c r="X33" s="1097" t="s">
        <v>116</v>
      </c>
      <c r="Y33" s="1056">
        <v>0.25</v>
      </c>
      <c r="Z33" s="1083" t="str">
        <f t="shared" si="25"/>
        <v>FONSAET</v>
      </c>
      <c r="AA33" s="443">
        <v>12934367750</v>
      </c>
      <c r="AB33" s="481">
        <f t="shared" si="39"/>
        <v>0</v>
      </c>
      <c r="AC33" s="443">
        <v>0</v>
      </c>
      <c r="AD33" s="1064">
        <f t="shared" si="12"/>
        <v>0</v>
      </c>
      <c r="AE33" s="1064">
        <f t="shared" si="13"/>
        <v>0</v>
      </c>
      <c r="AF33" s="1064">
        <f t="shared" si="14"/>
        <v>0</v>
      </c>
      <c r="AG33" s="1064">
        <f t="shared" si="1"/>
        <v>0</v>
      </c>
      <c r="AH33" s="1060"/>
      <c r="AI33" s="1075">
        <v>0.25</v>
      </c>
      <c r="AJ33" s="1083" t="str">
        <f t="shared" si="26"/>
        <v>FONSAET</v>
      </c>
      <c r="AK33" s="529">
        <v>12934367750</v>
      </c>
      <c r="AL33" s="793">
        <f t="shared" si="36"/>
        <v>0</v>
      </c>
      <c r="AM33" s="529">
        <v>0</v>
      </c>
      <c r="AN33" s="1064">
        <f>+(AL33/AI33)</f>
        <v>0</v>
      </c>
      <c r="AO33" s="1064">
        <f>+(AM33/AK33)</f>
        <v>0</v>
      </c>
      <c r="AP33" s="1064">
        <f>+(AL33+AB33)/U33</f>
        <v>0</v>
      </c>
      <c r="AQ33" s="1064">
        <f>+(AM33+AC33)/W33</f>
        <v>0</v>
      </c>
      <c r="AR33" s="804"/>
      <c r="AS33" s="1075">
        <v>0.25</v>
      </c>
      <c r="AT33" s="1083" t="str">
        <f t="shared" si="22"/>
        <v>FONSAET</v>
      </c>
      <c r="AU33" s="529">
        <v>12934367750</v>
      </c>
      <c r="AV33" s="934">
        <f t="shared" si="37"/>
        <v>0</v>
      </c>
      <c r="AW33" s="930">
        <v>0</v>
      </c>
      <c r="AX33" s="1064">
        <f t="shared" si="27"/>
        <v>0</v>
      </c>
      <c r="AY33" s="1064">
        <f t="shared" si="28"/>
        <v>0</v>
      </c>
      <c r="AZ33" s="1064">
        <f t="shared" si="29"/>
        <v>0</v>
      </c>
      <c r="BA33" s="1064">
        <f t="shared" si="30"/>
        <v>0</v>
      </c>
      <c r="BB33" s="527"/>
      <c r="BC33" s="1075">
        <v>0.25</v>
      </c>
      <c r="BD33" s="1083" t="str">
        <f t="shared" si="24"/>
        <v>FONSAET</v>
      </c>
      <c r="BE33" s="528">
        <f>12934367750+34491646806</f>
        <v>47426014556</v>
      </c>
      <c r="BF33" s="937">
        <f t="shared" si="38"/>
        <v>0.45454545681981046</v>
      </c>
      <c r="BG33" s="930">
        <v>86229117806</v>
      </c>
      <c r="BH33" s="1056">
        <f t="shared" si="17"/>
        <v>1.8181818272792418</v>
      </c>
      <c r="BI33" s="1056">
        <f t="shared" si="18"/>
        <v>1.8181818272792418</v>
      </c>
      <c r="BJ33" s="1056">
        <f>+(AL33+AB33+AV33+BF33)/U33</f>
        <v>0.45454545681981046</v>
      </c>
      <c r="BK33" s="1056">
        <f>+(AM33+AC33+AW33+BG33)/W33</f>
        <v>1</v>
      </c>
      <c r="BL33" s="1665" t="s">
        <v>2183</v>
      </c>
      <c r="BM33" s="477">
        <f>IF(AND(Y33=0,AB33=0),"No Prog ni Ejec",IF(Y33=0,CONCATENATE("No Prog, Ejec=  ",AB33),AB33/Y33))</f>
        <v>0</v>
      </c>
      <c r="BN33" s="477">
        <f>IF(AND(AA33=0,AC33=0),"No Prog ni Ejec",IF(AA33=0,CONCATENATE("No Prog, Ejec=  ",AC33),AC33/AA33))</f>
        <v>0</v>
      </c>
      <c r="BO33" s="477">
        <f>IF(AND(AI33=0,AL33=0),"No Prog ni Ejec",IF(AI33=0,CONCATENATE("No Prog, Ejec=  ",AL33),AL33/AI33))</f>
        <v>0</v>
      </c>
      <c r="BP33" s="477">
        <f>IF(AND(AK33=0,AM33=0),"No Prog ni Ejec",IF(AK33=0,CONCATENATE("No Prog, Ejec=  ",AM33),AM33/AK33))</f>
        <v>0</v>
      </c>
      <c r="BQ33" s="477">
        <f>IF(AND(AS33=0,AV33=0),"No Prog ni Ejec",IF(AS33=0,CONCATENATE("No Prog, Ejec=  ",AV33),AV33/AS33))</f>
        <v>0</v>
      </c>
      <c r="BR33" s="477">
        <f t="shared" si="34"/>
        <v>0</v>
      </c>
      <c r="BS33" s="477">
        <f>IF(AND(BC33=0,BF33=0),"No Prog ni Ejec",IF(BC33=0,CONCATENATE("No Prog, Ejec=  ",BF33),BF33/BC33))</f>
        <v>1.8181818272792418</v>
      </c>
      <c r="BT33" s="828">
        <f>IF(AND(BE33=0,BG33=0),"No Prog ni Ejec",IF(BE33=0,CONCATENATE("No Prog, Ejec=  ",BG33),BG33/BE33))</f>
        <v>1.8181818272792418</v>
      </c>
    </row>
    <row r="34" spans="1:72" s="404" customFormat="1" ht="51" x14ac:dyDescent="0.25">
      <c r="A34" s="1092">
        <v>11300</v>
      </c>
      <c r="B34" s="1060" t="s">
        <v>4</v>
      </c>
      <c r="C34" s="1068" t="s">
        <v>1209</v>
      </c>
      <c r="D34" s="1059" t="s">
        <v>160</v>
      </c>
      <c r="E34" s="1060" t="s">
        <v>145</v>
      </c>
      <c r="F34" s="1059" t="s">
        <v>161</v>
      </c>
      <c r="G34" s="1060" t="s">
        <v>162</v>
      </c>
      <c r="H34" s="1079" t="s">
        <v>123</v>
      </c>
      <c r="I34" s="1056">
        <v>1</v>
      </c>
      <c r="J34" s="1059" t="s">
        <v>314</v>
      </c>
      <c r="K34" s="1060" t="s">
        <v>180</v>
      </c>
      <c r="L34" s="794">
        <v>6879416000</v>
      </c>
      <c r="M34" s="466">
        <v>1.1553401328696884E-4</v>
      </c>
      <c r="N34" s="1060" t="s">
        <v>46</v>
      </c>
      <c r="O34" s="1060" t="s">
        <v>68</v>
      </c>
      <c r="P34" s="1060" t="s">
        <v>21</v>
      </c>
      <c r="Q34" s="1060" t="s">
        <v>36</v>
      </c>
      <c r="R34" s="1060" t="s">
        <v>213</v>
      </c>
      <c r="S34" s="1060" t="s">
        <v>182</v>
      </c>
      <c r="T34" s="1060" t="s">
        <v>99</v>
      </c>
      <c r="U34" s="444">
        <v>1</v>
      </c>
      <c r="V34" s="1058" t="str">
        <f t="shared" si="10"/>
        <v>Rendimientos Financieros cuentas de recaudo EPS - SSF</v>
      </c>
      <c r="W34" s="794">
        <f t="shared" si="35"/>
        <v>6879416000</v>
      </c>
      <c r="X34" s="1097" t="s">
        <v>116</v>
      </c>
      <c r="Y34" s="1056">
        <v>0.25</v>
      </c>
      <c r="Z34" s="1083" t="str">
        <f t="shared" si="25"/>
        <v>Rendimientos Financieros cuentas de recaudo EPS - SSF</v>
      </c>
      <c r="AA34" s="443">
        <v>1234104000</v>
      </c>
      <c r="AB34" s="481">
        <f t="shared" si="39"/>
        <v>0.26111160951589168</v>
      </c>
      <c r="AC34" s="443">
        <v>1288955527</v>
      </c>
      <c r="AD34" s="1064">
        <f t="shared" si="12"/>
        <v>1.0444464380635667</v>
      </c>
      <c r="AE34" s="1064">
        <f t="shared" si="13"/>
        <v>1.0444464380635667</v>
      </c>
      <c r="AF34" s="1064">
        <f t="shared" si="14"/>
        <v>0.26111160951589168</v>
      </c>
      <c r="AG34" s="1064">
        <f t="shared" si="1"/>
        <v>0.18736409122518538</v>
      </c>
      <c r="AH34" s="1060"/>
      <c r="AI34" s="1075">
        <v>0.25</v>
      </c>
      <c r="AJ34" s="1083" t="str">
        <f t="shared" si="26"/>
        <v>Rendimientos Financieros cuentas de recaudo EPS - SSF</v>
      </c>
      <c r="AK34" s="529">
        <v>1234104000</v>
      </c>
      <c r="AL34" s="793">
        <f>+(AM34/AK34)*AI34</f>
        <v>0.38625807326611045</v>
      </c>
      <c r="AM34" s="529">
        <v>1906730533</v>
      </c>
      <c r="AN34" s="1064">
        <f t="shared" si="15"/>
        <v>1.5450322930644418</v>
      </c>
      <c r="AO34" s="1064">
        <f t="shared" si="2"/>
        <v>1.5450322930644418</v>
      </c>
      <c r="AP34" s="1064">
        <f t="shared" si="3"/>
        <v>0.64736968278200213</v>
      </c>
      <c r="AQ34" s="1064">
        <f t="shared" si="16"/>
        <v>0.46452868383013907</v>
      </c>
      <c r="AR34" s="804"/>
      <c r="AS34" s="1075">
        <v>0.25</v>
      </c>
      <c r="AT34" s="1083" t="str">
        <f t="shared" si="22"/>
        <v>Rendimientos Financieros cuentas de recaudo EPS - SSF</v>
      </c>
      <c r="AU34" s="528">
        <v>1841864970</v>
      </c>
      <c r="AV34" s="934">
        <f t="shared" si="37"/>
        <v>0.15314011957673532</v>
      </c>
      <c r="AW34" s="930">
        <v>1128253687</v>
      </c>
      <c r="AX34" s="1064">
        <f t="shared" si="27"/>
        <v>0.61256047830694127</v>
      </c>
      <c r="AY34" s="1064">
        <f t="shared" si="28"/>
        <v>0.61256047830694127</v>
      </c>
      <c r="AZ34" s="1064">
        <f t="shared" si="29"/>
        <v>0.80050980235873748</v>
      </c>
      <c r="BA34" s="1064">
        <f t="shared" si="30"/>
        <v>0.62853296660646774</v>
      </c>
      <c r="BB34" s="527"/>
      <c r="BC34" s="1075">
        <v>0.25</v>
      </c>
      <c r="BD34" s="1083" t="str">
        <f t="shared" si="24"/>
        <v>Rendimientos Financieros cuentas de recaudo EPS - SSF</v>
      </c>
      <c r="BE34" s="443">
        <v>1841864970</v>
      </c>
      <c r="BF34" s="937">
        <f t="shared" si="38"/>
        <v>0.3244881188277336</v>
      </c>
      <c r="BG34" s="930">
        <v>2390653197</v>
      </c>
      <c r="BH34" s="1056">
        <f t="shared" si="17"/>
        <v>1.2979524753109344</v>
      </c>
      <c r="BI34" s="1056">
        <f t="shared" si="18"/>
        <v>1.2979524753109344</v>
      </c>
      <c r="BJ34" s="1056">
        <f t="shared" si="31"/>
        <v>1.1249979211864711</v>
      </c>
      <c r="BK34" s="1056">
        <f t="shared" si="32"/>
        <v>0.97604112674680521</v>
      </c>
      <c r="BL34" s="1665"/>
      <c r="BM34" s="477">
        <f t="shared" si="4"/>
        <v>1.0444464380635667</v>
      </c>
      <c r="BN34" s="477">
        <f t="shared" si="5"/>
        <v>1.0444464380635667</v>
      </c>
      <c r="BO34" s="477">
        <f t="shared" si="6"/>
        <v>1.5450322930644418</v>
      </c>
      <c r="BP34" s="477">
        <f t="shared" si="7"/>
        <v>1.5450322930644418</v>
      </c>
      <c r="BQ34" s="477">
        <f t="shared" si="33"/>
        <v>0.61256047830694127</v>
      </c>
      <c r="BR34" s="477">
        <f t="shared" si="34"/>
        <v>0.61256047830694127</v>
      </c>
      <c r="BS34" s="477">
        <f t="shared" si="8"/>
        <v>1.2979524753109344</v>
      </c>
      <c r="BT34" s="828">
        <f t="shared" si="9"/>
        <v>1.2979524753109344</v>
      </c>
    </row>
    <row r="35" spans="1:72" s="404" customFormat="1" ht="51" x14ac:dyDescent="0.25">
      <c r="A35" s="1092">
        <v>11300</v>
      </c>
      <c r="B35" s="1060" t="s">
        <v>4</v>
      </c>
      <c r="C35" s="1068" t="s">
        <v>1209</v>
      </c>
      <c r="D35" s="1059" t="s">
        <v>160</v>
      </c>
      <c r="E35" s="1060" t="s">
        <v>145</v>
      </c>
      <c r="F35" s="1059" t="s">
        <v>161</v>
      </c>
      <c r="G35" s="1060" t="s">
        <v>162</v>
      </c>
      <c r="H35" s="1079" t="s">
        <v>123</v>
      </c>
      <c r="I35" s="1056">
        <v>1</v>
      </c>
      <c r="J35" s="1059" t="s">
        <v>315</v>
      </c>
      <c r="K35" s="1060" t="s">
        <v>181</v>
      </c>
      <c r="L35" s="528">
        <f>0+90000000000</f>
        <v>90000000000</v>
      </c>
      <c r="M35" s="466">
        <v>1.1702216070016065E-3</v>
      </c>
      <c r="N35" s="1060" t="s">
        <v>46</v>
      </c>
      <c r="O35" s="1060" t="s">
        <v>68</v>
      </c>
      <c r="P35" s="1060" t="s">
        <v>21</v>
      </c>
      <c r="Q35" s="1060" t="s">
        <v>36</v>
      </c>
      <c r="R35" s="1060" t="s">
        <v>213</v>
      </c>
      <c r="S35" s="1060" t="s">
        <v>182</v>
      </c>
      <c r="T35" s="1060" t="s">
        <v>99</v>
      </c>
      <c r="U35" s="444">
        <v>1</v>
      </c>
      <c r="V35" s="1058" t="str">
        <f t="shared" si="10"/>
        <v>Fortalecimientos Patrimonial a las Entidades del Sector salud</v>
      </c>
      <c r="W35" s="794">
        <f t="shared" si="35"/>
        <v>90000000000</v>
      </c>
      <c r="X35" s="1097" t="s">
        <v>116</v>
      </c>
      <c r="Y35" s="1056">
        <v>0.25</v>
      </c>
      <c r="Z35" s="1083" t="str">
        <f t="shared" si="25"/>
        <v>Fortalecimientos Patrimonial a las Entidades del Sector salud</v>
      </c>
      <c r="AA35" s="443">
        <v>12500000000</v>
      </c>
      <c r="AB35" s="481">
        <f t="shared" si="39"/>
        <v>0</v>
      </c>
      <c r="AC35" s="443">
        <v>0</v>
      </c>
      <c r="AD35" s="1064">
        <f t="shared" si="12"/>
        <v>0</v>
      </c>
      <c r="AE35" s="1064">
        <f t="shared" si="13"/>
        <v>0</v>
      </c>
      <c r="AF35" s="1064">
        <f t="shared" si="14"/>
        <v>0</v>
      </c>
      <c r="AG35" s="1064">
        <f t="shared" si="1"/>
        <v>0</v>
      </c>
      <c r="AH35" s="1060"/>
      <c r="AI35" s="1075">
        <v>0.25</v>
      </c>
      <c r="AJ35" s="1083" t="str">
        <f t="shared" si="26"/>
        <v>Fortalecimientos Patrimonial a las Entidades del Sector salud</v>
      </c>
      <c r="AK35" s="529">
        <v>12500000000</v>
      </c>
      <c r="AL35" s="793">
        <f t="shared" si="36"/>
        <v>0</v>
      </c>
      <c r="AM35" s="529">
        <v>0</v>
      </c>
      <c r="AN35" s="1064">
        <f t="shared" si="15"/>
        <v>0</v>
      </c>
      <c r="AO35" s="1064">
        <f t="shared" si="2"/>
        <v>0</v>
      </c>
      <c r="AP35" s="1064">
        <f t="shared" si="3"/>
        <v>0</v>
      </c>
      <c r="AQ35" s="1064">
        <f t="shared" si="16"/>
        <v>0</v>
      </c>
      <c r="AR35" s="804"/>
      <c r="AS35" s="1075">
        <v>0.25</v>
      </c>
      <c r="AT35" s="1083" t="str">
        <f t="shared" si="22"/>
        <v>Fortalecimientos Patrimonial a las Entidades del Sector salud</v>
      </c>
      <c r="AU35" s="528">
        <v>0</v>
      </c>
      <c r="AV35" s="934">
        <v>0</v>
      </c>
      <c r="AW35" s="930">
        <v>0</v>
      </c>
      <c r="AX35" s="1064">
        <f t="shared" si="27"/>
        <v>0</v>
      </c>
      <c r="AY35" s="1064" t="e">
        <f>+(AW35/AU35)</f>
        <v>#DIV/0!</v>
      </c>
      <c r="AZ35" s="1064">
        <f t="shared" si="29"/>
        <v>0</v>
      </c>
      <c r="BA35" s="469">
        <f>+(AM35+AC35+AW35)/W35</f>
        <v>0</v>
      </c>
      <c r="BB35" s="1083" t="s">
        <v>2010</v>
      </c>
      <c r="BC35" s="1075">
        <v>0.25</v>
      </c>
      <c r="BD35" s="1083" t="str">
        <f t="shared" si="24"/>
        <v>Fortalecimientos Patrimonial a las Entidades del Sector salud</v>
      </c>
      <c r="BE35" s="528">
        <f>0+90000000000</f>
        <v>90000000000</v>
      </c>
      <c r="BF35" s="937">
        <f t="shared" si="38"/>
        <v>0.24983275299444443</v>
      </c>
      <c r="BG35" s="930">
        <v>89939791078</v>
      </c>
      <c r="BH35" s="1056">
        <f t="shared" si="17"/>
        <v>0.99933101197777774</v>
      </c>
      <c r="BI35" s="1056">
        <f t="shared" si="18"/>
        <v>0.99933101197777774</v>
      </c>
      <c r="BJ35" s="1056">
        <f t="shared" si="31"/>
        <v>0.24983275299444443</v>
      </c>
      <c r="BK35" s="1056">
        <f t="shared" si="32"/>
        <v>0.99933101197777774</v>
      </c>
      <c r="BL35" s="1665" t="s">
        <v>2184</v>
      </c>
      <c r="BM35" s="477">
        <f t="shared" si="4"/>
        <v>0</v>
      </c>
      <c r="BN35" s="477">
        <f t="shared" si="5"/>
        <v>0</v>
      </c>
      <c r="BO35" s="477">
        <f t="shared" si="6"/>
        <v>0</v>
      </c>
      <c r="BP35" s="477">
        <f t="shared" si="7"/>
        <v>0</v>
      </c>
      <c r="BQ35" s="477">
        <f t="shared" si="33"/>
        <v>0</v>
      </c>
      <c r="BR35" s="477" t="str">
        <f t="shared" si="34"/>
        <v>No Prog ni Ejec</v>
      </c>
      <c r="BS35" s="477">
        <f t="shared" si="8"/>
        <v>0.99933101197777774</v>
      </c>
      <c r="BT35" s="828">
        <f t="shared" si="9"/>
        <v>0.99933101197777774</v>
      </c>
    </row>
    <row r="36" spans="1:72" s="404" customFormat="1" ht="63.75" x14ac:dyDescent="0.25">
      <c r="A36" s="1092">
        <v>11300</v>
      </c>
      <c r="B36" s="1060" t="s">
        <v>4</v>
      </c>
      <c r="C36" s="1068" t="s">
        <v>1209</v>
      </c>
      <c r="D36" s="1059" t="s">
        <v>160</v>
      </c>
      <c r="E36" s="1060" t="s">
        <v>145</v>
      </c>
      <c r="F36" s="1059" t="s">
        <v>578</v>
      </c>
      <c r="G36" s="1060" t="s">
        <v>574</v>
      </c>
      <c r="H36" s="1079" t="s">
        <v>124</v>
      </c>
      <c r="I36" s="1059">
        <v>12</v>
      </c>
      <c r="J36" s="1059" t="s">
        <v>579</v>
      </c>
      <c r="K36" s="1060" t="s">
        <v>245</v>
      </c>
      <c r="L36" s="794">
        <f>61642068</f>
        <v>61642068</v>
      </c>
      <c r="M36" s="444">
        <v>1</v>
      </c>
      <c r="N36" s="1060" t="s">
        <v>46</v>
      </c>
      <c r="O36" s="1060" t="s">
        <v>68</v>
      </c>
      <c r="P36" s="1060" t="s">
        <v>21</v>
      </c>
      <c r="Q36" s="1060" t="s">
        <v>36</v>
      </c>
      <c r="R36" s="1060" t="s">
        <v>213</v>
      </c>
      <c r="S36" s="1060" t="s">
        <v>626</v>
      </c>
      <c r="T36" s="1060" t="s">
        <v>99</v>
      </c>
      <c r="U36" s="467">
        <v>12</v>
      </c>
      <c r="V36" s="1058" t="str">
        <f t="shared" si="10"/>
        <v>Realizar Informes de Ejecución Presupuestal</v>
      </c>
      <c r="W36" s="794">
        <f t="shared" si="35"/>
        <v>61642068</v>
      </c>
      <c r="X36" s="1097" t="s">
        <v>114</v>
      </c>
      <c r="Y36" s="463">
        <v>3</v>
      </c>
      <c r="Z36" s="1083" t="str">
        <f t="shared" si="25"/>
        <v>Realizar Informes de Ejecución Presupuestal</v>
      </c>
      <c r="AA36" s="443">
        <f>+W36*0.25</f>
        <v>15410517</v>
      </c>
      <c r="AB36" s="482">
        <v>3</v>
      </c>
      <c r="AC36" s="443">
        <v>7705259</v>
      </c>
      <c r="AD36" s="1064">
        <f t="shared" si="12"/>
        <v>1</v>
      </c>
      <c r="AE36" s="1064">
        <f t="shared" si="13"/>
        <v>0.50000003244537483</v>
      </c>
      <c r="AF36" s="1064">
        <f t="shared" si="14"/>
        <v>0.25</v>
      </c>
      <c r="AG36" s="1064">
        <f t="shared" si="1"/>
        <v>0.12500000811134371</v>
      </c>
      <c r="AH36" s="1060" t="s">
        <v>1862</v>
      </c>
      <c r="AI36" s="1090">
        <v>3</v>
      </c>
      <c r="AJ36" s="1083" t="str">
        <f t="shared" si="26"/>
        <v>Realizar Informes de Ejecución Presupuestal</v>
      </c>
      <c r="AK36" s="794">
        <v>15410517</v>
      </c>
      <c r="AL36" s="795">
        <f t="shared" si="36"/>
        <v>3</v>
      </c>
      <c r="AM36" s="529">
        <v>15410517</v>
      </c>
      <c r="AN36" s="1064">
        <f t="shared" si="15"/>
        <v>1</v>
      </c>
      <c r="AO36" s="1064">
        <f t="shared" si="2"/>
        <v>1</v>
      </c>
      <c r="AP36" s="1064">
        <f t="shared" si="3"/>
        <v>0.5</v>
      </c>
      <c r="AQ36" s="1064">
        <f t="shared" si="16"/>
        <v>0.37500000811134371</v>
      </c>
      <c r="AR36" s="1068"/>
      <c r="AS36" s="1090">
        <v>3</v>
      </c>
      <c r="AT36" s="1083" t="str">
        <f t="shared" si="22"/>
        <v>Realizar Informes de Ejecución Presupuestal</v>
      </c>
      <c r="AU36" s="443">
        <v>15410517</v>
      </c>
      <c r="AV36" s="935">
        <v>3</v>
      </c>
      <c r="AW36" s="930">
        <v>15410517</v>
      </c>
      <c r="AX36" s="1064">
        <f t="shared" si="27"/>
        <v>1</v>
      </c>
      <c r="AY36" s="1064">
        <f t="shared" si="28"/>
        <v>1</v>
      </c>
      <c r="AZ36" s="1064">
        <f t="shared" si="29"/>
        <v>0.75</v>
      </c>
      <c r="BA36" s="1064">
        <f t="shared" si="30"/>
        <v>0.62500000811134371</v>
      </c>
      <c r="BB36" s="527"/>
      <c r="BC36" s="1090">
        <v>3</v>
      </c>
      <c r="BD36" s="1083" t="str">
        <f t="shared" si="24"/>
        <v>Realizar Informes de Ejecución Presupuestal</v>
      </c>
      <c r="BE36" s="529">
        <f>15410517</f>
        <v>15410517</v>
      </c>
      <c r="BF36" s="1671">
        <v>3</v>
      </c>
      <c r="BG36" s="1672">
        <v>13355781</v>
      </c>
      <c r="BH36" s="1056">
        <f t="shared" si="17"/>
        <v>1</v>
      </c>
      <c r="BI36" s="1056">
        <f t="shared" si="18"/>
        <v>0.86666664071036681</v>
      </c>
      <c r="BJ36" s="1056">
        <f t="shared" si="31"/>
        <v>1</v>
      </c>
      <c r="BK36" s="1056">
        <f t="shared" si="32"/>
        <v>0.84166666828893544</v>
      </c>
      <c r="BL36" s="1048" t="s">
        <v>2298</v>
      </c>
      <c r="BM36" s="477">
        <f t="shared" si="4"/>
        <v>1</v>
      </c>
      <c r="BN36" s="477">
        <f t="shared" si="5"/>
        <v>0.50000003244537483</v>
      </c>
      <c r="BO36" s="477">
        <f t="shared" si="6"/>
        <v>1</v>
      </c>
      <c r="BP36" s="477">
        <f t="shared" si="7"/>
        <v>1</v>
      </c>
      <c r="BQ36" s="477">
        <f t="shared" si="33"/>
        <v>1</v>
      </c>
      <c r="BR36" s="477">
        <f t="shared" si="34"/>
        <v>1</v>
      </c>
      <c r="BS36" s="477">
        <f t="shared" si="8"/>
        <v>1</v>
      </c>
      <c r="BT36" s="828">
        <f t="shared" si="9"/>
        <v>0.86666664071036681</v>
      </c>
    </row>
    <row r="37" spans="1:72" s="404" customFormat="1" ht="102" x14ac:dyDescent="0.25">
      <c r="A37" s="1092">
        <v>11300</v>
      </c>
      <c r="B37" s="1060" t="s">
        <v>4</v>
      </c>
      <c r="C37" s="1068" t="s">
        <v>1209</v>
      </c>
      <c r="D37" s="1059" t="s">
        <v>160</v>
      </c>
      <c r="E37" s="1060" t="s">
        <v>145</v>
      </c>
      <c r="F37" s="1059" t="s">
        <v>580</v>
      </c>
      <c r="G37" s="1060" t="s">
        <v>246</v>
      </c>
      <c r="H37" s="1079" t="s">
        <v>123</v>
      </c>
      <c r="I37" s="444">
        <v>1</v>
      </c>
      <c r="J37" s="1059" t="s">
        <v>581</v>
      </c>
      <c r="K37" s="1060" t="s">
        <v>247</v>
      </c>
      <c r="L37" s="443">
        <v>243106560</v>
      </c>
      <c r="M37" s="444">
        <v>1</v>
      </c>
      <c r="N37" s="1060" t="s">
        <v>46</v>
      </c>
      <c r="O37" s="1060" t="s">
        <v>68</v>
      </c>
      <c r="P37" s="1060" t="s">
        <v>21</v>
      </c>
      <c r="Q37" s="1060" t="s">
        <v>36</v>
      </c>
      <c r="R37" s="1060" t="s">
        <v>214</v>
      </c>
      <c r="S37" s="1060" t="s">
        <v>594</v>
      </c>
      <c r="T37" s="1060" t="s">
        <v>99</v>
      </c>
      <c r="U37" s="444">
        <v>1</v>
      </c>
      <c r="V37" s="1058" t="str">
        <f t="shared" si="10"/>
        <v>Seguimiento e identificación del Recaudo</v>
      </c>
      <c r="W37" s="445">
        <f t="shared" si="11"/>
        <v>243106560</v>
      </c>
      <c r="X37" s="1097" t="s">
        <v>114</v>
      </c>
      <c r="Y37" s="1056">
        <v>0.25</v>
      </c>
      <c r="Z37" s="1083" t="str">
        <f t="shared" si="25"/>
        <v>Seguimiento e identificación del Recaudo</v>
      </c>
      <c r="AA37" s="443">
        <v>60776640</v>
      </c>
      <c r="AB37" s="1056">
        <f>(96011/96133)*0.25</f>
        <v>0.24968273121612766</v>
      </c>
      <c r="AC37" s="443">
        <v>52114979</v>
      </c>
      <c r="AD37" s="1064">
        <f t="shared" si="12"/>
        <v>0.99873092486451065</v>
      </c>
      <c r="AE37" s="1064">
        <f t="shared" si="13"/>
        <v>0.8574837141375371</v>
      </c>
      <c r="AF37" s="1064">
        <f t="shared" si="14"/>
        <v>0.24968273121612766</v>
      </c>
      <c r="AG37" s="1064">
        <f t="shared" si="1"/>
        <v>0.21437092853438428</v>
      </c>
      <c r="AH37" s="1060" t="s">
        <v>1810</v>
      </c>
      <c r="AI37" s="1056">
        <v>0.25</v>
      </c>
      <c r="AJ37" s="1083" t="str">
        <f t="shared" si="26"/>
        <v>Seguimiento e identificación del Recaudo</v>
      </c>
      <c r="AK37" s="443">
        <v>60776640</v>
      </c>
      <c r="AL37" s="1075">
        <v>0.24979999999999999</v>
      </c>
      <c r="AM37" s="529">
        <v>60776640</v>
      </c>
      <c r="AN37" s="1064">
        <f t="shared" si="15"/>
        <v>0.99919999999999998</v>
      </c>
      <c r="AO37" s="1064">
        <f t="shared" si="2"/>
        <v>1</v>
      </c>
      <c r="AP37" s="1064">
        <f t="shared" si="3"/>
        <v>0.49948273121612763</v>
      </c>
      <c r="AQ37" s="1064">
        <f t="shared" si="16"/>
        <v>0.46437092853438428</v>
      </c>
      <c r="AR37" s="1102" t="s">
        <v>1040</v>
      </c>
      <c r="AS37" s="1056">
        <v>0.25</v>
      </c>
      <c r="AT37" s="1083" t="str">
        <f t="shared" si="22"/>
        <v>Seguimiento e identificación del Recaudo</v>
      </c>
      <c r="AU37" s="443">
        <v>60776640</v>
      </c>
      <c r="AV37" s="936">
        <v>0.24970000000000001</v>
      </c>
      <c r="AW37" s="930">
        <v>60776640</v>
      </c>
      <c r="AX37" s="1064">
        <f t="shared" ref="AX37:AX39" si="40">+(AV37/AS37)</f>
        <v>0.99880000000000002</v>
      </c>
      <c r="AY37" s="1064">
        <f t="shared" ref="AY37:AY39" si="41">+(AW37/AU37)</f>
        <v>1</v>
      </c>
      <c r="AZ37" s="1064">
        <f t="shared" ref="AZ37:AZ39" si="42">+(AL37+AB37+AV37)/U37</f>
        <v>0.74918273121612766</v>
      </c>
      <c r="BA37" s="1064">
        <f t="shared" ref="BA37:BA39" si="43">+(AM37+AC37+AW37)/W37</f>
        <v>0.71437092853438422</v>
      </c>
      <c r="BB37" s="1665" t="s">
        <v>2007</v>
      </c>
      <c r="BC37" s="1056">
        <v>0.25</v>
      </c>
      <c r="BD37" s="1083" t="str">
        <f t="shared" si="24"/>
        <v>Seguimiento e identificación del Recaudo</v>
      </c>
      <c r="BE37" s="443">
        <v>60776640</v>
      </c>
      <c r="BF37" s="738">
        <v>0.24990000000000001</v>
      </c>
      <c r="BG37" s="744">
        <v>60776640</v>
      </c>
      <c r="BH37" s="1056">
        <f>+(BF37/BC37)</f>
        <v>0.99960000000000004</v>
      </c>
      <c r="BI37" s="1056">
        <f t="shared" ref="BI37:BI39" si="44">+(BG37/BE37)</f>
        <v>1</v>
      </c>
      <c r="BJ37" s="1056">
        <f t="shared" ref="BJ37:BJ39" si="45">+(AL37+AB37+AV37+BF37)/U37</f>
        <v>0.99908273121612767</v>
      </c>
      <c r="BK37" s="1056">
        <f t="shared" ref="BK37:BK39" si="46">+(AM37+AC37+AW37+BG37)/W37</f>
        <v>0.96437092853438422</v>
      </c>
      <c r="BL37" s="1068" t="s">
        <v>2115</v>
      </c>
      <c r="BM37" s="477">
        <f t="shared" si="4"/>
        <v>0.99873092486451065</v>
      </c>
      <c r="BN37" s="477">
        <f t="shared" si="5"/>
        <v>0.8574837141375371</v>
      </c>
      <c r="BO37" s="477">
        <f t="shared" si="6"/>
        <v>0.99919999999999998</v>
      </c>
      <c r="BP37" s="477">
        <f t="shared" si="7"/>
        <v>1</v>
      </c>
      <c r="BQ37" s="477">
        <f t="shared" ref="BQ37" si="47">IF(AND(AS37=0,AV37=0),"No Prog ni Ejec",IF(AS37=0,CONCATENATE("No Prog, Ejec=  ",AV37),AV37/AS37))</f>
        <v>0.99880000000000002</v>
      </c>
      <c r="BR37" s="477">
        <f t="shared" ref="BR37" si="48">IF(AND(AU37=0,AW37=0),"No Prog ni Ejec",IF(AU37=0,CONCATENATE("No Prog, Ejec=  ",AW37),AW37/AU37))</f>
        <v>1</v>
      </c>
      <c r="BS37" s="477">
        <f t="shared" si="8"/>
        <v>0.99960000000000004</v>
      </c>
      <c r="BT37" s="828">
        <f t="shared" si="9"/>
        <v>1</v>
      </c>
    </row>
    <row r="38" spans="1:72" s="404" customFormat="1" ht="89.25" x14ac:dyDescent="0.25">
      <c r="A38" s="1092">
        <v>11300</v>
      </c>
      <c r="B38" s="1060" t="s">
        <v>4</v>
      </c>
      <c r="C38" s="1068" t="s">
        <v>1209</v>
      </c>
      <c r="D38" s="1059" t="s">
        <v>160</v>
      </c>
      <c r="E38" s="1060" t="s">
        <v>145</v>
      </c>
      <c r="F38" s="1059" t="s">
        <v>580</v>
      </c>
      <c r="G38" s="1060" t="s">
        <v>246</v>
      </c>
      <c r="H38" s="1079" t="s">
        <v>124</v>
      </c>
      <c r="I38" s="464">
        <v>12</v>
      </c>
      <c r="J38" s="1059" t="s">
        <v>582</v>
      </c>
      <c r="K38" s="1060" t="s">
        <v>575</v>
      </c>
      <c r="L38" s="443">
        <v>0</v>
      </c>
      <c r="M38" s="468">
        <v>1</v>
      </c>
      <c r="N38" s="1060" t="s">
        <v>46</v>
      </c>
      <c r="O38" s="1060" t="s">
        <v>68</v>
      </c>
      <c r="P38" s="1060" t="s">
        <v>21</v>
      </c>
      <c r="Q38" s="1060" t="s">
        <v>36</v>
      </c>
      <c r="R38" s="1060" t="s">
        <v>214</v>
      </c>
      <c r="S38" s="1060" t="s">
        <v>631</v>
      </c>
      <c r="T38" s="1060" t="s">
        <v>99</v>
      </c>
      <c r="U38" s="467">
        <v>12</v>
      </c>
      <c r="V38" s="1058" t="str">
        <f t="shared" si="10"/>
        <v>Informe Mensual de Recaudo Efectivo</v>
      </c>
      <c r="W38" s="445">
        <f t="shared" si="11"/>
        <v>0</v>
      </c>
      <c r="X38" s="1097" t="s">
        <v>117</v>
      </c>
      <c r="Y38" s="463">
        <v>3</v>
      </c>
      <c r="Z38" s="1083" t="str">
        <f t="shared" si="25"/>
        <v>Informe Mensual de Recaudo Efectivo</v>
      </c>
      <c r="AA38" s="443">
        <v>0</v>
      </c>
      <c r="AB38" s="463">
        <v>3</v>
      </c>
      <c r="AC38" s="443">
        <v>0</v>
      </c>
      <c r="AD38" s="1064">
        <f t="shared" si="12"/>
        <v>1</v>
      </c>
      <c r="AE38" s="1064" t="e">
        <f t="shared" si="13"/>
        <v>#DIV/0!</v>
      </c>
      <c r="AF38" s="1064">
        <f t="shared" si="14"/>
        <v>0.25</v>
      </c>
      <c r="AG38" s="1064" t="e">
        <f t="shared" si="1"/>
        <v>#DIV/0!</v>
      </c>
      <c r="AH38" s="1060" t="s">
        <v>904</v>
      </c>
      <c r="AI38" s="463">
        <v>3</v>
      </c>
      <c r="AJ38" s="1083" t="str">
        <f t="shared" si="26"/>
        <v>Informe Mensual de Recaudo Efectivo</v>
      </c>
      <c r="AK38" s="443">
        <v>0</v>
      </c>
      <c r="AL38" s="1085">
        <v>3</v>
      </c>
      <c r="AM38" s="529">
        <v>0</v>
      </c>
      <c r="AN38" s="1064">
        <f t="shared" si="15"/>
        <v>1</v>
      </c>
      <c r="AO38" s="1064" t="e">
        <f t="shared" si="2"/>
        <v>#DIV/0!</v>
      </c>
      <c r="AP38" s="1064">
        <f t="shared" si="3"/>
        <v>0.5</v>
      </c>
      <c r="AQ38" s="1064" t="e">
        <f t="shared" si="16"/>
        <v>#DIV/0!</v>
      </c>
      <c r="AR38" s="1068" t="s">
        <v>1041</v>
      </c>
      <c r="AS38" s="463">
        <v>3</v>
      </c>
      <c r="AT38" s="1083" t="str">
        <f t="shared" si="22"/>
        <v>Informe Mensual de Recaudo Efectivo</v>
      </c>
      <c r="AU38" s="443">
        <v>0</v>
      </c>
      <c r="AV38" s="929">
        <v>3</v>
      </c>
      <c r="AW38" s="930">
        <v>0</v>
      </c>
      <c r="AX38" s="1064">
        <f t="shared" si="40"/>
        <v>1</v>
      </c>
      <c r="AY38" s="1064" t="e">
        <f t="shared" si="41"/>
        <v>#DIV/0!</v>
      </c>
      <c r="AZ38" s="1064">
        <f t="shared" si="42"/>
        <v>0.75</v>
      </c>
      <c r="BA38" s="1064" t="e">
        <f t="shared" si="43"/>
        <v>#DIV/0!</v>
      </c>
      <c r="BB38" s="1670" t="s">
        <v>2299</v>
      </c>
      <c r="BC38" s="463">
        <v>3</v>
      </c>
      <c r="BD38" s="1083" t="str">
        <f t="shared" si="24"/>
        <v>Informe Mensual de Recaudo Efectivo</v>
      </c>
      <c r="BE38" s="443">
        <v>0</v>
      </c>
      <c r="BF38" s="1067">
        <v>3</v>
      </c>
      <c r="BG38" s="744">
        <v>0</v>
      </c>
      <c r="BH38" s="1056">
        <f t="shared" ref="BH38:BH39" si="49">+(BF38/BC38)</f>
        <v>1</v>
      </c>
      <c r="BI38" s="1056" t="e">
        <f t="shared" si="44"/>
        <v>#DIV/0!</v>
      </c>
      <c r="BJ38" s="1056">
        <f t="shared" si="45"/>
        <v>1</v>
      </c>
      <c r="BK38" s="1056" t="e">
        <f t="shared" si="46"/>
        <v>#DIV/0!</v>
      </c>
      <c r="BL38" s="1068" t="s">
        <v>2113</v>
      </c>
      <c r="BM38" s="477">
        <f t="shared" si="4"/>
        <v>1</v>
      </c>
      <c r="BN38" s="477" t="str">
        <f t="shared" si="5"/>
        <v>No Prog ni Ejec</v>
      </c>
      <c r="BO38" s="477">
        <f t="shared" si="6"/>
        <v>1</v>
      </c>
      <c r="BP38" s="477" t="str">
        <f t="shared" si="7"/>
        <v>No Prog ni Ejec</v>
      </c>
      <c r="BQ38" s="477">
        <f t="shared" ref="BQ38:BQ39" si="50">IF(AND(AS38=0,AV38=0),"No Prog ni Ejec",IF(AS38=0,CONCATENATE("No Prog, Ejec=  ",AV38),AV38/AS38))</f>
        <v>1</v>
      </c>
      <c r="BR38" s="477" t="str">
        <f t="shared" ref="BR38:BR39" si="51">IF(AND(AU38=0,AW38=0),"No Prog ni Ejec",IF(AU38=0,CONCATENATE("No Prog, Ejec=  ",AW38),AW38/AU38))</f>
        <v>No Prog ni Ejec</v>
      </c>
      <c r="BS38" s="477">
        <f t="shared" si="8"/>
        <v>1</v>
      </c>
      <c r="BT38" s="828" t="str">
        <f t="shared" si="9"/>
        <v>No Prog ni Ejec</v>
      </c>
    </row>
    <row r="39" spans="1:72" s="404" customFormat="1" ht="51" x14ac:dyDescent="0.25">
      <c r="A39" s="1092">
        <v>11300</v>
      </c>
      <c r="B39" s="1060" t="s">
        <v>4</v>
      </c>
      <c r="C39" s="1068" t="s">
        <v>1209</v>
      </c>
      <c r="D39" s="1059" t="s">
        <v>160</v>
      </c>
      <c r="E39" s="1060" t="s">
        <v>145</v>
      </c>
      <c r="F39" s="1059" t="s">
        <v>580</v>
      </c>
      <c r="G39" s="1060" t="s">
        <v>246</v>
      </c>
      <c r="H39" s="1079" t="s">
        <v>123</v>
      </c>
      <c r="I39" s="444">
        <v>1</v>
      </c>
      <c r="J39" s="1059" t="s">
        <v>583</v>
      </c>
      <c r="K39" s="1060" t="s">
        <v>248</v>
      </c>
      <c r="L39" s="443">
        <v>0</v>
      </c>
      <c r="M39" s="444">
        <v>1</v>
      </c>
      <c r="N39" s="1060" t="s">
        <v>46</v>
      </c>
      <c r="O39" s="1060" t="s">
        <v>68</v>
      </c>
      <c r="P39" s="1060" t="s">
        <v>21</v>
      </c>
      <c r="Q39" s="1060" t="s">
        <v>36</v>
      </c>
      <c r="R39" s="1060" t="s">
        <v>214</v>
      </c>
      <c r="S39" s="1060" t="s">
        <v>249</v>
      </c>
      <c r="T39" s="1060" t="s">
        <v>99</v>
      </c>
      <c r="U39" s="444">
        <v>1</v>
      </c>
      <c r="V39" s="1058" t="str">
        <f t="shared" si="10"/>
        <v>Seguimiento a Partidas Sin Identificar</v>
      </c>
      <c r="W39" s="445">
        <f t="shared" si="11"/>
        <v>0</v>
      </c>
      <c r="X39" s="1097" t="s">
        <v>117</v>
      </c>
      <c r="Y39" s="1056">
        <v>0.25</v>
      </c>
      <c r="Z39" s="1083" t="str">
        <f t="shared" si="25"/>
        <v>Seguimiento a Partidas Sin Identificar</v>
      </c>
      <c r="AA39" s="443">
        <v>0</v>
      </c>
      <c r="AB39" s="1056">
        <f>+(8869173118.39/10815134235.05)*25%</f>
        <v>0.20501763837675097</v>
      </c>
      <c r="AC39" s="443">
        <v>0</v>
      </c>
      <c r="AD39" s="1064">
        <f t="shared" si="12"/>
        <v>0.82007055350700386</v>
      </c>
      <c r="AE39" s="1064" t="e">
        <f t="shared" si="13"/>
        <v>#DIV/0!</v>
      </c>
      <c r="AF39" s="1064">
        <f t="shared" si="14"/>
        <v>0.20501763837675097</v>
      </c>
      <c r="AG39" s="1064" t="e">
        <f t="shared" si="1"/>
        <v>#DIV/0!</v>
      </c>
      <c r="AH39" s="1060" t="s">
        <v>905</v>
      </c>
      <c r="AI39" s="1056">
        <v>0.25</v>
      </c>
      <c r="AJ39" s="1083" t="str">
        <f t="shared" si="26"/>
        <v>Seguimiento a Partidas Sin Identificar</v>
      </c>
      <c r="AK39" s="443">
        <v>0</v>
      </c>
      <c r="AL39" s="1075">
        <v>0.19</v>
      </c>
      <c r="AM39" s="702">
        <v>0</v>
      </c>
      <c r="AN39" s="1064">
        <f t="shared" si="15"/>
        <v>0.76</v>
      </c>
      <c r="AO39" s="1064" t="e">
        <f t="shared" si="2"/>
        <v>#DIV/0!</v>
      </c>
      <c r="AP39" s="1064">
        <f t="shared" si="3"/>
        <v>0.39501763837675097</v>
      </c>
      <c r="AQ39" s="1064" t="e">
        <f t="shared" si="16"/>
        <v>#DIV/0!</v>
      </c>
      <c r="AR39" s="804"/>
      <c r="AS39" s="1056">
        <v>0.25</v>
      </c>
      <c r="AT39" s="1083" t="str">
        <f t="shared" si="22"/>
        <v>Seguimiento a Partidas Sin Identificar</v>
      </c>
      <c r="AU39" s="443">
        <v>0</v>
      </c>
      <c r="AV39" s="937">
        <v>0.2445</v>
      </c>
      <c r="AW39" s="930">
        <v>0</v>
      </c>
      <c r="AX39" s="1064">
        <f t="shared" si="40"/>
        <v>0.97799999999999998</v>
      </c>
      <c r="AY39" s="1064" t="e">
        <f t="shared" si="41"/>
        <v>#DIV/0!</v>
      </c>
      <c r="AZ39" s="1064">
        <f t="shared" si="42"/>
        <v>0.63951763837675091</v>
      </c>
      <c r="BA39" s="1064" t="e">
        <f t="shared" si="43"/>
        <v>#DIV/0!</v>
      </c>
      <c r="BB39" s="1670" t="s">
        <v>2008</v>
      </c>
      <c r="BC39" s="1056">
        <v>0.25</v>
      </c>
      <c r="BD39" s="1083" t="str">
        <f t="shared" si="24"/>
        <v>Seguimiento a Partidas Sin Identificar</v>
      </c>
      <c r="BE39" s="443">
        <v>0</v>
      </c>
      <c r="BF39" s="738">
        <v>0.23860000000000001</v>
      </c>
      <c r="BG39" s="744">
        <v>0</v>
      </c>
      <c r="BH39" s="1056">
        <f t="shared" si="49"/>
        <v>0.95440000000000003</v>
      </c>
      <c r="BI39" s="1056" t="e">
        <f t="shared" si="44"/>
        <v>#DIV/0!</v>
      </c>
      <c r="BJ39" s="1056">
        <f t="shared" si="45"/>
        <v>0.87811763837675094</v>
      </c>
      <c r="BK39" s="1056" t="e">
        <f t="shared" si="46"/>
        <v>#DIV/0!</v>
      </c>
      <c r="BL39" s="1068" t="s">
        <v>2114</v>
      </c>
      <c r="BM39" s="477">
        <f t="shared" si="4"/>
        <v>0.82007055350700386</v>
      </c>
      <c r="BN39" s="477" t="str">
        <f t="shared" si="5"/>
        <v>No Prog ni Ejec</v>
      </c>
      <c r="BO39" s="477">
        <f t="shared" si="6"/>
        <v>0.76</v>
      </c>
      <c r="BP39" s="477" t="str">
        <f t="shared" si="7"/>
        <v>No Prog ni Ejec</v>
      </c>
      <c r="BQ39" s="477">
        <f t="shared" si="50"/>
        <v>0.97799999999999998</v>
      </c>
      <c r="BR39" s="477" t="str">
        <f t="shared" si="51"/>
        <v>No Prog ni Ejec</v>
      </c>
      <c r="BS39" s="477">
        <f t="shared" si="8"/>
        <v>0.95440000000000003</v>
      </c>
      <c r="BT39" s="828" t="str">
        <f t="shared" si="9"/>
        <v>No Prog ni Ejec</v>
      </c>
    </row>
    <row r="40" spans="1:72" s="404" customFormat="1" ht="51" x14ac:dyDescent="0.25">
      <c r="A40" s="1092">
        <v>11300</v>
      </c>
      <c r="B40" s="1060" t="s">
        <v>4</v>
      </c>
      <c r="C40" s="1068" t="s">
        <v>1209</v>
      </c>
      <c r="D40" s="1059" t="s">
        <v>160</v>
      </c>
      <c r="E40" s="1060" t="s">
        <v>145</v>
      </c>
      <c r="F40" s="1059" t="s">
        <v>584</v>
      </c>
      <c r="G40" s="1060" t="s">
        <v>251</v>
      </c>
      <c r="H40" s="1079" t="s">
        <v>123</v>
      </c>
      <c r="I40" s="444">
        <v>1</v>
      </c>
      <c r="J40" s="1059" t="s">
        <v>585</v>
      </c>
      <c r="K40" s="1060" t="s">
        <v>250</v>
      </c>
      <c r="L40" s="443">
        <v>292066560</v>
      </c>
      <c r="M40" s="444">
        <v>1</v>
      </c>
      <c r="N40" s="1060" t="s">
        <v>46</v>
      </c>
      <c r="O40" s="1060" t="s">
        <v>68</v>
      </c>
      <c r="P40" s="1060" t="s">
        <v>21</v>
      </c>
      <c r="Q40" s="1060" t="s">
        <v>36</v>
      </c>
      <c r="R40" s="1060" t="s">
        <v>215</v>
      </c>
      <c r="S40" s="1060" t="s">
        <v>595</v>
      </c>
      <c r="T40" s="1060" t="s">
        <v>99</v>
      </c>
      <c r="U40" s="1056">
        <v>1</v>
      </c>
      <c r="V40" s="1058" t="str">
        <f t="shared" si="10"/>
        <v>Ordenes de Giros tramitadas</v>
      </c>
      <c r="W40" s="445">
        <f t="shared" si="11"/>
        <v>292066560</v>
      </c>
      <c r="X40" s="1097" t="s">
        <v>114</v>
      </c>
      <c r="Y40" s="1056">
        <v>0.25</v>
      </c>
      <c r="Z40" s="1083" t="str">
        <f t="shared" si="25"/>
        <v>Ordenes de Giros tramitadas</v>
      </c>
      <c r="AA40" s="443">
        <v>73016640</v>
      </c>
      <c r="AB40" s="1056">
        <f>(1319/1319)*25%</f>
        <v>0.25</v>
      </c>
      <c r="AC40" s="443">
        <v>63795769</v>
      </c>
      <c r="AD40" s="1064">
        <f t="shared" si="12"/>
        <v>1</v>
      </c>
      <c r="AE40" s="1064">
        <f t="shared" si="13"/>
        <v>0.87371548457995329</v>
      </c>
      <c r="AF40" s="1064">
        <f t="shared" si="14"/>
        <v>0.25</v>
      </c>
      <c r="AG40" s="1064">
        <f t="shared" si="1"/>
        <v>0.21842887114498832</v>
      </c>
      <c r="AH40" s="1063" t="s">
        <v>1186</v>
      </c>
      <c r="AI40" s="1056">
        <v>0.25</v>
      </c>
      <c r="AJ40" s="1083" t="str">
        <f t="shared" si="26"/>
        <v>Ordenes de Giros tramitadas</v>
      </c>
      <c r="AK40" s="443">
        <v>73016640</v>
      </c>
      <c r="AL40" s="1075">
        <f>(1387/1387)*25%</f>
        <v>0.25</v>
      </c>
      <c r="AM40" s="529">
        <v>73016640</v>
      </c>
      <c r="AN40" s="1064">
        <f t="shared" si="15"/>
        <v>1</v>
      </c>
      <c r="AO40" s="1064">
        <f t="shared" si="2"/>
        <v>1</v>
      </c>
      <c r="AP40" s="1064">
        <f t="shared" si="3"/>
        <v>0.5</v>
      </c>
      <c r="AQ40" s="1064">
        <f t="shared" si="16"/>
        <v>0.46842887114498832</v>
      </c>
      <c r="AR40" s="527"/>
      <c r="AS40" s="1056">
        <v>0.25</v>
      </c>
      <c r="AT40" s="1083" t="str">
        <f t="shared" si="22"/>
        <v>Ordenes de Giros tramitadas</v>
      </c>
      <c r="AU40" s="443">
        <v>73016640</v>
      </c>
      <c r="AV40" s="932">
        <f>+(1542/1542)*25%</f>
        <v>0.25</v>
      </c>
      <c r="AW40" s="930">
        <v>73016640</v>
      </c>
      <c r="AX40" s="1064">
        <f t="shared" si="27"/>
        <v>1</v>
      </c>
      <c r="AY40" s="1064">
        <f t="shared" si="28"/>
        <v>1</v>
      </c>
      <c r="AZ40" s="1064">
        <f t="shared" si="29"/>
        <v>0.75</v>
      </c>
      <c r="BA40" s="1064">
        <f t="shared" si="30"/>
        <v>0.71842887114498832</v>
      </c>
      <c r="BB40" s="527"/>
      <c r="BC40" s="1056">
        <v>0.25</v>
      </c>
      <c r="BD40" s="1083" t="str">
        <f t="shared" si="24"/>
        <v>Ordenes de Giros tramitadas</v>
      </c>
      <c r="BE40" s="443">
        <v>73016640</v>
      </c>
      <c r="BF40" s="1088">
        <f>+(1542/1542)*25%</f>
        <v>0.25</v>
      </c>
      <c r="BG40" s="1077">
        <v>73016640</v>
      </c>
      <c r="BH40" s="1056">
        <f t="shared" si="17"/>
        <v>1</v>
      </c>
      <c r="BI40" s="1056">
        <f t="shared" si="18"/>
        <v>1</v>
      </c>
      <c r="BJ40" s="1056">
        <f t="shared" si="31"/>
        <v>1</v>
      </c>
      <c r="BK40" s="1056">
        <f t="shared" si="32"/>
        <v>0.96842887114498832</v>
      </c>
      <c r="BL40" s="1083"/>
      <c r="BM40" s="477">
        <f t="shared" si="4"/>
        <v>1</v>
      </c>
      <c r="BN40" s="477">
        <f t="shared" si="5"/>
        <v>0.87371548457995329</v>
      </c>
      <c r="BO40" s="477">
        <f t="shared" si="6"/>
        <v>1</v>
      </c>
      <c r="BP40" s="477">
        <f t="shared" si="7"/>
        <v>1</v>
      </c>
      <c r="BQ40" s="477">
        <f t="shared" si="33"/>
        <v>1</v>
      </c>
      <c r="BR40" s="477">
        <f t="shared" si="34"/>
        <v>1</v>
      </c>
      <c r="BS40" s="477">
        <f t="shared" si="8"/>
        <v>1</v>
      </c>
      <c r="BT40" s="828">
        <f t="shared" si="9"/>
        <v>1</v>
      </c>
    </row>
    <row r="41" spans="1:72" s="404" customFormat="1" ht="51" x14ac:dyDescent="0.25">
      <c r="A41" s="1092">
        <v>11300</v>
      </c>
      <c r="B41" s="1060" t="s">
        <v>4</v>
      </c>
      <c r="C41" s="1068" t="s">
        <v>1209</v>
      </c>
      <c r="D41" s="1059" t="s">
        <v>160</v>
      </c>
      <c r="E41" s="1060" t="s">
        <v>145</v>
      </c>
      <c r="F41" s="1059" t="s">
        <v>586</v>
      </c>
      <c r="G41" s="1060" t="s">
        <v>252</v>
      </c>
      <c r="H41" s="1079" t="s">
        <v>123</v>
      </c>
      <c r="I41" s="444">
        <v>1</v>
      </c>
      <c r="J41" s="1059" t="s">
        <v>587</v>
      </c>
      <c r="K41" s="1060" t="s">
        <v>944</v>
      </c>
      <c r="L41" s="443">
        <v>48960000</v>
      </c>
      <c r="M41" s="444">
        <v>1</v>
      </c>
      <c r="N41" s="1060" t="s">
        <v>46</v>
      </c>
      <c r="O41" s="1060" t="s">
        <v>68</v>
      </c>
      <c r="P41" s="1060" t="s">
        <v>21</v>
      </c>
      <c r="Q41" s="1060" t="s">
        <v>36</v>
      </c>
      <c r="R41" s="1060" t="s">
        <v>215</v>
      </c>
      <c r="S41" s="1060" t="s">
        <v>596</v>
      </c>
      <c r="T41" s="1060" t="s">
        <v>99</v>
      </c>
      <c r="U41" s="1056">
        <v>1</v>
      </c>
      <c r="V41" s="1058" t="str">
        <f t="shared" si="10"/>
        <v>Informes</v>
      </c>
      <c r="W41" s="445">
        <f t="shared" si="11"/>
        <v>48960000</v>
      </c>
      <c r="X41" s="1097" t="s">
        <v>114</v>
      </c>
      <c r="Y41" s="1056">
        <v>0.25</v>
      </c>
      <c r="Z41" s="1083" t="str">
        <f t="shared" si="25"/>
        <v>Informes</v>
      </c>
      <c r="AA41" s="443">
        <v>12240000</v>
      </c>
      <c r="AB41" s="478">
        <f>(60/60)*25%</f>
        <v>0.25</v>
      </c>
      <c r="AC41" s="443">
        <v>10744000</v>
      </c>
      <c r="AD41" s="1064">
        <f t="shared" si="12"/>
        <v>1</v>
      </c>
      <c r="AE41" s="1064">
        <f t="shared" si="13"/>
        <v>0.87777777777777777</v>
      </c>
      <c r="AF41" s="1064">
        <f t="shared" si="14"/>
        <v>0.25</v>
      </c>
      <c r="AG41" s="1064">
        <f t="shared" si="1"/>
        <v>0.21944444444444444</v>
      </c>
      <c r="AH41" s="1063" t="s">
        <v>1187</v>
      </c>
      <c r="AI41" s="1056">
        <v>0.25</v>
      </c>
      <c r="AJ41" s="1083" t="str">
        <f t="shared" si="26"/>
        <v>Informes</v>
      </c>
      <c r="AK41" s="443">
        <v>12240000</v>
      </c>
      <c r="AL41" s="792">
        <f>(61/61)*25%</f>
        <v>0.25</v>
      </c>
      <c r="AM41" s="529">
        <v>12240000</v>
      </c>
      <c r="AN41" s="1064">
        <f t="shared" si="15"/>
        <v>1</v>
      </c>
      <c r="AO41" s="1064">
        <f t="shared" si="2"/>
        <v>1</v>
      </c>
      <c r="AP41" s="1064">
        <f t="shared" si="3"/>
        <v>0.5</v>
      </c>
      <c r="AQ41" s="1064">
        <f t="shared" si="16"/>
        <v>0.46944444444444444</v>
      </c>
      <c r="AR41" s="527"/>
      <c r="AS41" s="1056">
        <v>0.25</v>
      </c>
      <c r="AT41" s="1083" t="str">
        <f t="shared" si="22"/>
        <v>Informes</v>
      </c>
      <c r="AU41" s="443">
        <v>12240000</v>
      </c>
      <c r="AV41" s="932">
        <f>+(61/61)*25%</f>
        <v>0.25</v>
      </c>
      <c r="AW41" s="930">
        <v>12240000</v>
      </c>
      <c r="AX41" s="1064">
        <f t="shared" si="27"/>
        <v>1</v>
      </c>
      <c r="AY41" s="1064">
        <f t="shared" si="28"/>
        <v>1</v>
      </c>
      <c r="AZ41" s="1064">
        <f t="shared" si="29"/>
        <v>0.75</v>
      </c>
      <c r="BA41" s="1064">
        <f t="shared" si="30"/>
        <v>0.71944444444444444</v>
      </c>
      <c r="BB41" s="527"/>
      <c r="BC41" s="1056">
        <v>0.25</v>
      </c>
      <c r="BD41" s="1083" t="str">
        <f t="shared" si="24"/>
        <v>Informes</v>
      </c>
      <c r="BE41" s="443">
        <v>12240000</v>
      </c>
      <c r="BF41" s="1088">
        <f>+(61/61)*25%</f>
        <v>0.25</v>
      </c>
      <c r="BG41" s="1673">
        <v>12240000</v>
      </c>
      <c r="BH41" s="1056">
        <f t="shared" si="17"/>
        <v>1</v>
      </c>
      <c r="BI41" s="1056">
        <f t="shared" si="18"/>
        <v>1</v>
      </c>
      <c r="BJ41" s="1056">
        <f t="shared" si="31"/>
        <v>1</v>
      </c>
      <c r="BK41" s="1056">
        <f t="shared" si="32"/>
        <v>0.96944444444444444</v>
      </c>
      <c r="BL41" s="1083"/>
      <c r="BM41" s="477">
        <f t="shared" si="4"/>
        <v>1</v>
      </c>
      <c r="BN41" s="477">
        <f t="shared" si="5"/>
        <v>0.87777777777777777</v>
      </c>
      <c r="BO41" s="477">
        <f t="shared" si="6"/>
        <v>1</v>
      </c>
      <c r="BP41" s="477">
        <f t="shared" si="7"/>
        <v>1</v>
      </c>
      <c r="BQ41" s="477">
        <f t="shared" si="33"/>
        <v>1</v>
      </c>
      <c r="BR41" s="477">
        <f t="shared" si="34"/>
        <v>1</v>
      </c>
      <c r="BS41" s="477">
        <f t="shared" si="8"/>
        <v>1</v>
      </c>
      <c r="BT41" s="828">
        <f t="shared" si="9"/>
        <v>1</v>
      </c>
    </row>
    <row r="42" spans="1:72" s="404" customFormat="1" ht="99" customHeight="1" x14ac:dyDescent="0.25">
      <c r="A42" s="1092">
        <v>11300</v>
      </c>
      <c r="B42" s="1060" t="s">
        <v>4</v>
      </c>
      <c r="C42" s="1068" t="s">
        <v>1209</v>
      </c>
      <c r="D42" s="1059" t="s">
        <v>160</v>
      </c>
      <c r="E42" s="1060" t="s">
        <v>145</v>
      </c>
      <c r="F42" s="1059" t="s">
        <v>588</v>
      </c>
      <c r="G42" s="1060" t="s">
        <v>254</v>
      </c>
      <c r="H42" s="1079" t="s">
        <v>124</v>
      </c>
      <c r="I42" s="1059">
        <v>4</v>
      </c>
      <c r="J42" s="1059" t="s">
        <v>589</v>
      </c>
      <c r="K42" s="1060" t="s">
        <v>254</v>
      </c>
      <c r="L42" s="443">
        <v>272680404</v>
      </c>
      <c r="M42" s="444">
        <v>1</v>
      </c>
      <c r="N42" s="1060" t="s">
        <v>46</v>
      </c>
      <c r="O42" s="1060" t="s">
        <v>68</v>
      </c>
      <c r="P42" s="1060" t="s">
        <v>21</v>
      </c>
      <c r="Q42" s="1060" t="s">
        <v>36</v>
      </c>
      <c r="R42" s="1060" t="s">
        <v>215</v>
      </c>
      <c r="S42" s="1060" t="s">
        <v>255</v>
      </c>
      <c r="T42" s="1060" t="s">
        <v>99</v>
      </c>
      <c r="U42" s="467">
        <v>4</v>
      </c>
      <c r="V42" s="1058" t="str">
        <f t="shared" si="10"/>
        <v>Estados Financieros</v>
      </c>
      <c r="W42" s="445">
        <f t="shared" si="11"/>
        <v>272680404</v>
      </c>
      <c r="X42" s="1097" t="s">
        <v>114</v>
      </c>
      <c r="Y42" s="463">
        <v>1</v>
      </c>
      <c r="Z42" s="1083" t="str">
        <f t="shared" si="25"/>
        <v>Estados Financieros</v>
      </c>
      <c r="AA42" s="443">
        <v>68170101</v>
      </c>
      <c r="AB42" s="446">
        <v>1</v>
      </c>
      <c r="AC42" s="443">
        <f>59974199+4080000</f>
        <v>64054199</v>
      </c>
      <c r="AD42" s="1064">
        <f t="shared" si="12"/>
        <v>1</v>
      </c>
      <c r="AE42" s="1064">
        <f t="shared" si="13"/>
        <v>0.93962306143568719</v>
      </c>
      <c r="AF42" s="1064">
        <f t="shared" si="14"/>
        <v>0.25</v>
      </c>
      <c r="AG42" s="1064">
        <f t="shared" si="1"/>
        <v>0.2349057653589218</v>
      </c>
      <c r="AH42" s="1063" t="s">
        <v>1186</v>
      </c>
      <c r="AI42" s="463">
        <v>1</v>
      </c>
      <c r="AJ42" s="1083" t="str">
        <f t="shared" si="26"/>
        <v>Estados Financieros</v>
      </c>
      <c r="AK42" s="443">
        <v>68170101</v>
      </c>
      <c r="AL42" s="1090">
        <v>1</v>
      </c>
      <c r="AM42" s="529">
        <v>68170101</v>
      </c>
      <c r="AN42" s="1064">
        <f t="shared" si="15"/>
        <v>1</v>
      </c>
      <c r="AO42" s="1064">
        <f t="shared" si="2"/>
        <v>1</v>
      </c>
      <c r="AP42" s="1064">
        <f t="shared" si="3"/>
        <v>0.5</v>
      </c>
      <c r="AQ42" s="1064">
        <f t="shared" si="16"/>
        <v>0.48490576535892177</v>
      </c>
      <c r="AR42" s="527"/>
      <c r="AS42" s="463">
        <v>1</v>
      </c>
      <c r="AT42" s="1083" t="str">
        <f t="shared" si="22"/>
        <v>Estados Financieros</v>
      </c>
      <c r="AU42" s="443">
        <v>68170101</v>
      </c>
      <c r="AV42" s="929">
        <v>1</v>
      </c>
      <c r="AW42" s="930">
        <v>68170101</v>
      </c>
      <c r="AX42" s="1064">
        <f t="shared" si="27"/>
        <v>1</v>
      </c>
      <c r="AY42" s="1064">
        <f t="shared" si="28"/>
        <v>1</v>
      </c>
      <c r="AZ42" s="1064">
        <f t="shared" si="29"/>
        <v>0.75</v>
      </c>
      <c r="BA42" s="1064">
        <f t="shared" si="30"/>
        <v>0.73490576535892183</v>
      </c>
      <c r="BB42" s="1665" t="s">
        <v>2009</v>
      </c>
      <c r="BC42" s="463">
        <v>1</v>
      </c>
      <c r="BD42" s="1083" t="str">
        <f t="shared" si="24"/>
        <v>Estados Financieros</v>
      </c>
      <c r="BE42" s="443">
        <v>68170101</v>
      </c>
      <c r="BF42" s="1067">
        <v>1</v>
      </c>
      <c r="BG42" s="744">
        <v>66538101</v>
      </c>
      <c r="BH42" s="1056">
        <f t="shared" si="17"/>
        <v>1</v>
      </c>
      <c r="BI42" s="1056">
        <f t="shared" si="18"/>
        <v>0.97605988584350201</v>
      </c>
      <c r="BJ42" s="1056">
        <f t="shared" si="31"/>
        <v>1</v>
      </c>
      <c r="BK42" s="1056">
        <f t="shared" si="32"/>
        <v>0.9789207368197973</v>
      </c>
      <c r="BL42" s="1068" t="s">
        <v>2300</v>
      </c>
      <c r="BM42" s="477">
        <f t="shared" si="4"/>
        <v>1</v>
      </c>
      <c r="BN42" s="477">
        <f t="shared" si="5"/>
        <v>0.93962306143568719</v>
      </c>
      <c r="BO42" s="477">
        <f t="shared" si="6"/>
        <v>1</v>
      </c>
      <c r="BP42" s="477">
        <f t="shared" si="7"/>
        <v>1</v>
      </c>
      <c r="BQ42" s="477">
        <f t="shared" si="33"/>
        <v>1</v>
      </c>
      <c r="BR42" s="477">
        <f t="shared" si="34"/>
        <v>1</v>
      </c>
      <c r="BS42" s="477">
        <f t="shared" si="8"/>
        <v>1</v>
      </c>
      <c r="BT42" s="828">
        <f t="shared" si="9"/>
        <v>0.97605988584350201</v>
      </c>
    </row>
    <row r="43" spans="1:72" s="404" customFormat="1" ht="69.75" customHeight="1" x14ac:dyDescent="0.25">
      <c r="A43" s="1092">
        <v>11300</v>
      </c>
      <c r="B43" s="1060" t="s">
        <v>4</v>
      </c>
      <c r="C43" s="1068" t="s">
        <v>1209</v>
      </c>
      <c r="D43" s="1059" t="s">
        <v>160</v>
      </c>
      <c r="E43" s="1060" t="s">
        <v>145</v>
      </c>
      <c r="F43" s="1059" t="s">
        <v>590</v>
      </c>
      <c r="G43" s="1060" t="s">
        <v>257</v>
      </c>
      <c r="H43" s="1079" t="s">
        <v>124</v>
      </c>
      <c r="I43" s="1059">
        <v>4</v>
      </c>
      <c r="J43" s="1059" t="s">
        <v>591</v>
      </c>
      <c r="K43" s="1060" t="s">
        <v>258</v>
      </c>
      <c r="L43" s="443">
        <v>0</v>
      </c>
      <c r="M43" s="444">
        <v>1</v>
      </c>
      <c r="N43" s="1060" t="s">
        <v>46</v>
      </c>
      <c r="O43" s="1060" t="s">
        <v>68</v>
      </c>
      <c r="P43" s="1060" t="s">
        <v>21</v>
      </c>
      <c r="Q43" s="1060" t="s">
        <v>36</v>
      </c>
      <c r="R43" s="1060" t="s">
        <v>212</v>
      </c>
      <c r="S43" s="1060" t="s">
        <v>137</v>
      </c>
      <c r="T43" s="1060" t="s">
        <v>99</v>
      </c>
      <c r="U43" s="467">
        <v>4</v>
      </c>
      <c r="V43" s="1058" t="str">
        <f t="shared" si="10"/>
        <v>Informe</v>
      </c>
      <c r="W43" s="445">
        <f t="shared" si="11"/>
        <v>0</v>
      </c>
      <c r="X43" s="1097" t="s">
        <v>117</v>
      </c>
      <c r="Y43" s="463">
        <v>1</v>
      </c>
      <c r="Z43" s="1083" t="str">
        <f t="shared" si="25"/>
        <v>Informe</v>
      </c>
      <c r="AA43" s="443">
        <v>0</v>
      </c>
      <c r="AB43" s="446">
        <v>1</v>
      </c>
      <c r="AC43" s="448">
        <v>0</v>
      </c>
      <c r="AD43" s="1064">
        <f t="shared" si="12"/>
        <v>1</v>
      </c>
      <c r="AE43" s="1064" t="e">
        <f t="shared" si="13"/>
        <v>#DIV/0!</v>
      </c>
      <c r="AF43" s="1064">
        <f t="shared" si="14"/>
        <v>0.25</v>
      </c>
      <c r="AG43" s="1064" t="e">
        <f t="shared" si="1"/>
        <v>#DIV/0!</v>
      </c>
      <c r="AH43" s="1060" t="s">
        <v>980</v>
      </c>
      <c r="AI43" s="463">
        <v>1</v>
      </c>
      <c r="AJ43" s="1083" t="str">
        <f t="shared" si="26"/>
        <v>Informe</v>
      </c>
      <c r="AK43" s="443">
        <v>0</v>
      </c>
      <c r="AL43" s="700">
        <v>1</v>
      </c>
      <c r="AM43" s="529">
        <v>0</v>
      </c>
      <c r="AN43" s="1064">
        <f t="shared" si="15"/>
        <v>1</v>
      </c>
      <c r="AO43" s="1064" t="e">
        <f t="shared" si="2"/>
        <v>#DIV/0!</v>
      </c>
      <c r="AP43" s="1064">
        <f t="shared" si="3"/>
        <v>0.5</v>
      </c>
      <c r="AQ43" s="1064" t="e">
        <f t="shared" si="16"/>
        <v>#DIV/0!</v>
      </c>
      <c r="AR43" s="1068" t="s">
        <v>1145</v>
      </c>
      <c r="AS43" s="463">
        <v>1</v>
      </c>
      <c r="AT43" s="1083" t="str">
        <f t="shared" si="22"/>
        <v>Informe</v>
      </c>
      <c r="AU43" s="443">
        <v>0</v>
      </c>
      <c r="AV43" s="929">
        <v>1</v>
      </c>
      <c r="AW43" s="930">
        <v>0</v>
      </c>
      <c r="AX43" s="1064">
        <f t="shared" si="27"/>
        <v>1</v>
      </c>
      <c r="AY43" s="1064" t="e">
        <f t="shared" si="28"/>
        <v>#DIV/0!</v>
      </c>
      <c r="AZ43" s="1064">
        <f t="shared" si="29"/>
        <v>0.75</v>
      </c>
      <c r="BA43" s="1064" t="e">
        <f t="shared" si="30"/>
        <v>#DIV/0!</v>
      </c>
      <c r="BB43" s="1665" t="s">
        <v>2009</v>
      </c>
      <c r="BC43" s="463">
        <v>1</v>
      </c>
      <c r="BD43" s="1083" t="str">
        <f t="shared" si="24"/>
        <v>Informe</v>
      </c>
      <c r="BE43" s="443">
        <v>0</v>
      </c>
      <c r="BF43" s="1067">
        <v>1</v>
      </c>
      <c r="BG43" s="744">
        <v>0</v>
      </c>
      <c r="BH43" s="1056">
        <f t="shared" si="17"/>
        <v>1</v>
      </c>
      <c r="BI43" s="1056" t="e">
        <f t="shared" si="18"/>
        <v>#DIV/0!</v>
      </c>
      <c r="BJ43" s="1056">
        <f t="shared" si="31"/>
        <v>1</v>
      </c>
      <c r="BK43" s="1056" t="e">
        <f t="shared" si="32"/>
        <v>#DIV/0!</v>
      </c>
      <c r="BL43" s="1048" t="s">
        <v>2251</v>
      </c>
      <c r="BM43" s="477">
        <f t="shared" si="4"/>
        <v>1</v>
      </c>
      <c r="BN43" s="477" t="str">
        <f t="shared" si="5"/>
        <v>No Prog ni Ejec</v>
      </c>
      <c r="BO43" s="477">
        <f t="shared" si="6"/>
        <v>1</v>
      </c>
      <c r="BP43" s="477" t="str">
        <f t="shared" si="7"/>
        <v>No Prog ni Ejec</v>
      </c>
      <c r="BQ43" s="477">
        <f t="shared" si="33"/>
        <v>1</v>
      </c>
      <c r="BR43" s="477" t="str">
        <f t="shared" si="34"/>
        <v>No Prog ni Ejec</v>
      </c>
      <c r="BS43" s="477">
        <f t="shared" si="8"/>
        <v>1</v>
      </c>
      <c r="BT43" s="828" t="str">
        <f t="shared" si="9"/>
        <v>No Prog ni Ejec</v>
      </c>
    </row>
    <row r="44" spans="1:72" s="404" customFormat="1" ht="51" x14ac:dyDescent="0.25">
      <c r="A44" s="1092">
        <v>11400</v>
      </c>
      <c r="B44" s="1060" t="s">
        <v>26</v>
      </c>
      <c r="C44" s="1068" t="s">
        <v>1209</v>
      </c>
      <c r="D44" s="1059" t="s">
        <v>183</v>
      </c>
      <c r="E44" s="1060" t="s">
        <v>153</v>
      </c>
      <c r="F44" s="1059" t="s">
        <v>185</v>
      </c>
      <c r="G44" s="1060" t="s">
        <v>133</v>
      </c>
      <c r="H44" s="1079" t="s">
        <v>124</v>
      </c>
      <c r="I44" s="1059">
        <v>4</v>
      </c>
      <c r="J44" s="1059" t="s">
        <v>316</v>
      </c>
      <c r="K44" s="1060" t="s">
        <v>24</v>
      </c>
      <c r="L44" s="443">
        <v>0</v>
      </c>
      <c r="M44" s="444">
        <v>1</v>
      </c>
      <c r="N44" s="1060" t="s">
        <v>51</v>
      </c>
      <c r="O44" s="1060" t="s">
        <v>68</v>
      </c>
      <c r="P44" s="1060" t="s">
        <v>21</v>
      </c>
      <c r="Q44" s="1060" t="s">
        <v>36</v>
      </c>
      <c r="R44" s="1060" t="s">
        <v>75</v>
      </c>
      <c r="S44" s="1060" t="s">
        <v>631</v>
      </c>
      <c r="T44" s="1060" t="s">
        <v>98</v>
      </c>
      <c r="U44" s="1059">
        <v>4</v>
      </c>
      <c r="V44" s="1058" t="str">
        <f t="shared" si="10"/>
        <v>Reportar el cumplimiento del Plan de Acción de la Dependencia</v>
      </c>
      <c r="W44" s="445">
        <f t="shared" si="11"/>
        <v>0</v>
      </c>
      <c r="X44" s="1097" t="s">
        <v>117</v>
      </c>
      <c r="Y44" s="463">
        <v>1</v>
      </c>
      <c r="Z44" s="1083" t="str">
        <f t="shared" si="25"/>
        <v>Reportar el cumplimiento del Plan de Acción de la Dependencia</v>
      </c>
      <c r="AA44" s="443">
        <v>0</v>
      </c>
      <c r="AB44" s="1079">
        <v>1</v>
      </c>
      <c r="AC44" s="446">
        <v>0</v>
      </c>
      <c r="AD44" s="1064">
        <f t="shared" si="12"/>
        <v>1</v>
      </c>
      <c r="AE44" s="1064" t="e">
        <f t="shared" si="13"/>
        <v>#DIV/0!</v>
      </c>
      <c r="AF44" s="1064">
        <f t="shared" si="14"/>
        <v>0.25</v>
      </c>
      <c r="AG44" s="1064" t="e">
        <f t="shared" si="1"/>
        <v>#DIV/0!</v>
      </c>
      <c r="AH44" s="1060"/>
      <c r="AI44" s="463">
        <v>1</v>
      </c>
      <c r="AJ44" s="1083" t="str">
        <f t="shared" si="26"/>
        <v>Reportar el cumplimiento del Plan de Acción de la Dependencia</v>
      </c>
      <c r="AK44" s="443">
        <v>0</v>
      </c>
      <c r="AL44" s="776">
        <v>1</v>
      </c>
      <c r="AM44" s="796">
        <v>0</v>
      </c>
      <c r="AN44" s="1064">
        <f t="shared" si="15"/>
        <v>1</v>
      </c>
      <c r="AO44" s="1064" t="e">
        <f t="shared" si="2"/>
        <v>#DIV/0!</v>
      </c>
      <c r="AP44" s="1064">
        <f t="shared" si="3"/>
        <v>0.5</v>
      </c>
      <c r="AQ44" s="1064" t="e">
        <f t="shared" si="16"/>
        <v>#DIV/0!</v>
      </c>
      <c r="AR44" s="527"/>
      <c r="AS44" s="463">
        <v>1</v>
      </c>
      <c r="AT44" s="1083" t="str">
        <f t="shared" si="22"/>
        <v>Reportar el cumplimiento del Plan de Acción de la Dependencia</v>
      </c>
      <c r="AU44" s="443">
        <v>0</v>
      </c>
      <c r="AV44" s="929">
        <v>1</v>
      </c>
      <c r="AW44" s="930">
        <v>0</v>
      </c>
      <c r="AX44" s="1064">
        <f t="shared" si="27"/>
        <v>1</v>
      </c>
      <c r="AY44" s="1064" t="e">
        <f t="shared" si="28"/>
        <v>#DIV/0!</v>
      </c>
      <c r="AZ44" s="1064">
        <f t="shared" si="29"/>
        <v>0.75</v>
      </c>
      <c r="BA44" s="1064" t="e">
        <f t="shared" si="30"/>
        <v>#DIV/0!</v>
      </c>
      <c r="BB44" s="1665"/>
      <c r="BC44" s="463">
        <v>1</v>
      </c>
      <c r="BD44" s="1083" t="str">
        <f t="shared" si="24"/>
        <v>Reportar el cumplimiento del Plan de Acción de la Dependencia</v>
      </c>
      <c r="BE44" s="443">
        <v>0</v>
      </c>
      <c r="BF44" s="1674">
        <v>1</v>
      </c>
      <c r="BG44" s="1672">
        <v>0</v>
      </c>
      <c r="BH44" s="1056">
        <f t="shared" si="17"/>
        <v>1</v>
      </c>
      <c r="BI44" s="1056" t="e">
        <f t="shared" si="18"/>
        <v>#DIV/0!</v>
      </c>
      <c r="BJ44" s="1056">
        <f t="shared" si="31"/>
        <v>1</v>
      </c>
      <c r="BK44" s="1056" t="e">
        <f t="shared" si="32"/>
        <v>#DIV/0!</v>
      </c>
      <c r="BL44" s="1068"/>
      <c r="BM44" s="477">
        <f t="shared" si="4"/>
        <v>1</v>
      </c>
      <c r="BN44" s="477" t="str">
        <f t="shared" si="5"/>
        <v>No Prog ni Ejec</v>
      </c>
      <c r="BO44" s="477">
        <f t="shared" si="6"/>
        <v>1</v>
      </c>
      <c r="BP44" s="477" t="str">
        <f t="shared" si="7"/>
        <v>No Prog ni Ejec</v>
      </c>
      <c r="BQ44" s="477">
        <f t="shared" si="33"/>
        <v>1</v>
      </c>
      <c r="BR44" s="477" t="str">
        <f t="shared" si="34"/>
        <v>No Prog ni Ejec</v>
      </c>
      <c r="BS44" s="477">
        <f t="shared" si="8"/>
        <v>1</v>
      </c>
      <c r="BT44" s="828" t="str">
        <f t="shared" si="9"/>
        <v>No Prog ni Ejec</v>
      </c>
    </row>
    <row r="45" spans="1:72" s="404" customFormat="1" ht="180.75" customHeight="1" x14ac:dyDescent="0.25">
      <c r="A45" s="1092">
        <v>11400</v>
      </c>
      <c r="B45" s="1060" t="s">
        <v>26</v>
      </c>
      <c r="C45" s="1068" t="s">
        <v>1209</v>
      </c>
      <c r="D45" s="1059" t="s">
        <v>184</v>
      </c>
      <c r="E45" s="1060" t="s">
        <v>256</v>
      </c>
      <c r="F45" s="1059" t="s">
        <v>186</v>
      </c>
      <c r="G45" s="1060" t="s">
        <v>159</v>
      </c>
      <c r="H45" s="1079" t="s">
        <v>123</v>
      </c>
      <c r="I45" s="1056">
        <v>1</v>
      </c>
      <c r="J45" s="1059" t="s">
        <v>317</v>
      </c>
      <c r="K45" s="1060" t="s">
        <v>156</v>
      </c>
      <c r="L45" s="443">
        <v>0</v>
      </c>
      <c r="M45" s="444">
        <v>1</v>
      </c>
      <c r="N45" s="1060" t="s">
        <v>51</v>
      </c>
      <c r="O45" s="1060" t="s">
        <v>68</v>
      </c>
      <c r="P45" s="1060" t="s">
        <v>21</v>
      </c>
      <c r="Q45" s="1060" t="s">
        <v>36</v>
      </c>
      <c r="R45" s="1060" t="s">
        <v>75</v>
      </c>
      <c r="S45" s="1060" t="s">
        <v>672</v>
      </c>
      <c r="T45" s="1060" t="s">
        <v>98</v>
      </c>
      <c r="U45" s="444">
        <v>1</v>
      </c>
      <c r="V45" s="1058" t="str">
        <f t="shared" si="10"/>
        <v>Formular los proceso y procedimientos en el marco del MIPG</v>
      </c>
      <c r="W45" s="445">
        <f t="shared" si="11"/>
        <v>0</v>
      </c>
      <c r="X45" s="1097" t="s">
        <v>117</v>
      </c>
      <c r="Y45" s="1056">
        <v>0.25</v>
      </c>
      <c r="Z45" s="1083" t="str">
        <f t="shared" si="25"/>
        <v>Formular los proceso y procedimientos en el marco del MIPG</v>
      </c>
      <c r="AA45" s="443">
        <v>0</v>
      </c>
      <c r="AB45" s="1082">
        <f>(33/35)</f>
        <v>0.94285714285714284</v>
      </c>
      <c r="AC45" s="446">
        <v>0</v>
      </c>
      <c r="AD45" s="1064">
        <f t="shared" si="12"/>
        <v>3.7714285714285714</v>
      </c>
      <c r="AE45" s="1064" t="e">
        <f t="shared" si="13"/>
        <v>#DIV/0!</v>
      </c>
      <c r="AF45" s="1064">
        <f t="shared" si="14"/>
        <v>0.94285714285714284</v>
      </c>
      <c r="AG45" s="1064" t="e">
        <f t="shared" si="1"/>
        <v>#DIV/0!</v>
      </c>
      <c r="AH45" s="1060" t="s">
        <v>998</v>
      </c>
      <c r="AI45" s="1056">
        <v>0.25</v>
      </c>
      <c r="AJ45" s="1083" t="str">
        <f t="shared" si="26"/>
        <v>Formular los proceso y procedimientos en el marco del MIPG</v>
      </c>
      <c r="AK45" s="443">
        <v>0</v>
      </c>
      <c r="AL45" s="745">
        <f>(2/33)</f>
        <v>6.0606060606060608E-2</v>
      </c>
      <c r="AM45" s="796">
        <v>0</v>
      </c>
      <c r="AN45" s="1064">
        <f t="shared" si="15"/>
        <v>0.24242424242424243</v>
      </c>
      <c r="AO45" s="1064" t="e">
        <f t="shared" si="2"/>
        <v>#DIV/0!</v>
      </c>
      <c r="AP45" s="1064">
        <f t="shared" si="3"/>
        <v>1.0034632034632034</v>
      </c>
      <c r="AQ45" s="1064" t="e">
        <f t="shared" si="16"/>
        <v>#DIV/0!</v>
      </c>
      <c r="AR45" s="1068" t="s">
        <v>1863</v>
      </c>
      <c r="AS45" s="1056">
        <v>0.25</v>
      </c>
      <c r="AT45" s="1083" t="str">
        <f t="shared" si="22"/>
        <v>Formular los proceso y procedimientos en el marco del MIPG</v>
      </c>
      <c r="AU45" s="443">
        <v>0</v>
      </c>
      <c r="AV45" s="929">
        <v>0</v>
      </c>
      <c r="AW45" s="930">
        <v>0</v>
      </c>
      <c r="AX45" s="1064">
        <f t="shared" si="27"/>
        <v>0</v>
      </c>
      <c r="AY45" s="1064" t="e">
        <f t="shared" si="28"/>
        <v>#DIV/0!</v>
      </c>
      <c r="AZ45" s="1064">
        <f t="shared" si="29"/>
        <v>1.0034632034632034</v>
      </c>
      <c r="BA45" s="1064" t="e">
        <f t="shared" si="30"/>
        <v>#DIV/0!</v>
      </c>
      <c r="BB45" s="1665" t="s">
        <v>1975</v>
      </c>
      <c r="BC45" s="1056">
        <v>0.25</v>
      </c>
      <c r="BD45" s="1083" t="str">
        <f t="shared" si="24"/>
        <v>Formular los proceso y procedimientos en el marco del MIPG</v>
      </c>
      <c r="BE45" s="443">
        <v>0</v>
      </c>
      <c r="BF45" s="1088">
        <v>0</v>
      </c>
      <c r="BG45" s="1672">
        <v>0</v>
      </c>
      <c r="BH45" s="1056">
        <f t="shared" si="17"/>
        <v>0</v>
      </c>
      <c r="BI45" s="1056" t="e">
        <f t="shared" si="18"/>
        <v>#DIV/0!</v>
      </c>
      <c r="BJ45" s="1056">
        <f t="shared" si="31"/>
        <v>1.0034632034632034</v>
      </c>
      <c r="BK45" s="1056" t="e">
        <f t="shared" si="32"/>
        <v>#DIV/0!</v>
      </c>
      <c r="BL45" s="1049" t="s">
        <v>2134</v>
      </c>
      <c r="BM45" s="477">
        <f t="shared" si="4"/>
        <v>3.7714285714285714</v>
      </c>
      <c r="BN45" s="477" t="str">
        <f t="shared" si="5"/>
        <v>No Prog ni Ejec</v>
      </c>
      <c r="BO45" s="477">
        <f t="shared" si="6"/>
        <v>0.24242424242424243</v>
      </c>
      <c r="BP45" s="477" t="str">
        <f t="shared" si="7"/>
        <v>No Prog ni Ejec</v>
      </c>
      <c r="BQ45" s="477">
        <f t="shared" si="33"/>
        <v>0</v>
      </c>
      <c r="BR45" s="477" t="str">
        <f t="shared" si="34"/>
        <v>No Prog ni Ejec</v>
      </c>
      <c r="BS45" s="477">
        <f t="shared" si="8"/>
        <v>0</v>
      </c>
      <c r="BT45" s="828" t="str">
        <f t="shared" si="9"/>
        <v>No Prog ni Ejec</v>
      </c>
    </row>
    <row r="46" spans="1:72" s="404" customFormat="1" ht="89.25" x14ac:dyDescent="0.25">
      <c r="A46" s="1092">
        <v>11400</v>
      </c>
      <c r="B46" s="1060" t="s">
        <v>26</v>
      </c>
      <c r="C46" s="1068" t="s">
        <v>1209</v>
      </c>
      <c r="D46" s="1059" t="s">
        <v>184</v>
      </c>
      <c r="E46" s="1060" t="s">
        <v>256</v>
      </c>
      <c r="F46" s="1059" t="s">
        <v>187</v>
      </c>
      <c r="G46" s="1060" t="s">
        <v>127</v>
      </c>
      <c r="H46" s="1079" t="s">
        <v>123</v>
      </c>
      <c r="I46" s="1056">
        <v>0</v>
      </c>
      <c r="J46" s="1059" t="s">
        <v>318</v>
      </c>
      <c r="K46" s="1060" t="s">
        <v>128</v>
      </c>
      <c r="L46" s="443">
        <v>0</v>
      </c>
      <c r="M46" s="444">
        <v>1</v>
      </c>
      <c r="N46" s="1060" t="s">
        <v>51</v>
      </c>
      <c r="O46" s="1060" t="s">
        <v>68</v>
      </c>
      <c r="P46" s="1060" t="s">
        <v>21</v>
      </c>
      <c r="Q46" s="1060" t="s">
        <v>36</v>
      </c>
      <c r="R46" s="1060" t="s">
        <v>75</v>
      </c>
      <c r="S46" s="1060" t="s">
        <v>570</v>
      </c>
      <c r="T46" s="1060" t="s">
        <v>98</v>
      </c>
      <c r="U46" s="444">
        <v>0</v>
      </c>
      <c r="V46" s="1058" t="str">
        <f t="shared" si="10"/>
        <v>Remitir informes trimestrales de los indicadores formulados y las acciones de mejoras</v>
      </c>
      <c r="W46" s="445">
        <f t="shared" si="11"/>
        <v>0</v>
      </c>
      <c r="X46" s="1097" t="s">
        <v>117</v>
      </c>
      <c r="Y46" s="1056">
        <v>0</v>
      </c>
      <c r="Z46" s="1083" t="str">
        <f t="shared" si="25"/>
        <v>Remitir informes trimestrales de los indicadores formulados y las acciones de mejoras</v>
      </c>
      <c r="AA46" s="443">
        <v>0</v>
      </c>
      <c r="AB46" s="1082">
        <v>0</v>
      </c>
      <c r="AC46" s="446">
        <v>0</v>
      </c>
      <c r="AD46" s="1064" t="e">
        <f>+(AB46/Y46)</f>
        <v>#DIV/0!</v>
      </c>
      <c r="AE46" s="1064" t="e">
        <f t="shared" si="13"/>
        <v>#DIV/0!</v>
      </c>
      <c r="AF46" s="1064" t="e">
        <f t="shared" si="14"/>
        <v>#DIV/0!</v>
      </c>
      <c r="AG46" s="1064" t="e">
        <f t="shared" si="1"/>
        <v>#DIV/0!</v>
      </c>
      <c r="AH46" s="1060"/>
      <c r="AI46" s="1056">
        <v>0</v>
      </c>
      <c r="AJ46" s="1083" t="str">
        <f t="shared" si="26"/>
        <v>Remitir informes trimestrales de los indicadores formulados y las acciones de mejoras</v>
      </c>
      <c r="AK46" s="443">
        <v>0</v>
      </c>
      <c r="AL46" s="1085">
        <v>0</v>
      </c>
      <c r="AM46" s="796">
        <v>0</v>
      </c>
      <c r="AN46" s="1064" t="e">
        <f t="shared" si="15"/>
        <v>#DIV/0!</v>
      </c>
      <c r="AO46" s="1064" t="e">
        <f t="shared" si="2"/>
        <v>#DIV/0!</v>
      </c>
      <c r="AP46" s="1064" t="e">
        <f t="shared" si="3"/>
        <v>#DIV/0!</v>
      </c>
      <c r="AQ46" s="1064" t="e">
        <f t="shared" si="16"/>
        <v>#DIV/0!</v>
      </c>
      <c r="AR46" s="804"/>
      <c r="AS46" s="1056">
        <v>0</v>
      </c>
      <c r="AT46" s="1083" t="str">
        <f t="shared" si="22"/>
        <v>Remitir informes trimestrales de los indicadores formulados y las acciones de mejoras</v>
      </c>
      <c r="AU46" s="443">
        <v>0</v>
      </c>
      <c r="AV46" s="929">
        <v>0</v>
      </c>
      <c r="AW46" s="930">
        <v>0</v>
      </c>
      <c r="AX46" s="1064" t="e">
        <f t="shared" si="27"/>
        <v>#DIV/0!</v>
      </c>
      <c r="AY46" s="1064" t="e">
        <f t="shared" si="28"/>
        <v>#DIV/0!</v>
      </c>
      <c r="AZ46" s="1064" t="e">
        <f t="shared" si="29"/>
        <v>#DIV/0!</v>
      </c>
      <c r="BA46" s="1064" t="e">
        <f t="shared" si="30"/>
        <v>#DIV/0!</v>
      </c>
      <c r="BB46" s="1665"/>
      <c r="BC46" s="1056">
        <v>0</v>
      </c>
      <c r="BD46" s="1083" t="str">
        <f t="shared" si="24"/>
        <v>Remitir informes trimestrales de los indicadores formulados y las acciones de mejoras</v>
      </c>
      <c r="BE46" s="443">
        <v>0</v>
      </c>
      <c r="BF46" s="1088">
        <v>0</v>
      </c>
      <c r="BG46" s="1672">
        <v>0</v>
      </c>
      <c r="BH46" s="1056" t="e">
        <f t="shared" si="17"/>
        <v>#DIV/0!</v>
      </c>
      <c r="BI46" s="1056" t="e">
        <f t="shared" si="18"/>
        <v>#DIV/0!</v>
      </c>
      <c r="BJ46" s="1056" t="e">
        <f t="shared" si="31"/>
        <v>#DIV/0!</v>
      </c>
      <c r="BK46" s="1056" t="e">
        <f t="shared" si="32"/>
        <v>#DIV/0!</v>
      </c>
      <c r="BL46" s="1068"/>
      <c r="BM46" s="477" t="str">
        <f t="shared" si="4"/>
        <v>No Prog ni Ejec</v>
      </c>
      <c r="BN46" s="477" t="str">
        <f t="shared" si="5"/>
        <v>No Prog ni Ejec</v>
      </c>
      <c r="BO46" s="477" t="str">
        <f t="shared" si="6"/>
        <v>No Prog ni Ejec</v>
      </c>
      <c r="BP46" s="477" t="str">
        <f t="shared" si="7"/>
        <v>No Prog ni Ejec</v>
      </c>
      <c r="BQ46" s="477" t="str">
        <f t="shared" si="33"/>
        <v>No Prog ni Ejec</v>
      </c>
      <c r="BR46" s="477" t="str">
        <f t="shared" si="34"/>
        <v>No Prog ni Ejec</v>
      </c>
      <c r="BS46" s="477" t="str">
        <f t="shared" si="8"/>
        <v>No Prog ni Ejec</v>
      </c>
      <c r="BT46" s="828" t="str">
        <f t="shared" si="9"/>
        <v>No Prog ni Ejec</v>
      </c>
    </row>
    <row r="47" spans="1:72" s="404" customFormat="1" ht="63.75" x14ac:dyDescent="0.25">
      <c r="A47" s="1092">
        <v>11400</v>
      </c>
      <c r="B47" s="1060" t="s">
        <v>26</v>
      </c>
      <c r="C47" s="1068" t="s">
        <v>1209</v>
      </c>
      <c r="D47" s="1059" t="s">
        <v>188</v>
      </c>
      <c r="E47" s="1060" t="s">
        <v>144</v>
      </c>
      <c r="F47" s="1059" t="s">
        <v>192</v>
      </c>
      <c r="G47" s="1060" t="s">
        <v>189</v>
      </c>
      <c r="H47" s="1079" t="s">
        <v>124</v>
      </c>
      <c r="I47" s="464">
        <v>47</v>
      </c>
      <c r="J47" s="1059" t="s">
        <v>237</v>
      </c>
      <c r="K47" s="1060" t="s">
        <v>190</v>
      </c>
      <c r="L47" s="443">
        <v>100516376</v>
      </c>
      <c r="M47" s="444">
        <v>1</v>
      </c>
      <c r="N47" s="1060" t="s">
        <v>46</v>
      </c>
      <c r="O47" s="1060" t="s">
        <v>68</v>
      </c>
      <c r="P47" s="1060" t="s">
        <v>21</v>
      </c>
      <c r="Q47" s="1060" t="s">
        <v>36</v>
      </c>
      <c r="R47" s="1060" t="s">
        <v>216</v>
      </c>
      <c r="S47" s="1060" t="s">
        <v>909</v>
      </c>
      <c r="T47" s="1060" t="s">
        <v>99</v>
      </c>
      <c r="U47" s="463">
        <v>47</v>
      </c>
      <c r="V47" s="1058" t="str">
        <f t="shared" si="10"/>
        <v>No. de Procesos de Compensación Ejecutados</v>
      </c>
      <c r="W47" s="445">
        <f t="shared" si="11"/>
        <v>100516376</v>
      </c>
      <c r="X47" s="1097" t="s">
        <v>114</v>
      </c>
      <c r="Y47" s="463">
        <v>11</v>
      </c>
      <c r="Z47" s="1083" t="str">
        <f t="shared" si="25"/>
        <v>No. de Procesos de Compensación Ejecutados</v>
      </c>
      <c r="AA47" s="443">
        <v>43249020</v>
      </c>
      <c r="AB47" s="483">
        <v>11</v>
      </c>
      <c r="AC47" s="1098">
        <f>19270170-136000</f>
        <v>19134170</v>
      </c>
      <c r="AD47" s="1064">
        <f t="shared" si="12"/>
        <v>1</v>
      </c>
      <c r="AE47" s="1064">
        <f t="shared" si="13"/>
        <v>0.44241857965798992</v>
      </c>
      <c r="AF47" s="1064">
        <f t="shared" si="14"/>
        <v>0.23404255319148937</v>
      </c>
      <c r="AG47" s="1064">
        <f t="shared" si="1"/>
        <v>0.19035873318791358</v>
      </c>
      <c r="AH47" s="1060"/>
      <c r="AI47" s="463">
        <v>12</v>
      </c>
      <c r="AJ47" s="1083" t="str">
        <f t="shared" si="26"/>
        <v>No. de Procesos de Compensación Ejecutados</v>
      </c>
      <c r="AK47" s="443">
        <v>12240000</v>
      </c>
      <c r="AL47" s="1090">
        <v>12</v>
      </c>
      <c r="AM47" s="797">
        <v>27650517</v>
      </c>
      <c r="AN47" s="1064">
        <f t="shared" si="15"/>
        <v>1</v>
      </c>
      <c r="AO47" s="1064">
        <f>+(AM47/AK47)</f>
        <v>2.2590291666666666</v>
      </c>
      <c r="AP47" s="1064">
        <f t="shared" si="3"/>
        <v>0.48936170212765956</v>
      </c>
      <c r="AQ47" s="1064">
        <f t="shared" si="16"/>
        <v>0.465443431824482</v>
      </c>
      <c r="AR47" s="804"/>
      <c r="AS47" s="463">
        <v>12</v>
      </c>
      <c r="AT47" s="1083" t="str">
        <f t="shared" si="22"/>
        <v>No. de Procesos de Compensación Ejecutados</v>
      </c>
      <c r="AU47" s="443">
        <v>17376839</v>
      </c>
      <c r="AV47" s="929">
        <v>12</v>
      </c>
      <c r="AW47" s="797">
        <v>27650517</v>
      </c>
      <c r="AX47" s="1064">
        <f t="shared" si="27"/>
        <v>1</v>
      </c>
      <c r="AY47" s="1064">
        <f t="shared" si="28"/>
        <v>1.5912282435257643</v>
      </c>
      <c r="AZ47" s="1064">
        <f t="shared" si="29"/>
        <v>0.74468085106382975</v>
      </c>
      <c r="BA47" s="1064">
        <f t="shared" si="30"/>
        <v>0.74052813046105048</v>
      </c>
      <c r="BB47" s="1665"/>
      <c r="BC47" s="463">
        <v>12</v>
      </c>
      <c r="BD47" s="1083" t="str">
        <f t="shared" si="24"/>
        <v>No. de Procesos de Compensación Ejecutados</v>
      </c>
      <c r="BE47" s="443">
        <v>27650517</v>
      </c>
      <c r="BF47" s="1079">
        <v>12</v>
      </c>
      <c r="BG47" s="1675">
        <v>40365679</v>
      </c>
      <c r="BH47" s="1056">
        <f t="shared" si="17"/>
        <v>1</v>
      </c>
      <c r="BI47" s="1056">
        <f t="shared" si="18"/>
        <v>1.4598525951612407</v>
      </c>
      <c r="BJ47" s="1056">
        <f t="shared" si="31"/>
        <v>1</v>
      </c>
      <c r="BK47" s="1056">
        <f t="shared" si="32"/>
        <v>1.1421112416547927</v>
      </c>
      <c r="BL47" s="1050" t="s">
        <v>2252</v>
      </c>
      <c r="BM47" s="477">
        <f t="shared" si="4"/>
        <v>1</v>
      </c>
      <c r="BN47" s="477">
        <f t="shared" si="5"/>
        <v>0.44241857965798992</v>
      </c>
      <c r="BO47" s="477">
        <f t="shared" si="6"/>
        <v>1</v>
      </c>
      <c r="BP47" s="477">
        <f t="shared" si="7"/>
        <v>2.2590291666666666</v>
      </c>
      <c r="BQ47" s="477">
        <f t="shared" si="33"/>
        <v>1</v>
      </c>
      <c r="BR47" s="477">
        <f t="shared" si="34"/>
        <v>1.5912282435257643</v>
      </c>
      <c r="BS47" s="477">
        <f t="shared" si="8"/>
        <v>1</v>
      </c>
      <c r="BT47" s="828">
        <f t="shared" si="9"/>
        <v>1.4598525951612407</v>
      </c>
    </row>
    <row r="48" spans="1:72" s="404" customFormat="1" ht="105" x14ac:dyDescent="0.25">
      <c r="A48" s="1092">
        <v>11400</v>
      </c>
      <c r="B48" s="1060" t="s">
        <v>26</v>
      </c>
      <c r="C48" s="1068" t="s">
        <v>1209</v>
      </c>
      <c r="D48" s="1059" t="s">
        <v>188</v>
      </c>
      <c r="E48" s="1060" t="s">
        <v>144</v>
      </c>
      <c r="F48" s="1059" t="s">
        <v>479</v>
      </c>
      <c r="G48" s="1060" t="s">
        <v>191</v>
      </c>
      <c r="H48" s="1079" t="s">
        <v>124</v>
      </c>
      <c r="I48" s="1059">
        <v>12</v>
      </c>
      <c r="J48" s="1059" t="s">
        <v>480</v>
      </c>
      <c r="K48" s="1060" t="s">
        <v>597</v>
      </c>
      <c r="L48" s="443">
        <v>0</v>
      </c>
      <c r="M48" s="444">
        <v>1</v>
      </c>
      <c r="N48" s="1060" t="s">
        <v>46</v>
      </c>
      <c r="O48" s="1060" t="s">
        <v>68</v>
      </c>
      <c r="P48" s="1060" t="s">
        <v>21</v>
      </c>
      <c r="Q48" s="1060" t="s">
        <v>36</v>
      </c>
      <c r="R48" s="1060" t="s">
        <v>223</v>
      </c>
      <c r="S48" s="1060" t="s">
        <v>910</v>
      </c>
      <c r="T48" s="1060" t="s">
        <v>99</v>
      </c>
      <c r="U48" s="463">
        <v>12</v>
      </c>
      <c r="V48" s="1058" t="str">
        <f t="shared" si="10"/>
        <v>No. de Procesos de LMA Ejecutados</v>
      </c>
      <c r="W48" s="445">
        <f t="shared" si="11"/>
        <v>0</v>
      </c>
      <c r="X48" s="1097" t="s">
        <v>117</v>
      </c>
      <c r="Y48" s="463">
        <v>3</v>
      </c>
      <c r="Z48" s="1083" t="str">
        <f t="shared" si="25"/>
        <v>No. de Procesos de LMA Ejecutados</v>
      </c>
      <c r="AA48" s="443">
        <v>0</v>
      </c>
      <c r="AB48" s="1079">
        <v>3</v>
      </c>
      <c r="AC48" s="448">
        <v>0</v>
      </c>
      <c r="AD48" s="1064">
        <f t="shared" si="12"/>
        <v>1</v>
      </c>
      <c r="AE48" s="1064" t="e">
        <f t="shared" si="13"/>
        <v>#DIV/0!</v>
      </c>
      <c r="AF48" s="1064">
        <f t="shared" si="14"/>
        <v>0.25</v>
      </c>
      <c r="AG48" s="1064" t="e">
        <f t="shared" si="1"/>
        <v>#DIV/0!</v>
      </c>
      <c r="AH48" s="1060" t="s">
        <v>906</v>
      </c>
      <c r="AI48" s="463">
        <v>3</v>
      </c>
      <c r="AJ48" s="1083" t="str">
        <f t="shared" si="26"/>
        <v>No. de Procesos de LMA Ejecutados</v>
      </c>
      <c r="AK48" s="443">
        <v>0</v>
      </c>
      <c r="AL48" s="1085">
        <v>3</v>
      </c>
      <c r="AM48" s="798">
        <v>0</v>
      </c>
      <c r="AN48" s="1064">
        <f t="shared" si="15"/>
        <v>1</v>
      </c>
      <c r="AO48" s="1064" t="e">
        <f t="shared" si="2"/>
        <v>#DIV/0!</v>
      </c>
      <c r="AP48" s="1064">
        <f t="shared" si="3"/>
        <v>0.5</v>
      </c>
      <c r="AQ48" s="1064" t="e">
        <f t="shared" si="16"/>
        <v>#DIV/0!</v>
      </c>
      <c r="AR48" s="1068" t="s">
        <v>1165</v>
      </c>
      <c r="AS48" s="463">
        <v>3</v>
      </c>
      <c r="AT48" s="1083" t="str">
        <f t="shared" si="22"/>
        <v>No. de Procesos de LMA Ejecutados</v>
      </c>
      <c r="AU48" s="443">
        <v>0</v>
      </c>
      <c r="AV48" s="929">
        <v>3</v>
      </c>
      <c r="AW48" s="930">
        <v>0</v>
      </c>
      <c r="AX48" s="1064">
        <f t="shared" si="27"/>
        <v>1</v>
      </c>
      <c r="AY48" s="1064" t="e">
        <f t="shared" si="28"/>
        <v>#DIV/0!</v>
      </c>
      <c r="AZ48" s="1064">
        <f t="shared" si="29"/>
        <v>0.75</v>
      </c>
      <c r="BA48" s="1064" t="e">
        <f t="shared" si="30"/>
        <v>#DIV/0!</v>
      </c>
      <c r="BB48" s="1665" t="s">
        <v>1976</v>
      </c>
      <c r="BC48" s="463">
        <v>3</v>
      </c>
      <c r="BD48" s="1083" t="str">
        <f t="shared" si="24"/>
        <v>No. de Procesos de LMA Ejecutados</v>
      </c>
      <c r="BE48" s="443">
        <v>0</v>
      </c>
      <c r="BF48" s="1674">
        <v>3</v>
      </c>
      <c r="BG48" s="1672">
        <v>0</v>
      </c>
      <c r="BH48" s="1056">
        <f t="shared" si="17"/>
        <v>1</v>
      </c>
      <c r="BI48" s="1056" t="e">
        <f t="shared" si="18"/>
        <v>#DIV/0!</v>
      </c>
      <c r="BJ48" s="1056">
        <f t="shared" si="31"/>
        <v>1</v>
      </c>
      <c r="BK48" s="1056" t="e">
        <f t="shared" si="32"/>
        <v>#DIV/0!</v>
      </c>
      <c r="BL48" s="1050" t="s">
        <v>2226</v>
      </c>
      <c r="BM48" s="477">
        <f t="shared" si="4"/>
        <v>1</v>
      </c>
      <c r="BN48" s="477" t="str">
        <f t="shared" si="5"/>
        <v>No Prog ni Ejec</v>
      </c>
      <c r="BO48" s="477">
        <f t="shared" si="6"/>
        <v>1</v>
      </c>
      <c r="BP48" s="477" t="str">
        <f t="shared" si="7"/>
        <v>No Prog ni Ejec</v>
      </c>
      <c r="BQ48" s="477">
        <f t="shared" si="33"/>
        <v>1</v>
      </c>
      <c r="BR48" s="477" t="str">
        <f t="shared" si="34"/>
        <v>No Prog ni Ejec</v>
      </c>
      <c r="BS48" s="477">
        <f t="shared" si="8"/>
        <v>1</v>
      </c>
      <c r="BT48" s="828" t="str">
        <f t="shared" si="9"/>
        <v>No Prog ni Ejec</v>
      </c>
    </row>
    <row r="49" spans="1:72" s="404" customFormat="1" ht="63.75" x14ac:dyDescent="0.25">
      <c r="A49" s="1092">
        <v>11400</v>
      </c>
      <c r="B49" s="1060" t="s">
        <v>26</v>
      </c>
      <c r="C49" s="1068" t="s">
        <v>1209</v>
      </c>
      <c r="D49" s="1059" t="s">
        <v>188</v>
      </c>
      <c r="E49" s="1060" t="s">
        <v>144</v>
      </c>
      <c r="F49" s="1059" t="s">
        <v>481</v>
      </c>
      <c r="G49" s="1060" t="s">
        <v>233</v>
      </c>
      <c r="H49" s="1079" t="s">
        <v>124</v>
      </c>
      <c r="I49" s="464">
        <v>48</v>
      </c>
      <c r="J49" s="1059" t="s">
        <v>482</v>
      </c>
      <c r="K49" s="1060" t="s">
        <v>193</v>
      </c>
      <c r="L49" s="443">
        <v>0</v>
      </c>
      <c r="M49" s="444">
        <v>1</v>
      </c>
      <c r="N49" s="1060" t="s">
        <v>46</v>
      </c>
      <c r="O49" s="1060" t="s">
        <v>68</v>
      </c>
      <c r="P49" s="1060" t="s">
        <v>21</v>
      </c>
      <c r="Q49" s="1060" t="s">
        <v>36</v>
      </c>
      <c r="R49" s="1060" t="s">
        <v>216</v>
      </c>
      <c r="S49" s="1060" t="s">
        <v>911</v>
      </c>
      <c r="T49" s="1060" t="s">
        <v>99</v>
      </c>
      <c r="U49" s="463">
        <v>12</v>
      </c>
      <c r="V49" s="1058" t="str">
        <f t="shared" si="10"/>
        <v>Publicación Giro Directo Régimen Contributivo</v>
      </c>
      <c r="W49" s="445">
        <f t="shared" si="11"/>
        <v>0</v>
      </c>
      <c r="X49" s="1097" t="s">
        <v>117</v>
      </c>
      <c r="Y49" s="463">
        <v>3</v>
      </c>
      <c r="Z49" s="1083" t="str">
        <f t="shared" si="25"/>
        <v>Publicación Giro Directo Régimen Contributivo</v>
      </c>
      <c r="AA49" s="443">
        <v>0</v>
      </c>
      <c r="AB49" s="1079">
        <v>3</v>
      </c>
      <c r="AC49" s="448">
        <v>0</v>
      </c>
      <c r="AD49" s="1064">
        <f t="shared" si="12"/>
        <v>1</v>
      </c>
      <c r="AE49" s="1064" t="e">
        <f t="shared" si="13"/>
        <v>#DIV/0!</v>
      </c>
      <c r="AF49" s="1064">
        <f t="shared" si="14"/>
        <v>0.25</v>
      </c>
      <c r="AG49" s="1064" t="e">
        <f t="shared" si="1"/>
        <v>#DIV/0!</v>
      </c>
      <c r="AH49" s="1060"/>
      <c r="AI49" s="463">
        <v>3</v>
      </c>
      <c r="AJ49" s="1083" t="str">
        <f t="shared" si="26"/>
        <v>Publicación Giro Directo Régimen Contributivo</v>
      </c>
      <c r="AK49" s="443">
        <v>0</v>
      </c>
      <c r="AL49" s="1089">
        <v>3</v>
      </c>
      <c r="AM49" s="798">
        <v>0</v>
      </c>
      <c r="AN49" s="1064">
        <f t="shared" si="15"/>
        <v>1</v>
      </c>
      <c r="AO49" s="1064" t="e">
        <f t="shared" si="2"/>
        <v>#DIV/0!</v>
      </c>
      <c r="AP49" s="1064">
        <f t="shared" si="3"/>
        <v>0.5</v>
      </c>
      <c r="AQ49" s="1064" t="e">
        <f t="shared" si="16"/>
        <v>#DIV/0!</v>
      </c>
      <c r="AR49" s="804"/>
      <c r="AS49" s="463">
        <v>3</v>
      </c>
      <c r="AT49" s="1083" t="str">
        <f t="shared" si="22"/>
        <v>Publicación Giro Directo Régimen Contributivo</v>
      </c>
      <c r="AU49" s="443">
        <v>0</v>
      </c>
      <c r="AV49" s="929">
        <v>4</v>
      </c>
      <c r="AW49" s="930">
        <v>0</v>
      </c>
      <c r="AX49" s="1064">
        <f t="shared" si="27"/>
        <v>1.3333333333333333</v>
      </c>
      <c r="AY49" s="1064" t="e">
        <f t="shared" si="28"/>
        <v>#DIV/0!</v>
      </c>
      <c r="AZ49" s="1064">
        <f t="shared" si="29"/>
        <v>0.83333333333333337</v>
      </c>
      <c r="BA49" s="1064" t="e">
        <f t="shared" si="30"/>
        <v>#DIV/0!</v>
      </c>
      <c r="BB49" s="1665"/>
      <c r="BC49" s="463">
        <v>3</v>
      </c>
      <c r="BD49" s="1083" t="str">
        <f t="shared" si="24"/>
        <v>Publicación Giro Directo Régimen Contributivo</v>
      </c>
      <c r="BE49" s="443">
        <v>0</v>
      </c>
      <c r="BF49" s="1674">
        <v>3</v>
      </c>
      <c r="BG49" s="1672">
        <v>0</v>
      </c>
      <c r="BH49" s="1056">
        <f t="shared" si="17"/>
        <v>1</v>
      </c>
      <c r="BI49" s="1056" t="e">
        <f t="shared" si="18"/>
        <v>#DIV/0!</v>
      </c>
      <c r="BJ49" s="1056">
        <f t="shared" si="31"/>
        <v>1.0833333333333333</v>
      </c>
      <c r="BK49" s="1056" t="e">
        <f t="shared" si="32"/>
        <v>#DIV/0!</v>
      </c>
      <c r="BL49" s="1050" t="s">
        <v>2227</v>
      </c>
      <c r="BM49" s="477">
        <f t="shared" si="4"/>
        <v>1</v>
      </c>
      <c r="BN49" s="477" t="str">
        <f t="shared" si="5"/>
        <v>No Prog ni Ejec</v>
      </c>
      <c r="BO49" s="477">
        <f t="shared" si="6"/>
        <v>1</v>
      </c>
      <c r="BP49" s="477" t="str">
        <f t="shared" si="7"/>
        <v>No Prog ni Ejec</v>
      </c>
      <c r="BQ49" s="477">
        <f t="shared" si="33"/>
        <v>1.3333333333333333</v>
      </c>
      <c r="BR49" s="477" t="str">
        <f t="shared" si="34"/>
        <v>No Prog ni Ejec</v>
      </c>
      <c r="BS49" s="477">
        <f t="shared" si="8"/>
        <v>1</v>
      </c>
      <c r="BT49" s="828" t="str">
        <f t="shared" si="9"/>
        <v>No Prog ni Ejec</v>
      </c>
    </row>
    <row r="50" spans="1:72" s="404" customFormat="1" ht="63.75" x14ac:dyDescent="0.25">
      <c r="A50" s="1092">
        <v>11400</v>
      </c>
      <c r="B50" s="1060" t="s">
        <v>26</v>
      </c>
      <c r="C50" s="1068" t="s">
        <v>1209</v>
      </c>
      <c r="D50" s="1059" t="s">
        <v>188</v>
      </c>
      <c r="E50" s="1060" t="s">
        <v>144</v>
      </c>
      <c r="F50" s="1059" t="s">
        <v>481</v>
      </c>
      <c r="G50" s="1060" t="s">
        <v>234</v>
      </c>
      <c r="H50" s="1079" t="s">
        <v>124</v>
      </c>
      <c r="I50" s="1059">
        <v>12</v>
      </c>
      <c r="J50" s="1059" t="s">
        <v>483</v>
      </c>
      <c r="K50" s="1060" t="s">
        <v>194</v>
      </c>
      <c r="L50" s="443">
        <v>0</v>
      </c>
      <c r="M50" s="444">
        <v>1</v>
      </c>
      <c r="N50" s="1060" t="s">
        <v>46</v>
      </c>
      <c r="O50" s="1060" t="s">
        <v>68</v>
      </c>
      <c r="P50" s="1060" t="s">
        <v>21</v>
      </c>
      <c r="Q50" s="1060" t="s">
        <v>36</v>
      </c>
      <c r="R50" s="1060" t="s">
        <v>223</v>
      </c>
      <c r="S50" s="1060" t="s">
        <v>911</v>
      </c>
      <c r="T50" s="1060" t="s">
        <v>99</v>
      </c>
      <c r="U50" s="463">
        <v>12</v>
      </c>
      <c r="V50" s="1058" t="str">
        <f t="shared" si="10"/>
        <v>Publicación Giro Directo Régimen Subsidiado</v>
      </c>
      <c r="W50" s="445">
        <f t="shared" si="11"/>
        <v>0</v>
      </c>
      <c r="X50" s="1097" t="s">
        <v>117</v>
      </c>
      <c r="Y50" s="463">
        <v>3</v>
      </c>
      <c r="Z50" s="1083" t="str">
        <f t="shared" si="25"/>
        <v>Publicación Giro Directo Régimen Subsidiado</v>
      </c>
      <c r="AA50" s="443">
        <v>0</v>
      </c>
      <c r="AB50" s="1079">
        <v>3</v>
      </c>
      <c r="AC50" s="475">
        <v>0</v>
      </c>
      <c r="AD50" s="1064">
        <f t="shared" si="12"/>
        <v>1</v>
      </c>
      <c r="AE50" s="1064" t="e">
        <f t="shared" si="13"/>
        <v>#DIV/0!</v>
      </c>
      <c r="AF50" s="1064">
        <f t="shared" si="14"/>
        <v>0.25</v>
      </c>
      <c r="AG50" s="1064" t="e">
        <f t="shared" si="1"/>
        <v>#DIV/0!</v>
      </c>
      <c r="AH50" s="1060" t="s">
        <v>907</v>
      </c>
      <c r="AI50" s="463">
        <v>3</v>
      </c>
      <c r="AJ50" s="1083" t="str">
        <f t="shared" si="26"/>
        <v>Publicación Giro Directo Régimen Subsidiado</v>
      </c>
      <c r="AK50" s="443">
        <v>0</v>
      </c>
      <c r="AL50" s="776">
        <v>3</v>
      </c>
      <c r="AM50" s="798">
        <v>0</v>
      </c>
      <c r="AN50" s="1064">
        <f t="shared" si="15"/>
        <v>1</v>
      </c>
      <c r="AO50" s="1064" t="e">
        <f t="shared" si="2"/>
        <v>#DIV/0!</v>
      </c>
      <c r="AP50" s="1064">
        <f t="shared" si="3"/>
        <v>0.5</v>
      </c>
      <c r="AQ50" s="1064" t="e">
        <f t="shared" si="16"/>
        <v>#DIV/0!</v>
      </c>
      <c r="AR50" s="1068" t="s">
        <v>1166</v>
      </c>
      <c r="AS50" s="463">
        <v>3</v>
      </c>
      <c r="AT50" s="1083" t="str">
        <f t="shared" si="22"/>
        <v>Publicación Giro Directo Régimen Subsidiado</v>
      </c>
      <c r="AU50" s="443">
        <v>0</v>
      </c>
      <c r="AV50" s="929">
        <v>3</v>
      </c>
      <c r="AW50" s="930">
        <v>0</v>
      </c>
      <c r="AX50" s="1064">
        <f t="shared" si="27"/>
        <v>1</v>
      </c>
      <c r="AY50" s="1064" t="e">
        <f t="shared" si="28"/>
        <v>#DIV/0!</v>
      </c>
      <c r="AZ50" s="1064">
        <f t="shared" si="29"/>
        <v>0.75</v>
      </c>
      <c r="BA50" s="1064" t="e">
        <f t="shared" si="30"/>
        <v>#DIV/0!</v>
      </c>
      <c r="BB50" s="1665" t="s">
        <v>1977</v>
      </c>
      <c r="BC50" s="463">
        <v>3</v>
      </c>
      <c r="BD50" s="1083" t="str">
        <f t="shared" si="24"/>
        <v>Publicación Giro Directo Régimen Subsidiado</v>
      </c>
      <c r="BE50" s="443">
        <v>0</v>
      </c>
      <c r="BF50" s="1674">
        <v>3</v>
      </c>
      <c r="BG50" s="1672">
        <v>0</v>
      </c>
      <c r="BH50" s="1056">
        <f t="shared" si="17"/>
        <v>1</v>
      </c>
      <c r="BI50" s="1056" t="e">
        <f t="shared" si="18"/>
        <v>#DIV/0!</v>
      </c>
      <c r="BJ50" s="1056">
        <f t="shared" si="31"/>
        <v>1</v>
      </c>
      <c r="BK50" s="1056" t="e">
        <f t="shared" si="32"/>
        <v>#DIV/0!</v>
      </c>
      <c r="BL50" s="1050" t="s">
        <v>2228</v>
      </c>
      <c r="BM50" s="477">
        <f t="shared" si="4"/>
        <v>1</v>
      </c>
      <c r="BN50" s="477" t="str">
        <f t="shared" si="5"/>
        <v>No Prog ni Ejec</v>
      </c>
      <c r="BO50" s="477">
        <f t="shared" si="6"/>
        <v>1</v>
      </c>
      <c r="BP50" s="477" t="str">
        <f t="shared" si="7"/>
        <v>No Prog ni Ejec</v>
      </c>
      <c r="BQ50" s="477">
        <f t="shared" si="33"/>
        <v>1</v>
      </c>
      <c r="BR50" s="477" t="str">
        <f t="shared" si="34"/>
        <v>No Prog ni Ejec</v>
      </c>
      <c r="BS50" s="477">
        <f t="shared" si="8"/>
        <v>1</v>
      </c>
      <c r="BT50" s="828" t="str">
        <f t="shared" si="9"/>
        <v>No Prog ni Ejec</v>
      </c>
    </row>
    <row r="51" spans="1:72" s="404" customFormat="1" ht="63.75" x14ac:dyDescent="0.25">
      <c r="A51" s="1092">
        <v>11400</v>
      </c>
      <c r="B51" s="1060" t="s">
        <v>26</v>
      </c>
      <c r="C51" s="1068" t="s">
        <v>1209</v>
      </c>
      <c r="D51" s="1059" t="s">
        <v>188</v>
      </c>
      <c r="E51" s="1060" t="s">
        <v>144</v>
      </c>
      <c r="F51" s="1059" t="s">
        <v>484</v>
      </c>
      <c r="G51" s="1060" t="s">
        <v>195</v>
      </c>
      <c r="H51" s="1079" t="s">
        <v>123</v>
      </c>
      <c r="I51" s="1056">
        <v>1</v>
      </c>
      <c r="J51" s="1059" t="s">
        <v>485</v>
      </c>
      <c r="K51" s="1060" t="s">
        <v>196</v>
      </c>
      <c r="L51" s="443">
        <f>164378848-1883508</f>
        <v>162495340</v>
      </c>
      <c r="M51" s="444">
        <v>1</v>
      </c>
      <c r="N51" s="1060" t="s">
        <v>46</v>
      </c>
      <c r="O51" s="1060" t="s">
        <v>68</v>
      </c>
      <c r="P51" s="1060" t="s">
        <v>21</v>
      </c>
      <c r="Q51" s="1060" t="s">
        <v>36</v>
      </c>
      <c r="R51" s="1060" t="s">
        <v>216</v>
      </c>
      <c r="S51" s="1060" t="s">
        <v>235</v>
      </c>
      <c r="T51" s="1060" t="s">
        <v>99</v>
      </c>
      <c r="U51" s="444">
        <v>1</v>
      </c>
      <c r="V51" s="1058" t="str">
        <f t="shared" si="10"/>
        <v>Trámite de prestaciones económicas REX</v>
      </c>
      <c r="W51" s="445">
        <f>+L51</f>
        <v>162495340</v>
      </c>
      <c r="X51" s="1097" t="s">
        <v>114</v>
      </c>
      <c r="Y51" s="1056">
        <v>0.25</v>
      </c>
      <c r="Z51" s="1083" t="str">
        <f t="shared" si="25"/>
        <v>Trámite de prestaciones económicas REX</v>
      </c>
      <c r="AA51" s="443">
        <v>46231551</v>
      </c>
      <c r="AB51" s="472">
        <f>(520/910)*0.25</f>
        <v>0.14285714285714285</v>
      </c>
      <c r="AC51" s="484">
        <f>17934729-171228</f>
        <v>17763501</v>
      </c>
      <c r="AD51" s="1064">
        <f t="shared" si="12"/>
        <v>0.5714285714285714</v>
      </c>
      <c r="AE51" s="1064">
        <f>+(AC51/AA51)</f>
        <v>0.38422896519305616</v>
      </c>
      <c r="AF51" s="1064">
        <f t="shared" si="14"/>
        <v>0.14285714285714285</v>
      </c>
      <c r="AG51" s="1064">
        <f>+(AC51/W51)</f>
        <v>0.10931698718252474</v>
      </c>
      <c r="AH51" s="1060"/>
      <c r="AI51" s="1056">
        <v>0.25</v>
      </c>
      <c r="AJ51" s="1083" t="str">
        <f t="shared" si="26"/>
        <v>Trámite de prestaciones económicas REX</v>
      </c>
      <c r="AK51" s="443">
        <v>46231551</v>
      </c>
      <c r="AL51" s="472">
        <f>(619/891)*0.25</f>
        <v>0.17368125701459033</v>
      </c>
      <c r="AM51" s="799">
        <v>27650517</v>
      </c>
      <c r="AN51" s="1064">
        <f t="shared" si="15"/>
        <v>0.69472502805836134</v>
      </c>
      <c r="AO51" s="1064">
        <f>+(AM51/AK51)</f>
        <v>0.59808759174010839</v>
      </c>
      <c r="AP51" s="1064">
        <f>+(AL51+AB51)/U51</f>
        <v>0.31653839987173316</v>
      </c>
      <c r="AQ51" s="1064">
        <f>+(AM51+AC51)/W51</f>
        <v>0.27947889459476194</v>
      </c>
      <c r="AR51" s="527">
        <f>+AM51/W51</f>
        <v>0.17016190741223716</v>
      </c>
      <c r="AS51" s="1056">
        <v>0.25</v>
      </c>
      <c r="AT51" s="1083" t="str">
        <f t="shared" si="22"/>
        <v>Trámite de prestaciones económicas REX</v>
      </c>
      <c r="AU51" s="443">
        <v>41094712</v>
      </c>
      <c r="AV51" s="932">
        <f>(527/611)*0.25</f>
        <v>0.21563011456628478</v>
      </c>
      <c r="AW51" s="930">
        <v>27650517</v>
      </c>
      <c r="AX51" s="1064">
        <f t="shared" si="27"/>
        <v>0.86252045826513912</v>
      </c>
      <c r="AY51" s="1064">
        <f t="shared" si="28"/>
        <v>0.6728485407076219</v>
      </c>
      <c r="AZ51" s="1064">
        <f t="shared" si="29"/>
        <v>0.53216851443801794</v>
      </c>
      <c r="BA51" s="1064">
        <f t="shared" si="30"/>
        <v>0.44964080200699907</v>
      </c>
      <c r="BB51" s="1665"/>
      <c r="BC51" s="1056">
        <v>0.25</v>
      </c>
      <c r="BD51" s="1083" t="str">
        <f t="shared" si="24"/>
        <v>Trámite de prestaciones económicas REX</v>
      </c>
      <c r="BE51" s="443">
        <f>30821034-1883508</f>
        <v>28937526</v>
      </c>
      <c r="BF51" s="1088">
        <f>(720/765)*0.25</f>
        <v>0.23529411764705882</v>
      </c>
      <c r="BG51" s="1077">
        <v>12240000</v>
      </c>
      <c r="BH51" s="1056">
        <f t="shared" si="17"/>
        <v>0.94117647058823528</v>
      </c>
      <c r="BI51" s="1056">
        <f t="shared" si="18"/>
        <v>0.42298018151240713</v>
      </c>
      <c r="BJ51" s="1056">
        <f t="shared" si="31"/>
        <v>0.76746263208507681</v>
      </c>
      <c r="BK51" s="1056">
        <f t="shared" si="32"/>
        <v>0.52496603902610373</v>
      </c>
      <c r="BL51" s="1050"/>
      <c r="BM51" s="477">
        <f t="shared" si="4"/>
        <v>0.5714285714285714</v>
      </c>
      <c r="BN51" s="477">
        <f t="shared" si="5"/>
        <v>0.38422896519305616</v>
      </c>
      <c r="BO51" s="477">
        <f t="shared" si="6"/>
        <v>0.69472502805836134</v>
      </c>
      <c r="BP51" s="477">
        <f t="shared" si="7"/>
        <v>0.59808759174010839</v>
      </c>
      <c r="BQ51" s="477">
        <f t="shared" si="33"/>
        <v>0.86252045826513912</v>
      </c>
      <c r="BR51" s="477">
        <f t="shared" si="34"/>
        <v>0.6728485407076219</v>
      </c>
      <c r="BS51" s="477">
        <f t="shared" si="8"/>
        <v>0.94117647058823528</v>
      </c>
      <c r="BT51" s="828">
        <f t="shared" si="9"/>
        <v>0.42298018151240713</v>
      </c>
    </row>
    <row r="52" spans="1:72" s="404" customFormat="1" ht="63.75" x14ac:dyDescent="0.25">
      <c r="A52" s="1092">
        <v>11400</v>
      </c>
      <c r="B52" s="1060" t="s">
        <v>26</v>
      </c>
      <c r="C52" s="1068" t="s">
        <v>1209</v>
      </c>
      <c r="D52" s="1059" t="s">
        <v>188</v>
      </c>
      <c r="E52" s="1060" t="s">
        <v>144</v>
      </c>
      <c r="F52" s="1059" t="s">
        <v>484</v>
      </c>
      <c r="G52" s="1060" t="s">
        <v>195</v>
      </c>
      <c r="H52" s="1079" t="s">
        <v>123</v>
      </c>
      <c r="I52" s="1056">
        <v>1</v>
      </c>
      <c r="J52" s="1059" t="s">
        <v>486</v>
      </c>
      <c r="K52" s="1060" t="s">
        <v>197</v>
      </c>
      <c r="L52" s="445">
        <v>48960000</v>
      </c>
      <c r="M52" s="444">
        <v>1</v>
      </c>
      <c r="N52" s="1060" t="s">
        <v>46</v>
      </c>
      <c r="O52" s="1060" t="s">
        <v>68</v>
      </c>
      <c r="P52" s="1060" t="s">
        <v>21</v>
      </c>
      <c r="Q52" s="1060" t="s">
        <v>36</v>
      </c>
      <c r="R52" s="1060" t="s">
        <v>216</v>
      </c>
      <c r="S52" s="1060" t="s">
        <v>236</v>
      </c>
      <c r="T52" s="1060" t="s">
        <v>99</v>
      </c>
      <c r="U52" s="444">
        <v>1</v>
      </c>
      <c r="V52" s="1058" t="str">
        <f t="shared" si="10"/>
        <v>Trámite de devolución de aportes REX</v>
      </c>
      <c r="W52" s="445">
        <f t="shared" si="11"/>
        <v>48960000</v>
      </c>
      <c r="X52" s="1097" t="s">
        <v>114</v>
      </c>
      <c r="Y52" s="1056">
        <v>0.25</v>
      </c>
      <c r="Z52" s="1083" t="str">
        <f t="shared" si="25"/>
        <v>Trámite de devolución de aportes REX</v>
      </c>
      <c r="AA52" s="443">
        <v>12240000</v>
      </c>
      <c r="AB52" s="472">
        <f>(128/215)*0.25</f>
        <v>0.14883720930232558</v>
      </c>
      <c r="AC52" s="1098">
        <v>7362803</v>
      </c>
      <c r="AD52" s="1064">
        <f t="shared" si="12"/>
        <v>0.59534883720930232</v>
      </c>
      <c r="AE52" s="1064">
        <f t="shared" si="13"/>
        <v>0.60153619281045756</v>
      </c>
      <c r="AF52" s="1064">
        <f t="shared" si="14"/>
        <v>0.14883720930232558</v>
      </c>
      <c r="AG52" s="1064">
        <f t="shared" si="1"/>
        <v>0.15038404820261439</v>
      </c>
      <c r="AH52" s="1060"/>
      <c r="AI52" s="1056">
        <v>0.25</v>
      </c>
      <c r="AJ52" s="1083" t="str">
        <f t="shared" si="26"/>
        <v>Trámite de devolución de aportes REX</v>
      </c>
      <c r="AK52" s="443">
        <v>12240000</v>
      </c>
      <c r="AL52" s="779">
        <f>(229/313)*0.25</f>
        <v>0.18290734824281149</v>
      </c>
      <c r="AM52" s="797">
        <v>15410517</v>
      </c>
      <c r="AN52" s="1064">
        <f t="shared" si="15"/>
        <v>0.73162939297124596</v>
      </c>
      <c r="AO52" s="1064">
        <f t="shared" si="2"/>
        <v>1.2590291666666666</v>
      </c>
      <c r="AP52" s="1064">
        <f t="shared" si="3"/>
        <v>0.3317445575451371</v>
      </c>
      <c r="AQ52" s="1064">
        <f t="shared" si="16"/>
        <v>0.46514133986928102</v>
      </c>
      <c r="AR52" s="527"/>
      <c r="AS52" s="1056">
        <v>0.25</v>
      </c>
      <c r="AT52" s="1083" t="str">
        <f t="shared" si="22"/>
        <v>Trámite de devolución de aportes REX</v>
      </c>
      <c r="AU52" s="443">
        <v>12240000</v>
      </c>
      <c r="AV52" s="932">
        <f>(271/332)*0.25</f>
        <v>0.20406626506024098</v>
      </c>
      <c r="AW52" s="930">
        <v>15410517</v>
      </c>
      <c r="AX52" s="1064">
        <f t="shared" si="27"/>
        <v>0.8162650602409639</v>
      </c>
      <c r="AY52" s="1064">
        <f t="shared" si="28"/>
        <v>1.2590291666666666</v>
      </c>
      <c r="AZ52" s="1064">
        <f>+(AL52+AB52+AV52)/U52</f>
        <v>0.53581082260537805</v>
      </c>
      <c r="BA52" s="1064">
        <f t="shared" si="30"/>
        <v>0.77989863153594774</v>
      </c>
      <c r="BB52" s="1665"/>
      <c r="BC52" s="1056">
        <v>0.25</v>
      </c>
      <c r="BD52" s="1083" t="str">
        <f t="shared" si="24"/>
        <v>Trámite de devolución de aportes REX</v>
      </c>
      <c r="BE52" s="443">
        <v>12240000</v>
      </c>
      <c r="BF52" s="1088">
        <f>(210/228)*0.25</f>
        <v>0.23026315789473684</v>
      </c>
      <c r="BG52" s="1077">
        <v>15410517</v>
      </c>
      <c r="BH52" s="1056">
        <f t="shared" si="17"/>
        <v>0.92105263157894735</v>
      </c>
      <c r="BI52" s="1056">
        <f t="shared" si="18"/>
        <v>1.2590291666666666</v>
      </c>
      <c r="BJ52" s="1056">
        <f t="shared" si="31"/>
        <v>0.76607398050011488</v>
      </c>
      <c r="BK52" s="1056">
        <f t="shared" si="32"/>
        <v>1.0946559232026143</v>
      </c>
      <c r="BL52" s="1050"/>
      <c r="BM52" s="477">
        <f t="shared" si="4"/>
        <v>0.59534883720930232</v>
      </c>
      <c r="BN52" s="477">
        <f t="shared" si="5"/>
        <v>0.60153619281045756</v>
      </c>
      <c r="BO52" s="477">
        <f t="shared" si="6"/>
        <v>0.73162939297124596</v>
      </c>
      <c r="BP52" s="477">
        <f t="shared" si="7"/>
        <v>1.2590291666666666</v>
      </c>
      <c r="BQ52" s="477">
        <f>IF(AND(AS52=0,AV52=0),"No Prog ni Ejec",IF(AS52=0,CONCATENATE("No Prog, Ejec=  ",AV52),AV52/AS52))</f>
        <v>0.8162650602409639</v>
      </c>
      <c r="BR52" s="477">
        <f t="shared" si="34"/>
        <v>1.2590291666666666</v>
      </c>
      <c r="BS52" s="477">
        <f t="shared" si="8"/>
        <v>0.92105263157894735</v>
      </c>
      <c r="BT52" s="828">
        <f t="shared" si="9"/>
        <v>1.2590291666666666</v>
      </c>
    </row>
    <row r="53" spans="1:72" s="404" customFormat="1" ht="63.75" x14ac:dyDescent="0.25">
      <c r="A53" s="1092">
        <v>11400</v>
      </c>
      <c r="B53" s="1060" t="s">
        <v>26</v>
      </c>
      <c r="C53" s="1068" t="s">
        <v>1209</v>
      </c>
      <c r="D53" s="1059" t="s">
        <v>188</v>
      </c>
      <c r="E53" s="1060" t="s">
        <v>144</v>
      </c>
      <c r="F53" s="1059" t="s">
        <v>487</v>
      </c>
      <c r="G53" s="1060" t="s">
        <v>476</v>
      </c>
      <c r="H53" s="1079" t="s">
        <v>123</v>
      </c>
      <c r="I53" s="1056">
        <v>1</v>
      </c>
      <c r="J53" s="1059" t="s">
        <v>488</v>
      </c>
      <c r="K53" s="1060" t="s">
        <v>473</v>
      </c>
      <c r="L53" s="443">
        <v>0</v>
      </c>
      <c r="M53" s="444">
        <v>1</v>
      </c>
      <c r="N53" s="1060" t="s">
        <v>46</v>
      </c>
      <c r="O53" s="1060" t="s">
        <v>68</v>
      </c>
      <c r="P53" s="1060" t="s">
        <v>21</v>
      </c>
      <c r="Q53" s="1060" t="s">
        <v>36</v>
      </c>
      <c r="R53" s="1060" t="s">
        <v>216</v>
      </c>
      <c r="S53" s="1060" t="s">
        <v>474</v>
      </c>
      <c r="T53" s="1060" t="s">
        <v>99</v>
      </c>
      <c r="U53" s="444">
        <v>1</v>
      </c>
      <c r="V53" s="1058" t="str">
        <f t="shared" si="10"/>
        <v>Elaboración de solicitudes de aclaración sobre apropiaciones sin justa causa</v>
      </c>
      <c r="W53" s="445">
        <v>0</v>
      </c>
      <c r="X53" s="1097" t="s">
        <v>117</v>
      </c>
      <c r="Y53" s="1056">
        <v>0.25</v>
      </c>
      <c r="Z53" s="1083" t="str">
        <f t="shared" si="25"/>
        <v>Elaboración de solicitudes de aclaración sobre apropiaciones sin justa causa</v>
      </c>
      <c r="AA53" s="443">
        <v>0</v>
      </c>
      <c r="AB53" s="472">
        <f>(140/140)*0.25</f>
        <v>0.25</v>
      </c>
      <c r="AC53" s="448">
        <v>0</v>
      </c>
      <c r="AD53" s="1064">
        <f t="shared" si="12"/>
        <v>1</v>
      </c>
      <c r="AE53" s="1064" t="e">
        <f>+(AC53/AA53)</f>
        <v>#DIV/0!</v>
      </c>
      <c r="AF53" s="1064">
        <f t="shared" si="14"/>
        <v>0.25</v>
      </c>
      <c r="AG53" s="1064" t="e">
        <f>+(AC53/W53)</f>
        <v>#DIV/0!</v>
      </c>
      <c r="AH53" s="1060"/>
      <c r="AI53" s="1056">
        <v>0.25</v>
      </c>
      <c r="AJ53" s="1083" t="str">
        <f t="shared" si="26"/>
        <v>Elaboración de solicitudes de aclaración sobre apropiaciones sin justa causa</v>
      </c>
      <c r="AK53" s="443">
        <v>0</v>
      </c>
      <c r="AL53" s="488">
        <f>(133/133)*25%</f>
        <v>0.25</v>
      </c>
      <c r="AM53" s="800">
        <v>0</v>
      </c>
      <c r="AN53" s="1064">
        <f t="shared" si="15"/>
        <v>1</v>
      </c>
      <c r="AO53" s="1064" t="e">
        <f>+(AM53/AK53)</f>
        <v>#DIV/0!</v>
      </c>
      <c r="AP53" s="1064">
        <f t="shared" si="3"/>
        <v>0.5</v>
      </c>
      <c r="AQ53" s="469" t="e">
        <f>+(AM53+AC53)/W53</f>
        <v>#DIV/0!</v>
      </c>
      <c r="AR53" s="1099" t="s">
        <v>1163</v>
      </c>
      <c r="AS53" s="1056">
        <v>0.25</v>
      </c>
      <c r="AT53" s="1083" t="str">
        <f t="shared" si="22"/>
        <v>Elaboración de solicitudes de aclaración sobre apropiaciones sin justa causa</v>
      </c>
      <c r="AU53" s="443">
        <v>0</v>
      </c>
      <c r="AV53" s="932">
        <v>0</v>
      </c>
      <c r="AW53" s="930">
        <v>0</v>
      </c>
      <c r="AX53" s="1064">
        <f t="shared" si="27"/>
        <v>0</v>
      </c>
      <c r="AY53" s="1064" t="e">
        <f>+(AW53/AU53)</f>
        <v>#DIV/0!</v>
      </c>
      <c r="AZ53" s="1064">
        <f t="shared" si="29"/>
        <v>0.5</v>
      </c>
      <c r="BA53" s="469" t="e">
        <f>+(AM53+AC53+AW53)/W53</f>
        <v>#DIV/0!</v>
      </c>
      <c r="BB53" s="1665" t="s">
        <v>1978</v>
      </c>
      <c r="BC53" s="1056">
        <v>0.25</v>
      </c>
      <c r="BD53" s="1083" t="str">
        <f t="shared" si="24"/>
        <v>Elaboración de solicitudes de aclaración sobre apropiaciones sin justa causa</v>
      </c>
      <c r="BE53" s="443">
        <v>0</v>
      </c>
      <c r="BF53" s="1088">
        <f>+(86/86)*0.25</f>
        <v>0.25</v>
      </c>
      <c r="BG53" s="1672">
        <v>0</v>
      </c>
      <c r="BH53" s="1056">
        <f t="shared" si="17"/>
        <v>1</v>
      </c>
      <c r="BI53" s="1056" t="e">
        <f>+(BG53/BE53)</f>
        <v>#DIV/0!</v>
      </c>
      <c r="BJ53" s="1056">
        <f t="shared" si="31"/>
        <v>0.75</v>
      </c>
      <c r="BK53" s="470" t="e">
        <f>+(AM53+AC53+AW53+BG53)/W53</f>
        <v>#DIV/0!</v>
      </c>
      <c r="BL53" s="1099" t="s">
        <v>2229</v>
      </c>
      <c r="BM53" s="477">
        <f t="shared" si="4"/>
        <v>1</v>
      </c>
      <c r="BN53" s="477" t="str">
        <f>IF(AND(AA53=0,AC53=0),"No Prog ni Ejec",IF(AA53=0,CONCATENATE("No Prog, Ejec=  ",AC53),AC53/AA53))</f>
        <v>No Prog ni Ejec</v>
      </c>
      <c r="BO53" s="477">
        <f t="shared" si="6"/>
        <v>1</v>
      </c>
      <c r="BP53" s="477" t="str">
        <f>IF(AND(AK51=0,AM53=0),"No Prog ni Ejec",IF(AK53=0,CONCATENATE("No Prog, Ejec=  ",AM53),AM53/AK53))</f>
        <v>No Prog, Ejec=  0</v>
      </c>
      <c r="BQ53" s="477">
        <f t="shared" si="33"/>
        <v>0</v>
      </c>
      <c r="BR53" s="477" t="str">
        <f>IF(AND(AU53=0,AW53=0),"No Prog ni Ejec",IF(AU53=0,CONCATENATE("No Prog, Ejec=  ",AW53),AW53/AU53))</f>
        <v>No Prog ni Ejec</v>
      </c>
      <c r="BS53" s="477">
        <f t="shared" si="8"/>
        <v>1</v>
      </c>
      <c r="BT53" s="828" t="str">
        <f>IF(AND(BE53=0,BG53=0),"No Prog ni Ejec",IF(BE53=0,CONCATENATE("No Prog, Ejec=  ",BG53),BG53/BE53))</f>
        <v>No Prog ni Ejec</v>
      </c>
    </row>
    <row r="54" spans="1:72" s="404" customFormat="1" ht="63.75" x14ac:dyDescent="0.25">
      <c r="A54" s="1092">
        <v>11400</v>
      </c>
      <c r="B54" s="1060" t="s">
        <v>26</v>
      </c>
      <c r="C54" s="1068" t="s">
        <v>1209</v>
      </c>
      <c r="D54" s="1059" t="s">
        <v>188</v>
      </c>
      <c r="E54" s="1060" t="s">
        <v>144</v>
      </c>
      <c r="F54" s="1059" t="s">
        <v>489</v>
      </c>
      <c r="G54" s="1060" t="s">
        <v>198</v>
      </c>
      <c r="H54" s="1079" t="s">
        <v>123</v>
      </c>
      <c r="I54" s="1056">
        <v>1</v>
      </c>
      <c r="J54" s="1059" t="s">
        <v>490</v>
      </c>
      <c r="K54" s="1060" t="s">
        <v>199</v>
      </c>
      <c r="L54" s="443">
        <v>0</v>
      </c>
      <c r="M54" s="444">
        <v>1</v>
      </c>
      <c r="N54" s="1060" t="s">
        <v>46</v>
      </c>
      <c r="O54" s="1060" t="s">
        <v>68</v>
      </c>
      <c r="P54" s="1060" t="s">
        <v>21</v>
      </c>
      <c r="Q54" s="1060" t="s">
        <v>36</v>
      </c>
      <c r="R54" s="1060" t="s">
        <v>223</v>
      </c>
      <c r="S54" s="1060" t="s">
        <v>475</v>
      </c>
      <c r="T54" s="1060" t="s">
        <v>99</v>
      </c>
      <c r="U54" s="444">
        <v>1</v>
      </c>
      <c r="V54" s="1058" t="str">
        <f t="shared" si="10"/>
        <v>Elaboración de Informes de auditoría de reintegro de recursos</v>
      </c>
      <c r="W54" s="445">
        <f t="shared" si="11"/>
        <v>0</v>
      </c>
      <c r="X54" s="1097" t="s">
        <v>117</v>
      </c>
      <c r="Y54" s="1056">
        <v>0.25</v>
      </c>
      <c r="Z54" s="1083" t="str">
        <f t="shared" si="25"/>
        <v>Elaboración de Informes de auditoría de reintegro de recursos</v>
      </c>
      <c r="AA54" s="443">
        <v>0</v>
      </c>
      <c r="AB54" s="444">
        <v>0</v>
      </c>
      <c r="AC54" s="448">
        <v>0</v>
      </c>
      <c r="AD54" s="1064">
        <f t="shared" si="12"/>
        <v>0</v>
      </c>
      <c r="AE54" s="1064" t="e">
        <f>+(AC54/AA54)</f>
        <v>#DIV/0!</v>
      </c>
      <c r="AF54" s="1064">
        <f t="shared" si="14"/>
        <v>0</v>
      </c>
      <c r="AG54" s="1064" t="e">
        <f t="shared" si="1"/>
        <v>#DIV/0!</v>
      </c>
      <c r="AH54" s="1652" t="s">
        <v>908</v>
      </c>
      <c r="AI54" s="1056">
        <v>0.25</v>
      </c>
      <c r="AJ54" s="1083" t="str">
        <f t="shared" si="26"/>
        <v>Elaboración de Informes de auditoría de reintegro de recursos</v>
      </c>
      <c r="AK54" s="443">
        <v>0</v>
      </c>
      <c r="AL54" s="802">
        <f>(12/12)*0.25</f>
        <v>0.25</v>
      </c>
      <c r="AM54" s="798">
        <v>0</v>
      </c>
      <c r="AN54" s="1064">
        <f t="shared" si="15"/>
        <v>1</v>
      </c>
      <c r="AO54" s="1064" t="e">
        <f t="shared" si="2"/>
        <v>#DIV/0!</v>
      </c>
      <c r="AP54" s="1064">
        <f t="shared" si="3"/>
        <v>0.25</v>
      </c>
      <c r="AQ54" s="1064" t="e">
        <f t="shared" si="16"/>
        <v>#DIV/0!</v>
      </c>
      <c r="AR54" s="1053" t="s">
        <v>1864</v>
      </c>
      <c r="AS54" s="1056">
        <v>0.25</v>
      </c>
      <c r="AT54" s="1083" t="str">
        <f t="shared" si="22"/>
        <v>Elaboración de Informes de auditoría de reintegro de recursos</v>
      </c>
      <c r="AU54" s="443">
        <v>0</v>
      </c>
      <c r="AV54" s="932">
        <f>(196/196)*25%</f>
        <v>0.25</v>
      </c>
      <c r="AW54" s="930">
        <v>0</v>
      </c>
      <c r="AX54" s="1064">
        <f t="shared" si="27"/>
        <v>1</v>
      </c>
      <c r="AY54" s="1064" t="e">
        <f t="shared" si="28"/>
        <v>#DIV/0!</v>
      </c>
      <c r="AZ54" s="1064">
        <f t="shared" si="29"/>
        <v>0.5</v>
      </c>
      <c r="BA54" s="1064" t="e">
        <f t="shared" si="30"/>
        <v>#DIV/0!</v>
      </c>
      <c r="BB54" s="1665" t="s">
        <v>1979</v>
      </c>
      <c r="BC54" s="1056">
        <v>0.25</v>
      </c>
      <c r="BD54" s="1083" t="str">
        <f t="shared" si="24"/>
        <v>Elaboración de Informes de auditoría de reintegro de recursos</v>
      </c>
      <c r="BE54" s="443">
        <v>0</v>
      </c>
      <c r="BF54" s="1088">
        <f>+(54/54)*0.25</f>
        <v>0.25</v>
      </c>
      <c r="BG54" s="1672">
        <v>0</v>
      </c>
      <c r="BH54" s="1056">
        <f t="shared" si="17"/>
        <v>1</v>
      </c>
      <c r="BI54" s="1056" t="e">
        <f t="shared" si="18"/>
        <v>#DIV/0!</v>
      </c>
      <c r="BJ54" s="1056">
        <f t="shared" si="31"/>
        <v>0.75</v>
      </c>
      <c r="BK54" s="1056" t="e">
        <f t="shared" si="32"/>
        <v>#DIV/0!</v>
      </c>
      <c r="BL54" s="1099" t="s">
        <v>2253</v>
      </c>
      <c r="BM54" s="477">
        <f t="shared" si="4"/>
        <v>0</v>
      </c>
      <c r="BN54" s="477" t="str">
        <f t="shared" si="5"/>
        <v>No Prog ni Ejec</v>
      </c>
      <c r="BO54" s="477">
        <f t="shared" si="6"/>
        <v>1</v>
      </c>
      <c r="BP54" s="477" t="str">
        <f t="shared" si="7"/>
        <v>No Prog ni Ejec</v>
      </c>
      <c r="BQ54" s="477">
        <f t="shared" si="33"/>
        <v>1</v>
      </c>
      <c r="BR54" s="477" t="str">
        <f t="shared" si="34"/>
        <v>No Prog ni Ejec</v>
      </c>
      <c r="BS54" s="477">
        <f t="shared" si="8"/>
        <v>1</v>
      </c>
      <c r="BT54" s="828" t="str">
        <f t="shared" si="9"/>
        <v>No Prog ni Ejec</v>
      </c>
    </row>
    <row r="55" spans="1:72" s="404" customFormat="1" ht="63.75" x14ac:dyDescent="0.25">
      <c r="A55" s="1092">
        <v>11400</v>
      </c>
      <c r="B55" s="1060" t="s">
        <v>26</v>
      </c>
      <c r="C55" s="1068" t="s">
        <v>1209</v>
      </c>
      <c r="D55" s="1059" t="s">
        <v>188</v>
      </c>
      <c r="E55" s="1060" t="s">
        <v>144</v>
      </c>
      <c r="F55" s="1059" t="s">
        <v>491</v>
      </c>
      <c r="G55" s="1060" t="s">
        <v>478</v>
      </c>
      <c r="H55" s="1079" t="s">
        <v>123</v>
      </c>
      <c r="I55" s="1056">
        <v>1</v>
      </c>
      <c r="J55" s="1059" t="s">
        <v>492</v>
      </c>
      <c r="K55" s="1060" t="s">
        <v>477</v>
      </c>
      <c r="L55" s="443">
        <v>0</v>
      </c>
      <c r="M55" s="444">
        <v>1</v>
      </c>
      <c r="N55" s="1060" t="s">
        <v>46</v>
      </c>
      <c r="O55" s="1060" t="s">
        <v>68</v>
      </c>
      <c r="P55" s="1060" t="s">
        <v>21</v>
      </c>
      <c r="Q55" s="1060" t="s">
        <v>36</v>
      </c>
      <c r="R55" s="1060" t="s">
        <v>223</v>
      </c>
      <c r="S55" s="1060" t="s">
        <v>507</v>
      </c>
      <c r="T55" s="1060" t="s">
        <v>99</v>
      </c>
      <c r="U55" s="444">
        <v>1</v>
      </c>
      <c r="V55" s="1058" t="str">
        <f t="shared" si="10"/>
        <v>Elaboración de comunicaciones con las conclusiones del procedimiento de la auditoría de reintegro de recursos</v>
      </c>
      <c r="W55" s="445">
        <f t="shared" si="11"/>
        <v>0</v>
      </c>
      <c r="X55" s="1097" t="s">
        <v>117</v>
      </c>
      <c r="Y55" s="1056">
        <v>0.25</v>
      </c>
      <c r="Z55" s="1083" t="str">
        <f t="shared" si="25"/>
        <v>Elaboración de comunicaciones con las conclusiones del procedimiento de la auditoría de reintegro de recursos</v>
      </c>
      <c r="AA55" s="443">
        <v>0</v>
      </c>
      <c r="AB55" s="1056">
        <f>(62/62)*0.25</f>
        <v>0.25</v>
      </c>
      <c r="AC55" s="448">
        <v>0</v>
      </c>
      <c r="AD55" s="1064">
        <f t="shared" si="12"/>
        <v>1</v>
      </c>
      <c r="AE55" s="1064" t="e">
        <f t="shared" si="13"/>
        <v>#DIV/0!</v>
      </c>
      <c r="AF55" s="1064">
        <f t="shared" si="14"/>
        <v>0.25</v>
      </c>
      <c r="AG55" s="1064" t="e">
        <f t="shared" si="1"/>
        <v>#DIV/0!</v>
      </c>
      <c r="AH55" s="1060"/>
      <c r="AI55" s="1056">
        <v>0.25</v>
      </c>
      <c r="AJ55" s="1083" t="str">
        <f t="shared" si="26"/>
        <v>Elaboración de comunicaciones con las conclusiones del procedimiento de la auditoría de reintegro de recursos</v>
      </c>
      <c r="AK55" s="443">
        <v>0</v>
      </c>
      <c r="AL55" s="802">
        <f>(127/127)*0.25</f>
        <v>0.25</v>
      </c>
      <c r="AM55" s="798">
        <v>0</v>
      </c>
      <c r="AN55" s="1064">
        <f t="shared" si="15"/>
        <v>1</v>
      </c>
      <c r="AO55" s="1064" t="e">
        <f t="shared" si="2"/>
        <v>#DIV/0!</v>
      </c>
      <c r="AP55" s="1064">
        <f t="shared" si="3"/>
        <v>0.5</v>
      </c>
      <c r="AQ55" s="1064" t="e">
        <f t="shared" si="16"/>
        <v>#DIV/0!</v>
      </c>
      <c r="AR55" s="1053" t="s">
        <v>1164</v>
      </c>
      <c r="AS55" s="1056">
        <v>0.25</v>
      </c>
      <c r="AT55" s="1083" t="str">
        <f t="shared" si="22"/>
        <v>Elaboración de comunicaciones con las conclusiones del procedimiento de la auditoría de reintegro de recursos</v>
      </c>
      <c r="AU55" s="443">
        <v>0</v>
      </c>
      <c r="AV55" s="932">
        <f>(4/4)*25%</f>
        <v>0.25</v>
      </c>
      <c r="AW55" s="930">
        <v>0</v>
      </c>
      <c r="AX55" s="1064">
        <f t="shared" si="27"/>
        <v>1</v>
      </c>
      <c r="AY55" s="1064" t="e">
        <f t="shared" si="28"/>
        <v>#DIV/0!</v>
      </c>
      <c r="AZ55" s="1064">
        <f t="shared" si="29"/>
        <v>0.75</v>
      </c>
      <c r="BA55" s="1064" t="e">
        <f t="shared" si="30"/>
        <v>#DIV/0!</v>
      </c>
      <c r="BB55" s="1665" t="s">
        <v>1980</v>
      </c>
      <c r="BC55" s="1056">
        <v>0.25</v>
      </c>
      <c r="BD55" s="1083" t="str">
        <f t="shared" si="24"/>
        <v>Elaboración de comunicaciones con las conclusiones del procedimiento de la auditoría de reintegro de recursos</v>
      </c>
      <c r="BE55" s="443">
        <v>0</v>
      </c>
      <c r="BF55" s="1088">
        <f>+(217/217)*0.25</f>
        <v>0.25</v>
      </c>
      <c r="BG55" s="1672">
        <v>0</v>
      </c>
      <c r="BH55" s="1056">
        <f t="shared" si="17"/>
        <v>1</v>
      </c>
      <c r="BI55" s="1056" t="e">
        <f t="shared" si="18"/>
        <v>#DIV/0!</v>
      </c>
      <c r="BJ55" s="1056">
        <f t="shared" si="31"/>
        <v>1</v>
      </c>
      <c r="BK55" s="1056" t="e">
        <f t="shared" si="32"/>
        <v>#DIV/0!</v>
      </c>
      <c r="BL55" s="1099" t="s">
        <v>2230</v>
      </c>
      <c r="BM55" s="477">
        <f t="shared" si="4"/>
        <v>1</v>
      </c>
      <c r="BN55" s="477" t="str">
        <f t="shared" si="5"/>
        <v>No Prog ni Ejec</v>
      </c>
      <c r="BO55" s="477">
        <f t="shared" si="6"/>
        <v>1</v>
      </c>
      <c r="BP55" s="477" t="str">
        <f t="shared" si="7"/>
        <v>No Prog ni Ejec</v>
      </c>
      <c r="BQ55" s="477">
        <f t="shared" si="33"/>
        <v>1</v>
      </c>
      <c r="BR55" s="477" t="str">
        <f t="shared" si="34"/>
        <v>No Prog ni Ejec</v>
      </c>
      <c r="BS55" s="477">
        <f t="shared" si="8"/>
        <v>1</v>
      </c>
      <c r="BT55" s="828" t="str">
        <f t="shared" si="9"/>
        <v>No Prog ni Ejec</v>
      </c>
    </row>
    <row r="56" spans="1:72" s="404" customFormat="1" ht="63.75" x14ac:dyDescent="0.25">
      <c r="A56" s="1092">
        <v>11400</v>
      </c>
      <c r="B56" s="1060" t="s">
        <v>26</v>
      </c>
      <c r="C56" s="1068" t="s">
        <v>1209</v>
      </c>
      <c r="D56" s="1059" t="s">
        <v>188</v>
      </c>
      <c r="E56" s="1060" t="s">
        <v>144</v>
      </c>
      <c r="F56" s="1059" t="s">
        <v>493</v>
      </c>
      <c r="G56" s="1060" t="s">
        <v>200</v>
      </c>
      <c r="H56" s="1079" t="s">
        <v>123</v>
      </c>
      <c r="I56" s="1056">
        <v>1</v>
      </c>
      <c r="J56" s="1059" t="s">
        <v>494</v>
      </c>
      <c r="K56" s="1060" t="s">
        <v>201</v>
      </c>
      <c r="L56" s="443">
        <v>0</v>
      </c>
      <c r="M56" s="444">
        <v>1</v>
      </c>
      <c r="N56" s="1060" t="s">
        <v>46</v>
      </c>
      <c r="O56" s="1060" t="s">
        <v>68</v>
      </c>
      <c r="P56" s="1060" t="s">
        <v>21</v>
      </c>
      <c r="Q56" s="1060" t="s">
        <v>36</v>
      </c>
      <c r="R56" s="1060" t="s">
        <v>223</v>
      </c>
      <c r="S56" s="1060" t="s">
        <v>238</v>
      </c>
      <c r="T56" s="1060" t="s">
        <v>99</v>
      </c>
      <c r="U56" s="444">
        <v>1</v>
      </c>
      <c r="V56" s="1058" t="str">
        <f t="shared" si="10"/>
        <v>Solicitud de aclaraciones a las EPS con saldos a favor de ADRES en el proceso LMA</v>
      </c>
      <c r="W56" s="445">
        <f t="shared" si="11"/>
        <v>0</v>
      </c>
      <c r="X56" s="1097" t="s">
        <v>117</v>
      </c>
      <c r="Y56" s="1056">
        <v>0.25</v>
      </c>
      <c r="Z56" s="1083" t="str">
        <f t="shared" si="25"/>
        <v>Solicitud de aclaraciones a las EPS con saldos a favor de ADRES en el proceso LMA</v>
      </c>
      <c r="AA56" s="443">
        <v>0</v>
      </c>
      <c r="AB56" s="1056">
        <f>(9/9)*0.25</f>
        <v>0.25</v>
      </c>
      <c r="AC56" s="448">
        <v>0</v>
      </c>
      <c r="AD56" s="1064">
        <f t="shared" si="12"/>
        <v>1</v>
      </c>
      <c r="AE56" s="1064" t="e">
        <f t="shared" si="13"/>
        <v>#DIV/0!</v>
      </c>
      <c r="AF56" s="1064">
        <f t="shared" si="14"/>
        <v>0.25</v>
      </c>
      <c r="AG56" s="1064" t="e">
        <f t="shared" si="1"/>
        <v>#DIV/0!</v>
      </c>
      <c r="AH56" s="1060"/>
      <c r="AI56" s="1056">
        <v>0.25</v>
      </c>
      <c r="AJ56" s="1083" t="str">
        <f t="shared" si="26"/>
        <v>Solicitud de aclaraciones a las EPS con saldos a favor de ADRES en el proceso LMA</v>
      </c>
      <c r="AK56" s="443">
        <v>0</v>
      </c>
      <c r="AL56" s="802">
        <f>(11/11)*25%</f>
        <v>0.25</v>
      </c>
      <c r="AM56" s="798">
        <v>0</v>
      </c>
      <c r="AN56" s="1064">
        <f t="shared" si="15"/>
        <v>1</v>
      </c>
      <c r="AO56" s="1064" t="e">
        <f t="shared" si="2"/>
        <v>#DIV/0!</v>
      </c>
      <c r="AP56" s="1064">
        <f t="shared" si="3"/>
        <v>0.5</v>
      </c>
      <c r="AQ56" s="1064" t="e">
        <f t="shared" si="16"/>
        <v>#DIV/0!</v>
      </c>
      <c r="AR56" s="1053" t="s">
        <v>1865</v>
      </c>
      <c r="AS56" s="1056">
        <v>0.25</v>
      </c>
      <c r="AT56" s="1083" t="str">
        <f t="shared" si="22"/>
        <v>Solicitud de aclaraciones a las EPS con saldos a favor de ADRES en el proceso LMA</v>
      </c>
      <c r="AU56" s="443">
        <v>0</v>
      </c>
      <c r="AV56" s="932">
        <f>(7/7)*25%</f>
        <v>0.25</v>
      </c>
      <c r="AW56" s="930">
        <v>0</v>
      </c>
      <c r="AX56" s="1064">
        <f t="shared" si="27"/>
        <v>1</v>
      </c>
      <c r="AY56" s="1064" t="e">
        <f t="shared" si="28"/>
        <v>#DIV/0!</v>
      </c>
      <c r="AZ56" s="1064">
        <f t="shared" si="29"/>
        <v>0.75</v>
      </c>
      <c r="BA56" s="1064" t="e">
        <f t="shared" si="30"/>
        <v>#DIV/0!</v>
      </c>
      <c r="BB56" s="1665" t="s">
        <v>1981</v>
      </c>
      <c r="BC56" s="1056">
        <v>0.25</v>
      </c>
      <c r="BD56" s="1083" t="str">
        <f t="shared" si="24"/>
        <v>Solicitud de aclaraciones a las EPS con saldos a favor de ADRES en el proceso LMA</v>
      </c>
      <c r="BE56" s="443">
        <v>0</v>
      </c>
      <c r="BF56" s="1088">
        <f>+(10/10)*0.25</f>
        <v>0.25</v>
      </c>
      <c r="BG56" s="1672">
        <v>0</v>
      </c>
      <c r="BH56" s="1056">
        <f t="shared" si="17"/>
        <v>1</v>
      </c>
      <c r="BI56" s="1056" t="e">
        <f t="shared" si="18"/>
        <v>#DIV/0!</v>
      </c>
      <c r="BJ56" s="1056">
        <f t="shared" si="31"/>
        <v>1</v>
      </c>
      <c r="BK56" s="1056" t="e">
        <f t="shared" si="32"/>
        <v>#DIV/0!</v>
      </c>
      <c r="BL56" s="1099" t="s">
        <v>2231</v>
      </c>
      <c r="BM56" s="477">
        <f t="shared" si="4"/>
        <v>1</v>
      </c>
      <c r="BN56" s="477" t="str">
        <f t="shared" si="5"/>
        <v>No Prog ni Ejec</v>
      </c>
      <c r="BO56" s="477">
        <f t="shared" si="6"/>
        <v>1</v>
      </c>
      <c r="BP56" s="477" t="str">
        <f t="shared" si="7"/>
        <v>No Prog ni Ejec</v>
      </c>
      <c r="BQ56" s="477">
        <f t="shared" si="33"/>
        <v>1</v>
      </c>
      <c r="BR56" s="477" t="str">
        <f t="shared" si="34"/>
        <v>No Prog ni Ejec</v>
      </c>
      <c r="BS56" s="477">
        <f t="shared" si="8"/>
        <v>1</v>
      </c>
      <c r="BT56" s="828" t="str">
        <f t="shared" si="9"/>
        <v>No Prog ni Ejec</v>
      </c>
    </row>
    <row r="57" spans="1:72" s="404" customFormat="1" ht="63.75" x14ac:dyDescent="0.25">
      <c r="A57" s="1092">
        <v>11400</v>
      </c>
      <c r="B57" s="1060" t="s">
        <v>26</v>
      </c>
      <c r="C57" s="1068" t="s">
        <v>1209</v>
      </c>
      <c r="D57" s="1059" t="s">
        <v>188</v>
      </c>
      <c r="E57" s="1060" t="s">
        <v>144</v>
      </c>
      <c r="F57" s="1059" t="s">
        <v>495</v>
      </c>
      <c r="G57" s="1060" t="s">
        <v>202</v>
      </c>
      <c r="H57" s="1079" t="s">
        <v>123</v>
      </c>
      <c r="I57" s="444">
        <v>1</v>
      </c>
      <c r="J57" s="1059" t="s">
        <v>496</v>
      </c>
      <c r="K57" s="1060" t="s">
        <v>203</v>
      </c>
      <c r="L57" s="443">
        <v>0</v>
      </c>
      <c r="M57" s="444">
        <v>1</v>
      </c>
      <c r="N57" s="1060" t="s">
        <v>46</v>
      </c>
      <c r="O57" s="1060" t="s">
        <v>68</v>
      </c>
      <c r="P57" s="1060" t="s">
        <v>34</v>
      </c>
      <c r="Q57" s="1060" t="s">
        <v>35</v>
      </c>
      <c r="R57" s="1060" t="s">
        <v>225</v>
      </c>
      <c r="S57" s="1060" t="s">
        <v>508</v>
      </c>
      <c r="T57" s="1060" t="s">
        <v>99</v>
      </c>
      <c r="U57" s="444">
        <v>1</v>
      </c>
      <c r="V57" s="1058" t="str">
        <f t="shared" si="10"/>
        <v>No. De Compras de Carteras realizadas</v>
      </c>
      <c r="W57" s="445">
        <f t="shared" si="11"/>
        <v>0</v>
      </c>
      <c r="X57" s="1097" t="s">
        <v>117</v>
      </c>
      <c r="Y57" s="444">
        <v>0</v>
      </c>
      <c r="Z57" s="1083" t="str">
        <f t="shared" si="25"/>
        <v>No. De Compras de Carteras realizadas</v>
      </c>
      <c r="AA57" s="443">
        <v>0</v>
      </c>
      <c r="AB57" s="463">
        <v>0</v>
      </c>
      <c r="AC57" s="443">
        <v>0</v>
      </c>
      <c r="AD57" s="1064" t="e">
        <f t="shared" si="12"/>
        <v>#DIV/0!</v>
      </c>
      <c r="AE57" s="1064" t="e">
        <f t="shared" si="13"/>
        <v>#DIV/0!</v>
      </c>
      <c r="AF57" s="1064">
        <f t="shared" si="14"/>
        <v>0</v>
      </c>
      <c r="AG57" s="1064" t="e">
        <f t="shared" si="1"/>
        <v>#DIV/0!</v>
      </c>
      <c r="AH57" s="1060"/>
      <c r="AI57" s="444">
        <v>0</v>
      </c>
      <c r="AJ57" s="1083" t="str">
        <f t="shared" si="26"/>
        <v>No. De Compras de Carteras realizadas</v>
      </c>
      <c r="AK57" s="443">
        <v>0</v>
      </c>
      <c r="AL57" s="700">
        <v>0</v>
      </c>
      <c r="AM57" s="700">
        <v>0</v>
      </c>
      <c r="AN57" s="1064" t="e">
        <f t="shared" si="15"/>
        <v>#DIV/0!</v>
      </c>
      <c r="AO57" s="1064" t="e">
        <f t="shared" si="2"/>
        <v>#DIV/0!</v>
      </c>
      <c r="AP57" s="1064">
        <f t="shared" si="3"/>
        <v>0</v>
      </c>
      <c r="AQ57" s="1064" t="e">
        <f t="shared" si="16"/>
        <v>#DIV/0!</v>
      </c>
      <c r="AR57" s="1068" t="s">
        <v>1167</v>
      </c>
      <c r="AS57" s="444">
        <v>0</v>
      </c>
      <c r="AT57" s="1083" t="str">
        <f t="shared" si="22"/>
        <v>No. De Compras de Carteras realizadas</v>
      </c>
      <c r="AU57" s="443">
        <v>0</v>
      </c>
      <c r="AV57" s="446">
        <v>0</v>
      </c>
      <c r="AW57" s="448">
        <v>0</v>
      </c>
      <c r="AX57" s="1064" t="e">
        <f t="shared" si="27"/>
        <v>#DIV/0!</v>
      </c>
      <c r="AY57" s="1064" t="e">
        <f t="shared" si="28"/>
        <v>#DIV/0!</v>
      </c>
      <c r="AZ57" s="1064">
        <f t="shared" si="29"/>
        <v>0</v>
      </c>
      <c r="BA57" s="1064" t="e">
        <f t="shared" si="30"/>
        <v>#DIV/0!</v>
      </c>
      <c r="BB57" s="1068" t="s">
        <v>1982</v>
      </c>
      <c r="BC57" s="444">
        <v>1</v>
      </c>
      <c r="BD57" s="1083" t="str">
        <f t="shared" si="24"/>
        <v>No. De Compras de Carteras realizadas</v>
      </c>
      <c r="BE57" s="443">
        <v>0</v>
      </c>
      <c r="BF57" s="1088">
        <f>1/1</f>
        <v>1</v>
      </c>
      <c r="BG57" s="1672">
        <v>0</v>
      </c>
      <c r="BH57" s="1056">
        <f t="shared" si="17"/>
        <v>1</v>
      </c>
      <c r="BI57" s="1056" t="e">
        <f t="shared" si="18"/>
        <v>#DIV/0!</v>
      </c>
      <c r="BJ57" s="1056">
        <f t="shared" si="31"/>
        <v>1</v>
      </c>
      <c r="BK57" s="1056" t="e">
        <f t="shared" si="32"/>
        <v>#DIV/0!</v>
      </c>
      <c r="BL57" s="1083"/>
      <c r="BM57" s="477" t="str">
        <f t="shared" si="4"/>
        <v>No Prog ni Ejec</v>
      </c>
      <c r="BN57" s="477" t="str">
        <f t="shared" si="5"/>
        <v>No Prog ni Ejec</v>
      </c>
      <c r="BO57" s="477" t="str">
        <f t="shared" si="6"/>
        <v>No Prog ni Ejec</v>
      </c>
      <c r="BP57" s="477" t="str">
        <f t="shared" si="7"/>
        <v>No Prog ni Ejec</v>
      </c>
      <c r="BQ57" s="477" t="str">
        <f t="shared" si="33"/>
        <v>No Prog ni Ejec</v>
      </c>
      <c r="BR57" s="477" t="str">
        <f t="shared" si="34"/>
        <v>No Prog ni Ejec</v>
      </c>
      <c r="BS57" s="477">
        <f t="shared" si="8"/>
        <v>1</v>
      </c>
      <c r="BT57" s="828" t="str">
        <f t="shared" si="9"/>
        <v>No Prog ni Ejec</v>
      </c>
    </row>
    <row r="58" spans="1:72" s="404" customFormat="1" ht="63.75" x14ac:dyDescent="0.25">
      <c r="A58" s="1092">
        <v>11400</v>
      </c>
      <c r="B58" s="1060" t="s">
        <v>26</v>
      </c>
      <c r="C58" s="1068" t="s">
        <v>1209</v>
      </c>
      <c r="D58" s="1059" t="s">
        <v>188</v>
      </c>
      <c r="E58" s="1060" t="s">
        <v>144</v>
      </c>
      <c r="F58" s="1059" t="s">
        <v>497</v>
      </c>
      <c r="G58" s="1060" t="s">
        <v>204</v>
      </c>
      <c r="H58" s="1079" t="s">
        <v>123</v>
      </c>
      <c r="I58" s="1056">
        <v>1</v>
      </c>
      <c r="J58" s="1059" t="s">
        <v>498</v>
      </c>
      <c r="K58" s="1060" t="s">
        <v>205</v>
      </c>
      <c r="L58" s="443">
        <v>0</v>
      </c>
      <c r="M58" s="444">
        <v>1</v>
      </c>
      <c r="N58" s="1060" t="s">
        <v>46</v>
      </c>
      <c r="O58" s="1060" t="s">
        <v>68</v>
      </c>
      <c r="P58" s="1060" t="s">
        <v>34</v>
      </c>
      <c r="Q58" s="1060" t="s">
        <v>35</v>
      </c>
      <c r="R58" s="1060" t="s">
        <v>225</v>
      </c>
      <c r="S58" s="1060" t="s">
        <v>509</v>
      </c>
      <c r="T58" s="1060" t="s">
        <v>99</v>
      </c>
      <c r="U58" s="444">
        <v>1</v>
      </c>
      <c r="V58" s="1058" t="str">
        <f t="shared" si="10"/>
        <v>Certificaciones remitidas</v>
      </c>
      <c r="W58" s="445">
        <f t="shared" si="11"/>
        <v>0</v>
      </c>
      <c r="X58" s="1097" t="s">
        <v>117</v>
      </c>
      <c r="Y58" s="1056">
        <v>0.25</v>
      </c>
      <c r="Z58" s="1083" t="str">
        <f t="shared" si="25"/>
        <v>Certificaciones remitidas</v>
      </c>
      <c r="AA58" s="443">
        <v>0</v>
      </c>
      <c r="AB58" s="478">
        <f>(8/8)*25%</f>
        <v>0.25</v>
      </c>
      <c r="AC58" s="443">
        <v>0</v>
      </c>
      <c r="AD58" s="1064">
        <f t="shared" si="12"/>
        <v>1</v>
      </c>
      <c r="AE58" s="1064" t="e">
        <f t="shared" si="13"/>
        <v>#DIV/0!</v>
      </c>
      <c r="AF58" s="1064">
        <f t="shared" si="14"/>
        <v>0.25</v>
      </c>
      <c r="AG58" s="1064" t="e">
        <f t="shared" si="1"/>
        <v>#DIV/0!</v>
      </c>
      <c r="AH58" s="1060" t="s">
        <v>899</v>
      </c>
      <c r="AI58" s="1056">
        <v>0.25</v>
      </c>
      <c r="AJ58" s="1083" t="str">
        <f t="shared" si="26"/>
        <v>Certificaciones remitidas</v>
      </c>
      <c r="AK58" s="443">
        <v>0</v>
      </c>
      <c r="AL58" s="701">
        <f>+(16/16)*25%</f>
        <v>0.25</v>
      </c>
      <c r="AM58" s="529">
        <v>0</v>
      </c>
      <c r="AN58" s="1064">
        <f t="shared" si="15"/>
        <v>1</v>
      </c>
      <c r="AO58" s="1064" t="e">
        <f t="shared" si="2"/>
        <v>#DIV/0!</v>
      </c>
      <c r="AP58" s="1064">
        <f t="shared" si="3"/>
        <v>0.5</v>
      </c>
      <c r="AQ58" s="1064" t="e">
        <f t="shared" si="16"/>
        <v>#DIV/0!</v>
      </c>
      <c r="AR58" s="1068" t="s">
        <v>1168</v>
      </c>
      <c r="AS58" s="1056">
        <v>0.25</v>
      </c>
      <c r="AT58" s="1083" t="str">
        <f t="shared" si="22"/>
        <v>Certificaciones remitidas</v>
      </c>
      <c r="AU58" s="443">
        <v>0</v>
      </c>
      <c r="AV58" s="701">
        <f>+(8/8)*25%</f>
        <v>0.25</v>
      </c>
      <c r="AW58" s="448">
        <v>0</v>
      </c>
      <c r="AX58" s="1064">
        <f t="shared" si="27"/>
        <v>1</v>
      </c>
      <c r="AY58" s="1064" t="e">
        <f t="shared" si="28"/>
        <v>#DIV/0!</v>
      </c>
      <c r="AZ58" s="1064">
        <f t="shared" si="29"/>
        <v>0.75</v>
      </c>
      <c r="BA58" s="1064" t="e">
        <f t="shared" si="30"/>
        <v>#DIV/0!</v>
      </c>
      <c r="BB58" s="1068" t="s">
        <v>1983</v>
      </c>
      <c r="BC58" s="1056">
        <v>0.25</v>
      </c>
      <c r="BD58" s="1083" t="str">
        <f t="shared" si="24"/>
        <v>Certificaciones remitidas</v>
      </c>
      <c r="BE58" s="443">
        <v>0</v>
      </c>
      <c r="BF58" s="1088">
        <f>+(3/3)*BC58</f>
        <v>0.25</v>
      </c>
      <c r="BG58" s="1672">
        <v>0</v>
      </c>
      <c r="BH58" s="1056">
        <f t="shared" si="17"/>
        <v>1</v>
      </c>
      <c r="BI58" s="1056" t="e">
        <f t="shared" si="18"/>
        <v>#DIV/0!</v>
      </c>
      <c r="BJ58" s="1056">
        <f t="shared" si="31"/>
        <v>1</v>
      </c>
      <c r="BK58" s="1056" t="e">
        <f t="shared" si="32"/>
        <v>#DIV/0!</v>
      </c>
      <c r="BL58" s="1083"/>
      <c r="BM58" s="477">
        <f t="shared" si="4"/>
        <v>1</v>
      </c>
      <c r="BN58" s="477" t="str">
        <f t="shared" si="5"/>
        <v>No Prog ni Ejec</v>
      </c>
      <c r="BO58" s="477">
        <f t="shared" si="6"/>
        <v>1</v>
      </c>
      <c r="BP58" s="477" t="str">
        <f t="shared" si="7"/>
        <v>No Prog ni Ejec</v>
      </c>
      <c r="BQ58" s="477">
        <f t="shared" si="33"/>
        <v>1</v>
      </c>
      <c r="BR58" s="477" t="str">
        <f t="shared" si="34"/>
        <v>No Prog ni Ejec</v>
      </c>
      <c r="BS58" s="477">
        <f t="shared" si="8"/>
        <v>1</v>
      </c>
      <c r="BT58" s="828" t="str">
        <f t="shared" si="9"/>
        <v>No Prog ni Ejec</v>
      </c>
    </row>
    <row r="59" spans="1:72" s="404" customFormat="1" ht="63.75" x14ac:dyDescent="0.25">
      <c r="A59" s="1092">
        <v>11400</v>
      </c>
      <c r="B59" s="1060" t="s">
        <v>26</v>
      </c>
      <c r="C59" s="1068" t="s">
        <v>1209</v>
      </c>
      <c r="D59" s="1059" t="s">
        <v>239</v>
      </c>
      <c r="E59" s="1060" t="s">
        <v>144</v>
      </c>
      <c r="F59" s="1059" t="s">
        <v>499</v>
      </c>
      <c r="G59" s="1060" t="s">
        <v>206</v>
      </c>
      <c r="H59" s="1079" t="s">
        <v>123</v>
      </c>
      <c r="I59" s="1056">
        <v>1</v>
      </c>
      <c r="J59" s="1059" t="s">
        <v>500</v>
      </c>
      <c r="K59" s="1060" t="s">
        <v>205</v>
      </c>
      <c r="L59" s="443">
        <v>0</v>
      </c>
      <c r="M59" s="444">
        <v>1</v>
      </c>
      <c r="N59" s="1060" t="s">
        <v>46</v>
      </c>
      <c r="O59" s="1060" t="s">
        <v>68</v>
      </c>
      <c r="P59" s="1060" t="s">
        <v>34</v>
      </c>
      <c r="Q59" s="1060" t="s">
        <v>35</v>
      </c>
      <c r="R59" s="1060" t="s">
        <v>225</v>
      </c>
      <c r="S59" s="1060" t="s">
        <v>509</v>
      </c>
      <c r="T59" s="1060" t="s">
        <v>99</v>
      </c>
      <c r="U59" s="444">
        <v>1</v>
      </c>
      <c r="V59" s="1058" t="str">
        <f t="shared" si="10"/>
        <v>Certificaciones remitidas</v>
      </c>
      <c r="W59" s="445">
        <f t="shared" si="11"/>
        <v>0</v>
      </c>
      <c r="X59" s="1097" t="s">
        <v>117</v>
      </c>
      <c r="Y59" s="1056">
        <v>0.25</v>
      </c>
      <c r="Z59" s="1083" t="str">
        <f t="shared" si="25"/>
        <v>Certificaciones remitidas</v>
      </c>
      <c r="AA59" s="443">
        <v>0</v>
      </c>
      <c r="AB59" s="478">
        <f>(59/59)*25%</f>
        <v>0.25</v>
      </c>
      <c r="AC59" s="443">
        <v>0</v>
      </c>
      <c r="AD59" s="1064">
        <f t="shared" si="12"/>
        <v>1</v>
      </c>
      <c r="AE59" s="1064" t="e">
        <f t="shared" si="13"/>
        <v>#DIV/0!</v>
      </c>
      <c r="AF59" s="1064">
        <f t="shared" si="14"/>
        <v>0.25</v>
      </c>
      <c r="AG59" s="1064" t="e">
        <f t="shared" si="1"/>
        <v>#DIV/0!</v>
      </c>
      <c r="AH59" s="1060" t="s">
        <v>900</v>
      </c>
      <c r="AI59" s="1056">
        <v>0.25</v>
      </c>
      <c r="AJ59" s="1083" t="str">
        <f t="shared" si="26"/>
        <v>Certificaciones remitidas</v>
      </c>
      <c r="AK59" s="443">
        <v>0</v>
      </c>
      <c r="AL59" s="701">
        <f>+(70/70)*25%</f>
        <v>0.25</v>
      </c>
      <c r="AM59" s="529">
        <v>0</v>
      </c>
      <c r="AN59" s="1064">
        <f t="shared" si="15"/>
        <v>1</v>
      </c>
      <c r="AO59" s="1064" t="e">
        <f t="shared" si="2"/>
        <v>#DIV/0!</v>
      </c>
      <c r="AP59" s="1064">
        <f t="shared" si="3"/>
        <v>0.5</v>
      </c>
      <c r="AQ59" s="1064" t="e">
        <f t="shared" si="16"/>
        <v>#DIV/0!</v>
      </c>
      <c r="AR59" s="1068" t="s">
        <v>1169</v>
      </c>
      <c r="AS59" s="1056">
        <v>0.25</v>
      </c>
      <c r="AT59" s="1083" t="str">
        <f t="shared" si="22"/>
        <v>Certificaciones remitidas</v>
      </c>
      <c r="AU59" s="443">
        <v>0</v>
      </c>
      <c r="AV59" s="701">
        <f>(73/73)*25%</f>
        <v>0.25</v>
      </c>
      <c r="AW59" s="448">
        <v>0</v>
      </c>
      <c r="AX59" s="1064">
        <f t="shared" si="27"/>
        <v>1</v>
      </c>
      <c r="AY59" s="1064" t="e">
        <f t="shared" si="28"/>
        <v>#DIV/0!</v>
      </c>
      <c r="AZ59" s="1064">
        <f t="shared" si="29"/>
        <v>0.75</v>
      </c>
      <c r="BA59" s="1064" t="e">
        <f t="shared" si="30"/>
        <v>#DIV/0!</v>
      </c>
      <c r="BB59" s="1068" t="s">
        <v>1984</v>
      </c>
      <c r="BC59" s="1056">
        <v>0.25</v>
      </c>
      <c r="BD59" s="1083" t="str">
        <f t="shared" si="24"/>
        <v>Certificaciones remitidas</v>
      </c>
      <c r="BE59" s="443">
        <v>0</v>
      </c>
      <c r="BF59" s="1088">
        <f>+(28/28)*BC59</f>
        <v>0.25</v>
      </c>
      <c r="BG59" s="1672">
        <v>0</v>
      </c>
      <c r="BH59" s="1056">
        <f t="shared" si="17"/>
        <v>1</v>
      </c>
      <c r="BI59" s="1056" t="e">
        <f t="shared" si="18"/>
        <v>#DIV/0!</v>
      </c>
      <c r="BJ59" s="1056">
        <f t="shared" si="31"/>
        <v>1</v>
      </c>
      <c r="BK59" s="1056" t="e">
        <f t="shared" si="32"/>
        <v>#DIV/0!</v>
      </c>
      <c r="BL59" s="1083"/>
      <c r="BM59" s="477">
        <f t="shared" si="4"/>
        <v>1</v>
      </c>
      <c r="BN59" s="477" t="str">
        <f t="shared" si="5"/>
        <v>No Prog ni Ejec</v>
      </c>
      <c r="BO59" s="477">
        <f t="shared" si="6"/>
        <v>1</v>
      </c>
      <c r="BP59" s="477" t="str">
        <f t="shared" si="7"/>
        <v>No Prog ni Ejec</v>
      </c>
      <c r="BQ59" s="477">
        <f t="shared" si="33"/>
        <v>1</v>
      </c>
      <c r="BR59" s="477" t="str">
        <f t="shared" si="34"/>
        <v>No Prog ni Ejec</v>
      </c>
      <c r="BS59" s="477">
        <f t="shared" si="8"/>
        <v>1</v>
      </c>
      <c r="BT59" s="828" t="str">
        <f t="shared" si="9"/>
        <v>No Prog ni Ejec</v>
      </c>
    </row>
    <row r="60" spans="1:72" s="404" customFormat="1" ht="63.75" x14ac:dyDescent="0.25">
      <c r="A60" s="1092">
        <v>11400</v>
      </c>
      <c r="B60" s="1060" t="s">
        <v>26</v>
      </c>
      <c r="C60" s="1068" t="s">
        <v>1209</v>
      </c>
      <c r="D60" s="1059" t="s">
        <v>240</v>
      </c>
      <c r="E60" s="1060" t="s">
        <v>144</v>
      </c>
      <c r="F60" s="1059" t="s">
        <v>501</v>
      </c>
      <c r="G60" s="1060" t="s">
        <v>207</v>
      </c>
      <c r="H60" s="1079" t="s">
        <v>123</v>
      </c>
      <c r="I60" s="1056">
        <v>1</v>
      </c>
      <c r="J60" s="1059" t="s">
        <v>502</v>
      </c>
      <c r="K60" s="1060" t="s">
        <v>205</v>
      </c>
      <c r="L60" s="443">
        <v>0</v>
      </c>
      <c r="M60" s="444">
        <v>1</v>
      </c>
      <c r="N60" s="1060" t="s">
        <v>46</v>
      </c>
      <c r="O60" s="1060" t="s">
        <v>68</v>
      </c>
      <c r="P60" s="1060" t="s">
        <v>34</v>
      </c>
      <c r="Q60" s="1060" t="s">
        <v>35</v>
      </c>
      <c r="R60" s="1060" t="s">
        <v>225</v>
      </c>
      <c r="S60" s="1060" t="s">
        <v>509</v>
      </c>
      <c r="T60" s="1060" t="s">
        <v>99</v>
      </c>
      <c r="U60" s="444">
        <v>1</v>
      </c>
      <c r="V60" s="1058" t="str">
        <f t="shared" si="10"/>
        <v>Certificaciones remitidas</v>
      </c>
      <c r="W60" s="445">
        <f t="shared" si="11"/>
        <v>0</v>
      </c>
      <c r="X60" s="1097" t="s">
        <v>117</v>
      </c>
      <c r="Y60" s="1056">
        <v>0.25</v>
      </c>
      <c r="Z60" s="1083" t="str">
        <f t="shared" si="25"/>
        <v>Certificaciones remitidas</v>
      </c>
      <c r="AA60" s="443">
        <v>0</v>
      </c>
      <c r="AB60" s="478">
        <f>(21/21)*25%</f>
        <v>0.25</v>
      </c>
      <c r="AC60" s="443">
        <v>0</v>
      </c>
      <c r="AD60" s="1064">
        <f t="shared" si="12"/>
        <v>1</v>
      </c>
      <c r="AE60" s="1064" t="e">
        <f t="shared" si="13"/>
        <v>#DIV/0!</v>
      </c>
      <c r="AF60" s="1064">
        <f t="shared" si="14"/>
        <v>0.25</v>
      </c>
      <c r="AG60" s="1064" t="e">
        <f t="shared" si="1"/>
        <v>#DIV/0!</v>
      </c>
      <c r="AH60" s="1060" t="s">
        <v>901</v>
      </c>
      <c r="AI60" s="1056">
        <v>0.25</v>
      </c>
      <c r="AJ60" s="1083" t="str">
        <f t="shared" si="26"/>
        <v>Certificaciones remitidas</v>
      </c>
      <c r="AK60" s="443">
        <v>0</v>
      </c>
      <c r="AL60" s="701">
        <f>+(18/18)*25%</f>
        <v>0.25</v>
      </c>
      <c r="AM60" s="529">
        <v>0</v>
      </c>
      <c r="AN60" s="1064">
        <f t="shared" si="15"/>
        <v>1</v>
      </c>
      <c r="AO60" s="1064" t="e">
        <f t="shared" si="2"/>
        <v>#DIV/0!</v>
      </c>
      <c r="AP60" s="1064">
        <f t="shared" si="3"/>
        <v>0.5</v>
      </c>
      <c r="AQ60" s="1064" t="e">
        <f t="shared" si="16"/>
        <v>#DIV/0!</v>
      </c>
      <c r="AR60" s="1068" t="s">
        <v>1170</v>
      </c>
      <c r="AS60" s="1056">
        <v>0.25</v>
      </c>
      <c r="AT60" s="1083" t="str">
        <f t="shared" si="22"/>
        <v>Certificaciones remitidas</v>
      </c>
      <c r="AU60" s="443">
        <v>0</v>
      </c>
      <c r="AV60" s="1056">
        <f>+(6/6)*25%</f>
        <v>0.25</v>
      </c>
      <c r="AW60" s="448">
        <v>0</v>
      </c>
      <c r="AX60" s="1064">
        <f t="shared" si="27"/>
        <v>1</v>
      </c>
      <c r="AY60" s="1064" t="e">
        <f t="shared" si="28"/>
        <v>#DIV/0!</v>
      </c>
      <c r="AZ60" s="1064">
        <f t="shared" si="29"/>
        <v>0.75</v>
      </c>
      <c r="BA60" s="1064" t="e">
        <f t="shared" si="30"/>
        <v>#DIV/0!</v>
      </c>
      <c r="BB60" s="1068" t="s">
        <v>1985</v>
      </c>
      <c r="BC60" s="1056">
        <v>0.25</v>
      </c>
      <c r="BD60" s="1083" t="str">
        <f t="shared" si="24"/>
        <v>Certificaciones remitidas</v>
      </c>
      <c r="BE60" s="443">
        <v>0</v>
      </c>
      <c r="BF60" s="1088">
        <f>+(3/3)*BC60</f>
        <v>0.25</v>
      </c>
      <c r="BG60" s="1672">
        <v>0</v>
      </c>
      <c r="BH60" s="1056">
        <f t="shared" si="17"/>
        <v>1</v>
      </c>
      <c r="BI60" s="1056" t="e">
        <f t="shared" si="18"/>
        <v>#DIV/0!</v>
      </c>
      <c r="BJ60" s="1056">
        <f t="shared" si="31"/>
        <v>1</v>
      </c>
      <c r="BK60" s="1056" t="e">
        <f t="shared" si="32"/>
        <v>#DIV/0!</v>
      </c>
      <c r="BL60" s="1083"/>
      <c r="BM60" s="477">
        <f t="shared" si="4"/>
        <v>1</v>
      </c>
      <c r="BN60" s="477" t="str">
        <f t="shared" si="5"/>
        <v>No Prog ni Ejec</v>
      </c>
      <c r="BO60" s="477">
        <f t="shared" si="6"/>
        <v>1</v>
      </c>
      <c r="BP60" s="477" t="str">
        <f t="shared" si="7"/>
        <v>No Prog ni Ejec</v>
      </c>
      <c r="BQ60" s="477">
        <f t="shared" si="33"/>
        <v>1</v>
      </c>
      <c r="BR60" s="477" t="str">
        <f t="shared" si="34"/>
        <v>No Prog ni Ejec</v>
      </c>
      <c r="BS60" s="477">
        <f t="shared" si="8"/>
        <v>1</v>
      </c>
      <c r="BT60" s="828" t="str">
        <f t="shared" si="9"/>
        <v>No Prog ni Ejec</v>
      </c>
    </row>
    <row r="61" spans="1:72" s="404" customFormat="1" ht="63.75" x14ac:dyDescent="0.25">
      <c r="A61" s="1092">
        <v>11400</v>
      </c>
      <c r="B61" s="1060" t="s">
        <v>26</v>
      </c>
      <c r="C61" s="1068" t="s">
        <v>1209</v>
      </c>
      <c r="D61" s="1059" t="s">
        <v>241</v>
      </c>
      <c r="E61" s="1060" t="s">
        <v>144</v>
      </c>
      <c r="F61" s="1059" t="s">
        <v>503</v>
      </c>
      <c r="G61" s="1060" t="s">
        <v>208</v>
      </c>
      <c r="H61" s="1079" t="s">
        <v>123</v>
      </c>
      <c r="I61" s="1056">
        <v>1</v>
      </c>
      <c r="J61" s="1059" t="s">
        <v>504</v>
      </c>
      <c r="K61" s="1060" t="s">
        <v>205</v>
      </c>
      <c r="L61" s="443">
        <v>0</v>
      </c>
      <c r="M61" s="444">
        <v>1</v>
      </c>
      <c r="N61" s="1060" t="s">
        <v>46</v>
      </c>
      <c r="O61" s="1060" t="s">
        <v>68</v>
      </c>
      <c r="P61" s="1060" t="s">
        <v>34</v>
      </c>
      <c r="Q61" s="1060" t="s">
        <v>35</v>
      </c>
      <c r="R61" s="1060" t="s">
        <v>225</v>
      </c>
      <c r="S61" s="1060" t="s">
        <v>509</v>
      </c>
      <c r="T61" s="1060" t="s">
        <v>99</v>
      </c>
      <c r="U61" s="444">
        <v>1</v>
      </c>
      <c r="V61" s="1058" t="str">
        <f t="shared" si="10"/>
        <v>Certificaciones remitidas</v>
      </c>
      <c r="W61" s="445">
        <f t="shared" si="11"/>
        <v>0</v>
      </c>
      <c r="X61" s="1097" t="s">
        <v>117</v>
      </c>
      <c r="Y61" s="1056">
        <v>0.25</v>
      </c>
      <c r="Z61" s="1083" t="str">
        <f t="shared" si="25"/>
        <v>Certificaciones remitidas</v>
      </c>
      <c r="AA61" s="443">
        <v>0</v>
      </c>
      <c r="AB61" s="478">
        <f>(15/15)*25%</f>
        <v>0.25</v>
      </c>
      <c r="AC61" s="443">
        <v>0</v>
      </c>
      <c r="AD61" s="1064">
        <f t="shared" si="12"/>
        <v>1</v>
      </c>
      <c r="AE61" s="1064" t="e">
        <f t="shared" si="13"/>
        <v>#DIV/0!</v>
      </c>
      <c r="AF61" s="1064">
        <f t="shared" si="14"/>
        <v>0.25</v>
      </c>
      <c r="AG61" s="1064" t="e">
        <f t="shared" si="1"/>
        <v>#DIV/0!</v>
      </c>
      <c r="AH61" s="1060" t="s">
        <v>902</v>
      </c>
      <c r="AI61" s="1056">
        <v>0.25</v>
      </c>
      <c r="AJ61" s="1083" t="str">
        <f t="shared" si="26"/>
        <v>Certificaciones remitidas</v>
      </c>
      <c r="AK61" s="443">
        <v>0</v>
      </c>
      <c r="AL61" s="701">
        <f>+(14/14)*25%</f>
        <v>0.25</v>
      </c>
      <c r="AM61" s="529">
        <v>0</v>
      </c>
      <c r="AN61" s="1064">
        <f t="shared" si="15"/>
        <v>1</v>
      </c>
      <c r="AO61" s="1064" t="e">
        <f t="shared" si="2"/>
        <v>#DIV/0!</v>
      </c>
      <c r="AP61" s="1064">
        <f t="shared" si="3"/>
        <v>0.5</v>
      </c>
      <c r="AQ61" s="1064" t="e">
        <f t="shared" si="16"/>
        <v>#DIV/0!</v>
      </c>
      <c r="AR61" s="1068" t="s">
        <v>1171</v>
      </c>
      <c r="AS61" s="1056">
        <v>0.25</v>
      </c>
      <c r="AT61" s="1083" t="str">
        <f t="shared" si="22"/>
        <v>Certificaciones remitidas</v>
      </c>
      <c r="AU61" s="443">
        <v>0</v>
      </c>
      <c r="AV61" s="447">
        <f>+(6/6)*25%</f>
        <v>0.25</v>
      </c>
      <c r="AW61" s="448">
        <v>0</v>
      </c>
      <c r="AX61" s="1064">
        <f t="shared" si="27"/>
        <v>1</v>
      </c>
      <c r="AY61" s="1064" t="e">
        <f t="shared" si="28"/>
        <v>#DIV/0!</v>
      </c>
      <c r="AZ61" s="1064">
        <f t="shared" si="29"/>
        <v>0.75</v>
      </c>
      <c r="BA61" s="1064" t="e">
        <f t="shared" si="30"/>
        <v>#DIV/0!</v>
      </c>
      <c r="BB61" s="1068" t="s">
        <v>1986</v>
      </c>
      <c r="BC61" s="1056">
        <v>0.25</v>
      </c>
      <c r="BD61" s="1083" t="str">
        <f t="shared" si="24"/>
        <v>Certificaciones remitidas</v>
      </c>
      <c r="BE61" s="443">
        <v>0</v>
      </c>
      <c r="BF61" s="1088">
        <f>+(3/3)*BC61</f>
        <v>0.25</v>
      </c>
      <c r="BG61" s="1672">
        <v>0</v>
      </c>
      <c r="BH61" s="1056">
        <f t="shared" si="17"/>
        <v>1</v>
      </c>
      <c r="BI61" s="1056" t="e">
        <f t="shared" si="18"/>
        <v>#DIV/0!</v>
      </c>
      <c r="BJ61" s="1056">
        <f t="shared" si="31"/>
        <v>1</v>
      </c>
      <c r="BK61" s="1056" t="e">
        <f t="shared" si="32"/>
        <v>#DIV/0!</v>
      </c>
      <c r="BL61" s="1083"/>
      <c r="BM61" s="477">
        <f t="shared" si="4"/>
        <v>1</v>
      </c>
      <c r="BN61" s="477" t="str">
        <f t="shared" si="5"/>
        <v>No Prog ni Ejec</v>
      </c>
      <c r="BO61" s="477">
        <f t="shared" si="6"/>
        <v>1</v>
      </c>
      <c r="BP61" s="477" t="str">
        <f t="shared" si="7"/>
        <v>No Prog ni Ejec</v>
      </c>
      <c r="BQ61" s="477">
        <f t="shared" si="33"/>
        <v>1</v>
      </c>
      <c r="BR61" s="477" t="str">
        <f t="shared" si="34"/>
        <v>No Prog ni Ejec</v>
      </c>
      <c r="BS61" s="477">
        <f t="shared" si="8"/>
        <v>1</v>
      </c>
      <c r="BT61" s="828" t="str">
        <f t="shared" si="9"/>
        <v>No Prog ni Ejec</v>
      </c>
    </row>
    <row r="62" spans="1:72" s="404" customFormat="1" ht="89.25" x14ac:dyDescent="0.25">
      <c r="A62" s="1092">
        <v>11400</v>
      </c>
      <c r="B62" s="1060" t="s">
        <v>26</v>
      </c>
      <c r="C62" s="1068" t="s">
        <v>1209</v>
      </c>
      <c r="D62" s="1059" t="s">
        <v>242</v>
      </c>
      <c r="E62" s="1060" t="s">
        <v>144</v>
      </c>
      <c r="F62" s="1059" t="s">
        <v>505</v>
      </c>
      <c r="G62" s="1060" t="s">
        <v>243</v>
      </c>
      <c r="H62" s="1079" t="s">
        <v>124</v>
      </c>
      <c r="I62" s="1059">
        <v>2</v>
      </c>
      <c r="J62" s="1059" t="s">
        <v>506</v>
      </c>
      <c r="K62" s="1060" t="s">
        <v>244</v>
      </c>
      <c r="L62" s="443">
        <v>55000000</v>
      </c>
      <c r="M62" s="444">
        <v>1</v>
      </c>
      <c r="N62" s="1060" t="s">
        <v>46</v>
      </c>
      <c r="O62" s="1060" t="s">
        <v>68</v>
      </c>
      <c r="P62" s="1060" t="s">
        <v>34</v>
      </c>
      <c r="Q62" s="1060" t="s">
        <v>36</v>
      </c>
      <c r="R62" s="1060" t="s">
        <v>225</v>
      </c>
      <c r="S62" s="1060" t="s">
        <v>510</v>
      </c>
      <c r="T62" s="1060" t="s">
        <v>99</v>
      </c>
      <c r="U62" s="463">
        <v>2</v>
      </c>
      <c r="V62" s="1058" t="str">
        <f t="shared" si="10"/>
        <v>Elaboración de Estudios del Sector</v>
      </c>
      <c r="W62" s="445">
        <f t="shared" si="11"/>
        <v>55000000</v>
      </c>
      <c r="X62" s="1097" t="s">
        <v>114</v>
      </c>
      <c r="Y62" s="463">
        <v>0</v>
      </c>
      <c r="Z62" s="1083" t="str">
        <f t="shared" si="25"/>
        <v>Elaboración de Estudios del Sector</v>
      </c>
      <c r="AA62" s="443">
        <v>55000000</v>
      </c>
      <c r="AB62" s="446">
        <v>2</v>
      </c>
      <c r="AC62" s="448">
        <v>0</v>
      </c>
      <c r="AD62" s="1064" t="e">
        <f>+(AB62/Y62)</f>
        <v>#DIV/0!</v>
      </c>
      <c r="AE62" s="1064">
        <f t="shared" si="13"/>
        <v>0</v>
      </c>
      <c r="AF62" s="1064">
        <f t="shared" si="14"/>
        <v>1</v>
      </c>
      <c r="AG62" s="1064">
        <f t="shared" si="1"/>
        <v>0</v>
      </c>
      <c r="AH62" s="1060" t="s">
        <v>903</v>
      </c>
      <c r="AI62" s="463">
        <v>1</v>
      </c>
      <c r="AJ62" s="1083" t="str">
        <f t="shared" si="26"/>
        <v>Elaboración de Estudios del Sector</v>
      </c>
      <c r="AK62" s="443">
        <v>0</v>
      </c>
      <c r="AL62" s="700">
        <v>5</v>
      </c>
      <c r="AM62" s="702">
        <v>0</v>
      </c>
      <c r="AN62" s="1064">
        <f t="shared" si="15"/>
        <v>5</v>
      </c>
      <c r="AO62" s="1064" t="e">
        <f t="shared" si="2"/>
        <v>#DIV/0!</v>
      </c>
      <c r="AP62" s="1064">
        <f t="shared" si="3"/>
        <v>3.5</v>
      </c>
      <c r="AQ62" s="1064">
        <f t="shared" si="16"/>
        <v>0</v>
      </c>
      <c r="AR62" s="1068" t="s">
        <v>1172</v>
      </c>
      <c r="AS62" s="463">
        <v>0</v>
      </c>
      <c r="AT62" s="1083" t="str">
        <f t="shared" si="22"/>
        <v>Elaboración de Estudios del Sector</v>
      </c>
      <c r="AU62" s="443">
        <v>0</v>
      </c>
      <c r="AV62" s="446">
        <v>3</v>
      </c>
      <c r="AW62" s="475">
        <v>44089500</v>
      </c>
      <c r="AX62" s="1064" t="e">
        <f>+(AV62/AS62)</f>
        <v>#DIV/0!</v>
      </c>
      <c r="AY62" s="1064" t="e">
        <f>+(AW62/AU62)</f>
        <v>#DIV/0!</v>
      </c>
      <c r="AZ62" s="1064">
        <f>+(AL62+AB62+AV62)/U62</f>
        <v>5</v>
      </c>
      <c r="BA62" s="1064">
        <f t="shared" si="30"/>
        <v>0.80162727272727274</v>
      </c>
      <c r="BB62" s="1068" t="s">
        <v>1987</v>
      </c>
      <c r="BC62" s="463">
        <v>1</v>
      </c>
      <c r="BD62" s="1083" t="str">
        <f t="shared" si="24"/>
        <v>Elaboración de Estudios del Sector</v>
      </c>
      <c r="BE62" s="443">
        <v>0</v>
      </c>
      <c r="BF62" s="1079">
        <v>1</v>
      </c>
      <c r="BG62" s="1672">
        <v>0</v>
      </c>
      <c r="BH62" s="1056">
        <f t="shared" si="17"/>
        <v>1</v>
      </c>
      <c r="BI62" s="1056" t="e">
        <f t="shared" si="18"/>
        <v>#DIV/0!</v>
      </c>
      <c r="BJ62" s="1056">
        <f t="shared" si="31"/>
        <v>5.5</v>
      </c>
      <c r="BK62" s="1056">
        <f t="shared" si="32"/>
        <v>0.80162727272727274</v>
      </c>
      <c r="BL62" s="1068" t="s">
        <v>2138</v>
      </c>
      <c r="BM62" s="477" t="str">
        <f t="shared" si="4"/>
        <v>No Prog, Ejec=  2</v>
      </c>
      <c r="BN62" s="477">
        <f t="shared" si="5"/>
        <v>0</v>
      </c>
      <c r="BO62" s="477">
        <f t="shared" si="6"/>
        <v>5</v>
      </c>
      <c r="BP62" s="477" t="str">
        <f t="shared" si="7"/>
        <v>No Prog ni Ejec</v>
      </c>
      <c r="BQ62" s="477" t="str">
        <f t="shared" si="33"/>
        <v>No Prog, Ejec=  3</v>
      </c>
      <c r="BR62" s="477" t="str">
        <f t="shared" si="34"/>
        <v>No Prog, Ejec=  44089500</v>
      </c>
      <c r="BS62" s="477">
        <f t="shared" si="8"/>
        <v>1</v>
      </c>
      <c r="BT62" s="828" t="str">
        <f t="shared" si="9"/>
        <v>No Prog ni Ejec</v>
      </c>
    </row>
    <row r="63" spans="1:72" s="404" customFormat="1" ht="51" x14ac:dyDescent="0.25">
      <c r="A63" s="1092">
        <v>11500</v>
      </c>
      <c r="B63" s="1060" t="s">
        <v>28</v>
      </c>
      <c r="C63" s="1068" t="s">
        <v>1209</v>
      </c>
      <c r="D63" s="1059" t="s">
        <v>259</v>
      </c>
      <c r="E63" s="1060" t="s">
        <v>153</v>
      </c>
      <c r="F63" s="1059" t="s">
        <v>290</v>
      </c>
      <c r="G63" s="1060" t="s">
        <v>133</v>
      </c>
      <c r="H63" s="1079" t="s">
        <v>124</v>
      </c>
      <c r="I63" s="1059">
        <v>4</v>
      </c>
      <c r="J63" s="1059" t="s">
        <v>276</v>
      </c>
      <c r="K63" s="1060" t="s">
        <v>24</v>
      </c>
      <c r="L63" s="443">
        <v>0</v>
      </c>
      <c r="M63" s="444">
        <v>1</v>
      </c>
      <c r="N63" s="1060" t="s">
        <v>51</v>
      </c>
      <c r="O63" s="1060" t="s">
        <v>68</v>
      </c>
      <c r="P63" s="1060" t="s">
        <v>21</v>
      </c>
      <c r="Q63" s="1060" t="s">
        <v>36</v>
      </c>
      <c r="R63" s="1060" t="s">
        <v>75</v>
      </c>
      <c r="S63" s="1060" t="s">
        <v>631</v>
      </c>
      <c r="T63" s="1060" t="s">
        <v>98</v>
      </c>
      <c r="U63" s="1059">
        <v>4</v>
      </c>
      <c r="V63" s="1058" t="str">
        <f t="shared" si="10"/>
        <v>Reportar el cumplimiento del Plan de Acción de la Dependencia</v>
      </c>
      <c r="W63" s="445">
        <f t="shared" si="11"/>
        <v>0</v>
      </c>
      <c r="X63" s="1097" t="s">
        <v>117</v>
      </c>
      <c r="Y63" s="463">
        <v>1</v>
      </c>
      <c r="Z63" s="1083" t="str">
        <f t="shared" si="25"/>
        <v>Reportar el cumplimiento del Plan de Acción de la Dependencia</v>
      </c>
      <c r="AA63" s="443">
        <v>0</v>
      </c>
      <c r="AB63" s="446">
        <v>1</v>
      </c>
      <c r="AC63" s="448">
        <v>0</v>
      </c>
      <c r="AD63" s="1064">
        <f t="shared" si="12"/>
        <v>1</v>
      </c>
      <c r="AE63" s="1064" t="e">
        <f t="shared" si="13"/>
        <v>#DIV/0!</v>
      </c>
      <c r="AF63" s="1064">
        <f t="shared" si="14"/>
        <v>0.25</v>
      </c>
      <c r="AG63" s="1064" t="e">
        <f t="shared" si="1"/>
        <v>#DIV/0!</v>
      </c>
      <c r="AH63" s="527"/>
      <c r="AI63" s="463">
        <v>1</v>
      </c>
      <c r="AJ63" s="1083" t="str">
        <f t="shared" si="26"/>
        <v>Reportar el cumplimiento del Plan de Acción de la Dependencia</v>
      </c>
      <c r="AK63" s="443">
        <v>0</v>
      </c>
      <c r="AL63" s="700">
        <v>1</v>
      </c>
      <c r="AM63" s="702">
        <v>0</v>
      </c>
      <c r="AN63" s="1064">
        <f t="shared" si="15"/>
        <v>1</v>
      </c>
      <c r="AO63" s="1064" t="e">
        <f t="shared" si="2"/>
        <v>#DIV/0!</v>
      </c>
      <c r="AP63" s="1064">
        <f t="shared" si="3"/>
        <v>0.5</v>
      </c>
      <c r="AQ63" s="1064" t="e">
        <f t="shared" si="16"/>
        <v>#DIV/0!</v>
      </c>
      <c r="AR63" s="804" t="s">
        <v>1058</v>
      </c>
      <c r="AS63" s="463">
        <v>1</v>
      </c>
      <c r="AT63" s="1083" t="str">
        <f t="shared" si="22"/>
        <v>Reportar el cumplimiento del Plan de Acción de la Dependencia</v>
      </c>
      <c r="AU63" s="443">
        <v>0</v>
      </c>
      <c r="AV63" s="929">
        <v>1</v>
      </c>
      <c r="AW63" s="930">
        <v>0</v>
      </c>
      <c r="AX63" s="1064">
        <f t="shared" si="27"/>
        <v>1</v>
      </c>
      <c r="AY63" s="1064" t="e">
        <f t="shared" si="28"/>
        <v>#DIV/0!</v>
      </c>
      <c r="AZ63" s="1064">
        <f t="shared" si="29"/>
        <v>0.75</v>
      </c>
      <c r="BA63" s="1064" t="e">
        <f>+(AM63+AC63+AW63)/W63</f>
        <v>#DIV/0!</v>
      </c>
      <c r="BB63" s="1665"/>
      <c r="BC63" s="463">
        <v>1</v>
      </c>
      <c r="BD63" s="1083" t="str">
        <f t="shared" si="24"/>
        <v>Reportar el cumplimiento del Plan de Acción de la Dependencia</v>
      </c>
      <c r="BE63" s="443">
        <v>0</v>
      </c>
      <c r="BF63" s="1676">
        <v>1</v>
      </c>
      <c r="BG63" s="1077">
        <v>0</v>
      </c>
      <c r="BH63" s="1056">
        <f t="shared" si="17"/>
        <v>1</v>
      </c>
      <c r="BI63" s="1056" t="e">
        <f t="shared" si="18"/>
        <v>#DIV/0!</v>
      </c>
      <c r="BJ63" s="1056">
        <f t="shared" si="31"/>
        <v>1</v>
      </c>
      <c r="BK63" s="1056" t="e">
        <f t="shared" si="32"/>
        <v>#DIV/0!</v>
      </c>
      <c r="BL63" s="1083"/>
      <c r="BM63" s="477">
        <f t="shared" si="4"/>
        <v>1</v>
      </c>
      <c r="BN63" s="477" t="str">
        <f t="shared" si="5"/>
        <v>No Prog ni Ejec</v>
      </c>
      <c r="BO63" s="477">
        <f t="shared" si="6"/>
        <v>1</v>
      </c>
      <c r="BP63" s="477" t="str">
        <f t="shared" si="7"/>
        <v>No Prog ni Ejec</v>
      </c>
      <c r="BQ63" s="477">
        <f t="shared" si="33"/>
        <v>1</v>
      </c>
      <c r="BR63" s="477" t="str">
        <f t="shared" si="34"/>
        <v>No Prog ni Ejec</v>
      </c>
      <c r="BS63" s="477">
        <f t="shared" si="8"/>
        <v>1</v>
      </c>
      <c r="BT63" s="828" t="str">
        <f t="shared" si="9"/>
        <v>No Prog ni Ejec</v>
      </c>
    </row>
    <row r="64" spans="1:72" s="404" customFormat="1" ht="89.25" x14ac:dyDescent="0.25">
      <c r="A64" s="1092">
        <v>11500</v>
      </c>
      <c r="B64" s="1060" t="s">
        <v>28</v>
      </c>
      <c r="C64" s="1068" t="s">
        <v>1209</v>
      </c>
      <c r="D64" s="1059" t="s">
        <v>260</v>
      </c>
      <c r="E64" s="1060" t="s">
        <v>256</v>
      </c>
      <c r="F64" s="1059" t="s">
        <v>261</v>
      </c>
      <c r="G64" s="1060" t="s">
        <v>159</v>
      </c>
      <c r="H64" s="1079" t="s">
        <v>123</v>
      </c>
      <c r="I64" s="1056">
        <v>1</v>
      </c>
      <c r="J64" s="1059" t="s">
        <v>274</v>
      </c>
      <c r="K64" s="1060" t="s">
        <v>598</v>
      </c>
      <c r="L64" s="443">
        <v>0</v>
      </c>
      <c r="M64" s="444">
        <v>1</v>
      </c>
      <c r="N64" s="1060" t="s">
        <v>51</v>
      </c>
      <c r="O64" s="1060" t="s">
        <v>68</v>
      </c>
      <c r="P64" s="1060" t="s">
        <v>21</v>
      </c>
      <c r="Q64" s="1060" t="s">
        <v>36</v>
      </c>
      <c r="R64" s="1060" t="s">
        <v>75</v>
      </c>
      <c r="S64" s="1060" t="s">
        <v>672</v>
      </c>
      <c r="T64" s="1060" t="s">
        <v>98</v>
      </c>
      <c r="U64" s="444">
        <v>1</v>
      </c>
      <c r="V64" s="1058" t="str">
        <f t="shared" si="10"/>
        <v>Formular los procesos y procedimientos en el marco del MIPG</v>
      </c>
      <c r="W64" s="445">
        <f t="shared" si="11"/>
        <v>0</v>
      </c>
      <c r="X64" s="1097" t="s">
        <v>117</v>
      </c>
      <c r="Y64" s="1056">
        <v>0.25</v>
      </c>
      <c r="Z64" s="1083" t="str">
        <f t="shared" si="25"/>
        <v>Formular los procesos y procedimientos en el marco del MIPG</v>
      </c>
      <c r="AA64" s="443">
        <v>0</v>
      </c>
      <c r="AB64" s="478">
        <f>(6/6)</f>
        <v>1</v>
      </c>
      <c r="AC64" s="448">
        <v>0</v>
      </c>
      <c r="AD64" s="1064">
        <f t="shared" si="12"/>
        <v>4</v>
      </c>
      <c r="AE64" s="1064" t="e">
        <f t="shared" si="13"/>
        <v>#DIV/0!</v>
      </c>
      <c r="AF64" s="1064">
        <f t="shared" si="14"/>
        <v>1</v>
      </c>
      <c r="AG64" s="1064" t="e">
        <f t="shared" si="1"/>
        <v>#DIV/0!</v>
      </c>
      <c r="AH64" s="527"/>
      <c r="AI64" s="1056">
        <v>0.25</v>
      </c>
      <c r="AJ64" s="1083" t="str">
        <f t="shared" si="26"/>
        <v>Formular los procesos y procedimientos en el marco del MIPG</v>
      </c>
      <c r="AK64" s="443">
        <v>0</v>
      </c>
      <c r="AL64" s="792">
        <v>0</v>
      </c>
      <c r="AM64" s="702">
        <v>0</v>
      </c>
      <c r="AN64" s="1064">
        <f t="shared" si="15"/>
        <v>0</v>
      </c>
      <c r="AO64" s="1064" t="e">
        <f t="shared" si="2"/>
        <v>#DIV/0!</v>
      </c>
      <c r="AP64" s="1064">
        <f t="shared" si="3"/>
        <v>1</v>
      </c>
      <c r="AQ64" s="1064" t="e">
        <f t="shared" si="16"/>
        <v>#DIV/0!</v>
      </c>
      <c r="AR64" s="804" t="s">
        <v>1059</v>
      </c>
      <c r="AS64" s="1056">
        <v>0.25</v>
      </c>
      <c r="AT64" s="1083" t="str">
        <f t="shared" si="22"/>
        <v>Formular los procesos y procedimientos en el marco del MIPG</v>
      </c>
      <c r="AU64" s="443">
        <v>0</v>
      </c>
      <c r="AV64" s="938">
        <v>0</v>
      </c>
      <c r="AW64" s="930">
        <v>0</v>
      </c>
      <c r="AX64" s="1064">
        <f t="shared" si="27"/>
        <v>0</v>
      </c>
      <c r="AY64" s="1064" t="e">
        <f t="shared" si="28"/>
        <v>#DIV/0!</v>
      </c>
      <c r="AZ64" s="1064">
        <f t="shared" si="29"/>
        <v>1</v>
      </c>
      <c r="BA64" s="1064" t="e">
        <f t="shared" si="30"/>
        <v>#DIV/0!</v>
      </c>
      <c r="BB64" s="1665"/>
      <c r="BC64" s="1056">
        <v>0.25</v>
      </c>
      <c r="BD64" s="1083" t="str">
        <f t="shared" si="24"/>
        <v>Formular los procesos y procedimientos en el marco del MIPG</v>
      </c>
      <c r="BE64" s="443">
        <v>0</v>
      </c>
      <c r="BF64" s="1676">
        <v>0</v>
      </c>
      <c r="BG64" s="1077">
        <v>0</v>
      </c>
      <c r="BH64" s="1056">
        <f t="shared" si="17"/>
        <v>0</v>
      </c>
      <c r="BI64" s="1056" t="e">
        <f t="shared" si="18"/>
        <v>#DIV/0!</v>
      </c>
      <c r="BJ64" s="1056">
        <f t="shared" si="31"/>
        <v>1</v>
      </c>
      <c r="BK64" s="1056" t="e">
        <f t="shared" si="32"/>
        <v>#DIV/0!</v>
      </c>
      <c r="BL64" s="1049" t="s">
        <v>2128</v>
      </c>
      <c r="BM64" s="477">
        <f t="shared" si="4"/>
        <v>4</v>
      </c>
      <c r="BN64" s="477" t="str">
        <f t="shared" si="5"/>
        <v>No Prog ni Ejec</v>
      </c>
      <c r="BO64" s="477">
        <f t="shared" si="6"/>
        <v>0</v>
      </c>
      <c r="BP64" s="477" t="str">
        <f t="shared" si="7"/>
        <v>No Prog ni Ejec</v>
      </c>
      <c r="BQ64" s="477">
        <f t="shared" si="33"/>
        <v>0</v>
      </c>
      <c r="BR64" s="477" t="str">
        <f t="shared" si="34"/>
        <v>No Prog ni Ejec</v>
      </c>
      <c r="BS64" s="477">
        <f t="shared" si="8"/>
        <v>0</v>
      </c>
      <c r="BT64" s="828" t="str">
        <f t="shared" si="9"/>
        <v>No Prog ni Ejec</v>
      </c>
    </row>
    <row r="65" spans="1:72" s="404" customFormat="1" ht="89.25" x14ac:dyDescent="0.25">
      <c r="A65" s="1092">
        <v>11500</v>
      </c>
      <c r="B65" s="1060" t="s">
        <v>28</v>
      </c>
      <c r="C65" s="1068" t="s">
        <v>1209</v>
      </c>
      <c r="D65" s="1059" t="s">
        <v>260</v>
      </c>
      <c r="E65" s="1060" t="s">
        <v>256</v>
      </c>
      <c r="F65" s="1059" t="s">
        <v>262</v>
      </c>
      <c r="G65" s="1060" t="s">
        <v>127</v>
      </c>
      <c r="H65" s="1079" t="s">
        <v>123</v>
      </c>
      <c r="I65" s="1056">
        <v>1</v>
      </c>
      <c r="J65" s="1059" t="s">
        <v>275</v>
      </c>
      <c r="K65" s="1060" t="s">
        <v>599</v>
      </c>
      <c r="L65" s="443">
        <v>0</v>
      </c>
      <c r="M65" s="444">
        <v>1</v>
      </c>
      <c r="N65" s="1060" t="s">
        <v>51</v>
      </c>
      <c r="O65" s="1060" t="s">
        <v>68</v>
      </c>
      <c r="P65" s="1060" t="s">
        <v>21</v>
      </c>
      <c r="Q65" s="1060" t="s">
        <v>36</v>
      </c>
      <c r="R65" s="1060" t="s">
        <v>75</v>
      </c>
      <c r="S65" s="1060" t="s">
        <v>570</v>
      </c>
      <c r="T65" s="1060" t="s">
        <v>98</v>
      </c>
      <c r="U65" s="444">
        <v>1</v>
      </c>
      <c r="V65" s="1058" t="str">
        <f t="shared" si="10"/>
        <v>Remitir informe trimestral de los indicadores formulados y las acciones de mejoras</v>
      </c>
      <c r="W65" s="445">
        <f t="shared" si="11"/>
        <v>0</v>
      </c>
      <c r="X65" s="1097" t="s">
        <v>117</v>
      </c>
      <c r="Y65" s="1056">
        <v>0</v>
      </c>
      <c r="Z65" s="1083" t="str">
        <f t="shared" si="25"/>
        <v>Remitir informe trimestral de los indicadores formulados y las acciones de mejoras</v>
      </c>
      <c r="AA65" s="443">
        <v>0</v>
      </c>
      <c r="AB65" s="447">
        <v>0</v>
      </c>
      <c r="AC65" s="448">
        <v>0</v>
      </c>
      <c r="AD65" s="1064" t="e">
        <f t="shared" si="12"/>
        <v>#DIV/0!</v>
      </c>
      <c r="AE65" s="1064" t="e">
        <f t="shared" si="13"/>
        <v>#DIV/0!</v>
      </c>
      <c r="AF65" s="1064">
        <f t="shared" si="14"/>
        <v>0</v>
      </c>
      <c r="AG65" s="1064" t="e">
        <f t="shared" si="1"/>
        <v>#DIV/0!</v>
      </c>
      <c r="AH65" s="527"/>
      <c r="AI65" s="1056">
        <v>0</v>
      </c>
      <c r="AJ65" s="1083" t="str">
        <f t="shared" si="26"/>
        <v>Remitir informe trimestral de los indicadores formulados y las acciones de mejoras</v>
      </c>
      <c r="AK65" s="443">
        <v>0</v>
      </c>
      <c r="AL65" s="792">
        <v>0</v>
      </c>
      <c r="AM65" s="702">
        <v>0</v>
      </c>
      <c r="AN65" s="1064" t="e">
        <f t="shared" si="15"/>
        <v>#DIV/0!</v>
      </c>
      <c r="AO65" s="1064" t="e">
        <f t="shared" si="2"/>
        <v>#DIV/0!</v>
      </c>
      <c r="AP65" s="1064">
        <f t="shared" si="3"/>
        <v>0</v>
      </c>
      <c r="AQ65" s="1064" t="e">
        <f t="shared" si="16"/>
        <v>#DIV/0!</v>
      </c>
      <c r="AR65" s="804"/>
      <c r="AS65" s="1056">
        <v>0</v>
      </c>
      <c r="AT65" s="1083" t="str">
        <f t="shared" si="22"/>
        <v>Remitir informe trimestral de los indicadores formulados y las acciones de mejoras</v>
      </c>
      <c r="AU65" s="443">
        <v>0</v>
      </c>
      <c r="AV65" s="939">
        <f>(2/2)*AS65</f>
        <v>0</v>
      </c>
      <c r="AW65" s="930">
        <v>0</v>
      </c>
      <c r="AX65" s="1064" t="e">
        <f t="shared" si="27"/>
        <v>#DIV/0!</v>
      </c>
      <c r="AY65" s="1064" t="e">
        <f t="shared" si="28"/>
        <v>#DIV/0!</v>
      </c>
      <c r="AZ65" s="1064">
        <f t="shared" si="29"/>
        <v>0</v>
      </c>
      <c r="BA65" s="469" t="e">
        <f>+(AM65+AC65+AW65)/W65</f>
        <v>#DIV/0!</v>
      </c>
      <c r="BB65" s="1665"/>
      <c r="BC65" s="1056">
        <v>1</v>
      </c>
      <c r="BD65" s="1083" t="str">
        <f t="shared" si="24"/>
        <v>Remitir informe trimestral de los indicadores formulados y las acciones de mejoras</v>
      </c>
      <c r="BE65" s="443">
        <v>0</v>
      </c>
      <c r="BF65" s="1676">
        <f>2/2</f>
        <v>1</v>
      </c>
      <c r="BG65" s="1077">
        <v>0</v>
      </c>
      <c r="BH65" s="1056">
        <f t="shared" si="17"/>
        <v>1</v>
      </c>
      <c r="BI65" s="1056" t="e">
        <f t="shared" si="18"/>
        <v>#DIV/0!</v>
      </c>
      <c r="BJ65" s="1056">
        <f t="shared" si="31"/>
        <v>1</v>
      </c>
      <c r="BK65" s="1056" t="e">
        <f t="shared" si="32"/>
        <v>#DIV/0!</v>
      </c>
      <c r="BL65" s="1083"/>
      <c r="BM65" s="477" t="str">
        <f t="shared" si="4"/>
        <v>No Prog ni Ejec</v>
      </c>
      <c r="BN65" s="477" t="str">
        <f t="shared" si="5"/>
        <v>No Prog ni Ejec</v>
      </c>
      <c r="BO65" s="477" t="str">
        <f t="shared" si="6"/>
        <v>No Prog ni Ejec</v>
      </c>
      <c r="BP65" s="477" t="str">
        <f t="shared" si="7"/>
        <v>No Prog ni Ejec</v>
      </c>
      <c r="BQ65" s="477" t="str">
        <f t="shared" si="33"/>
        <v>No Prog ni Ejec</v>
      </c>
      <c r="BR65" s="477" t="str">
        <f t="shared" si="34"/>
        <v>No Prog ni Ejec</v>
      </c>
      <c r="BS65" s="477">
        <f t="shared" si="8"/>
        <v>1</v>
      </c>
      <c r="BT65" s="828" t="str">
        <f t="shared" si="9"/>
        <v>No Prog ni Ejec</v>
      </c>
    </row>
    <row r="66" spans="1:72" s="404" customFormat="1" ht="63.75" x14ac:dyDescent="0.25">
      <c r="A66" s="1092">
        <v>11500</v>
      </c>
      <c r="B66" s="1060" t="s">
        <v>28</v>
      </c>
      <c r="C66" s="1068" t="s">
        <v>1209</v>
      </c>
      <c r="D66" s="1059" t="s">
        <v>263</v>
      </c>
      <c r="E66" s="1060" t="s">
        <v>144</v>
      </c>
      <c r="F66" s="1059" t="s">
        <v>264</v>
      </c>
      <c r="G66" s="1060" t="s">
        <v>600</v>
      </c>
      <c r="H66" s="1079" t="s">
        <v>124</v>
      </c>
      <c r="I66" s="1059">
        <v>12</v>
      </c>
      <c r="J66" s="1059" t="s">
        <v>265</v>
      </c>
      <c r="K66" s="1060" t="s">
        <v>601</v>
      </c>
      <c r="L66" s="443">
        <v>0</v>
      </c>
      <c r="M66" s="444">
        <v>1</v>
      </c>
      <c r="N66" s="1060" t="s">
        <v>46</v>
      </c>
      <c r="O66" s="1060" t="s">
        <v>68</v>
      </c>
      <c r="P66" s="1060" t="s">
        <v>21</v>
      </c>
      <c r="Q66" s="1060" t="s">
        <v>36</v>
      </c>
      <c r="R66" s="1060" t="s">
        <v>211</v>
      </c>
      <c r="S66" s="1060" t="s">
        <v>673</v>
      </c>
      <c r="T66" s="1060" t="s">
        <v>98</v>
      </c>
      <c r="U66" s="467">
        <v>12</v>
      </c>
      <c r="V66" s="1058" t="str">
        <f t="shared" si="10"/>
        <v>Realizar el giro previo efectuados a favor de las entidades recobrantes y proveedores de servicios y tecnologías no incluidas en el PB con cargo a la UPC</v>
      </c>
      <c r="W66" s="445">
        <f>+L66</f>
        <v>0</v>
      </c>
      <c r="X66" s="1097" t="s">
        <v>117</v>
      </c>
      <c r="Y66" s="463">
        <v>3</v>
      </c>
      <c r="Z66" s="1083" t="str">
        <f t="shared" si="25"/>
        <v>Realizar el giro previo efectuados a favor de las entidades recobrantes y proveedores de servicios y tecnologías no incluidas en el PB con cargo a la UPC</v>
      </c>
      <c r="AA66" s="443">
        <v>0</v>
      </c>
      <c r="AB66" s="446">
        <v>3</v>
      </c>
      <c r="AC66" s="443">
        <v>0</v>
      </c>
      <c r="AD66" s="1064">
        <f t="shared" si="12"/>
        <v>1</v>
      </c>
      <c r="AE66" s="1064" t="e">
        <f>+(AC66/AA66)</f>
        <v>#DIV/0!</v>
      </c>
      <c r="AF66" s="1064">
        <f t="shared" si="14"/>
        <v>0.25</v>
      </c>
      <c r="AG66" s="1064" t="e">
        <f t="shared" si="1"/>
        <v>#DIV/0!</v>
      </c>
      <c r="AH66" s="527"/>
      <c r="AI66" s="463">
        <v>3</v>
      </c>
      <c r="AJ66" s="1083" t="str">
        <f t="shared" si="26"/>
        <v>Realizar el giro previo efectuados a favor de las entidades recobrantes y proveedores de servicios y tecnologías no incluidas en el PB con cargo a la UPC</v>
      </c>
      <c r="AK66" s="443">
        <v>0</v>
      </c>
      <c r="AL66" s="700">
        <v>3</v>
      </c>
      <c r="AM66" s="702">
        <v>0</v>
      </c>
      <c r="AN66" s="1064">
        <f t="shared" si="15"/>
        <v>1</v>
      </c>
      <c r="AO66" s="1064" t="e">
        <f t="shared" si="2"/>
        <v>#DIV/0!</v>
      </c>
      <c r="AP66" s="1064">
        <f t="shared" si="3"/>
        <v>0.5</v>
      </c>
      <c r="AQ66" s="1064" t="e">
        <f t="shared" si="16"/>
        <v>#DIV/0!</v>
      </c>
      <c r="AR66" s="804"/>
      <c r="AS66" s="463">
        <v>3</v>
      </c>
      <c r="AT66" s="1083" t="str">
        <f t="shared" si="22"/>
        <v>Realizar el giro previo efectuados a favor de las entidades recobrantes y proveedores de servicios y tecnologías no incluidas en el PB con cargo a la UPC</v>
      </c>
      <c r="AU66" s="443">
        <v>0</v>
      </c>
      <c r="AV66" s="929">
        <v>3</v>
      </c>
      <c r="AW66" s="930">
        <v>0</v>
      </c>
      <c r="AX66" s="1064">
        <f t="shared" si="27"/>
        <v>1</v>
      </c>
      <c r="AY66" s="1064" t="e">
        <f t="shared" si="28"/>
        <v>#DIV/0!</v>
      </c>
      <c r="AZ66" s="1064">
        <f t="shared" si="29"/>
        <v>0.75</v>
      </c>
      <c r="BA66" s="1064" t="e">
        <f t="shared" si="30"/>
        <v>#DIV/0!</v>
      </c>
      <c r="BB66" s="1665"/>
      <c r="BC66" s="463">
        <v>3</v>
      </c>
      <c r="BD66" s="1083" t="str">
        <f t="shared" si="24"/>
        <v>Realizar el giro previo efectuados a favor de las entidades recobrantes y proveedores de servicios y tecnologías no incluidas en el PB con cargo a la UPC</v>
      </c>
      <c r="BE66" s="443">
        <v>0</v>
      </c>
      <c r="BF66" s="1677">
        <v>3</v>
      </c>
      <c r="BG66" s="1077">
        <v>0</v>
      </c>
      <c r="BH66" s="1056">
        <f t="shared" si="17"/>
        <v>1</v>
      </c>
      <c r="BI66" s="1056" t="e">
        <f t="shared" si="18"/>
        <v>#DIV/0!</v>
      </c>
      <c r="BJ66" s="1056">
        <f t="shared" si="31"/>
        <v>1</v>
      </c>
      <c r="BK66" s="1056" t="e">
        <f t="shared" si="32"/>
        <v>#DIV/0!</v>
      </c>
      <c r="BL66" s="1049" t="s">
        <v>2254</v>
      </c>
      <c r="BM66" s="477">
        <f t="shared" si="4"/>
        <v>1</v>
      </c>
      <c r="BN66" s="477" t="str">
        <f t="shared" si="5"/>
        <v>No Prog ni Ejec</v>
      </c>
      <c r="BO66" s="477">
        <f t="shared" si="6"/>
        <v>1</v>
      </c>
      <c r="BP66" s="477" t="str">
        <f t="shared" si="7"/>
        <v>No Prog ni Ejec</v>
      </c>
      <c r="BQ66" s="477">
        <f t="shared" si="33"/>
        <v>1</v>
      </c>
      <c r="BR66" s="477" t="str">
        <f t="shared" si="34"/>
        <v>No Prog ni Ejec</v>
      </c>
      <c r="BS66" s="477">
        <f t="shared" si="8"/>
        <v>1</v>
      </c>
      <c r="BT66" s="828" t="str">
        <f t="shared" si="9"/>
        <v>No Prog ni Ejec</v>
      </c>
    </row>
    <row r="67" spans="1:72" s="984" customFormat="1" ht="61.5" customHeight="1" x14ac:dyDescent="0.25">
      <c r="A67" s="1256">
        <v>11500</v>
      </c>
      <c r="B67" s="1168" t="s">
        <v>28</v>
      </c>
      <c r="C67" s="1084" t="s">
        <v>1209</v>
      </c>
      <c r="D67" s="1257" t="s">
        <v>263</v>
      </c>
      <c r="E67" s="1258" t="s">
        <v>144</v>
      </c>
      <c r="F67" s="1257" t="s">
        <v>529</v>
      </c>
      <c r="G67" s="1258" t="s">
        <v>602</v>
      </c>
      <c r="H67" s="1257" t="s">
        <v>123</v>
      </c>
      <c r="I67" s="1259">
        <v>1</v>
      </c>
      <c r="J67" s="968" t="s">
        <v>530</v>
      </c>
      <c r="K67" s="1084" t="s">
        <v>999</v>
      </c>
      <c r="L67" s="967">
        <f>21280837691.9+5073987104.34+2489164923+1777974945</f>
        <v>30621964664.240002</v>
      </c>
      <c r="M67" s="969">
        <v>1</v>
      </c>
      <c r="N67" s="1168" t="s">
        <v>46</v>
      </c>
      <c r="O67" s="1168" t="s">
        <v>68</v>
      </c>
      <c r="P67" s="1168" t="s">
        <v>21</v>
      </c>
      <c r="Q67" s="1168" t="s">
        <v>36</v>
      </c>
      <c r="R67" s="1168" t="s">
        <v>211</v>
      </c>
      <c r="S67" s="1168" t="s">
        <v>674</v>
      </c>
      <c r="T67" s="1168" t="s">
        <v>98</v>
      </c>
      <c r="U67" s="969">
        <v>1</v>
      </c>
      <c r="V67" s="970" t="str">
        <f t="shared" si="10"/>
        <v>Ordenar el pago de los paquetes de recobros cuyo trámite de auditoría haya culminado, para el trámite de reconocimiento y pago por parte de ADRES (contrato en ejecución)</v>
      </c>
      <c r="W67" s="971">
        <f t="shared" si="10"/>
        <v>30621964664.240002</v>
      </c>
      <c r="X67" s="972" t="s">
        <v>114</v>
      </c>
      <c r="Y67" s="973">
        <v>0.25</v>
      </c>
      <c r="Z67" s="974" t="str">
        <f t="shared" si="25"/>
        <v>Ordenar el pago de los paquetes de recobros cuyo trámite de auditoría haya culminado, para el trámite de reconocimiento y pago por parte de ADRES (contrato en ejecución)</v>
      </c>
      <c r="AA67" s="967">
        <f>+Y67*L67</f>
        <v>7655491166.0600004</v>
      </c>
      <c r="AB67" s="975">
        <f>(4/4)*25%</f>
        <v>0.25</v>
      </c>
      <c r="AC67" s="967">
        <v>9454743813</v>
      </c>
      <c r="AD67" s="976">
        <f t="shared" si="12"/>
        <v>1</v>
      </c>
      <c r="AE67" s="976">
        <f>+(AC67/AA67)</f>
        <v>1.2350277216590413</v>
      </c>
      <c r="AF67" s="976">
        <f t="shared" si="14"/>
        <v>0.25</v>
      </c>
      <c r="AG67" s="976">
        <f t="shared" si="1"/>
        <v>0.30875693041476032</v>
      </c>
      <c r="AH67" s="1084"/>
      <c r="AI67" s="973">
        <v>0.25</v>
      </c>
      <c r="AJ67" s="974" t="str">
        <f t="shared" si="26"/>
        <v>Ordenar el pago de los paquetes de recobros cuyo trámite de auditoría haya culminado, para el trámite de reconocimiento y pago por parte de ADRES (contrato en ejecución)</v>
      </c>
      <c r="AK67" s="967">
        <v>8372291231</v>
      </c>
      <c r="AL67" s="977">
        <f>(3/3)*25%</f>
        <v>0.25</v>
      </c>
      <c r="AM67" s="978">
        <v>9222952162</v>
      </c>
      <c r="AN67" s="976">
        <f t="shared" si="15"/>
        <v>1</v>
      </c>
      <c r="AO67" s="976">
        <f t="shared" si="2"/>
        <v>1.1016043168505971</v>
      </c>
      <c r="AP67" s="976">
        <f t="shared" si="3"/>
        <v>0.5</v>
      </c>
      <c r="AQ67" s="976">
        <f t="shared" si="16"/>
        <v>0.60994440362644697</v>
      </c>
      <c r="AR67" s="979"/>
      <c r="AS67" s="973">
        <v>0.25</v>
      </c>
      <c r="AT67" s="974" t="str">
        <f t="shared" si="22"/>
        <v>Ordenar el pago de los paquetes de recobros cuyo trámite de auditoría haya culminado, para el trámite de reconocimiento y pago por parte de ADRES (contrato en ejecución)</v>
      </c>
      <c r="AU67" s="967">
        <v>7297091134</v>
      </c>
      <c r="AV67" s="980">
        <f>(2/2)*25%</f>
        <v>0.25</v>
      </c>
      <c r="AW67" s="981">
        <v>10047708802</v>
      </c>
      <c r="AX67" s="976">
        <f t="shared" si="27"/>
        <v>1</v>
      </c>
      <c r="AY67" s="976">
        <f>+(AW67/AU67)</f>
        <v>1.3769471447579704</v>
      </c>
      <c r="AZ67" s="976">
        <f t="shared" si="29"/>
        <v>0.75</v>
      </c>
      <c r="BA67" s="976">
        <f t="shared" si="30"/>
        <v>0.93806537535931578</v>
      </c>
      <c r="BB67" s="1678"/>
      <c r="BC67" s="973">
        <v>0.25</v>
      </c>
      <c r="BD67" s="974" t="str">
        <f t="shared" si="24"/>
        <v>Ordenar el pago de los paquetes de recobros cuyo trámite de auditoría haya culminado, para el trámite de reconocimiento y pago por parte de ADRES (contrato en ejecución)</v>
      </c>
      <c r="BE67" s="967">
        <v>7297091134</v>
      </c>
      <c r="BF67" s="1676">
        <f>(1/1)*25%</f>
        <v>0.25</v>
      </c>
      <c r="BG67" s="1077">
        <v>1768778384.4100001</v>
      </c>
      <c r="BH67" s="973">
        <f t="shared" si="17"/>
        <v>1</v>
      </c>
      <c r="BI67" s="973">
        <f t="shared" si="18"/>
        <v>0.24239499711995788</v>
      </c>
      <c r="BJ67" s="973">
        <f t="shared" si="31"/>
        <v>1</v>
      </c>
      <c r="BK67" s="973">
        <f t="shared" si="32"/>
        <v>0.99582712917897054</v>
      </c>
      <c r="BL67" s="974"/>
      <c r="BM67" s="982">
        <f t="shared" si="4"/>
        <v>1</v>
      </c>
      <c r="BN67" s="982">
        <f t="shared" si="5"/>
        <v>1.2350277216590413</v>
      </c>
      <c r="BO67" s="982">
        <f t="shared" si="6"/>
        <v>1</v>
      </c>
      <c r="BP67" s="982">
        <f t="shared" si="7"/>
        <v>1.1016043168505971</v>
      </c>
      <c r="BQ67" s="982">
        <f t="shared" si="33"/>
        <v>1</v>
      </c>
      <c r="BR67" s="982">
        <f t="shared" si="34"/>
        <v>1.3769471447579704</v>
      </c>
      <c r="BS67" s="982">
        <f t="shared" si="8"/>
        <v>1</v>
      </c>
      <c r="BT67" s="983">
        <f t="shared" si="9"/>
        <v>0.24239499711995788</v>
      </c>
    </row>
    <row r="68" spans="1:72" s="404" customFormat="1" ht="76.5" x14ac:dyDescent="0.25">
      <c r="A68" s="1255"/>
      <c r="B68" s="1151"/>
      <c r="C68" s="1068" t="s">
        <v>1209</v>
      </c>
      <c r="D68" s="1156"/>
      <c r="E68" s="1218"/>
      <c r="F68" s="1156"/>
      <c r="G68" s="1218"/>
      <c r="H68" s="1156"/>
      <c r="I68" s="1148"/>
      <c r="J68" s="1059" t="s">
        <v>928</v>
      </c>
      <c r="K68" s="1060" t="s">
        <v>1000</v>
      </c>
      <c r="L68" s="443">
        <f>33371192463-2489164923</f>
        <v>30882027540</v>
      </c>
      <c r="M68" s="444">
        <v>1</v>
      </c>
      <c r="N68" s="1151"/>
      <c r="O68" s="1151"/>
      <c r="P68" s="1151"/>
      <c r="Q68" s="1151"/>
      <c r="R68" s="1151"/>
      <c r="S68" s="1151"/>
      <c r="T68" s="1151"/>
      <c r="U68" s="444">
        <v>1</v>
      </c>
      <c r="V68" s="1058" t="str">
        <f>+K68</f>
        <v>Ordenar el pago de los paquetes de recobros cuyo trámite de auditoría haya culminado, para el trámite de reconocimiento y pago por parte de ADRES (contrato de auditoria a adjudicar)</v>
      </c>
      <c r="W68" s="445">
        <f t="shared" si="10"/>
        <v>30882027540</v>
      </c>
      <c r="X68" s="493" t="s">
        <v>114</v>
      </c>
      <c r="Y68" s="1056">
        <v>0</v>
      </c>
      <c r="Z68" s="1083" t="str">
        <f t="shared" si="25"/>
        <v>Ordenar el pago de los paquetes de recobros cuyo trámite de auditoría haya culminado, para el trámite de reconocimiento y pago por parte de ADRES (contrato de auditoria a adjudicar)</v>
      </c>
      <c r="AA68" s="443">
        <v>0</v>
      </c>
      <c r="AB68" s="447">
        <v>0</v>
      </c>
      <c r="AC68" s="443">
        <v>0</v>
      </c>
      <c r="AD68" s="1064" t="e">
        <f t="shared" si="12"/>
        <v>#DIV/0!</v>
      </c>
      <c r="AE68" s="1064" t="e">
        <f>+(AC68/AA68)</f>
        <v>#DIV/0!</v>
      </c>
      <c r="AF68" s="1064">
        <f t="shared" si="14"/>
        <v>0</v>
      </c>
      <c r="AG68" s="1064">
        <f t="shared" si="1"/>
        <v>0</v>
      </c>
      <c r="AH68" s="1060"/>
      <c r="AI68" s="1056">
        <v>0</v>
      </c>
      <c r="AJ68" s="1083" t="str">
        <f t="shared" si="26"/>
        <v>Ordenar el pago de los paquetes de recobros cuyo trámite de auditoría haya culminado, para el trámite de reconocimiento y pago por parte de ADRES (contrato de auditoria a adjudicar)</v>
      </c>
      <c r="AK68" s="443">
        <v>0</v>
      </c>
      <c r="AL68" s="478">
        <v>0</v>
      </c>
      <c r="AM68" s="443">
        <v>0</v>
      </c>
      <c r="AN68" s="1064" t="e">
        <f t="shared" si="15"/>
        <v>#DIV/0!</v>
      </c>
      <c r="AO68" s="1064" t="e">
        <f t="shared" si="2"/>
        <v>#DIV/0!</v>
      </c>
      <c r="AP68" s="1064">
        <f t="shared" si="3"/>
        <v>0</v>
      </c>
      <c r="AQ68" s="1064">
        <f t="shared" si="16"/>
        <v>0</v>
      </c>
      <c r="AR68" s="527"/>
      <c r="AS68" s="1056">
        <v>0</v>
      </c>
      <c r="AT68" s="1083" t="str">
        <f t="shared" si="22"/>
        <v>Ordenar el pago de los paquetes de recobros cuyo trámite de auditoría haya culminado, para el trámite de reconocimiento y pago por parte de ADRES (contrato de auditoria a adjudicar)</v>
      </c>
      <c r="AU68" s="443">
        <v>0</v>
      </c>
      <c r="AV68" s="938">
        <v>0</v>
      </c>
      <c r="AW68" s="930">
        <v>0</v>
      </c>
      <c r="AX68" s="1064" t="e">
        <f t="shared" si="27"/>
        <v>#DIV/0!</v>
      </c>
      <c r="AY68" s="1064" t="e">
        <f t="shared" si="28"/>
        <v>#DIV/0!</v>
      </c>
      <c r="AZ68" s="1064">
        <f t="shared" si="29"/>
        <v>0</v>
      </c>
      <c r="BA68" s="1064">
        <f t="shared" si="30"/>
        <v>0</v>
      </c>
      <c r="BB68" s="1665" t="s">
        <v>1951</v>
      </c>
      <c r="BC68" s="1056">
        <v>1</v>
      </c>
      <c r="BD68" s="1083" t="str">
        <f t="shared" si="24"/>
        <v>Ordenar el pago de los paquetes de recobros cuyo trámite de auditoría haya culminado, para el trámite de reconocimiento y pago por parte de ADRES (contrato de auditoria a adjudicar)</v>
      </c>
      <c r="BE68" s="443">
        <f>+W68</f>
        <v>30882027540</v>
      </c>
      <c r="BF68" s="1676">
        <v>0</v>
      </c>
      <c r="BG68" s="1077">
        <v>0</v>
      </c>
      <c r="BH68" s="1056">
        <f t="shared" si="17"/>
        <v>0</v>
      </c>
      <c r="BI68" s="1056">
        <f t="shared" si="18"/>
        <v>0</v>
      </c>
      <c r="BJ68" s="1056">
        <f t="shared" si="31"/>
        <v>0</v>
      </c>
      <c r="BK68" s="1056">
        <f t="shared" si="32"/>
        <v>0</v>
      </c>
      <c r="BL68" s="1083"/>
      <c r="BM68" s="477" t="str">
        <f t="shared" si="4"/>
        <v>No Prog ni Ejec</v>
      </c>
      <c r="BN68" s="477" t="str">
        <f t="shared" si="5"/>
        <v>No Prog ni Ejec</v>
      </c>
      <c r="BO68" s="477" t="str">
        <f t="shared" si="6"/>
        <v>No Prog ni Ejec</v>
      </c>
      <c r="BP68" s="477" t="str">
        <f t="shared" si="7"/>
        <v>No Prog ni Ejec</v>
      </c>
      <c r="BQ68" s="477" t="str">
        <f t="shared" si="33"/>
        <v>No Prog ni Ejec</v>
      </c>
      <c r="BR68" s="477" t="str">
        <f t="shared" si="34"/>
        <v>No Prog ni Ejec</v>
      </c>
      <c r="BS68" s="477">
        <f t="shared" si="8"/>
        <v>0</v>
      </c>
      <c r="BT68" s="828">
        <f t="shared" si="9"/>
        <v>0</v>
      </c>
    </row>
    <row r="69" spans="1:72" s="404" customFormat="1" ht="63.75" x14ac:dyDescent="0.25">
      <c r="A69" s="1092">
        <v>11500</v>
      </c>
      <c r="B69" s="1060" t="s">
        <v>28</v>
      </c>
      <c r="C69" s="1068" t="s">
        <v>1209</v>
      </c>
      <c r="D69" s="1059" t="s">
        <v>263</v>
      </c>
      <c r="E69" s="1060" t="s">
        <v>144</v>
      </c>
      <c r="F69" s="1059" t="s">
        <v>531</v>
      </c>
      <c r="G69" s="1060" t="s">
        <v>604</v>
      </c>
      <c r="H69" s="1079" t="s">
        <v>124</v>
      </c>
      <c r="I69" s="470">
        <v>12</v>
      </c>
      <c r="J69" s="1059" t="s">
        <v>532</v>
      </c>
      <c r="K69" s="1060" t="s">
        <v>606</v>
      </c>
      <c r="L69" s="443">
        <v>0</v>
      </c>
      <c r="M69" s="444">
        <v>1</v>
      </c>
      <c r="N69" s="1060" t="s">
        <v>46</v>
      </c>
      <c r="O69" s="1060" t="s">
        <v>68</v>
      </c>
      <c r="P69" s="1060" t="s">
        <v>21</v>
      </c>
      <c r="Q69" s="1060" t="s">
        <v>36</v>
      </c>
      <c r="R69" s="1060" t="s">
        <v>211</v>
      </c>
      <c r="S69" s="1060" t="s">
        <v>675</v>
      </c>
      <c r="T69" s="1060" t="s">
        <v>98</v>
      </c>
      <c r="U69" s="467">
        <v>12</v>
      </c>
      <c r="V69" s="1058" t="str">
        <f t="shared" si="10"/>
        <v>Publicación del Giro Directo del giro previo</v>
      </c>
      <c r="W69" s="445">
        <f t="shared" si="11"/>
        <v>0</v>
      </c>
      <c r="X69" s="1097" t="s">
        <v>117</v>
      </c>
      <c r="Y69" s="463">
        <v>3</v>
      </c>
      <c r="Z69" s="1083" t="str">
        <f t="shared" si="25"/>
        <v>Publicación del Giro Directo del giro previo</v>
      </c>
      <c r="AA69" s="443">
        <v>0</v>
      </c>
      <c r="AB69" s="446">
        <v>1</v>
      </c>
      <c r="AC69" s="448">
        <v>0</v>
      </c>
      <c r="AD69" s="1064">
        <f t="shared" si="12"/>
        <v>0.33333333333333331</v>
      </c>
      <c r="AE69" s="1064" t="e">
        <f t="shared" si="13"/>
        <v>#DIV/0!</v>
      </c>
      <c r="AF69" s="1064">
        <f t="shared" si="14"/>
        <v>8.3333333333333329E-2</v>
      </c>
      <c r="AG69" s="1064" t="e">
        <f t="shared" si="1"/>
        <v>#DIV/0!</v>
      </c>
      <c r="AH69" s="527"/>
      <c r="AI69" s="463">
        <v>3</v>
      </c>
      <c r="AJ69" s="1083" t="str">
        <f t="shared" si="26"/>
        <v>Publicación del Giro Directo del giro previo</v>
      </c>
      <c r="AK69" s="443">
        <v>0</v>
      </c>
      <c r="AL69" s="700">
        <v>5</v>
      </c>
      <c r="AM69" s="529">
        <v>0</v>
      </c>
      <c r="AN69" s="1064">
        <f t="shared" si="15"/>
        <v>1.6666666666666667</v>
      </c>
      <c r="AO69" s="1064" t="e">
        <f t="shared" si="2"/>
        <v>#DIV/0!</v>
      </c>
      <c r="AP69" s="1064">
        <f t="shared" si="3"/>
        <v>0.5</v>
      </c>
      <c r="AQ69" s="1064" t="e">
        <f t="shared" si="16"/>
        <v>#DIV/0!</v>
      </c>
      <c r="AR69" s="527"/>
      <c r="AS69" s="463">
        <v>3</v>
      </c>
      <c r="AT69" s="1083" t="str">
        <f t="shared" si="22"/>
        <v>Publicación del Giro Directo del giro previo</v>
      </c>
      <c r="AU69" s="443">
        <v>0</v>
      </c>
      <c r="AV69" s="929">
        <v>3</v>
      </c>
      <c r="AW69" s="930">
        <v>0</v>
      </c>
      <c r="AX69" s="1064">
        <f t="shared" si="27"/>
        <v>1</v>
      </c>
      <c r="AY69" s="1064" t="e">
        <f t="shared" si="28"/>
        <v>#DIV/0!</v>
      </c>
      <c r="AZ69" s="1064">
        <f t="shared" si="29"/>
        <v>0.75</v>
      </c>
      <c r="BA69" s="1064" t="e">
        <f t="shared" si="30"/>
        <v>#DIV/0!</v>
      </c>
      <c r="BB69" s="1665"/>
      <c r="BC69" s="463">
        <v>3</v>
      </c>
      <c r="BD69" s="1083" t="str">
        <f t="shared" si="24"/>
        <v>Publicación del Giro Directo del giro previo</v>
      </c>
      <c r="BE69" s="443">
        <v>0</v>
      </c>
      <c r="BF69" s="1674">
        <v>3</v>
      </c>
      <c r="BG69" s="1077">
        <v>0</v>
      </c>
      <c r="BH69" s="1056">
        <f t="shared" si="17"/>
        <v>1</v>
      </c>
      <c r="BI69" s="1056" t="e">
        <f t="shared" si="18"/>
        <v>#DIV/0!</v>
      </c>
      <c r="BJ69" s="1056">
        <f t="shared" si="31"/>
        <v>1</v>
      </c>
      <c r="BK69" s="1056" t="e">
        <f t="shared" si="32"/>
        <v>#DIV/0!</v>
      </c>
      <c r="BL69" s="1049" t="s">
        <v>2255</v>
      </c>
      <c r="BM69" s="477">
        <f t="shared" si="4"/>
        <v>0.33333333333333331</v>
      </c>
      <c r="BN69" s="477" t="str">
        <f t="shared" si="5"/>
        <v>No Prog ni Ejec</v>
      </c>
      <c r="BO69" s="477">
        <f t="shared" si="6"/>
        <v>1.6666666666666667</v>
      </c>
      <c r="BP69" s="477" t="str">
        <f t="shared" si="7"/>
        <v>No Prog ni Ejec</v>
      </c>
      <c r="BQ69" s="477">
        <f t="shared" si="33"/>
        <v>1</v>
      </c>
      <c r="BR69" s="477" t="str">
        <f t="shared" si="34"/>
        <v>No Prog ni Ejec</v>
      </c>
      <c r="BS69" s="477">
        <f t="shared" si="8"/>
        <v>1</v>
      </c>
      <c r="BT69" s="828" t="str">
        <f t="shared" si="9"/>
        <v>No Prog ni Ejec</v>
      </c>
    </row>
    <row r="70" spans="1:72" s="404" customFormat="1" ht="63.75" x14ac:dyDescent="0.25">
      <c r="A70" s="1092">
        <v>11500</v>
      </c>
      <c r="B70" s="1060" t="s">
        <v>28</v>
      </c>
      <c r="C70" s="1068" t="s">
        <v>1209</v>
      </c>
      <c r="D70" s="1059" t="s">
        <v>263</v>
      </c>
      <c r="E70" s="1060" t="s">
        <v>144</v>
      </c>
      <c r="F70" s="1059" t="s">
        <v>533</v>
      </c>
      <c r="G70" s="1060" t="s">
        <v>607</v>
      </c>
      <c r="H70" s="1079" t="s">
        <v>123</v>
      </c>
      <c r="I70" s="1056">
        <v>1</v>
      </c>
      <c r="J70" s="1059" t="s">
        <v>534</v>
      </c>
      <c r="K70" s="1060" t="s">
        <v>758</v>
      </c>
      <c r="L70" s="443">
        <v>0</v>
      </c>
      <c r="M70" s="444">
        <v>1</v>
      </c>
      <c r="N70" s="1060" t="s">
        <v>46</v>
      </c>
      <c r="O70" s="1060" t="s">
        <v>68</v>
      </c>
      <c r="P70" s="1060" t="s">
        <v>21</v>
      </c>
      <c r="Q70" s="1060" t="s">
        <v>36</v>
      </c>
      <c r="R70" s="1060" t="s">
        <v>211</v>
      </c>
      <c r="S70" s="1060" t="s">
        <v>622</v>
      </c>
      <c r="T70" s="1060" t="s">
        <v>98</v>
      </c>
      <c r="U70" s="444">
        <v>1</v>
      </c>
      <c r="V70" s="1058" t="str">
        <f t="shared" si="10"/>
        <v>Realizar informes de supervisión en el período</v>
      </c>
      <c r="W70" s="445">
        <f t="shared" si="11"/>
        <v>0</v>
      </c>
      <c r="X70" s="1097" t="s">
        <v>117</v>
      </c>
      <c r="Y70" s="1056">
        <v>0.25</v>
      </c>
      <c r="Z70" s="1083" t="str">
        <f t="shared" si="25"/>
        <v>Realizar informes de supervisión en el período</v>
      </c>
      <c r="AA70" s="443">
        <v>0</v>
      </c>
      <c r="AB70" s="447">
        <f>(1/1)*25%</f>
        <v>0.25</v>
      </c>
      <c r="AC70" s="448">
        <v>0</v>
      </c>
      <c r="AD70" s="1064">
        <f t="shared" si="12"/>
        <v>1</v>
      </c>
      <c r="AE70" s="1064" t="e">
        <f t="shared" si="13"/>
        <v>#DIV/0!</v>
      </c>
      <c r="AF70" s="1064">
        <f t="shared" si="14"/>
        <v>0.25</v>
      </c>
      <c r="AG70" s="1064" t="e">
        <f t="shared" si="1"/>
        <v>#DIV/0!</v>
      </c>
      <c r="AH70" s="527"/>
      <c r="AI70" s="1056">
        <v>0.25</v>
      </c>
      <c r="AJ70" s="1083" t="str">
        <f t="shared" si="26"/>
        <v>Realizar informes de supervisión en el período</v>
      </c>
      <c r="AK70" s="443">
        <v>0</v>
      </c>
      <c r="AL70" s="792">
        <f>(1/1)*AI70</f>
        <v>0.25</v>
      </c>
      <c r="AM70" s="529">
        <v>0</v>
      </c>
      <c r="AN70" s="1064">
        <f t="shared" si="15"/>
        <v>1</v>
      </c>
      <c r="AO70" s="1064" t="e">
        <f t="shared" si="2"/>
        <v>#DIV/0!</v>
      </c>
      <c r="AP70" s="1064">
        <f t="shared" si="3"/>
        <v>0.5</v>
      </c>
      <c r="AQ70" s="1064" t="e">
        <f t="shared" si="16"/>
        <v>#DIV/0!</v>
      </c>
      <c r="AR70" s="527"/>
      <c r="AS70" s="1056">
        <v>0.25</v>
      </c>
      <c r="AT70" s="1083" t="str">
        <f t="shared" si="22"/>
        <v>Realizar informes de supervisión en el período</v>
      </c>
      <c r="AU70" s="443">
        <v>0</v>
      </c>
      <c r="AV70" s="932">
        <f>(1/1)*25%</f>
        <v>0.25</v>
      </c>
      <c r="AW70" s="930">
        <v>0</v>
      </c>
      <c r="AX70" s="1064">
        <f t="shared" si="27"/>
        <v>1</v>
      </c>
      <c r="AY70" s="1064" t="e">
        <f t="shared" si="28"/>
        <v>#DIV/0!</v>
      </c>
      <c r="AZ70" s="1064">
        <f t="shared" si="29"/>
        <v>0.75</v>
      </c>
      <c r="BA70" s="1064" t="e">
        <f t="shared" si="30"/>
        <v>#DIV/0!</v>
      </c>
      <c r="BB70" s="1665"/>
      <c r="BC70" s="1056">
        <v>0.25</v>
      </c>
      <c r="BD70" s="1083" t="str">
        <f t="shared" si="24"/>
        <v>Realizar informes de supervisión en el período</v>
      </c>
      <c r="BE70" s="443">
        <v>0</v>
      </c>
      <c r="BF70" s="1088">
        <f>(1/1)*25%</f>
        <v>0.25</v>
      </c>
      <c r="BG70" s="1077">
        <v>0</v>
      </c>
      <c r="BH70" s="1056">
        <f t="shared" si="17"/>
        <v>1</v>
      </c>
      <c r="BI70" s="1056" t="e">
        <f t="shared" si="18"/>
        <v>#DIV/0!</v>
      </c>
      <c r="BJ70" s="1056">
        <f t="shared" si="31"/>
        <v>1</v>
      </c>
      <c r="BK70" s="1056" t="e">
        <f t="shared" si="32"/>
        <v>#DIV/0!</v>
      </c>
      <c r="BL70" s="1083"/>
      <c r="BM70" s="477">
        <f t="shared" si="4"/>
        <v>1</v>
      </c>
      <c r="BN70" s="477" t="str">
        <f t="shared" si="5"/>
        <v>No Prog ni Ejec</v>
      </c>
      <c r="BO70" s="477">
        <f t="shared" si="6"/>
        <v>1</v>
      </c>
      <c r="BP70" s="477" t="str">
        <f t="shared" si="7"/>
        <v>No Prog ni Ejec</v>
      </c>
      <c r="BQ70" s="477">
        <f t="shared" si="33"/>
        <v>1</v>
      </c>
      <c r="BR70" s="477" t="str">
        <f t="shared" si="34"/>
        <v>No Prog ni Ejec</v>
      </c>
      <c r="BS70" s="477">
        <f t="shared" si="8"/>
        <v>1</v>
      </c>
      <c r="BT70" s="828" t="str">
        <f t="shared" si="9"/>
        <v>No Prog ni Ejec</v>
      </c>
    </row>
    <row r="71" spans="1:72" s="404" customFormat="1" ht="76.5" x14ac:dyDescent="0.25">
      <c r="A71" s="1092">
        <v>11500</v>
      </c>
      <c r="B71" s="1060" t="s">
        <v>28</v>
      </c>
      <c r="C71" s="1068" t="s">
        <v>1209</v>
      </c>
      <c r="D71" s="1059" t="s">
        <v>263</v>
      </c>
      <c r="E71" s="1060" t="s">
        <v>144</v>
      </c>
      <c r="F71" s="1059" t="s">
        <v>535</v>
      </c>
      <c r="G71" s="1060" t="s">
        <v>609</v>
      </c>
      <c r="H71" s="1079" t="s">
        <v>384</v>
      </c>
      <c r="I71" s="470">
        <v>4</v>
      </c>
      <c r="J71" s="1059" t="s">
        <v>536</v>
      </c>
      <c r="K71" s="1060" t="s">
        <v>610</v>
      </c>
      <c r="L71" s="443">
        <v>0</v>
      </c>
      <c r="M71" s="444">
        <v>1</v>
      </c>
      <c r="N71" s="1060" t="s">
        <v>46</v>
      </c>
      <c r="O71" s="1060" t="s">
        <v>68</v>
      </c>
      <c r="P71" s="1060" t="s">
        <v>21</v>
      </c>
      <c r="Q71" s="1060" t="s">
        <v>36</v>
      </c>
      <c r="R71" s="1060" t="s">
        <v>211</v>
      </c>
      <c r="S71" s="1060" t="s">
        <v>623</v>
      </c>
      <c r="T71" s="1060" t="s">
        <v>98</v>
      </c>
      <c r="U71" s="467">
        <v>4</v>
      </c>
      <c r="V71" s="1058" t="str">
        <f t="shared" si="10"/>
        <v xml:space="preserve">Realizar boletines con resultados del proceso de reconocimiento y pago de recobros por concepto de servicios y tecnologías no cubiertos por el plan de beneficios con cargo a la UPC </v>
      </c>
      <c r="W71" s="445">
        <f t="shared" si="11"/>
        <v>0</v>
      </c>
      <c r="X71" s="1097" t="s">
        <v>117</v>
      </c>
      <c r="Y71" s="463">
        <v>1</v>
      </c>
      <c r="Z71" s="1083" t="str">
        <f t="shared" si="25"/>
        <v xml:space="preserve">Realizar boletines con resultados del proceso de reconocimiento y pago de recobros por concepto de servicios y tecnologías no cubiertos por el plan de beneficios con cargo a la UPC </v>
      </c>
      <c r="AA71" s="443">
        <v>0</v>
      </c>
      <c r="AB71" s="446">
        <v>1</v>
      </c>
      <c r="AC71" s="448">
        <v>0</v>
      </c>
      <c r="AD71" s="1064">
        <f t="shared" si="12"/>
        <v>1</v>
      </c>
      <c r="AE71" s="1064" t="e">
        <f t="shared" si="13"/>
        <v>#DIV/0!</v>
      </c>
      <c r="AF71" s="1064">
        <f t="shared" si="14"/>
        <v>0.25</v>
      </c>
      <c r="AG71" s="1064" t="e">
        <f t="shared" si="1"/>
        <v>#DIV/0!</v>
      </c>
      <c r="AH71" s="527"/>
      <c r="AI71" s="463">
        <v>1</v>
      </c>
      <c r="AJ71" s="1083" t="str">
        <f t="shared" si="26"/>
        <v xml:space="preserve">Realizar boletines con resultados del proceso de reconocimiento y pago de recobros por concepto de servicios y tecnologías no cubiertos por el plan de beneficios con cargo a la UPC </v>
      </c>
      <c r="AK71" s="443">
        <v>0</v>
      </c>
      <c r="AL71" s="700">
        <v>1</v>
      </c>
      <c r="AM71" s="529">
        <v>0</v>
      </c>
      <c r="AN71" s="1064">
        <f t="shared" si="15"/>
        <v>1</v>
      </c>
      <c r="AO71" s="1064" t="e">
        <f t="shared" si="2"/>
        <v>#DIV/0!</v>
      </c>
      <c r="AP71" s="1064">
        <f t="shared" si="3"/>
        <v>0.5</v>
      </c>
      <c r="AQ71" s="1064" t="e">
        <f t="shared" si="16"/>
        <v>#DIV/0!</v>
      </c>
      <c r="AR71" s="527"/>
      <c r="AS71" s="463">
        <v>1</v>
      </c>
      <c r="AT71" s="1083" t="str">
        <f t="shared" si="22"/>
        <v xml:space="preserve">Realizar boletines con resultados del proceso de reconocimiento y pago de recobros por concepto de servicios y tecnologías no cubiertos por el plan de beneficios con cargo a la UPC </v>
      </c>
      <c r="AU71" s="443">
        <v>0</v>
      </c>
      <c r="AV71" s="929">
        <v>1</v>
      </c>
      <c r="AW71" s="930">
        <v>0</v>
      </c>
      <c r="AX71" s="1064">
        <f t="shared" si="27"/>
        <v>1</v>
      </c>
      <c r="AY71" s="1064" t="e">
        <f t="shared" si="28"/>
        <v>#DIV/0!</v>
      </c>
      <c r="AZ71" s="1064">
        <f t="shared" si="29"/>
        <v>0.75</v>
      </c>
      <c r="BA71" s="1064" t="e">
        <f t="shared" si="30"/>
        <v>#DIV/0!</v>
      </c>
      <c r="BB71" s="1665"/>
      <c r="BC71" s="463">
        <v>1</v>
      </c>
      <c r="BD71" s="1083" t="str">
        <f t="shared" si="24"/>
        <v xml:space="preserve">Realizar boletines con resultados del proceso de reconocimiento y pago de recobros por concepto de servicios y tecnologías no cubiertos por el plan de beneficios con cargo a la UPC </v>
      </c>
      <c r="BE71" s="443">
        <v>0</v>
      </c>
      <c r="BF71" s="1666">
        <v>1</v>
      </c>
      <c r="BG71" s="1077">
        <v>0</v>
      </c>
      <c r="BH71" s="1056">
        <f t="shared" si="17"/>
        <v>1</v>
      </c>
      <c r="BI71" s="1056" t="e">
        <f t="shared" si="18"/>
        <v>#DIV/0!</v>
      </c>
      <c r="BJ71" s="1056">
        <f t="shared" si="31"/>
        <v>1</v>
      </c>
      <c r="BK71" s="1056" t="e">
        <f t="shared" si="32"/>
        <v>#DIV/0!</v>
      </c>
      <c r="BL71" s="1083"/>
      <c r="BM71" s="477">
        <f t="shared" si="4"/>
        <v>1</v>
      </c>
      <c r="BN71" s="477" t="str">
        <f t="shared" si="5"/>
        <v>No Prog ni Ejec</v>
      </c>
      <c r="BO71" s="477">
        <f t="shared" si="6"/>
        <v>1</v>
      </c>
      <c r="BP71" s="477" t="str">
        <f t="shared" si="7"/>
        <v>No Prog ni Ejec</v>
      </c>
      <c r="BQ71" s="477">
        <f t="shared" si="33"/>
        <v>1</v>
      </c>
      <c r="BR71" s="477" t="str">
        <f t="shared" si="34"/>
        <v>No Prog ni Ejec</v>
      </c>
      <c r="BS71" s="477">
        <f t="shared" si="8"/>
        <v>1</v>
      </c>
      <c r="BT71" s="828" t="str">
        <f t="shared" si="9"/>
        <v>No Prog ni Ejec</v>
      </c>
    </row>
    <row r="72" spans="1:72" s="404" customFormat="1" ht="63.75" x14ac:dyDescent="0.25">
      <c r="A72" s="1092">
        <v>11500</v>
      </c>
      <c r="B72" s="1060" t="s">
        <v>28</v>
      </c>
      <c r="C72" s="1068" t="s">
        <v>1209</v>
      </c>
      <c r="D72" s="1059" t="s">
        <v>611</v>
      </c>
      <c r="E72" s="1060" t="s">
        <v>146</v>
      </c>
      <c r="F72" s="1059" t="s">
        <v>537</v>
      </c>
      <c r="G72" s="1060" t="s">
        <v>612</v>
      </c>
      <c r="H72" s="1079" t="s">
        <v>123</v>
      </c>
      <c r="I72" s="1056">
        <v>1</v>
      </c>
      <c r="J72" s="1059" t="s">
        <v>538</v>
      </c>
      <c r="K72" s="1060" t="s">
        <v>613</v>
      </c>
      <c r="L72" s="443">
        <v>244800000</v>
      </c>
      <c r="M72" s="1056">
        <v>1</v>
      </c>
      <c r="N72" s="1060" t="s">
        <v>46</v>
      </c>
      <c r="O72" s="1060" t="s">
        <v>68</v>
      </c>
      <c r="P72" s="1060" t="s">
        <v>21</v>
      </c>
      <c r="Q72" s="1060" t="s">
        <v>36</v>
      </c>
      <c r="R72" s="1060" t="s">
        <v>211</v>
      </c>
      <c r="S72" s="1060" t="s">
        <v>759</v>
      </c>
      <c r="T72" s="1060" t="s">
        <v>98</v>
      </c>
      <c r="U72" s="444">
        <v>1</v>
      </c>
      <c r="V72" s="1058" t="str">
        <f t="shared" si="10"/>
        <v>Entregar apoyos técnicos a la OAJ en recobros y reclamaciones una vez son resueltos por la Dirección de Tecnología de la Información</v>
      </c>
      <c r="W72" s="445">
        <f t="shared" si="11"/>
        <v>244800000</v>
      </c>
      <c r="X72" s="1097" t="s">
        <v>114</v>
      </c>
      <c r="Y72" s="1056">
        <v>0.25</v>
      </c>
      <c r="Z72" s="1083" t="str">
        <f t="shared" si="25"/>
        <v>Entregar apoyos técnicos a la OAJ en recobros y reclamaciones una vez son resueltos por la Dirección de Tecnología de la Información</v>
      </c>
      <c r="AA72" s="443">
        <f>+W72*Y72</f>
        <v>61200000</v>
      </c>
      <c r="AB72" s="447">
        <f>(266/266)*25%</f>
        <v>0.25</v>
      </c>
      <c r="AC72" s="448">
        <v>12784000</v>
      </c>
      <c r="AD72" s="1064">
        <f t="shared" si="12"/>
        <v>1</v>
      </c>
      <c r="AE72" s="1064">
        <f t="shared" si="13"/>
        <v>0.2088888888888889</v>
      </c>
      <c r="AF72" s="1064">
        <f t="shared" si="14"/>
        <v>0.25</v>
      </c>
      <c r="AG72" s="1064">
        <f t="shared" si="1"/>
        <v>5.2222222222222225E-2</v>
      </c>
      <c r="AH72" s="527"/>
      <c r="AI72" s="1056">
        <v>0.25</v>
      </c>
      <c r="AJ72" s="1083" t="str">
        <f t="shared" si="26"/>
        <v>Entregar apoyos técnicos a la OAJ en recobros y reclamaciones una vez son resueltos por la Dirección de Tecnología de la Información</v>
      </c>
      <c r="AK72" s="443">
        <v>61200000</v>
      </c>
      <c r="AL72" s="802">
        <f>(227/227)*25%</f>
        <v>0.25</v>
      </c>
      <c r="AM72" s="805">
        <v>24480000</v>
      </c>
      <c r="AN72" s="1064">
        <f t="shared" si="15"/>
        <v>1</v>
      </c>
      <c r="AO72" s="1064">
        <f t="shared" si="2"/>
        <v>0.4</v>
      </c>
      <c r="AP72" s="1064">
        <f t="shared" si="3"/>
        <v>0.5</v>
      </c>
      <c r="AQ72" s="1064">
        <f t="shared" si="16"/>
        <v>0.15222222222222223</v>
      </c>
      <c r="AR72" s="527"/>
      <c r="AS72" s="1056">
        <v>0.25</v>
      </c>
      <c r="AT72" s="1083" t="str">
        <f t="shared" si="22"/>
        <v>Entregar apoyos técnicos a la OAJ en recobros y reclamaciones una vez son resueltos por la Dirección de Tecnología de la Información</v>
      </c>
      <c r="AU72" s="443">
        <v>61200000</v>
      </c>
      <c r="AV72" s="932">
        <f>226/226*25%</f>
        <v>0.25</v>
      </c>
      <c r="AW72" s="443">
        <v>24480000</v>
      </c>
      <c r="AX72" s="1064">
        <f t="shared" si="27"/>
        <v>1</v>
      </c>
      <c r="AY72" s="1064">
        <f>+(AW72/AU72)</f>
        <v>0.4</v>
      </c>
      <c r="AZ72" s="1064">
        <f t="shared" si="29"/>
        <v>0.75</v>
      </c>
      <c r="BA72" s="1064">
        <f>+(AM72+AC72+AW72)/W72</f>
        <v>0.25222222222222224</v>
      </c>
      <c r="BB72" s="1665"/>
      <c r="BC72" s="1056">
        <v>0.25</v>
      </c>
      <c r="BD72" s="1083" t="str">
        <f t="shared" si="24"/>
        <v>Entregar apoyos técnicos a la OAJ en recobros y reclamaciones una vez son resueltos por la Dirección de Tecnología de la Información</v>
      </c>
      <c r="BE72" s="443">
        <v>61200000</v>
      </c>
      <c r="BF72" s="1088">
        <f>(217/217)*25%</f>
        <v>0.25</v>
      </c>
      <c r="BG72" s="1679">
        <v>24480000</v>
      </c>
      <c r="BH72" s="1056">
        <f t="shared" si="17"/>
        <v>1</v>
      </c>
      <c r="BI72" s="1056">
        <f t="shared" si="18"/>
        <v>0.4</v>
      </c>
      <c r="BJ72" s="1056">
        <f t="shared" si="31"/>
        <v>1</v>
      </c>
      <c r="BK72" s="1056">
        <f t="shared" si="32"/>
        <v>0.35222222222222221</v>
      </c>
      <c r="BL72" s="1083"/>
      <c r="BM72" s="477">
        <f t="shared" si="4"/>
        <v>1</v>
      </c>
      <c r="BN72" s="477">
        <f t="shared" si="5"/>
        <v>0.2088888888888889</v>
      </c>
      <c r="BO72" s="477">
        <f t="shared" si="6"/>
        <v>1</v>
      </c>
      <c r="BP72" s="477">
        <f t="shared" si="7"/>
        <v>0.4</v>
      </c>
      <c r="BQ72" s="477">
        <f t="shared" si="33"/>
        <v>1</v>
      </c>
      <c r="BR72" s="477">
        <f t="shared" si="34"/>
        <v>0.4</v>
      </c>
      <c r="BS72" s="477">
        <f t="shared" si="8"/>
        <v>1</v>
      </c>
      <c r="BT72" s="828">
        <f t="shared" si="9"/>
        <v>0.4</v>
      </c>
    </row>
    <row r="73" spans="1:72" s="404" customFormat="1" ht="63.75" x14ac:dyDescent="0.25">
      <c r="A73" s="1092">
        <v>11500</v>
      </c>
      <c r="B73" s="1060" t="s">
        <v>28</v>
      </c>
      <c r="C73" s="1068" t="s">
        <v>1209</v>
      </c>
      <c r="D73" s="1059" t="s">
        <v>263</v>
      </c>
      <c r="E73" s="1060" t="s">
        <v>144</v>
      </c>
      <c r="F73" s="1059" t="s">
        <v>618</v>
      </c>
      <c r="G73" s="1060" t="s">
        <v>614</v>
      </c>
      <c r="H73" s="1079" t="s">
        <v>123</v>
      </c>
      <c r="I73" s="1056">
        <v>1</v>
      </c>
      <c r="J73" s="1059" t="s">
        <v>620</v>
      </c>
      <c r="K73" s="1060" t="s">
        <v>615</v>
      </c>
      <c r="L73" s="443">
        <v>0</v>
      </c>
      <c r="M73" s="444">
        <v>1</v>
      </c>
      <c r="N73" s="1060" t="s">
        <v>46</v>
      </c>
      <c r="O73" s="1060" t="s">
        <v>68</v>
      </c>
      <c r="P73" s="1060" t="s">
        <v>21</v>
      </c>
      <c r="Q73" s="1060" t="s">
        <v>36</v>
      </c>
      <c r="R73" s="1060" t="s">
        <v>211</v>
      </c>
      <c r="S73" s="1060" t="s">
        <v>676</v>
      </c>
      <c r="T73" s="1060" t="s">
        <v>98</v>
      </c>
      <c r="U73" s="444">
        <v>1</v>
      </c>
      <c r="V73" s="1058" t="str">
        <f t="shared" si="10"/>
        <v>Pagar paquetes de reclamaciones de acuerdo con lo definido en la normativa vigente</v>
      </c>
      <c r="W73" s="445">
        <f>+L73</f>
        <v>0</v>
      </c>
      <c r="X73" s="1097" t="s">
        <v>117</v>
      </c>
      <c r="Y73" s="1056">
        <v>0.25</v>
      </c>
      <c r="Z73" s="1083" t="str">
        <f t="shared" si="25"/>
        <v>Pagar paquetes de reclamaciones de acuerdo con lo definido en la normativa vigente</v>
      </c>
      <c r="AA73" s="443">
        <v>0</v>
      </c>
      <c r="AB73" s="481">
        <f>(7/7)*25%</f>
        <v>0.25</v>
      </c>
      <c r="AC73" s="448">
        <v>0</v>
      </c>
      <c r="AD73" s="1064">
        <f t="shared" si="12"/>
        <v>1</v>
      </c>
      <c r="AE73" s="1064" t="e">
        <f t="shared" si="13"/>
        <v>#DIV/0!</v>
      </c>
      <c r="AF73" s="1064">
        <f t="shared" si="14"/>
        <v>0.25</v>
      </c>
      <c r="AG73" s="1064" t="e">
        <f t="shared" si="1"/>
        <v>#DIV/0!</v>
      </c>
      <c r="AH73" s="527"/>
      <c r="AI73" s="1056">
        <v>0.25</v>
      </c>
      <c r="AJ73" s="1083" t="str">
        <f t="shared" si="26"/>
        <v>Pagar paquetes de reclamaciones de acuerdo con lo definido en la normativa vigente</v>
      </c>
      <c r="AK73" s="443">
        <v>0</v>
      </c>
      <c r="AL73" s="793">
        <f>(12/12)*25%</f>
        <v>0.25</v>
      </c>
      <c r="AM73" s="529">
        <v>0</v>
      </c>
      <c r="AN73" s="1064">
        <f t="shared" si="15"/>
        <v>1</v>
      </c>
      <c r="AO73" s="1064" t="e">
        <f t="shared" si="2"/>
        <v>#DIV/0!</v>
      </c>
      <c r="AP73" s="1064">
        <f t="shared" si="3"/>
        <v>0.5</v>
      </c>
      <c r="AQ73" s="1064" t="e">
        <f t="shared" si="16"/>
        <v>#DIV/0!</v>
      </c>
      <c r="AR73" s="527"/>
      <c r="AS73" s="1056">
        <v>0.25</v>
      </c>
      <c r="AT73" s="1083" t="str">
        <f t="shared" si="22"/>
        <v>Pagar paquetes de reclamaciones de acuerdo con lo definido en la normativa vigente</v>
      </c>
      <c r="AU73" s="443">
        <v>0</v>
      </c>
      <c r="AV73" s="932">
        <f>(7/7)*25%</f>
        <v>0.25</v>
      </c>
      <c r="AW73" s="930">
        <v>0</v>
      </c>
      <c r="AX73" s="1064">
        <f t="shared" si="27"/>
        <v>1</v>
      </c>
      <c r="AY73" s="1064" t="e">
        <f t="shared" si="28"/>
        <v>#DIV/0!</v>
      </c>
      <c r="AZ73" s="1064">
        <f t="shared" si="29"/>
        <v>0.75</v>
      </c>
      <c r="BA73" s="1064" t="e">
        <f t="shared" si="30"/>
        <v>#DIV/0!</v>
      </c>
      <c r="BB73" s="1665"/>
      <c r="BC73" s="1056">
        <v>0.25</v>
      </c>
      <c r="BD73" s="1083" t="str">
        <f t="shared" si="24"/>
        <v>Pagar paquetes de reclamaciones de acuerdo con lo definido en la normativa vigente</v>
      </c>
      <c r="BE73" s="443">
        <v>0</v>
      </c>
      <c r="BF73" s="1088">
        <f>(3/3)*25%</f>
        <v>0.25</v>
      </c>
      <c r="BG73" s="1077">
        <v>0</v>
      </c>
      <c r="BH73" s="1056">
        <f t="shared" si="17"/>
        <v>1</v>
      </c>
      <c r="BI73" s="1056" t="e">
        <f t="shared" si="18"/>
        <v>#DIV/0!</v>
      </c>
      <c r="BJ73" s="1056">
        <f t="shared" si="31"/>
        <v>1</v>
      </c>
      <c r="BK73" s="1056" t="e">
        <f t="shared" si="32"/>
        <v>#DIV/0!</v>
      </c>
      <c r="BL73" s="1083"/>
      <c r="BM73" s="477">
        <f t="shared" si="4"/>
        <v>1</v>
      </c>
      <c r="BN73" s="477" t="str">
        <f t="shared" si="5"/>
        <v>No Prog ni Ejec</v>
      </c>
      <c r="BO73" s="477">
        <f t="shared" si="6"/>
        <v>1</v>
      </c>
      <c r="BP73" s="477" t="str">
        <f t="shared" si="7"/>
        <v>No Prog ni Ejec</v>
      </c>
      <c r="BQ73" s="477">
        <f t="shared" si="33"/>
        <v>1</v>
      </c>
      <c r="BR73" s="477" t="str">
        <f t="shared" si="34"/>
        <v>No Prog ni Ejec</v>
      </c>
      <c r="BS73" s="477">
        <f t="shared" si="8"/>
        <v>1</v>
      </c>
      <c r="BT73" s="828" t="str">
        <f t="shared" si="9"/>
        <v>No Prog ni Ejec</v>
      </c>
    </row>
    <row r="74" spans="1:72" s="404" customFormat="1" ht="63.75" x14ac:dyDescent="0.25">
      <c r="A74" s="1092">
        <v>11500</v>
      </c>
      <c r="B74" s="1060" t="s">
        <v>28</v>
      </c>
      <c r="C74" s="1068" t="s">
        <v>1209</v>
      </c>
      <c r="D74" s="1059" t="s">
        <v>263</v>
      </c>
      <c r="E74" s="1060" t="s">
        <v>144</v>
      </c>
      <c r="F74" s="1059" t="s">
        <v>619</v>
      </c>
      <c r="G74" s="1060" t="s">
        <v>616</v>
      </c>
      <c r="H74" s="1079" t="s">
        <v>384</v>
      </c>
      <c r="I74" s="470">
        <v>4</v>
      </c>
      <c r="J74" s="1059" t="s">
        <v>621</v>
      </c>
      <c r="K74" s="1060" t="s">
        <v>617</v>
      </c>
      <c r="L74" s="443">
        <v>0</v>
      </c>
      <c r="M74" s="444">
        <v>1</v>
      </c>
      <c r="N74" s="1060" t="s">
        <v>46</v>
      </c>
      <c r="O74" s="1060" t="s">
        <v>68</v>
      </c>
      <c r="P74" s="1060" t="s">
        <v>21</v>
      </c>
      <c r="Q74" s="1060" t="s">
        <v>36</v>
      </c>
      <c r="R74" s="1060" t="s">
        <v>211</v>
      </c>
      <c r="S74" s="1060" t="s">
        <v>623</v>
      </c>
      <c r="T74" s="1060" t="s">
        <v>98</v>
      </c>
      <c r="U74" s="467">
        <v>4</v>
      </c>
      <c r="V74" s="1058" t="str">
        <f t="shared" si="10"/>
        <v>Generar boletines con resultados del proceso reclamaciones</v>
      </c>
      <c r="W74" s="445">
        <f t="shared" si="11"/>
        <v>0</v>
      </c>
      <c r="X74" s="1097" t="s">
        <v>117</v>
      </c>
      <c r="Y74" s="463">
        <v>1</v>
      </c>
      <c r="Z74" s="1083" t="str">
        <f t="shared" si="25"/>
        <v>Generar boletines con resultados del proceso reclamaciones</v>
      </c>
      <c r="AA74" s="443">
        <v>0</v>
      </c>
      <c r="AB74" s="446">
        <v>1</v>
      </c>
      <c r="AC74" s="448">
        <v>0</v>
      </c>
      <c r="AD74" s="1064">
        <f t="shared" si="12"/>
        <v>1</v>
      </c>
      <c r="AE74" s="1064" t="e">
        <f t="shared" si="13"/>
        <v>#DIV/0!</v>
      </c>
      <c r="AF74" s="1064">
        <f t="shared" si="14"/>
        <v>0.25</v>
      </c>
      <c r="AG74" s="1064" t="e">
        <f t="shared" si="1"/>
        <v>#DIV/0!</v>
      </c>
      <c r="AH74" s="527"/>
      <c r="AI74" s="463">
        <v>1</v>
      </c>
      <c r="AJ74" s="1083" t="str">
        <f t="shared" si="26"/>
        <v>Generar boletines con resultados del proceso reclamaciones</v>
      </c>
      <c r="AK74" s="443">
        <v>0</v>
      </c>
      <c r="AL74" s="700">
        <v>1</v>
      </c>
      <c r="AM74" s="529">
        <v>0</v>
      </c>
      <c r="AN74" s="1064">
        <f t="shared" si="15"/>
        <v>1</v>
      </c>
      <c r="AO74" s="1064" t="e">
        <f t="shared" si="2"/>
        <v>#DIV/0!</v>
      </c>
      <c r="AP74" s="1064">
        <f t="shared" si="3"/>
        <v>0.5</v>
      </c>
      <c r="AQ74" s="1064" t="e">
        <f t="shared" si="16"/>
        <v>#DIV/0!</v>
      </c>
      <c r="AR74" s="527"/>
      <c r="AS74" s="463">
        <v>1</v>
      </c>
      <c r="AT74" s="1083" t="str">
        <f t="shared" si="22"/>
        <v>Generar boletines con resultados del proceso reclamaciones</v>
      </c>
      <c r="AU74" s="443">
        <v>0</v>
      </c>
      <c r="AV74" s="929">
        <v>1</v>
      </c>
      <c r="AW74" s="930">
        <v>0</v>
      </c>
      <c r="AX74" s="1064">
        <f t="shared" si="27"/>
        <v>1</v>
      </c>
      <c r="AY74" s="1064" t="e">
        <f t="shared" si="28"/>
        <v>#DIV/0!</v>
      </c>
      <c r="AZ74" s="1064">
        <f t="shared" si="29"/>
        <v>0.75</v>
      </c>
      <c r="BA74" s="1064" t="e">
        <f t="shared" si="30"/>
        <v>#DIV/0!</v>
      </c>
      <c r="BB74" s="1665"/>
      <c r="BC74" s="463">
        <v>1</v>
      </c>
      <c r="BD74" s="1083" t="str">
        <f t="shared" si="24"/>
        <v>Generar boletines con resultados del proceso reclamaciones</v>
      </c>
      <c r="BE74" s="443">
        <v>0</v>
      </c>
      <c r="BF74" s="1666">
        <v>1</v>
      </c>
      <c r="BG74" s="1077">
        <v>0</v>
      </c>
      <c r="BH74" s="1056">
        <f t="shared" si="17"/>
        <v>1</v>
      </c>
      <c r="BI74" s="1056" t="e">
        <f t="shared" si="18"/>
        <v>#DIV/0!</v>
      </c>
      <c r="BJ74" s="1056">
        <f t="shared" si="31"/>
        <v>1</v>
      </c>
      <c r="BK74" s="1056" t="e">
        <f t="shared" si="32"/>
        <v>#DIV/0!</v>
      </c>
      <c r="BL74" s="1083"/>
      <c r="BM74" s="477">
        <f t="shared" si="4"/>
        <v>1</v>
      </c>
      <c r="BN74" s="477" t="str">
        <f t="shared" si="5"/>
        <v>No Prog ni Ejec</v>
      </c>
      <c r="BO74" s="477">
        <f t="shared" si="6"/>
        <v>1</v>
      </c>
      <c r="BP74" s="477" t="str">
        <f t="shared" si="7"/>
        <v>No Prog ni Ejec</v>
      </c>
      <c r="BQ74" s="477">
        <f t="shared" si="33"/>
        <v>1</v>
      </c>
      <c r="BR74" s="477" t="str">
        <f t="shared" si="34"/>
        <v>No Prog ni Ejec</v>
      </c>
      <c r="BS74" s="477">
        <f t="shared" si="8"/>
        <v>1</v>
      </c>
      <c r="BT74" s="828" t="str">
        <f t="shared" si="9"/>
        <v>No Prog ni Ejec</v>
      </c>
    </row>
    <row r="75" spans="1:72" s="404" customFormat="1" ht="63.75" customHeight="1" x14ac:dyDescent="0.25">
      <c r="A75" s="1092">
        <v>11600</v>
      </c>
      <c r="B75" s="1060" t="s">
        <v>6</v>
      </c>
      <c r="C75" s="1068" t="s">
        <v>1209</v>
      </c>
      <c r="D75" s="1059" t="s">
        <v>266</v>
      </c>
      <c r="E75" s="1060" t="s">
        <v>153</v>
      </c>
      <c r="F75" s="1059" t="s">
        <v>268</v>
      </c>
      <c r="G75" s="1060" t="s">
        <v>133</v>
      </c>
      <c r="H75" s="1079" t="s">
        <v>124</v>
      </c>
      <c r="I75" s="1059">
        <v>4</v>
      </c>
      <c r="J75" s="1059" t="s">
        <v>271</v>
      </c>
      <c r="K75" s="1060" t="s">
        <v>24</v>
      </c>
      <c r="L75" s="529">
        <v>0</v>
      </c>
      <c r="M75" s="444">
        <v>1</v>
      </c>
      <c r="N75" s="1060" t="s">
        <v>51</v>
      </c>
      <c r="O75" s="1060" t="s">
        <v>68</v>
      </c>
      <c r="P75" s="1060" t="s">
        <v>21</v>
      </c>
      <c r="Q75" s="1060" t="s">
        <v>36</v>
      </c>
      <c r="R75" s="1060" t="s">
        <v>75</v>
      </c>
      <c r="S75" s="1060" t="s">
        <v>631</v>
      </c>
      <c r="T75" s="1060" t="s">
        <v>98</v>
      </c>
      <c r="U75" s="1059">
        <v>4</v>
      </c>
      <c r="V75" s="1058" t="str">
        <f t="shared" si="10"/>
        <v>Reportar el cumplimiento del Plan de Acción de la Dependencia</v>
      </c>
      <c r="W75" s="445">
        <f t="shared" si="11"/>
        <v>0</v>
      </c>
      <c r="X75" s="1097" t="s">
        <v>117</v>
      </c>
      <c r="Y75" s="463">
        <v>1</v>
      </c>
      <c r="Z75" s="1083" t="str">
        <f t="shared" si="25"/>
        <v>Reportar el cumplimiento del Plan de Acción de la Dependencia</v>
      </c>
      <c r="AA75" s="443">
        <v>0</v>
      </c>
      <c r="AB75" s="471">
        <v>1</v>
      </c>
      <c r="AC75" s="485">
        <v>0</v>
      </c>
      <c r="AD75" s="1064">
        <f t="shared" ref="AD75:AD176" si="52">+(AB75/Y75)</f>
        <v>1</v>
      </c>
      <c r="AE75" s="1064" t="e">
        <f t="shared" ref="AE75:AE176" si="53">+(AC75/AA75)</f>
        <v>#DIV/0!</v>
      </c>
      <c r="AF75" s="1064">
        <f t="shared" ref="AF75:AF176" si="54">+(AB75/U75)</f>
        <v>0.25</v>
      </c>
      <c r="AG75" s="1064" t="e">
        <f t="shared" ref="AG75:AG176" si="55">+(AC75/W75)</f>
        <v>#DIV/0!</v>
      </c>
      <c r="AH75" s="1060" t="s">
        <v>981</v>
      </c>
      <c r="AI75" s="463">
        <v>1</v>
      </c>
      <c r="AJ75" s="1083" t="str">
        <f t="shared" si="26"/>
        <v>Reportar el cumplimiento del Plan de Acción de la Dependencia</v>
      </c>
      <c r="AK75" s="443">
        <v>0</v>
      </c>
      <c r="AL75" s="1089">
        <v>1</v>
      </c>
      <c r="AM75" s="529">
        <v>0</v>
      </c>
      <c r="AN75" s="1064">
        <f t="shared" ref="AN75:AN176" si="56">+(AL75/AI75)</f>
        <v>1</v>
      </c>
      <c r="AO75" s="1064" t="e">
        <f t="shared" ref="AO75:AO176" si="57">+(AM75/AK75)</f>
        <v>#DIV/0!</v>
      </c>
      <c r="AP75" s="1064">
        <f t="shared" ref="AP75:AP176" si="58">+(AL75+AB75)/U75</f>
        <v>0.5</v>
      </c>
      <c r="AQ75" s="1064" t="e">
        <f t="shared" ref="AQ75:AQ176" si="59">+(AM75+AC75)/W75</f>
        <v>#DIV/0!</v>
      </c>
      <c r="AR75" s="1071" t="s">
        <v>981</v>
      </c>
      <c r="AS75" s="463">
        <v>1</v>
      </c>
      <c r="AT75" s="1083" t="str">
        <f t="shared" si="22"/>
        <v>Reportar el cumplimiento del Plan de Acción de la Dependencia</v>
      </c>
      <c r="AU75" s="443">
        <v>0</v>
      </c>
      <c r="AV75" s="929">
        <v>1</v>
      </c>
      <c r="AW75" s="930">
        <v>0</v>
      </c>
      <c r="AX75" s="1064">
        <f t="shared" ref="AX75:AX176" si="60">+(AV75/AS75)</f>
        <v>1</v>
      </c>
      <c r="AY75" s="1064" t="e">
        <f t="shared" ref="AY75:AY176" si="61">+(AW75/AU75)</f>
        <v>#DIV/0!</v>
      </c>
      <c r="AZ75" s="1064">
        <f t="shared" ref="AZ75:AZ176" si="62">+(AL75+AB75+AV75)/U75</f>
        <v>0.75</v>
      </c>
      <c r="BA75" s="1064" t="e">
        <f t="shared" ref="BA75:BA176" si="63">+(AM75+AC75+AW75)/W75</f>
        <v>#DIV/0!</v>
      </c>
      <c r="BB75" s="1665" t="s">
        <v>981</v>
      </c>
      <c r="BC75" s="463">
        <v>1</v>
      </c>
      <c r="BD75" s="1083" t="str">
        <f t="shared" si="24"/>
        <v>Reportar el cumplimiento del Plan de Acción de la Dependencia</v>
      </c>
      <c r="BE75" s="443">
        <v>0</v>
      </c>
      <c r="BF75" s="1080">
        <v>1</v>
      </c>
      <c r="BG75" s="942">
        <v>0</v>
      </c>
      <c r="BH75" s="1056">
        <f t="shared" si="17"/>
        <v>1</v>
      </c>
      <c r="BI75" s="1056" t="e">
        <f t="shared" si="18"/>
        <v>#DIV/0!</v>
      </c>
      <c r="BJ75" s="1056">
        <f t="shared" si="31"/>
        <v>1</v>
      </c>
      <c r="BK75" s="1056" t="e">
        <f t="shared" si="32"/>
        <v>#DIV/0!</v>
      </c>
      <c r="BL75" s="1099" t="s">
        <v>981</v>
      </c>
      <c r="BM75" s="477">
        <f t="shared" ref="BM75:BM176" si="64">IF(AND(Y75=0,AB75=0),"No Prog ni Ejec",IF(Y75=0,CONCATENATE("No Prog, Ejec=  ",AB75),AB75/Y75))</f>
        <v>1</v>
      </c>
      <c r="BN75" s="477" t="str">
        <f t="shared" ref="BN75:BN176" si="65">IF(AND(AA75=0,AC75=0),"No Prog ni Ejec",IF(AA75=0,CONCATENATE("No Prog, Ejec=  ",AC75),AC75/AA75))</f>
        <v>No Prog ni Ejec</v>
      </c>
      <c r="BO75" s="477">
        <f t="shared" ref="BO75:BO176" si="66">IF(AND(AI75=0,AL75=0),"No Prog ni Ejec",IF(AI75=0,CONCATENATE("No Prog, Ejec=  ",AL75),AL75/AI75))</f>
        <v>1</v>
      </c>
      <c r="BP75" s="477" t="str">
        <f t="shared" ref="BP75:BP176" si="67">IF(AND(AK75=0,AM75=0),"No Prog ni Ejec",IF(AK75=0,CONCATENATE("No Prog, Ejec=  ",AM75),AM75/AK75))</f>
        <v>No Prog ni Ejec</v>
      </c>
      <c r="BQ75" s="477">
        <f t="shared" ref="BQ75:BQ176" si="68">IF(AND(AS75=0,AV75=0),"No Prog ni Ejec",IF(AS75=0,CONCATENATE("No Prog, Ejec=  ",AV75),AV75/AS75))</f>
        <v>1</v>
      </c>
      <c r="BR75" s="477" t="str">
        <f t="shared" ref="BR75:BR176" si="69">IF(AND(AU75=0,AW75=0),"No Prog ni Ejec",IF(AU75=0,CONCATENATE("No Prog, Ejec=  ",AW75),AW75/AU75))</f>
        <v>No Prog ni Ejec</v>
      </c>
      <c r="BS75" s="477">
        <f t="shared" ref="BS75:BS176" si="70">IF(AND(BC75=0,BF75=0),"No Prog ni Ejec",IF(BC75=0,CONCATENATE("No Prog, Ejec=  ",BF75),BF75/BC75))</f>
        <v>1</v>
      </c>
      <c r="BT75" s="828" t="str">
        <f t="shared" ref="BT75:BT176" si="71">IF(AND(BE75=0,BG75=0),"No Prog ni Ejec",IF(BE75=0,CONCATENATE("No Prog, Ejec=  ",BG75),BG75/BE75))</f>
        <v>No Prog ni Ejec</v>
      </c>
    </row>
    <row r="76" spans="1:72" s="404" customFormat="1" ht="409.5" customHeight="1" x14ac:dyDescent="0.25">
      <c r="A76" s="1092">
        <v>11600</v>
      </c>
      <c r="B76" s="1060" t="s">
        <v>6</v>
      </c>
      <c r="C76" s="1068" t="s">
        <v>1209</v>
      </c>
      <c r="D76" s="1059" t="s">
        <v>267</v>
      </c>
      <c r="E76" s="1060" t="s">
        <v>256</v>
      </c>
      <c r="F76" s="1059" t="s">
        <v>269</v>
      </c>
      <c r="G76" s="1060" t="s">
        <v>159</v>
      </c>
      <c r="H76" s="1079" t="s">
        <v>123</v>
      </c>
      <c r="I76" s="1056">
        <v>1</v>
      </c>
      <c r="J76" s="1059" t="s">
        <v>272</v>
      </c>
      <c r="K76" s="1060" t="s">
        <v>598</v>
      </c>
      <c r="L76" s="529">
        <v>0</v>
      </c>
      <c r="M76" s="444">
        <v>1</v>
      </c>
      <c r="N76" s="1060" t="s">
        <v>51</v>
      </c>
      <c r="O76" s="1060" t="s">
        <v>68</v>
      </c>
      <c r="P76" s="1060" t="s">
        <v>21</v>
      </c>
      <c r="Q76" s="1060" t="s">
        <v>36</v>
      </c>
      <c r="R76" s="1060" t="s">
        <v>75</v>
      </c>
      <c r="S76" s="1060" t="s">
        <v>632</v>
      </c>
      <c r="T76" s="1060" t="s">
        <v>98</v>
      </c>
      <c r="U76" s="444">
        <v>1</v>
      </c>
      <c r="V76" s="1058" t="str">
        <f t="shared" ref="V76:V177" si="72">+K76</f>
        <v>Formular los procesos y procedimientos en el marco del MIPG</v>
      </c>
      <c r="W76" s="445">
        <f t="shared" ref="W76:W177" si="73">+L76</f>
        <v>0</v>
      </c>
      <c r="X76" s="1097" t="s">
        <v>117</v>
      </c>
      <c r="Y76" s="1056">
        <v>0.25</v>
      </c>
      <c r="Z76" s="1083" t="str">
        <f t="shared" ref="Z76:Z101" si="74">+V76</f>
        <v>Formular los procesos y procedimientos en el marco del MIPG</v>
      </c>
      <c r="AA76" s="443">
        <v>0</v>
      </c>
      <c r="AB76" s="486">
        <v>0.46150000000000002</v>
      </c>
      <c r="AC76" s="485">
        <v>0</v>
      </c>
      <c r="AD76" s="1064">
        <f t="shared" si="52"/>
        <v>1.8460000000000001</v>
      </c>
      <c r="AE76" s="1064" t="e">
        <f t="shared" si="53"/>
        <v>#DIV/0!</v>
      </c>
      <c r="AF76" s="1064">
        <f t="shared" si="54"/>
        <v>0.46150000000000002</v>
      </c>
      <c r="AG76" s="1064" t="e">
        <f t="shared" si="55"/>
        <v>#DIV/0!</v>
      </c>
      <c r="AH76" s="1060" t="s">
        <v>1001</v>
      </c>
      <c r="AI76" s="1056">
        <v>0.25</v>
      </c>
      <c r="AJ76" s="1083" t="str">
        <f t="shared" si="26"/>
        <v>Formular los procesos y procedimientos en el marco del MIPG</v>
      </c>
      <c r="AK76" s="443">
        <v>0</v>
      </c>
      <c r="AL76" s="1100">
        <f>14/26</f>
        <v>0.53846153846153844</v>
      </c>
      <c r="AM76" s="529">
        <v>0</v>
      </c>
      <c r="AN76" s="1064">
        <f t="shared" si="56"/>
        <v>2.1538461538461537</v>
      </c>
      <c r="AO76" s="1064" t="e">
        <f t="shared" si="57"/>
        <v>#DIV/0!</v>
      </c>
      <c r="AP76" s="1064">
        <f t="shared" si="58"/>
        <v>0.99996153846153846</v>
      </c>
      <c r="AQ76" s="1064" t="e">
        <f t="shared" si="59"/>
        <v>#DIV/0!</v>
      </c>
      <c r="AR76" s="1071" t="s">
        <v>1020</v>
      </c>
      <c r="AS76" s="1056">
        <v>0.25</v>
      </c>
      <c r="AT76" s="1083" t="str">
        <f t="shared" si="22"/>
        <v>Formular los procesos y procedimientos en el marco del MIPG</v>
      </c>
      <c r="AU76" s="443">
        <v>0</v>
      </c>
      <c r="AV76" s="929">
        <v>0</v>
      </c>
      <c r="AW76" s="930">
        <v>0</v>
      </c>
      <c r="AX76" s="1064">
        <f t="shared" si="60"/>
        <v>0</v>
      </c>
      <c r="AY76" s="1064" t="e">
        <f t="shared" si="61"/>
        <v>#DIV/0!</v>
      </c>
      <c r="AZ76" s="1064">
        <f t="shared" si="62"/>
        <v>0.99996153846153846</v>
      </c>
      <c r="BA76" s="1064" t="e">
        <f t="shared" si="63"/>
        <v>#DIV/0!</v>
      </c>
      <c r="BB76" s="1665" t="s">
        <v>1989</v>
      </c>
      <c r="BC76" s="1056">
        <v>0.25</v>
      </c>
      <c r="BD76" s="1083" t="str">
        <f t="shared" si="24"/>
        <v>Formular los procesos y procedimientos en el marco del MIPG</v>
      </c>
      <c r="BE76" s="443">
        <v>0</v>
      </c>
      <c r="BF76" s="1080">
        <v>0</v>
      </c>
      <c r="BG76" s="942">
        <v>0</v>
      </c>
      <c r="BH76" s="1056">
        <f t="shared" ref="BH76:BH177" si="75">+(BF76/BC76)</f>
        <v>0</v>
      </c>
      <c r="BI76" s="1056" t="e">
        <f t="shared" ref="BI76:BI177" si="76">+(BG76/BE76)</f>
        <v>#DIV/0!</v>
      </c>
      <c r="BJ76" s="1056">
        <f t="shared" ref="BJ76:BJ177" si="77">+(AL76+AB76+AV76+BF76)/U76</f>
        <v>0.99996153846153846</v>
      </c>
      <c r="BK76" s="1056" t="e">
        <f t="shared" ref="BK76:BK177" si="78">+(AM76+AC76+AW76+BG76)/W76</f>
        <v>#DIV/0!</v>
      </c>
      <c r="BL76" s="1099" t="s">
        <v>2256</v>
      </c>
      <c r="BM76" s="477">
        <f t="shared" si="64"/>
        <v>1.8460000000000001</v>
      </c>
      <c r="BN76" s="477" t="str">
        <f t="shared" si="65"/>
        <v>No Prog ni Ejec</v>
      </c>
      <c r="BO76" s="477">
        <f t="shared" si="66"/>
        <v>2.1538461538461537</v>
      </c>
      <c r="BP76" s="477" t="str">
        <f t="shared" si="67"/>
        <v>No Prog ni Ejec</v>
      </c>
      <c r="BQ76" s="477">
        <f t="shared" si="68"/>
        <v>0</v>
      </c>
      <c r="BR76" s="477" t="str">
        <f t="shared" si="69"/>
        <v>No Prog ni Ejec</v>
      </c>
      <c r="BS76" s="477">
        <f t="shared" si="70"/>
        <v>0</v>
      </c>
      <c r="BT76" s="828" t="str">
        <f t="shared" si="71"/>
        <v>No Prog ni Ejec</v>
      </c>
    </row>
    <row r="77" spans="1:72" s="404" customFormat="1" ht="191.25" customHeight="1" x14ac:dyDescent="0.25">
      <c r="A77" s="1092">
        <v>11600</v>
      </c>
      <c r="B77" s="1060" t="s">
        <v>6</v>
      </c>
      <c r="C77" s="1068" t="s">
        <v>1209</v>
      </c>
      <c r="D77" s="1059" t="s">
        <v>267</v>
      </c>
      <c r="E77" s="1060" t="s">
        <v>256</v>
      </c>
      <c r="F77" s="1059" t="s">
        <v>270</v>
      </c>
      <c r="G77" s="1060" t="s">
        <v>127</v>
      </c>
      <c r="H77" s="1079" t="s">
        <v>124</v>
      </c>
      <c r="I77" s="1059">
        <v>4</v>
      </c>
      <c r="J77" s="1059" t="s">
        <v>273</v>
      </c>
      <c r="K77" s="1060" t="s">
        <v>128</v>
      </c>
      <c r="L77" s="529">
        <v>0</v>
      </c>
      <c r="M77" s="444">
        <v>1</v>
      </c>
      <c r="N77" s="1060" t="s">
        <v>51</v>
      </c>
      <c r="O77" s="1060" t="s">
        <v>68</v>
      </c>
      <c r="P77" s="1060" t="s">
        <v>21</v>
      </c>
      <c r="Q77" s="1060" t="s">
        <v>36</v>
      </c>
      <c r="R77" s="1060" t="s">
        <v>75</v>
      </c>
      <c r="S77" s="1060" t="s">
        <v>137</v>
      </c>
      <c r="T77" s="1060" t="s">
        <v>98</v>
      </c>
      <c r="U77" s="1059">
        <v>4</v>
      </c>
      <c r="V77" s="1058" t="str">
        <f t="shared" si="72"/>
        <v>Remitir informes trimestrales de los indicadores formulados y las acciones de mejoras</v>
      </c>
      <c r="W77" s="445">
        <f t="shared" si="73"/>
        <v>0</v>
      </c>
      <c r="X77" s="1097" t="s">
        <v>117</v>
      </c>
      <c r="Y77" s="444">
        <v>0</v>
      </c>
      <c r="Z77" s="1083" t="str">
        <f t="shared" si="74"/>
        <v>Remitir informes trimestrales de los indicadores formulados y las acciones de mejoras</v>
      </c>
      <c r="AA77" s="443">
        <v>0</v>
      </c>
      <c r="AB77" s="471">
        <v>0</v>
      </c>
      <c r="AC77" s="485">
        <v>0</v>
      </c>
      <c r="AD77" s="1064" t="e">
        <f t="shared" si="52"/>
        <v>#DIV/0!</v>
      </c>
      <c r="AE77" s="1064" t="e">
        <f t="shared" si="53"/>
        <v>#DIV/0!</v>
      </c>
      <c r="AF77" s="1064">
        <f>+(AB77/U77)</f>
        <v>0</v>
      </c>
      <c r="AG77" s="1064" t="e">
        <f t="shared" si="55"/>
        <v>#DIV/0!</v>
      </c>
      <c r="AH77" s="1060" t="s">
        <v>898</v>
      </c>
      <c r="AI77" s="444">
        <v>0</v>
      </c>
      <c r="AJ77" s="1083" t="str">
        <f t="shared" si="26"/>
        <v>Remitir informes trimestrales de los indicadores formulados y las acciones de mejoras</v>
      </c>
      <c r="AK77" s="443">
        <v>0</v>
      </c>
      <c r="AL77" s="707">
        <v>0</v>
      </c>
      <c r="AM77" s="529">
        <v>0</v>
      </c>
      <c r="AN77" s="1064" t="e">
        <f t="shared" si="56"/>
        <v>#DIV/0!</v>
      </c>
      <c r="AO77" s="1064" t="e">
        <f t="shared" si="57"/>
        <v>#DIV/0!</v>
      </c>
      <c r="AP77" s="1064">
        <f t="shared" si="58"/>
        <v>0</v>
      </c>
      <c r="AQ77" s="1064" t="e">
        <f t="shared" si="59"/>
        <v>#DIV/0!</v>
      </c>
      <c r="AR77" s="1071" t="s">
        <v>1021</v>
      </c>
      <c r="AS77" s="444">
        <v>0</v>
      </c>
      <c r="AT77" s="1083" t="str">
        <f>+V77</f>
        <v>Remitir informes trimestrales de los indicadores formulados y las acciones de mejoras</v>
      </c>
      <c r="AU77" s="443">
        <v>0</v>
      </c>
      <c r="AV77" s="929">
        <v>0</v>
      </c>
      <c r="AW77" s="930">
        <v>0</v>
      </c>
      <c r="AX77" s="1064" t="e">
        <f t="shared" si="60"/>
        <v>#DIV/0!</v>
      </c>
      <c r="AY77" s="1064" t="e">
        <f t="shared" si="61"/>
        <v>#DIV/0!</v>
      </c>
      <c r="AZ77" s="1064">
        <f t="shared" si="62"/>
        <v>0</v>
      </c>
      <c r="BA77" s="1064" t="e">
        <f t="shared" si="63"/>
        <v>#DIV/0!</v>
      </c>
      <c r="BB77" s="1665" t="s">
        <v>1990</v>
      </c>
      <c r="BC77" s="444">
        <v>1</v>
      </c>
      <c r="BD77" s="1083" t="str">
        <f t="shared" ref="BD77:BD153" si="79">+V77</f>
        <v>Remitir informes trimestrales de los indicadores formulados y las acciones de mejoras</v>
      </c>
      <c r="BE77" s="443">
        <v>0</v>
      </c>
      <c r="BF77" s="1094">
        <v>0.66</v>
      </c>
      <c r="BG77" s="942">
        <v>0</v>
      </c>
      <c r="BH77" s="1056">
        <f t="shared" si="75"/>
        <v>0.66</v>
      </c>
      <c r="BI77" s="1056" t="e">
        <f t="shared" si="76"/>
        <v>#DIV/0!</v>
      </c>
      <c r="BJ77" s="1056">
        <f t="shared" si="77"/>
        <v>0.16500000000000001</v>
      </c>
      <c r="BK77" s="1056" t="e">
        <f t="shared" si="78"/>
        <v>#DIV/0!</v>
      </c>
      <c r="BL77" s="1099" t="s">
        <v>2189</v>
      </c>
      <c r="BM77" s="477" t="str">
        <f t="shared" si="64"/>
        <v>No Prog ni Ejec</v>
      </c>
      <c r="BN77" s="477" t="str">
        <f t="shared" si="65"/>
        <v>No Prog ni Ejec</v>
      </c>
      <c r="BO77" s="477" t="str">
        <f t="shared" si="66"/>
        <v>No Prog ni Ejec</v>
      </c>
      <c r="BP77" s="477" t="str">
        <f t="shared" si="67"/>
        <v>No Prog ni Ejec</v>
      </c>
      <c r="BQ77" s="477" t="str">
        <f t="shared" si="68"/>
        <v>No Prog ni Ejec</v>
      </c>
      <c r="BR77" s="477" t="str">
        <f t="shared" si="69"/>
        <v>No Prog ni Ejec</v>
      </c>
      <c r="BS77" s="477">
        <f t="shared" si="70"/>
        <v>0.66</v>
      </c>
      <c r="BT77" s="828" t="str">
        <f t="shared" si="71"/>
        <v>No Prog ni Ejec</v>
      </c>
    </row>
    <row r="78" spans="1:72" s="404" customFormat="1" ht="318.75" x14ac:dyDescent="0.25">
      <c r="A78" s="1092">
        <v>11600</v>
      </c>
      <c r="B78" s="1060" t="s">
        <v>6</v>
      </c>
      <c r="C78" s="1068" t="s">
        <v>1209</v>
      </c>
      <c r="D78" s="1059" t="s">
        <v>278</v>
      </c>
      <c r="E78" s="1060" t="s">
        <v>147</v>
      </c>
      <c r="F78" s="1059" t="s">
        <v>279</v>
      </c>
      <c r="G78" s="1060" t="s">
        <v>277</v>
      </c>
      <c r="H78" s="1079" t="s">
        <v>1077</v>
      </c>
      <c r="I78" s="1056">
        <v>1</v>
      </c>
      <c r="J78" s="1059" t="s">
        <v>282</v>
      </c>
      <c r="K78" s="1060" t="s">
        <v>1076</v>
      </c>
      <c r="L78" s="443">
        <v>0</v>
      </c>
      <c r="M78" s="444">
        <v>1</v>
      </c>
      <c r="N78" s="1060" t="s">
        <v>46</v>
      </c>
      <c r="O78" s="1060" t="s">
        <v>73</v>
      </c>
      <c r="P78" s="1060" t="s">
        <v>37</v>
      </c>
      <c r="Q78" s="1060" t="s">
        <v>40</v>
      </c>
      <c r="R78" s="1060" t="s">
        <v>228</v>
      </c>
      <c r="S78" s="1060" t="s">
        <v>1078</v>
      </c>
      <c r="T78" s="1060" t="s">
        <v>99</v>
      </c>
      <c r="U78" s="1056">
        <v>1</v>
      </c>
      <c r="V78" s="1058" t="str">
        <f t="shared" si="72"/>
        <v>Definición y aprobación de planes asociados a la DGTIC (Plan Estratégico de Tecnologías de la Información y las Comunicaciones PETI, Plan de Seguridad y Privacidad de la Información y Plan de Tratamiento de Riesgos de Seguridad y Privacidad de la Información)</v>
      </c>
      <c r="W78" s="445">
        <f t="shared" si="73"/>
        <v>0</v>
      </c>
      <c r="X78" s="1097" t="s">
        <v>117</v>
      </c>
      <c r="Y78" s="463">
        <v>0</v>
      </c>
      <c r="Z78" s="1083" t="str">
        <f t="shared" si="74"/>
        <v>Definición y aprobación de planes asociados a la DGTIC (Plan Estratégico de Tecnologías de la Información y las Comunicaciones PETI, Plan de Seguridad y Privacidad de la Información y Plan de Tratamiento de Riesgos de Seguridad y Privacidad de la Información)</v>
      </c>
      <c r="AA78" s="443">
        <v>0</v>
      </c>
      <c r="AB78" s="471">
        <v>0</v>
      </c>
      <c r="AC78" s="485">
        <v>0</v>
      </c>
      <c r="AD78" s="1064" t="e">
        <f t="shared" si="52"/>
        <v>#DIV/0!</v>
      </c>
      <c r="AE78" s="1064" t="e">
        <f t="shared" si="53"/>
        <v>#DIV/0!</v>
      </c>
      <c r="AF78" s="1064">
        <f t="shared" si="54"/>
        <v>0</v>
      </c>
      <c r="AG78" s="1064" t="e">
        <f t="shared" si="55"/>
        <v>#DIV/0!</v>
      </c>
      <c r="AH78" s="1060" t="s">
        <v>1002</v>
      </c>
      <c r="AI78" s="444">
        <v>0.16</v>
      </c>
      <c r="AJ78" s="1083" t="str">
        <f>+V78</f>
        <v>Definición y aprobación de planes asociados a la DGTIC (Plan Estratégico de Tecnologías de la Información y las Comunicaciones PETI, Plan de Seguridad y Privacidad de la Información y Plan de Tratamiento de Riesgos de Seguridad y Privacidad de la Información)</v>
      </c>
      <c r="AK78" s="443">
        <v>0</v>
      </c>
      <c r="AL78" s="444">
        <f>3/3*AI78</f>
        <v>0.16</v>
      </c>
      <c r="AM78" s="443">
        <v>0</v>
      </c>
      <c r="AN78" s="1064">
        <f t="shared" si="56"/>
        <v>1</v>
      </c>
      <c r="AO78" s="1064" t="e">
        <f t="shared" si="57"/>
        <v>#DIV/0!</v>
      </c>
      <c r="AP78" s="1064">
        <f t="shared" si="58"/>
        <v>0.16</v>
      </c>
      <c r="AQ78" s="1064" t="e">
        <f t="shared" si="59"/>
        <v>#DIV/0!</v>
      </c>
      <c r="AR78" s="1058" t="s">
        <v>2301</v>
      </c>
      <c r="AS78" s="444">
        <v>0.32</v>
      </c>
      <c r="AT78" s="1083" t="str">
        <f>+V78</f>
        <v>Definición y aprobación de planes asociados a la DGTIC (Plan Estratégico de Tecnologías de la Información y las Comunicaciones PETI, Plan de Seguridad y Privacidad de la Información y Plan de Tratamiento de Riesgos de Seguridad y Privacidad de la Información)</v>
      </c>
      <c r="AU78" s="443">
        <v>0</v>
      </c>
      <c r="AV78" s="938">
        <f>2/3</f>
        <v>0.66666666666666663</v>
      </c>
      <c r="AW78" s="930">
        <v>0</v>
      </c>
      <c r="AX78" s="1064">
        <f t="shared" si="60"/>
        <v>2.083333333333333</v>
      </c>
      <c r="AY78" s="1064" t="e">
        <f t="shared" si="61"/>
        <v>#DIV/0!</v>
      </c>
      <c r="AZ78" s="1064">
        <f t="shared" si="62"/>
        <v>0.82666666666666666</v>
      </c>
      <c r="BA78" s="1064" t="e">
        <f t="shared" si="63"/>
        <v>#DIV/0!</v>
      </c>
      <c r="BB78" s="1665" t="s">
        <v>2014</v>
      </c>
      <c r="BC78" s="444">
        <v>0.52</v>
      </c>
      <c r="BD78" s="1083" t="str">
        <f t="shared" si="79"/>
        <v>Definición y aprobación de planes asociados a la DGTIC (Plan Estratégico de Tecnologías de la Información y las Comunicaciones PETI, Plan de Seguridad y Privacidad de la Información y Plan de Tratamiento de Riesgos de Seguridad y Privacidad de la Información)</v>
      </c>
      <c r="BE78" s="443">
        <v>0</v>
      </c>
      <c r="BF78" s="1087">
        <v>0</v>
      </c>
      <c r="BG78" s="942">
        <v>0</v>
      </c>
      <c r="BH78" s="1056">
        <f t="shared" si="75"/>
        <v>0</v>
      </c>
      <c r="BI78" s="1056" t="e">
        <f t="shared" si="76"/>
        <v>#DIV/0!</v>
      </c>
      <c r="BJ78" s="1056">
        <f t="shared" si="77"/>
        <v>0.82666666666666666</v>
      </c>
      <c r="BK78" s="1056" t="e">
        <f t="shared" si="78"/>
        <v>#DIV/0!</v>
      </c>
      <c r="BL78" s="1099" t="s">
        <v>2302</v>
      </c>
      <c r="BM78" s="477" t="str">
        <f t="shared" si="64"/>
        <v>No Prog ni Ejec</v>
      </c>
      <c r="BN78" s="477" t="str">
        <f t="shared" si="65"/>
        <v>No Prog ni Ejec</v>
      </c>
      <c r="BO78" s="477">
        <f t="shared" si="66"/>
        <v>1</v>
      </c>
      <c r="BP78" s="477" t="str">
        <f t="shared" si="67"/>
        <v>No Prog ni Ejec</v>
      </c>
      <c r="BQ78" s="477">
        <f t="shared" si="68"/>
        <v>2.083333333333333</v>
      </c>
      <c r="BR78" s="477" t="str">
        <f t="shared" si="69"/>
        <v>No Prog ni Ejec</v>
      </c>
      <c r="BS78" s="477">
        <f t="shared" si="70"/>
        <v>0</v>
      </c>
      <c r="BT78" s="828" t="str">
        <f t="shared" si="71"/>
        <v>No Prog ni Ejec</v>
      </c>
    </row>
    <row r="79" spans="1:72" ht="315" x14ac:dyDescent="0.25">
      <c r="A79" s="1091">
        <v>11600</v>
      </c>
      <c r="B79" s="1068" t="s">
        <v>6</v>
      </c>
      <c r="C79" s="1068" t="s">
        <v>1189</v>
      </c>
      <c r="D79" s="1085" t="s">
        <v>278</v>
      </c>
      <c r="E79" s="1068" t="s">
        <v>147</v>
      </c>
      <c r="F79" s="1085" t="s">
        <v>282</v>
      </c>
      <c r="G79" s="1068" t="s">
        <v>1190</v>
      </c>
      <c r="H79" s="1089" t="s">
        <v>124</v>
      </c>
      <c r="I79" s="737">
        <v>1</v>
      </c>
      <c r="J79" s="1085" t="s">
        <v>1191</v>
      </c>
      <c r="K79" s="1068" t="s">
        <v>1192</v>
      </c>
      <c r="L79" s="529">
        <v>0</v>
      </c>
      <c r="M79" s="1078">
        <v>1</v>
      </c>
      <c r="N79" s="1068" t="s">
        <v>46</v>
      </c>
      <c r="O79" s="1068" t="s">
        <v>73</v>
      </c>
      <c r="P79" s="1068" t="s">
        <v>37</v>
      </c>
      <c r="Q79" s="1068" t="s">
        <v>40</v>
      </c>
      <c r="R79" s="1068" t="s">
        <v>228</v>
      </c>
      <c r="S79" s="1068" t="s">
        <v>1193</v>
      </c>
      <c r="T79" s="1068" t="s">
        <v>99</v>
      </c>
      <c r="U79" s="1078">
        <v>1</v>
      </c>
      <c r="V79" s="1071" t="str">
        <f>K79</f>
        <v>Realizar planeación de para la elaboración de la línea base del  PETI; de acuerdo con: (i) Estabilización de la operación de la Entidad. (ii) Guía Cómo elaborar el Plan Estratégico de Tecnologías de la Información - PETI del  MINTIC.</v>
      </c>
      <c r="W79" s="699">
        <f t="shared" ref="W79:W90" si="80">+L79</f>
        <v>0</v>
      </c>
      <c r="X79" s="1086" t="s">
        <v>117</v>
      </c>
      <c r="Y79" s="1090">
        <v>0</v>
      </c>
      <c r="Z79" s="1072" t="str">
        <f>V79</f>
        <v>Realizar planeación de para la elaboración de la línea base del  PETI; de acuerdo con: (i) Estabilización de la operación de la Entidad. (ii) Guía Cómo elaborar el Plan Estratégico de Tecnologías de la Información - PETI del  MINTIC.</v>
      </c>
      <c r="AA79" s="529">
        <v>0</v>
      </c>
      <c r="AB79" s="738"/>
      <c r="AC79" s="739"/>
      <c r="AD79" s="1069" t="e">
        <f t="shared" ref="AD79:AD91" si="81">+(AB79/Y79)</f>
        <v>#DIV/0!</v>
      </c>
      <c r="AE79" s="1069" t="e">
        <f t="shared" ref="AE79:AE90" si="82">+(AC79/AA79)</f>
        <v>#DIV/0!</v>
      </c>
      <c r="AF79" s="1069">
        <f t="shared" ref="AF79:AF90" si="83">+(AB79/U79)</f>
        <v>0</v>
      </c>
      <c r="AG79" s="1069" t="e">
        <f t="shared" ref="AG79:AG90" si="84">+(AC79/W79)</f>
        <v>#DIV/0!</v>
      </c>
      <c r="AH79" s="1068"/>
      <c r="AI79" s="737">
        <v>1</v>
      </c>
      <c r="AJ79" s="1072" t="str">
        <f>V79</f>
        <v>Realizar planeación de para la elaboración de la línea base del  PETI; de acuerdo con: (i) Estabilización de la operación de la Entidad. (ii) Guía Cómo elaborar el Plan Estratégico de Tecnologías de la Información - PETI del  MINTIC.</v>
      </c>
      <c r="AK79" s="529">
        <v>0</v>
      </c>
      <c r="AL79" s="700">
        <v>0</v>
      </c>
      <c r="AM79" s="702">
        <v>0</v>
      </c>
      <c r="AN79" s="1069">
        <f t="shared" ref="AN79:AN90" si="85">+(AL79/AI79)</f>
        <v>0</v>
      </c>
      <c r="AO79" s="1069" t="e">
        <f t="shared" ref="AO79:AO90" si="86">+(AM79/AK79)</f>
        <v>#DIV/0!</v>
      </c>
      <c r="AP79" s="1069">
        <f t="shared" ref="AP79:AP90" si="87">+(AL79+AB79)/U79</f>
        <v>0</v>
      </c>
      <c r="AQ79" s="876" t="e">
        <f>+(AM79+AC79)/W79</f>
        <v>#DIV/0!</v>
      </c>
      <c r="AR79" s="845"/>
      <c r="AS79" s="740">
        <v>0</v>
      </c>
      <c r="AT79" s="1072" t="str">
        <f>V79</f>
        <v>Realizar planeación de para la elaboración de la línea base del  PETI; de acuerdo con: (i) Estabilización de la operación de la Entidad. (ii) Guía Cómo elaborar el Plan Estratégico de Tecnologías de la Información - PETI del  MINTIC.</v>
      </c>
      <c r="AU79" s="529">
        <v>0</v>
      </c>
      <c r="AV79" s="929">
        <v>0</v>
      </c>
      <c r="AW79" s="930">
        <v>0</v>
      </c>
      <c r="AX79" s="1069" t="e">
        <f t="shared" ref="AX79:AX90" si="88">+(AV79/AS79)</f>
        <v>#DIV/0!</v>
      </c>
      <c r="AY79" s="1069" t="e">
        <f t="shared" ref="AY79:AY90" si="89">+(AW79/AU79)</f>
        <v>#DIV/0!</v>
      </c>
      <c r="AZ79" s="1069">
        <f t="shared" ref="AZ79:AZ90" si="90">+(AL79+AB79+AV79)/U79</f>
        <v>0</v>
      </c>
      <c r="BA79" s="1069" t="e">
        <f t="shared" ref="BA79:BA90" si="91">+(AM79+AC79+AW79)/W79</f>
        <v>#DIV/0!</v>
      </c>
      <c r="BB79" s="1665" t="s">
        <v>2015</v>
      </c>
      <c r="BC79" s="740">
        <v>0</v>
      </c>
      <c r="BD79" s="1072" t="str">
        <f>V79</f>
        <v>Realizar planeación de para la elaboración de la línea base del  PETI; de acuerdo con: (i) Estabilización de la operación de la Entidad. (ii) Guía Cómo elaborar el Plan Estratégico de Tecnologías de la Información - PETI del  MINTIC.</v>
      </c>
      <c r="BE79" s="529">
        <v>0</v>
      </c>
      <c r="BF79" s="1680">
        <v>1</v>
      </c>
      <c r="BG79" s="744">
        <v>0</v>
      </c>
      <c r="BH79" s="1075" t="e">
        <f t="shared" ref="BH79:BH90" si="92">+(BF79/BC79)</f>
        <v>#DIV/0!</v>
      </c>
      <c r="BI79" s="1075" t="e">
        <f t="shared" ref="BI79:BI90" si="93">+(BG79/BE79)</f>
        <v>#DIV/0!</v>
      </c>
      <c r="BJ79" s="1075">
        <f t="shared" ref="BJ79:BJ90" si="94">+(AL79+AB79+AV79+BF79)/U79</f>
        <v>1</v>
      </c>
      <c r="BK79" s="1075" t="e">
        <f t="shared" ref="BK79:BK90" si="95">+(AM79+AC79+AW79+BG79)/W79</f>
        <v>#DIV/0!</v>
      </c>
      <c r="BL79" s="1053" t="s">
        <v>2190</v>
      </c>
      <c r="BM79" s="708" t="str">
        <f t="shared" ref="BM79:BM90" si="96">IF(AND(Y79=0,AB79=0),"No Prog ni Ejec",IF(Y79=0,CONCATENATE("No Prog, Ejec=  ",AB79),AB79/Y79))</f>
        <v>No Prog ni Ejec</v>
      </c>
      <c r="BN79" s="708" t="str">
        <f t="shared" ref="BN79:BN90" si="97">IF(AND(AA79=0,AC79=0),"No Prog ni Ejec",IF(AA79=0,CONCATENATE("No Prog, Ejec=  ",AC79),AC79/AA79))</f>
        <v>No Prog ni Ejec</v>
      </c>
      <c r="BO79" s="708">
        <f t="shared" ref="BO79:BO90" si="98">IF(AND(AI79=0,AL79=0),"No Prog ni Ejec",IF(AI79=0,CONCATENATE("No Prog, Ejec=  ",AL79),AL79/AI79))</f>
        <v>0</v>
      </c>
      <c r="BP79" s="708" t="str">
        <f t="shared" ref="BP79:BP90" si="99">IF(AND(AK79=0,AM79=0),"No Prog ni Ejec",IF(AK79=0,CONCATENATE("No Prog, Ejec=  ",AM79),AM79/AK79))</f>
        <v>No Prog ni Ejec</v>
      </c>
      <c r="BQ79" s="708" t="str">
        <f t="shared" ref="BQ79:BQ90" si="100">IF(AND(AS79=0,AV79=0),"No Prog ni Ejec",IF(AS79=0,CONCATENATE("No Prog, Ejec=  ",AV79),AV79/AS79))</f>
        <v>No Prog ni Ejec</v>
      </c>
      <c r="BR79" s="708" t="str">
        <f t="shared" ref="BR79:BR90" si="101">IF(AND(AU79=0,AW79=0),"No Prog ni Ejec",IF(AU79=0,CONCATENATE("No Prog, Ejec=  ",AW79),AW79/AU79))</f>
        <v>No Prog ni Ejec</v>
      </c>
      <c r="BS79" s="708" t="str">
        <f t="shared" ref="BS79:BS90" si="102">IF(AND(BC79=0,BF79=0),"No Prog ni Ejec",IF(BC79=0,CONCATENATE("No Prog, Ejec=  ",BF79),BF79/BC79))</f>
        <v>No Prog, Ejec=  1</v>
      </c>
      <c r="BT79" s="829" t="str">
        <f t="shared" ref="BT79:BT90" si="103">IF(AND(BE79=0,BG79=0),"No Prog ni Ejec",IF(BE79=0,CONCATENATE("No Prog, Ejec=  ",BG79),BG79/BE79))</f>
        <v>No Prog ni Ejec</v>
      </c>
    </row>
    <row r="80" spans="1:72" ht="315" x14ac:dyDescent="0.25">
      <c r="A80" s="1091">
        <v>11600</v>
      </c>
      <c r="B80" s="1068" t="s">
        <v>6</v>
      </c>
      <c r="C80" s="1068" t="s">
        <v>1189</v>
      </c>
      <c r="D80" s="1085" t="s">
        <v>278</v>
      </c>
      <c r="E80" s="1068" t="s">
        <v>147</v>
      </c>
      <c r="F80" s="1085" t="s">
        <v>1194</v>
      </c>
      <c r="G80" s="1068" t="s">
        <v>1195</v>
      </c>
      <c r="H80" s="1089" t="s">
        <v>123</v>
      </c>
      <c r="I80" s="1078">
        <v>1</v>
      </c>
      <c r="J80" s="1085" t="s">
        <v>1196</v>
      </c>
      <c r="K80" s="1068" t="s">
        <v>1197</v>
      </c>
      <c r="L80" s="529">
        <v>0</v>
      </c>
      <c r="M80" s="1078">
        <v>1</v>
      </c>
      <c r="N80" s="1068" t="s">
        <v>46</v>
      </c>
      <c r="O80" s="1068" t="s">
        <v>73</v>
      </c>
      <c r="P80" s="1068" t="s">
        <v>37</v>
      </c>
      <c r="Q80" s="1068" t="s">
        <v>40</v>
      </c>
      <c r="R80" s="1068" t="s">
        <v>228</v>
      </c>
      <c r="S80" s="1068" t="s">
        <v>1198</v>
      </c>
      <c r="T80" s="1068" t="s">
        <v>99</v>
      </c>
      <c r="U80" s="1078">
        <v>1</v>
      </c>
      <c r="V80" s="1071" t="str">
        <f>K80</f>
        <v>Realizar análisis de la situación actual de la Entidad de acuerdo a los dominios: (i) Estrategia de TI. (ii) Gobierno de TI. (iii) Gestión de la información. (iv) Gestión de sistemas de información. (v) Gestión de servicios tecnológicos. (vi) Uso y apropiación de TI</v>
      </c>
      <c r="W80" s="699">
        <f t="shared" si="80"/>
        <v>0</v>
      </c>
      <c r="X80" s="1086" t="s">
        <v>117</v>
      </c>
      <c r="Y80" s="1075">
        <v>0</v>
      </c>
      <c r="Z80" s="1072" t="str">
        <f>V80</f>
        <v>Realizar análisis de la situación actual de la Entidad de acuerdo a los dominios: (i) Estrategia de TI. (ii) Gobierno de TI. (iii) Gestión de la información. (iv) Gestión de sistemas de información. (v) Gestión de servicios tecnológicos. (vi) Uso y apropiación de TI</v>
      </c>
      <c r="AA80" s="529">
        <v>0</v>
      </c>
      <c r="AB80" s="738"/>
      <c r="AC80" s="739"/>
      <c r="AD80" s="1069" t="e">
        <f t="shared" si="81"/>
        <v>#DIV/0!</v>
      </c>
      <c r="AE80" s="1069" t="e">
        <f t="shared" si="82"/>
        <v>#DIV/0!</v>
      </c>
      <c r="AF80" s="1069">
        <f t="shared" si="83"/>
        <v>0</v>
      </c>
      <c r="AG80" s="1069" t="e">
        <f t="shared" si="84"/>
        <v>#DIV/0!</v>
      </c>
      <c r="AH80" s="1068"/>
      <c r="AI80" s="1075">
        <v>0</v>
      </c>
      <c r="AJ80" s="1072" t="str">
        <f>V80</f>
        <v>Realizar análisis de la situación actual de la Entidad de acuerdo a los dominios: (i) Estrategia de TI. (ii) Gobierno de TI. (iii) Gestión de la información. (iv) Gestión de sistemas de información. (v) Gestión de servicios tecnológicos. (vi) Uso y apropiación de TI</v>
      </c>
      <c r="AK80" s="529">
        <v>0</v>
      </c>
      <c r="AL80" s="700"/>
      <c r="AM80" s="700"/>
      <c r="AN80" s="1069" t="e">
        <f t="shared" si="85"/>
        <v>#DIV/0!</v>
      </c>
      <c r="AO80" s="1069" t="e">
        <f t="shared" si="86"/>
        <v>#DIV/0!</v>
      </c>
      <c r="AP80" s="1069">
        <f t="shared" si="87"/>
        <v>0</v>
      </c>
      <c r="AQ80" s="1069" t="e">
        <f t="shared" ref="AQ80:AQ90" si="104">+(AM80+AC80)/W80</f>
        <v>#DIV/0!</v>
      </c>
      <c r="AR80" s="845"/>
      <c r="AS80" s="1075">
        <v>0.75</v>
      </c>
      <c r="AT80" s="1072" t="str">
        <f>V80</f>
        <v>Realizar análisis de la situación actual de la Entidad de acuerdo a los dominios: (i) Estrategia de TI. (ii) Gobierno de TI. (iii) Gestión de la información. (iv) Gestión de sistemas de información. (v) Gestión de servicios tecnológicos. (vi) Uso y apropiación de TI</v>
      </c>
      <c r="AU80" s="529">
        <v>0</v>
      </c>
      <c r="AV80" s="929">
        <v>0</v>
      </c>
      <c r="AW80" s="930">
        <v>0</v>
      </c>
      <c r="AX80" s="1069">
        <f t="shared" si="88"/>
        <v>0</v>
      </c>
      <c r="AY80" s="1069" t="e">
        <f t="shared" si="89"/>
        <v>#DIV/0!</v>
      </c>
      <c r="AZ80" s="1069">
        <f t="shared" si="90"/>
        <v>0</v>
      </c>
      <c r="BA80" s="1069" t="e">
        <f t="shared" si="91"/>
        <v>#DIV/0!</v>
      </c>
      <c r="BB80" s="1665" t="s">
        <v>1991</v>
      </c>
      <c r="BC80" s="1075">
        <v>0.25</v>
      </c>
      <c r="BD80" s="1072" t="str">
        <f>V80</f>
        <v>Realizar análisis de la situación actual de la Entidad de acuerdo a los dominios: (i) Estrategia de TI. (ii) Gobierno de TI. (iii) Gestión de la información. (iv) Gestión de sistemas de información. (v) Gestión de servicios tecnológicos. (vi) Uso y apropiación de TI</v>
      </c>
      <c r="BE80" s="529">
        <v>0</v>
      </c>
      <c r="BF80" s="1100">
        <v>1</v>
      </c>
      <c r="BG80" s="744">
        <v>0</v>
      </c>
      <c r="BH80" s="1075">
        <f t="shared" si="92"/>
        <v>4</v>
      </c>
      <c r="BI80" s="1075" t="e">
        <f t="shared" si="93"/>
        <v>#DIV/0!</v>
      </c>
      <c r="BJ80" s="1075">
        <f t="shared" si="94"/>
        <v>1</v>
      </c>
      <c r="BK80" s="1075" t="e">
        <f t="shared" si="95"/>
        <v>#DIV/0!</v>
      </c>
      <c r="BL80" s="1053" t="s">
        <v>2190</v>
      </c>
      <c r="BM80" s="708" t="str">
        <f t="shared" si="96"/>
        <v>No Prog ni Ejec</v>
      </c>
      <c r="BN80" s="708" t="str">
        <f t="shared" si="97"/>
        <v>No Prog ni Ejec</v>
      </c>
      <c r="BO80" s="708" t="str">
        <f t="shared" si="98"/>
        <v>No Prog ni Ejec</v>
      </c>
      <c r="BP80" s="708" t="str">
        <f t="shared" si="99"/>
        <v>No Prog ni Ejec</v>
      </c>
      <c r="BQ80" s="708">
        <f t="shared" si="100"/>
        <v>0</v>
      </c>
      <c r="BR80" s="708" t="str">
        <f t="shared" si="101"/>
        <v>No Prog ni Ejec</v>
      </c>
      <c r="BS80" s="708">
        <f t="shared" si="102"/>
        <v>4</v>
      </c>
      <c r="BT80" s="829" t="str">
        <f t="shared" si="103"/>
        <v>No Prog ni Ejec</v>
      </c>
    </row>
    <row r="81" spans="1:72" ht="315" x14ac:dyDescent="0.25">
      <c r="A81" s="1091">
        <v>11600</v>
      </c>
      <c r="B81" s="1068" t="s">
        <v>6</v>
      </c>
      <c r="C81" s="1068" t="s">
        <v>1189</v>
      </c>
      <c r="D81" s="1085" t="s">
        <v>278</v>
      </c>
      <c r="E81" s="1068" t="s">
        <v>147</v>
      </c>
      <c r="F81" s="1085" t="s">
        <v>1199</v>
      </c>
      <c r="G81" s="1068" t="s">
        <v>1200</v>
      </c>
      <c r="H81" s="1089" t="s">
        <v>123</v>
      </c>
      <c r="I81" s="1078">
        <v>1</v>
      </c>
      <c r="J81" s="1085" t="s">
        <v>1201</v>
      </c>
      <c r="K81" s="1068" t="s">
        <v>1202</v>
      </c>
      <c r="L81" s="529">
        <v>0</v>
      </c>
      <c r="M81" s="1078">
        <v>1</v>
      </c>
      <c r="N81" s="1068" t="s">
        <v>46</v>
      </c>
      <c r="O81" s="1068" t="s">
        <v>73</v>
      </c>
      <c r="P81" s="1068" t="s">
        <v>37</v>
      </c>
      <c r="Q81" s="1068" t="s">
        <v>40</v>
      </c>
      <c r="R81" s="1068" t="s">
        <v>228</v>
      </c>
      <c r="S81" s="1068" t="s">
        <v>1203</v>
      </c>
      <c r="T81" s="1068" t="s">
        <v>99</v>
      </c>
      <c r="U81" s="1078">
        <v>1</v>
      </c>
      <c r="V81" s="1071" t="str">
        <f>K81</f>
        <v>Construir visión estratégica de TI alineada a la visión estratégica de la Entidad, el sector y el Plan Nacional de Desarrollo.</v>
      </c>
      <c r="W81" s="699">
        <f t="shared" si="80"/>
        <v>0</v>
      </c>
      <c r="X81" s="1086" t="s">
        <v>117</v>
      </c>
      <c r="Y81" s="1075">
        <v>0</v>
      </c>
      <c r="Z81" s="1072" t="str">
        <f>V81</f>
        <v>Construir visión estratégica de TI alineada a la visión estratégica de la Entidad, el sector y el Plan Nacional de Desarrollo.</v>
      </c>
      <c r="AA81" s="529">
        <v>0</v>
      </c>
      <c r="AB81" s="738"/>
      <c r="AC81" s="739"/>
      <c r="AD81" s="1069" t="e">
        <f t="shared" si="81"/>
        <v>#DIV/0!</v>
      </c>
      <c r="AE81" s="1069" t="e">
        <f t="shared" si="82"/>
        <v>#DIV/0!</v>
      </c>
      <c r="AF81" s="1069">
        <f t="shared" si="83"/>
        <v>0</v>
      </c>
      <c r="AG81" s="1069" t="e">
        <f t="shared" si="84"/>
        <v>#DIV/0!</v>
      </c>
      <c r="AH81" s="1068"/>
      <c r="AI81" s="1075">
        <v>0</v>
      </c>
      <c r="AJ81" s="1072" t="str">
        <f>V81</f>
        <v>Construir visión estratégica de TI alineada a la visión estratégica de la Entidad, el sector y el Plan Nacional de Desarrollo.</v>
      </c>
      <c r="AK81" s="529">
        <v>0</v>
      </c>
      <c r="AL81" s="700"/>
      <c r="AM81" s="700"/>
      <c r="AN81" s="1069" t="e">
        <f t="shared" si="85"/>
        <v>#DIV/0!</v>
      </c>
      <c r="AO81" s="1069" t="e">
        <f t="shared" si="86"/>
        <v>#DIV/0!</v>
      </c>
      <c r="AP81" s="1069">
        <f t="shared" si="87"/>
        <v>0</v>
      </c>
      <c r="AQ81" s="1069" t="e">
        <f t="shared" si="104"/>
        <v>#DIV/0!</v>
      </c>
      <c r="AR81" s="845"/>
      <c r="AS81" s="1075">
        <v>0</v>
      </c>
      <c r="AT81" s="1072" t="str">
        <f>V81</f>
        <v>Construir visión estratégica de TI alineada a la visión estratégica de la Entidad, el sector y el Plan Nacional de Desarrollo.</v>
      </c>
      <c r="AU81" s="529">
        <v>0</v>
      </c>
      <c r="AV81" s="929">
        <v>0</v>
      </c>
      <c r="AW81" s="930">
        <v>0</v>
      </c>
      <c r="AX81" s="1069" t="e">
        <f t="shared" si="88"/>
        <v>#DIV/0!</v>
      </c>
      <c r="AY81" s="1069" t="e">
        <f t="shared" si="89"/>
        <v>#DIV/0!</v>
      </c>
      <c r="AZ81" s="1069">
        <f t="shared" si="90"/>
        <v>0</v>
      </c>
      <c r="BA81" s="1069" t="e">
        <f t="shared" si="91"/>
        <v>#DIV/0!</v>
      </c>
      <c r="BB81" s="1665" t="s">
        <v>1991</v>
      </c>
      <c r="BC81" s="1075">
        <v>1</v>
      </c>
      <c r="BD81" s="1072" t="str">
        <f>V81</f>
        <v>Construir visión estratégica de TI alineada a la visión estratégica de la Entidad, el sector y el Plan Nacional de Desarrollo.</v>
      </c>
      <c r="BE81" s="529">
        <v>0</v>
      </c>
      <c r="BF81" s="1669">
        <v>1</v>
      </c>
      <c r="BG81" s="744">
        <v>0</v>
      </c>
      <c r="BH81" s="1075">
        <f t="shared" si="92"/>
        <v>1</v>
      </c>
      <c r="BI81" s="1075" t="e">
        <f t="shared" si="93"/>
        <v>#DIV/0!</v>
      </c>
      <c r="BJ81" s="1075">
        <f t="shared" si="94"/>
        <v>1</v>
      </c>
      <c r="BK81" s="1075" t="e">
        <f t="shared" si="95"/>
        <v>#DIV/0!</v>
      </c>
      <c r="BL81" s="1053" t="s">
        <v>2190</v>
      </c>
      <c r="BM81" s="708" t="str">
        <f t="shared" si="96"/>
        <v>No Prog ni Ejec</v>
      </c>
      <c r="BN81" s="708" t="str">
        <f t="shared" si="97"/>
        <v>No Prog ni Ejec</v>
      </c>
      <c r="BO81" s="708" t="str">
        <f t="shared" si="98"/>
        <v>No Prog ni Ejec</v>
      </c>
      <c r="BP81" s="708" t="str">
        <f t="shared" si="99"/>
        <v>No Prog ni Ejec</v>
      </c>
      <c r="BQ81" s="708" t="str">
        <f t="shared" si="100"/>
        <v>No Prog ni Ejec</v>
      </c>
      <c r="BR81" s="708" t="str">
        <f t="shared" si="101"/>
        <v>No Prog ni Ejec</v>
      </c>
      <c r="BS81" s="708">
        <f t="shared" si="102"/>
        <v>1</v>
      </c>
      <c r="BT81" s="829" t="str">
        <f t="shared" si="103"/>
        <v>No Prog ni Ejec</v>
      </c>
    </row>
    <row r="82" spans="1:72" ht="114.75" customHeight="1" x14ac:dyDescent="0.25">
      <c r="A82" s="1091">
        <v>11600</v>
      </c>
      <c r="B82" s="1068" t="s">
        <v>6</v>
      </c>
      <c r="C82" s="1068" t="s">
        <v>1189</v>
      </c>
      <c r="D82" s="1085" t="s">
        <v>278</v>
      </c>
      <c r="E82" s="1068" t="s">
        <v>147</v>
      </c>
      <c r="F82" s="1085" t="s">
        <v>1204</v>
      </c>
      <c r="G82" s="1068" t="s">
        <v>1205</v>
      </c>
      <c r="H82" s="1089" t="s">
        <v>123</v>
      </c>
      <c r="I82" s="1078">
        <v>1</v>
      </c>
      <c r="J82" s="1085" t="s">
        <v>1206</v>
      </c>
      <c r="K82" s="1068" t="s">
        <v>1207</v>
      </c>
      <c r="L82" s="529">
        <v>0</v>
      </c>
      <c r="M82" s="1078">
        <v>1</v>
      </c>
      <c r="N82" s="1068" t="s">
        <v>46</v>
      </c>
      <c r="O82" s="1068" t="s">
        <v>73</v>
      </c>
      <c r="P82" s="1068" t="s">
        <v>37</v>
      </c>
      <c r="Q82" s="1068" t="s">
        <v>40</v>
      </c>
      <c r="R82" s="1068" t="s">
        <v>228</v>
      </c>
      <c r="S82" s="1068" t="s">
        <v>1208</v>
      </c>
      <c r="T82" s="1068" t="s">
        <v>99</v>
      </c>
      <c r="U82" s="1078">
        <v>1</v>
      </c>
      <c r="V82" s="1071" t="str">
        <f>K82</f>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W82" s="699">
        <f t="shared" si="80"/>
        <v>0</v>
      </c>
      <c r="X82" s="1086" t="s">
        <v>117</v>
      </c>
      <c r="Y82" s="1075">
        <v>0</v>
      </c>
      <c r="Z82" s="1072" t="str">
        <f>V82</f>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AA82" s="529">
        <v>0</v>
      </c>
      <c r="AB82" s="738"/>
      <c r="AC82" s="739"/>
      <c r="AD82" s="1069" t="e">
        <f t="shared" si="81"/>
        <v>#DIV/0!</v>
      </c>
      <c r="AE82" s="1069" t="e">
        <f t="shared" si="82"/>
        <v>#DIV/0!</v>
      </c>
      <c r="AF82" s="1069">
        <f t="shared" si="83"/>
        <v>0</v>
      </c>
      <c r="AG82" s="1069" t="e">
        <f t="shared" si="84"/>
        <v>#DIV/0!</v>
      </c>
      <c r="AH82" s="1068"/>
      <c r="AI82" s="1075">
        <v>0</v>
      </c>
      <c r="AJ82" s="1072" t="str">
        <f>V82</f>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AK82" s="529">
        <v>0</v>
      </c>
      <c r="AL82" s="700"/>
      <c r="AM82" s="700"/>
      <c r="AN82" s="1069" t="e">
        <f t="shared" si="85"/>
        <v>#DIV/0!</v>
      </c>
      <c r="AO82" s="1069" t="e">
        <f t="shared" si="86"/>
        <v>#DIV/0!</v>
      </c>
      <c r="AP82" s="1069">
        <f t="shared" si="87"/>
        <v>0</v>
      </c>
      <c r="AQ82" s="1069" t="e">
        <f t="shared" si="104"/>
        <v>#DIV/0!</v>
      </c>
      <c r="AR82" s="845"/>
      <c r="AS82" s="1075">
        <v>0</v>
      </c>
      <c r="AT82" s="1072" t="str">
        <f>V82</f>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AU82" s="529">
        <v>0</v>
      </c>
      <c r="AV82" s="929">
        <v>0</v>
      </c>
      <c r="AW82" s="930">
        <v>0</v>
      </c>
      <c r="AX82" s="1069" t="e">
        <f t="shared" si="88"/>
        <v>#DIV/0!</v>
      </c>
      <c r="AY82" s="1069" t="e">
        <f t="shared" si="89"/>
        <v>#DIV/0!</v>
      </c>
      <c r="AZ82" s="1069">
        <f t="shared" si="90"/>
        <v>0</v>
      </c>
      <c r="BA82" s="1069" t="e">
        <f t="shared" si="91"/>
        <v>#DIV/0!</v>
      </c>
      <c r="BB82" s="1665" t="s">
        <v>1991</v>
      </c>
      <c r="BC82" s="1075">
        <v>1</v>
      </c>
      <c r="BD82" s="1072" t="str">
        <f>V82</f>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BE82" s="529">
        <v>0</v>
      </c>
      <c r="BF82" s="1669">
        <v>1</v>
      </c>
      <c r="BG82" s="744">
        <v>0</v>
      </c>
      <c r="BH82" s="1075">
        <f t="shared" si="92"/>
        <v>1</v>
      </c>
      <c r="BI82" s="1075" t="e">
        <f t="shared" si="93"/>
        <v>#DIV/0!</v>
      </c>
      <c r="BJ82" s="1075">
        <f t="shared" si="94"/>
        <v>1</v>
      </c>
      <c r="BK82" s="1075" t="e">
        <f t="shared" si="95"/>
        <v>#DIV/0!</v>
      </c>
      <c r="BL82" s="1053" t="s">
        <v>2190</v>
      </c>
      <c r="BM82" s="708" t="str">
        <f t="shared" si="96"/>
        <v>No Prog ni Ejec</v>
      </c>
      <c r="BN82" s="708" t="str">
        <f t="shared" si="97"/>
        <v>No Prog ni Ejec</v>
      </c>
      <c r="BO82" s="708" t="str">
        <f t="shared" si="98"/>
        <v>No Prog ni Ejec</v>
      </c>
      <c r="BP82" s="708" t="str">
        <f t="shared" si="99"/>
        <v>No Prog ni Ejec</v>
      </c>
      <c r="BQ82" s="708" t="str">
        <f t="shared" si="100"/>
        <v>No Prog ni Ejec</v>
      </c>
      <c r="BR82" s="708" t="str">
        <f t="shared" si="101"/>
        <v>No Prog ni Ejec</v>
      </c>
      <c r="BS82" s="708">
        <f t="shared" si="102"/>
        <v>1</v>
      </c>
      <c r="BT82" s="829" t="str">
        <f t="shared" si="103"/>
        <v>No Prog ni Ejec</v>
      </c>
    </row>
    <row r="83" spans="1:72" ht="210" x14ac:dyDescent="0.25">
      <c r="A83" s="1091">
        <v>11600</v>
      </c>
      <c r="B83" s="1068" t="s">
        <v>6</v>
      </c>
      <c r="C83" s="1068" t="s">
        <v>1209</v>
      </c>
      <c r="D83" s="1085" t="s">
        <v>278</v>
      </c>
      <c r="E83" s="1068" t="s">
        <v>147</v>
      </c>
      <c r="F83" s="1085" t="s">
        <v>1210</v>
      </c>
      <c r="G83" s="1068" t="s">
        <v>287</v>
      </c>
      <c r="H83" s="1089" t="s">
        <v>123</v>
      </c>
      <c r="I83" s="1075">
        <v>1</v>
      </c>
      <c r="J83" s="1085" t="s">
        <v>1211</v>
      </c>
      <c r="K83" s="1068" t="s">
        <v>1212</v>
      </c>
      <c r="L83" s="529">
        <v>180000000</v>
      </c>
      <c r="M83" s="1078">
        <v>1</v>
      </c>
      <c r="N83" s="1068" t="s">
        <v>46</v>
      </c>
      <c r="O83" s="1068" t="s">
        <v>73</v>
      </c>
      <c r="P83" s="1068" t="s">
        <v>37</v>
      </c>
      <c r="Q83" s="1068" t="s">
        <v>40</v>
      </c>
      <c r="R83" s="1068" t="s">
        <v>228</v>
      </c>
      <c r="S83" s="1068" t="s">
        <v>634</v>
      </c>
      <c r="T83" s="1068" t="s">
        <v>99</v>
      </c>
      <c r="U83" s="1078">
        <v>1</v>
      </c>
      <c r="V83" s="1071" t="str">
        <f>+K83</f>
        <v>Adquirir bienes y/o servicios para la seguridad de la información, para la adopción de IPV6 y Protocolos de seguridad de la información en el área de Tesorería de la Entidad</v>
      </c>
      <c r="W83" s="699">
        <f t="shared" si="80"/>
        <v>180000000</v>
      </c>
      <c r="X83" s="998" t="s">
        <v>114</v>
      </c>
      <c r="Y83" s="1075">
        <v>0</v>
      </c>
      <c r="Z83" s="1086" t="s">
        <v>287</v>
      </c>
      <c r="AA83" s="529">
        <v>0</v>
      </c>
      <c r="AB83" s="806"/>
      <c r="AC83" s="739"/>
      <c r="AD83" s="1069" t="e">
        <f t="shared" si="81"/>
        <v>#DIV/0!</v>
      </c>
      <c r="AE83" s="1069" t="e">
        <f t="shared" si="82"/>
        <v>#DIV/0!</v>
      </c>
      <c r="AF83" s="1069">
        <f t="shared" si="83"/>
        <v>0</v>
      </c>
      <c r="AG83" s="1069">
        <f t="shared" si="84"/>
        <v>0</v>
      </c>
      <c r="AH83" s="1068"/>
      <c r="AI83" s="1075">
        <v>0</v>
      </c>
      <c r="AJ83" s="1086" t="s">
        <v>287</v>
      </c>
      <c r="AK83" s="529">
        <v>0</v>
      </c>
      <c r="AL83" s="700"/>
      <c r="AM83" s="700"/>
      <c r="AN83" s="1069" t="e">
        <f t="shared" si="85"/>
        <v>#DIV/0!</v>
      </c>
      <c r="AO83" s="1069" t="e">
        <f t="shared" si="86"/>
        <v>#DIV/0!</v>
      </c>
      <c r="AP83" s="1069">
        <f t="shared" si="87"/>
        <v>0</v>
      </c>
      <c r="AQ83" s="1069">
        <f t="shared" si="104"/>
        <v>0</v>
      </c>
      <c r="AR83" s="845"/>
      <c r="AS83" s="1075">
        <v>0.6</v>
      </c>
      <c r="AT83" s="1086" t="s">
        <v>287</v>
      </c>
      <c r="AU83" s="529">
        <f>+W83*AS83</f>
        <v>108000000</v>
      </c>
      <c r="AV83" s="938">
        <v>0</v>
      </c>
      <c r="AW83" s="930">
        <v>0</v>
      </c>
      <c r="AX83" s="1069">
        <f t="shared" si="88"/>
        <v>0</v>
      </c>
      <c r="AY83" s="1069">
        <f t="shared" si="89"/>
        <v>0</v>
      </c>
      <c r="AZ83" s="1069">
        <f t="shared" si="90"/>
        <v>0</v>
      </c>
      <c r="BA83" s="1069">
        <f t="shared" si="91"/>
        <v>0</v>
      </c>
      <c r="BB83" s="1665" t="s">
        <v>1992</v>
      </c>
      <c r="BC83" s="1075">
        <v>0.4</v>
      </c>
      <c r="BD83" s="1086" t="s">
        <v>287</v>
      </c>
      <c r="BE83" s="529">
        <f>+W83*BC83</f>
        <v>72000000</v>
      </c>
      <c r="BF83" s="1067">
        <v>0</v>
      </c>
      <c r="BG83" s="744">
        <v>0</v>
      </c>
      <c r="BH83" s="1075">
        <f t="shared" si="92"/>
        <v>0</v>
      </c>
      <c r="BI83" s="1075">
        <f t="shared" si="93"/>
        <v>0</v>
      </c>
      <c r="BJ83" s="1075">
        <f t="shared" si="94"/>
        <v>0</v>
      </c>
      <c r="BK83" s="1075">
        <f t="shared" si="95"/>
        <v>0</v>
      </c>
      <c r="BL83" s="1053" t="s">
        <v>2191</v>
      </c>
      <c r="BM83" s="708" t="str">
        <f t="shared" si="96"/>
        <v>No Prog ni Ejec</v>
      </c>
      <c r="BN83" s="708" t="str">
        <f t="shared" si="97"/>
        <v>No Prog ni Ejec</v>
      </c>
      <c r="BO83" s="708" t="str">
        <f t="shared" si="98"/>
        <v>No Prog ni Ejec</v>
      </c>
      <c r="BP83" s="708" t="str">
        <f t="shared" si="99"/>
        <v>No Prog ni Ejec</v>
      </c>
      <c r="BQ83" s="708">
        <f t="shared" si="100"/>
        <v>0</v>
      </c>
      <c r="BR83" s="708">
        <f t="shared" si="101"/>
        <v>0</v>
      </c>
      <c r="BS83" s="708">
        <f t="shared" si="102"/>
        <v>0</v>
      </c>
      <c r="BT83" s="829">
        <f t="shared" si="103"/>
        <v>0</v>
      </c>
    </row>
    <row r="84" spans="1:72" ht="105" x14ac:dyDescent="0.25">
      <c r="A84" s="1091">
        <v>11600</v>
      </c>
      <c r="B84" s="1068" t="s">
        <v>6</v>
      </c>
      <c r="C84" s="1068" t="s">
        <v>1234</v>
      </c>
      <c r="D84" s="1085" t="s">
        <v>278</v>
      </c>
      <c r="E84" s="1068" t="s">
        <v>147</v>
      </c>
      <c r="F84" s="1085" t="s">
        <v>1249</v>
      </c>
      <c r="G84" s="1068" t="s">
        <v>1248</v>
      </c>
      <c r="H84" s="1089" t="s">
        <v>123</v>
      </c>
      <c r="I84" s="741">
        <v>1</v>
      </c>
      <c r="J84" s="1085" t="s">
        <v>1247</v>
      </c>
      <c r="K84" s="1068" t="s">
        <v>1246</v>
      </c>
      <c r="L84" s="529">
        <v>0</v>
      </c>
      <c r="M84" s="1078">
        <v>1</v>
      </c>
      <c r="N84" s="1068" t="s">
        <v>46</v>
      </c>
      <c r="O84" s="1068" t="s">
        <v>73</v>
      </c>
      <c r="P84" s="1068" t="s">
        <v>37</v>
      </c>
      <c r="Q84" s="1068" t="s">
        <v>40</v>
      </c>
      <c r="R84" s="1068" t="s">
        <v>228</v>
      </c>
      <c r="S84" s="1068" t="s">
        <v>1245</v>
      </c>
      <c r="T84" s="1068" t="s">
        <v>99</v>
      </c>
      <c r="U84" s="741">
        <v>1</v>
      </c>
      <c r="V84" s="1071" t="str">
        <f t="shared" ref="V84:V90" si="105">K84</f>
        <v>Consolidar inventario de activos de información de la Entidad</v>
      </c>
      <c r="W84" s="699">
        <f t="shared" si="80"/>
        <v>0</v>
      </c>
      <c r="X84" s="1086" t="s">
        <v>117</v>
      </c>
      <c r="Y84" s="1075">
        <v>0</v>
      </c>
      <c r="Z84" s="1072" t="str">
        <f t="shared" ref="Z84:Z90" si="106">V84</f>
        <v>Consolidar inventario de activos de información de la Entidad</v>
      </c>
      <c r="AA84" s="529">
        <v>0</v>
      </c>
      <c r="AB84" s="738"/>
      <c r="AC84" s="739"/>
      <c r="AD84" s="1069" t="e">
        <f t="shared" si="81"/>
        <v>#DIV/0!</v>
      </c>
      <c r="AE84" s="1069" t="e">
        <f t="shared" si="82"/>
        <v>#DIV/0!</v>
      </c>
      <c r="AF84" s="1069">
        <f t="shared" si="83"/>
        <v>0</v>
      </c>
      <c r="AG84" s="1069" t="e">
        <f t="shared" si="84"/>
        <v>#DIV/0!</v>
      </c>
      <c r="AH84" s="1068"/>
      <c r="AI84" s="1078">
        <v>0.75</v>
      </c>
      <c r="AJ84" s="1072" t="str">
        <f t="shared" ref="AJ84:AJ90" si="107">V84</f>
        <v>Consolidar inventario de activos de información de la Entidad</v>
      </c>
      <c r="AK84" s="529">
        <v>0</v>
      </c>
      <c r="AL84" s="700"/>
      <c r="AM84" s="700"/>
      <c r="AN84" s="1069">
        <f t="shared" si="85"/>
        <v>0</v>
      </c>
      <c r="AO84" s="1069" t="e">
        <f t="shared" si="86"/>
        <v>#DIV/0!</v>
      </c>
      <c r="AP84" s="1069">
        <f t="shared" si="87"/>
        <v>0</v>
      </c>
      <c r="AQ84" s="1069" t="e">
        <f t="shared" si="104"/>
        <v>#DIV/0!</v>
      </c>
      <c r="AR84" s="845"/>
      <c r="AS84" s="1078">
        <v>0.25</v>
      </c>
      <c r="AT84" s="1072" t="str">
        <f t="shared" ref="AT84:AT90" si="108">V84</f>
        <v>Consolidar inventario de activos de información de la Entidad</v>
      </c>
      <c r="AU84" s="529">
        <v>0</v>
      </c>
      <c r="AV84" s="932">
        <v>1</v>
      </c>
      <c r="AW84" s="930">
        <v>0</v>
      </c>
      <c r="AX84" s="1069">
        <f t="shared" si="88"/>
        <v>4</v>
      </c>
      <c r="AY84" s="1069" t="e">
        <f t="shared" si="89"/>
        <v>#DIV/0!</v>
      </c>
      <c r="AZ84" s="1069">
        <f t="shared" si="90"/>
        <v>1</v>
      </c>
      <c r="BA84" s="1069" t="e">
        <f t="shared" si="91"/>
        <v>#DIV/0!</v>
      </c>
      <c r="BB84" s="1665" t="s">
        <v>2303</v>
      </c>
      <c r="BC84" s="1078">
        <v>0</v>
      </c>
      <c r="BD84" s="1072" t="str">
        <f t="shared" ref="BD84:BD90" si="109">V84</f>
        <v>Consolidar inventario de activos de información de la Entidad</v>
      </c>
      <c r="BE84" s="529">
        <v>0</v>
      </c>
      <c r="BF84" s="1100">
        <v>0</v>
      </c>
      <c r="BG84" s="744">
        <v>0</v>
      </c>
      <c r="BH84" s="1075" t="e">
        <f t="shared" si="92"/>
        <v>#DIV/0!</v>
      </c>
      <c r="BI84" s="1075" t="e">
        <f t="shared" si="93"/>
        <v>#DIV/0!</v>
      </c>
      <c r="BJ84" s="1075">
        <f t="shared" si="94"/>
        <v>1</v>
      </c>
      <c r="BK84" s="1075" t="e">
        <f t="shared" si="95"/>
        <v>#DIV/0!</v>
      </c>
      <c r="BL84" s="1053" t="s">
        <v>2257</v>
      </c>
      <c r="BM84" s="742" t="str">
        <f t="shared" si="96"/>
        <v>No Prog ni Ejec</v>
      </c>
      <c r="BN84" s="742" t="str">
        <f t="shared" si="97"/>
        <v>No Prog ni Ejec</v>
      </c>
      <c r="BO84" s="742">
        <f t="shared" si="98"/>
        <v>0</v>
      </c>
      <c r="BP84" s="742" t="str">
        <f t="shared" si="99"/>
        <v>No Prog ni Ejec</v>
      </c>
      <c r="BQ84" s="742">
        <f t="shared" si="100"/>
        <v>4</v>
      </c>
      <c r="BR84" s="742" t="str">
        <f t="shared" si="101"/>
        <v>No Prog ni Ejec</v>
      </c>
      <c r="BS84" s="742" t="str">
        <f t="shared" si="102"/>
        <v>No Prog ni Ejec</v>
      </c>
      <c r="BT84" s="830" t="str">
        <f t="shared" si="103"/>
        <v>No Prog ni Ejec</v>
      </c>
    </row>
    <row r="85" spans="1:72" ht="210" x14ac:dyDescent="0.25">
      <c r="A85" s="1091">
        <v>11600</v>
      </c>
      <c r="B85" s="1068" t="s">
        <v>6</v>
      </c>
      <c r="C85" s="1068" t="s">
        <v>1234</v>
      </c>
      <c r="D85" s="1085" t="s">
        <v>278</v>
      </c>
      <c r="E85" s="1068" t="s">
        <v>147</v>
      </c>
      <c r="F85" s="1085" t="s">
        <v>1244</v>
      </c>
      <c r="G85" s="1068" t="s">
        <v>1243</v>
      </c>
      <c r="H85" s="1089" t="s">
        <v>124</v>
      </c>
      <c r="I85" s="737">
        <v>1</v>
      </c>
      <c r="J85" s="1085" t="s">
        <v>1242</v>
      </c>
      <c r="K85" s="1068" t="s">
        <v>1241</v>
      </c>
      <c r="L85" s="529">
        <v>0</v>
      </c>
      <c r="M85" s="1078">
        <v>1</v>
      </c>
      <c r="N85" s="1068" t="s">
        <v>46</v>
      </c>
      <c r="O85" s="1068" t="s">
        <v>73</v>
      </c>
      <c r="P85" s="1068" t="s">
        <v>37</v>
      </c>
      <c r="Q85" s="1068" t="s">
        <v>40</v>
      </c>
      <c r="R85" s="1068" t="s">
        <v>228</v>
      </c>
      <c r="S85" s="1068" t="s">
        <v>1240</v>
      </c>
      <c r="T85" s="1068" t="s">
        <v>99</v>
      </c>
      <c r="U85" s="737">
        <v>1</v>
      </c>
      <c r="V85" s="1071" t="str">
        <f t="shared" si="105"/>
        <v>Realizar el reporte del instrumento de Registro de activos de Información, dentro del portal de la Entidad.</v>
      </c>
      <c r="W85" s="699">
        <f t="shared" si="80"/>
        <v>0</v>
      </c>
      <c r="X85" s="1086" t="s">
        <v>117</v>
      </c>
      <c r="Y85" s="1090">
        <v>0</v>
      </c>
      <c r="Z85" s="1072" t="str">
        <f t="shared" si="106"/>
        <v>Realizar el reporte del instrumento de Registro de activos de Información, dentro del portal de la Entidad.</v>
      </c>
      <c r="AA85" s="529">
        <v>0</v>
      </c>
      <c r="AB85" s="738"/>
      <c r="AC85" s="739"/>
      <c r="AD85" s="1069" t="e">
        <f t="shared" si="81"/>
        <v>#DIV/0!</v>
      </c>
      <c r="AE85" s="1069" t="e">
        <f t="shared" si="82"/>
        <v>#DIV/0!</v>
      </c>
      <c r="AF85" s="1069">
        <f t="shared" si="83"/>
        <v>0</v>
      </c>
      <c r="AG85" s="1069" t="e">
        <f t="shared" si="84"/>
        <v>#DIV/0!</v>
      </c>
      <c r="AH85" s="1068"/>
      <c r="AI85" s="740">
        <v>0</v>
      </c>
      <c r="AJ85" s="1072" t="str">
        <f t="shared" si="107"/>
        <v>Realizar el reporte del instrumento de Registro de activos de Información, dentro del portal de la Entidad.</v>
      </c>
      <c r="AK85" s="529">
        <v>0</v>
      </c>
      <c r="AL85" s="700"/>
      <c r="AM85" s="700"/>
      <c r="AN85" s="1069" t="e">
        <f t="shared" si="85"/>
        <v>#DIV/0!</v>
      </c>
      <c r="AO85" s="1069" t="e">
        <f t="shared" si="86"/>
        <v>#DIV/0!</v>
      </c>
      <c r="AP85" s="1069">
        <f t="shared" si="87"/>
        <v>0</v>
      </c>
      <c r="AQ85" s="1069" t="e">
        <f t="shared" si="104"/>
        <v>#DIV/0!</v>
      </c>
      <c r="AR85" s="845"/>
      <c r="AS85" s="737">
        <v>1</v>
      </c>
      <c r="AT85" s="1072" t="str">
        <f t="shared" si="108"/>
        <v>Realizar el reporte del instrumento de Registro de activos de Información, dentro del portal de la Entidad.</v>
      </c>
      <c r="AU85" s="529">
        <v>0</v>
      </c>
      <c r="AV85" s="929">
        <v>0</v>
      </c>
      <c r="AW85" s="930">
        <v>0</v>
      </c>
      <c r="AX85" s="1069">
        <f t="shared" si="88"/>
        <v>0</v>
      </c>
      <c r="AY85" s="1069" t="e">
        <f t="shared" si="89"/>
        <v>#DIV/0!</v>
      </c>
      <c r="AZ85" s="1069">
        <f t="shared" si="90"/>
        <v>0</v>
      </c>
      <c r="BA85" s="1069" t="e">
        <f t="shared" si="91"/>
        <v>#DIV/0!</v>
      </c>
      <c r="BB85" s="1665" t="s">
        <v>2304</v>
      </c>
      <c r="BC85" s="740">
        <v>0</v>
      </c>
      <c r="BD85" s="1072" t="str">
        <f t="shared" si="109"/>
        <v>Realizar el reporte del instrumento de Registro de activos de Información, dentro del portal de la Entidad.</v>
      </c>
      <c r="BE85" s="529">
        <v>0</v>
      </c>
      <c r="BF85" s="1067">
        <v>1</v>
      </c>
      <c r="BG85" s="744">
        <v>0</v>
      </c>
      <c r="BH85" s="1075" t="e">
        <f t="shared" si="92"/>
        <v>#DIV/0!</v>
      </c>
      <c r="BI85" s="1075" t="e">
        <f t="shared" si="93"/>
        <v>#DIV/0!</v>
      </c>
      <c r="BJ85" s="1075">
        <f t="shared" si="94"/>
        <v>1</v>
      </c>
      <c r="BK85" s="1075" t="e">
        <f t="shared" si="95"/>
        <v>#DIV/0!</v>
      </c>
      <c r="BL85" s="1053" t="s">
        <v>2192</v>
      </c>
      <c r="BM85" s="742" t="str">
        <f t="shared" si="96"/>
        <v>No Prog ni Ejec</v>
      </c>
      <c r="BN85" s="742" t="str">
        <f t="shared" si="97"/>
        <v>No Prog ni Ejec</v>
      </c>
      <c r="BO85" s="742" t="str">
        <f t="shared" si="98"/>
        <v>No Prog ni Ejec</v>
      </c>
      <c r="BP85" s="742" t="str">
        <f t="shared" si="99"/>
        <v>No Prog ni Ejec</v>
      </c>
      <c r="BQ85" s="742">
        <f t="shared" si="100"/>
        <v>0</v>
      </c>
      <c r="BR85" s="742" t="str">
        <f t="shared" si="101"/>
        <v>No Prog ni Ejec</v>
      </c>
      <c r="BS85" s="742" t="str">
        <f t="shared" si="102"/>
        <v>No Prog, Ejec=  1</v>
      </c>
      <c r="BT85" s="830" t="str">
        <f t="shared" si="103"/>
        <v>No Prog ni Ejec</v>
      </c>
    </row>
    <row r="86" spans="1:72" ht="165.75" x14ac:dyDescent="0.25">
      <c r="A86" s="1091">
        <v>11600</v>
      </c>
      <c r="B86" s="1068" t="s">
        <v>6</v>
      </c>
      <c r="C86" s="1068" t="s">
        <v>1234</v>
      </c>
      <c r="D86" s="1085" t="s">
        <v>278</v>
      </c>
      <c r="E86" s="1068" t="s">
        <v>147</v>
      </c>
      <c r="F86" s="1085" t="s">
        <v>1239</v>
      </c>
      <c r="G86" s="1068" t="s">
        <v>1238</v>
      </c>
      <c r="H86" s="1089" t="s">
        <v>124</v>
      </c>
      <c r="I86" s="737">
        <v>1</v>
      </c>
      <c r="J86" s="1085" t="s">
        <v>1237</v>
      </c>
      <c r="K86" s="1068" t="s">
        <v>1236</v>
      </c>
      <c r="L86" s="529">
        <v>0</v>
      </c>
      <c r="M86" s="1078">
        <v>1</v>
      </c>
      <c r="N86" s="1068" t="s">
        <v>46</v>
      </c>
      <c r="O86" s="1068" t="s">
        <v>73</v>
      </c>
      <c r="P86" s="1068" t="s">
        <v>37</v>
      </c>
      <c r="Q86" s="1068" t="s">
        <v>40</v>
      </c>
      <c r="R86" s="1068" t="s">
        <v>228</v>
      </c>
      <c r="S86" s="1068" t="s">
        <v>1235</v>
      </c>
      <c r="T86" s="1068" t="s">
        <v>99</v>
      </c>
      <c r="U86" s="737">
        <v>1</v>
      </c>
      <c r="V86" s="1071" t="str">
        <f t="shared" si="105"/>
        <v>Elaborar manual de políticas específicas de seguridad y privacidad de la información</v>
      </c>
      <c r="W86" s="699">
        <f t="shared" si="80"/>
        <v>0</v>
      </c>
      <c r="X86" s="1086" t="s">
        <v>117</v>
      </c>
      <c r="Y86" s="1090">
        <v>0</v>
      </c>
      <c r="Z86" s="1072" t="str">
        <f t="shared" si="106"/>
        <v>Elaborar manual de políticas específicas de seguridad y privacidad de la información</v>
      </c>
      <c r="AA86" s="529">
        <v>0</v>
      </c>
      <c r="AB86" s="738"/>
      <c r="AC86" s="739"/>
      <c r="AD86" s="1069" t="e">
        <f t="shared" si="81"/>
        <v>#DIV/0!</v>
      </c>
      <c r="AE86" s="1069" t="e">
        <f t="shared" si="82"/>
        <v>#DIV/0!</v>
      </c>
      <c r="AF86" s="1069">
        <f t="shared" si="83"/>
        <v>0</v>
      </c>
      <c r="AG86" s="1069" t="e">
        <f t="shared" si="84"/>
        <v>#DIV/0!</v>
      </c>
      <c r="AH86" s="1068"/>
      <c r="AI86" s="1090">
        <v>0</v>
      </c>
      <c r="AJ86" s="1072" t="str">
        <f t="shared" si="107"/>
        <v>Elaborar manual de políticas específicas de seguridad y privacidad de la información</v>
      </c>
      <c r="AK86" s="529">
        <v>0</v>
      </c>
      <c r="AL86" s="700"/>
      <c r="AM86" s="700"/>
      <c r="AN86" s="1069" t="e">
        <f t="shared" si="85"/>
        <v>#DIV/0!</v>
      </c>
      <c r="AO86" s="1069" t="e">
        <f t="shared" si="86"/>
        <v>#DIV/0!</v>
      </c>
      <c r="AP86" s="1069">
        <f t="shared" si="87"/>
        <v>0</v>
      </c>
      <c r="AQ86" s="1069" t="e">
        <f t="shared" si="104"/>
        <v>#DIV/0!</v>
      </c>
      <c r="AR86" s="845"/>
      <c r="AS86" s="740">
        <v>0</v>
      </c>
      <c r="AT86" s="1072" t="str">
        <f t="shared" si="108"/>
        <v>Elaborar manual de políticas específicas de seguridad y privacidad de la información</v>
      </c>
      <c r="AU86" s="529">
        <v>0</v>
      </c>
      <c r="AV86" s="929">
        <v>0</v>
      </c>
      <c r="AW86" s="930">
        <v>0</v>
      </c>
      <c r="AX86" s="1069" t="e">
        <f t="shared" si="88"/>
        <v>#DIV/0!</v>
      </c>
      <c r="AY86" s="1069" t="e">
        <f t="shared" si="89"/>
        <v>#DIV/0!</v>
      </c>
      <c r="AZ86" s="1069">
        <f t="shared" si="90"/>
        <v>0</v>
      </c>
      <c r="BA86" s="1069" t="e">
        <f t="shared" si="91"/>
        <v>#DIV/0!</v>
      </c>
      <c r="BB86" s="1665" t="s">
        <v>2305</v>
      </c>
      <c r="BC86" s="740">
        <v>1</v>
      </c>
      <c r="BD86" s="1072" t="str">
        <f t="shared" si="109"/>
        <v>Elaborar manual de políticas específicas de seguridad y privacidad de la información</v>
      </c>
      <c r="BE86" s="529">
        <v>0</v>
      </c>
      <c r="BF86" s="1680">
        <v>1</v>
      </c>
      <c r="BG86" s="744">
        <v>0</v>
      </c>
      <c r="BH86" s="1075">
        <f t="shared" si="92"/>
        <v>1</v>
      </c>
      <c r="BI86" s="1075" t="e">
        <f t="shared" si="93"/>
        <v>#DIV/0!</v>
      </c>
      <c r="BJ86" s="1075">
        <f t="shared" si="94"/>
        <v>1</v>
      </c>
      <c r="BK86" s="1075" t="e">
        <f t="shared" si="95"/>
        <v>#DIV/0!</v>
      </c>
      <c r="BL86" s="1053" t="s">
        <v>2193</v>
      </c>
      <c r="BM86" s="742" t="str">
        <f t="shared" si="96"/>
        <v>No Prog ni Ejec</v>
      </c>
      <c r="BN86" s="742" t="str">
        <f t="shared" si="97"/>
        <v>No Prog ni Ejec</v>
      </c>
      <c r="BO86" s="742" t="str">
        <f t="shared" si="98"/>
        <v>No Prog ni Ejec</v>
      </c>
      <c r="BP86" s="742" t="str">
        <f t="shared" si="99"/>
        <v>No Prog ni Ejec</v>
      </c>
      <c r="BQ86" s="742" t="str">
        <f t="shared" si="100"/>
        <v>No Prog ni Ejec</v>
      </c>
      <c r="BR86" s="742" t="str">
        <f t="shared" si="101"/>
        <v>No Prog ni Ejec</v>
      </c>
      <c r="BS86" s="742">
        <f t="shared" si="102"/>
        <v>1</v>
      </c>
      <c r="BT86" s="830" t="str">
        <f t="shared" si="103"/>
        <v>No Prog ni Ejec</v>
      </c>
    </row>
    <row r="87" spans="1:72" ht="225" x14ac:dyDescent="0.25">
      <c r="A87" s="1091">
        <v>11600</v>
      </c>
      <c r="B87" s="1068" t="s">
        <v>6</v>
      </c>
      <c r="C87" s="1068" t="s">
        <v>1234</v>
      </c>
      <c r="D87" s="1085" t="s">
        <v>278</v>
      </c>
      <c r="E87" s="1068" t="s">
        <v>147</v>
      </c>
      <c r="F87" s="1085" t="s">
        <v>1233</v>
      </c>
      <c r="G87" s="1068" t="s">
        <v>1232</v>
      </c>
      <c r="H87" s="1089" t="s">
        <v>123</v>
      </c>
      <c r="I87" s="741">
        <v>1</v>
      </c>
      <c r="J87" s="1085" t="s">
        <v>1231</v>
      </c>
      <c r="K87" s="1068" t="s">
        <v>1230</v>
      </c>
      <c r="L87" s="529">
        <v>0</v>
      </c>
      <c r="M87" s="1078">
        <v>1</v>
      </c>
      <c r="N87" s="1068" t="s">
        <v>46</v>
      </c>
      <c r="O87" s="1068" t="s">
        <v>73</v>
      </c>
      <c r="P87" s="1068" t="s">
        <v>37</v>
      </c>
      <c r="Q87" s="1068" t="s">
        <v>40</v>
      </c>
      <c r="R87" s="1068" t="s">
        <v>228</v>
      </c>
      <c r="S87" s="1068" t="s">
        <v>1229</v>
      </c>
      <c r="T87" s="1068" t="s">
        <v>99</v>
      </c>
      <c r="U87" s="741">
        <v>1</v>
      </c>
      <c r="V87" s="1071" t="str">
        <f t="shared" si="105"/>
        <v>Revisar procedimientos de la dirección y validar su cumplimiento frente al Modelo de Seguridad y Privacidad de la información</v>
      </c>
      <c r="W87" s="699">
        <f t="shared" si="80"/>
        <v>0</v>
      </c>
      <c r="X87" s="1086" t="s">
        <v>117</v>
      </c>
      <c r="Y87" s="1075">
        <v>0</v>
      </c>
      <c r="Z87" s="1072" t="str">
        <f t="shared" si="106"/>
        <v>Revisar procedimientos de la dirección y validar su cumplimiento frente al Modelo de Seguridad y Privacidad de la información</v>
      </c>
      <c r="AA87" s="529">
        <v>0</v>
      </c>
      <c r="AB87" s="738"/>
      <c r="AC87" s="739"/>
      <c r="AD87" s="1069" t="e">
        <f t="shared" si="81"/>
        <v>#DIV/0!</v>
      </c>
      <c r="AE87" s="1069" t="e">
        <f t="shared" si="82"/>
        <v>#DIV/0!</v>
      </c>
      <c r="AF87" s="1069">
        <f t="shared" si="83"/>
        <v>0</v>
      </c>
      <c r="AG87" s="1069" t="e">
        <f t="shared" si="84"/>
        <v>#DIV/0!</v>
      </c>
      <c r="AH87" s="1068"/>
      <c r="AI87" s="1075">
        <v>0</v>
      </c>
      <c r="AJ87" s="1072" t="str">
        <f t="shared" si="107"/>
        <v>Revisar procedimientos de la dirección y validar su cumplimiento frente al Modelo de Seguridad y Privacidad de la información</v>
      </c>
      <c r="AK87" s="529">
        <v>0</v>
      </c>
      <c r="AL87" s="700"/>
      <c r="AM87" s="700"/>
      <c r="AN87" s="1069" t="e">
        <f t="shared" si="85"/>
        <v>#DIV/0!</v>
      </c>
      <c r="AO87" s="1069" t="e">
        <f t="shared" si="86"/>
        <v>#DIV/0!</v>
      </c>
      <c r="AP87" s="1069">
        <f t="shared" si="87"/>
        <v>0</v>
      </c>
      <c r="AQ87" s="1069" t="e">
        <f t="shared" si="104"/>
        <v>#DIV/0!</v>
      </c>
      <c r="AR87" s="845"/>
      <c r="AS87" s="1075">
        <v>0.25</v>
      </c>
      <c r="AT87" s="1072" t="str">
        <f t="shared" si="108"/>
        <v>Revisar procedimientos de la dirección y validar su cumplimiento frente al Modelo de Seguridad y Privacidad de la información</v>
      </c>
      <c r="AU87" s="529">
        <v>0</v>
      </c>
      <c r="AV87" s="937">
        <f>14/26</f>
        <v>0.53846153846153844</v>
      </c>
      <c r="AW87" s="930">
        <v>0</v>
      </c>
      <c r="AX87" s="1069">
        <f>+(AV87/AS87)</f>
        <v>2.1538461538461537</v>
      </c>
      <c r="AY87" s="1069" t="e">
        <f t="shared" si="89"/>
        <v>#DIV/0!</v>
      </c>
      <c r="AZ87" s="1069">
        <f t="shared" si="90"/>
        <v>0.53846153846153844</v>
      </c>
      <c r="BA87" s="1069" t="e">
        <f t="shared" si="91"/>
        <v>#DIV/0!</v>
      </c>
      <c r="BB87" s="1665" t="s">
        <v>2030</v>
      </c>
      <c r="BC87" s="1075">
        <v>0.75</v>
      </c>
      <c r="BD87" s="1072" t="str">
        <f t="shared" si="109"/>
        <v>Revisar procedimientos de la dirección y validar su cumplimiento frente al Modelo de Seguridad y Privacidad de la información</v>
      </c>
      <c r="BE87" s="529">
        <v>0</v>
      </c>
      <c r="BF87" s="738">
        <v>0.46160000000000001</v>
      </c>
      <c r="BG87" s="744">
        <v>0</v>
      </c>
      <c r="BH87" s="1075">
        <f t="shared" si="92"/>
        <v>0.61546666666666672</v>
      </c>
      <c r="BI87" s="1075" t="e">
        <f t="shared" si="93"/>
        <v>#DIV/0!</v>
      </c>
      <c r="BJ87" s="1075">
        <f t="shared" si="94"/>
        <v>1.0000615384615386</v>
      </c>
      <c r="BK87" s="1075" t="e">
        <f t="shared" si="95"/>
        <v>#DIV/0!</v>
      </c>
      <c r="BL87" s="1053" t="s">
        <v>2194</v>
      </c>
      <c r="BM87" s="742" t="str">
        <f t="shared" si="96"/>
        <v>No Prog ni Ejec</v>
      </c>
      <c r="BN87" s="742" t="str">
        <f t="shared" si="97"/>
        <v>No Prog ni Ejec</v>
      </c>
      <c r="BO87" s="742" t="str">
        <f t="shared" si="98"/>
        <v>No Prog ni Ejec</v>
      </c>
      <c r="BP87" s="742" t="str">
        <f t="shared" si="99"/>
        <v>No Prog ni Ejec</v>
      </c>
      <c r="BQ87" s="742">
        <f t="shared" si="100"/>
        <v>2.1538461538461537</v>
      </c>
      <c r="BR87" s="742" t="str">
        <f t="shared" si="101"/>
        <v>No Prog ni Ejec</v>
      </c>
      <c r="BS87" s="742">
        <f t="shared" si="102"/>
        <v>0.61546666666666672</v>
      </c>
      <c r="BT87" s="830" t="str">
        <f t="shared" si="103"/>
        <v>No Prog ni Ejec</v>
      </c>
    </row>
    <row r="88" spans="1:72" ht="267.75" x14ac:dyDescent="0.25">
      <c r="A88" s="1091">
        <v>11600</v>
      </c>
      <c r="B88" s="1068" t="s">
        <v>6</v>
      </c>
      <c r="C88" s="1068" t="s">
        <v>1218</v>
      </c>
      <c r="D88" s="1085" t="s">
        <v>278</v>
      </c>
      <c r="E88" s="1068" t="s">
        <v>147</v>
      </c>
      <c r="F88" s="1085" t="s">
        <v>1228</v>
      </c>
      <c r="G88" s="1068" t="s">
        <v>1227</v>
      </c>
      <c r="H88" s="1089" t="s">
        <v>124</v>
      </c>
      <c r="I88" s="737">
        <v>1</v>
      </c>
      <c r="J88" s="1085" t="s">
        <v>1226</v>
      </c>
      <c r="K88" s="1068" t="s">
        <v>1225</v>
      </c>
      <c r="L88" s="529">
        <v>0</v>
      </c>
      <c r="M88" s="1078">
        <v>1</v>
      </c>
      <c r="N88" s="1068" t="s">
        <v>46</v>
      </c>
      <c r="O88" s="1068" t="s">
        <v>73</v>
      </c>
      <c r="P88" s="1068" t="s">
        <v>37</v>
      </c>
      <c r="Q88" s="1068" t="s">
        <v>40</v>
      </c>
      <c r="R88" s="1068" t="s">
        <v>228</v>
      </c>
      <c r="S88" s="1068" t="s">
        <v>1224</v>
      </c>
      <c r="T88" s="1068" t="s">
        <v>92</v>
      </c>
      <c r="U88" s="1078">
        <v>1</v>
      </c>
      <c r="V88" s="1071" t="str">
        <f t="shared" si="105"/>
        <v xml:space="preserve">Actualizar política de administración integral de Riesgos </v>
      </c>
      <c r="W88" s="699">
        <f t="shared" si="80"/>
        <v>0</v>
      </c>
      <c r="X88" s="1086" t="s">
        <v>117</v>
      </c>
      <c r="Y88" s="740">
        <v>0</v>
      </c>
      <c r="Z88" s="1072" t="str">
        <f t="shared" si="106"/>
        <v xml:space="preserve">Actualizar política de administración integral de Riesgos </v>
      </c>
      <c r="AA88" s="529">
        <v>0</v>
      </c>
      <c r="AB88" s="738"/>
      <c r="AC88" s="739"/>
      <c r="AD88" s="1069" t="e">
        <f t="shared" si="81"/>
        <v>#DIV/0!</v>
      </c>
      <c r="AE88" s="1069" t="e">
        <f t="shared" si="82"/>
        <v>#DIV/0!</v>
      </c>
      <c r="AF88" s="1069">
        <f t="shared" si="83"/>
        <v>0</v>
      </c>
      <c r="AG88" s="1069" t="e">
        <f t="shared" si="84"/>
        <v>#DIV/0!</v>
      </c>
      <c r="AH88" s="1068"/>
      <c r="AI88" s="740">
        <v>0</v>
      </c>
      <c r="AJ88" s="1072" t="str">
        <f t="shared" si="107"/>
        <v xml:space="preserve">Actualizar política de administración integral de Riesgos </v>
      </c>
      <c r="AK88" s="529">
        <v>0</v>
      </c>
      <c r="AL88" s="700"/>
      <c r="AM88" s="700"/>
      <c r="AN88" s="1069" t="e">
        <f t="shared" si="85"/>
        <v>#DIV/0!</v>
      </c>
      <c r="AO88" s="1069" t="e">
        <f t="shared" si="86"/>
        <v>#DIV/0!</v>
      </c>
      <c r="AP88" s="1069">
        <f t="shared" si="87"/>
        <v>0</v>
      </c>
      <c r="AQ88" s="1069" t="e">
        <f t="shared" si="104"/>
        <v>#DIV/0!</v>
      </c>
      <c r="AR88" s="845"/>
      <c r="AS88" s="737">
        <v>1</v>
      </c>
      <c r="AT88" s="1072" t="str">
        <f t="shared" si="108"/>
        <v xml:space="preserve">Actualizar política de administración integral de Riesgos </v>
      </c>
      <c r="AU88" s="529">
        <v>0</v>
      </c>
      <c r="AV88" s="940">
        <v>0</v>
      </c>
      <c r="AW88" s="930">
        <v>0</v>
      </c>
      <c r="AX88" s="1069">
        <f t="shared" si="88"/>
        <v>0</v>
      </c>
      <c r="AY88" s="1069" t="e">
        <f t="shared" si="89"/>
        <v>#DIV/0!</v>
      </c>
      <c r="AZ88" s="1069">
        <f t="shared" si="90"/>
        <v>0</v>
      </c>
      <c r="BA88" s="1069" t="e">
        <f t="shared" si="91"/>
        <v>#DIV/0!</v>
      </c>
      <c r="BB88" s="1665" t="s">
        <v>1993</v>
      </c>
      <c r="BC88" s="740">
        <v>0</v>
      </c>
      <c r="BD88" s="1072" t="str">
        <f t="shared" si="109"/>
        <v xml:space="preserve">Actualizar política de administración integral de Riesgos </v>
      </c>
      <c r="BE88" s="529">
        <v>0</v>
      </c>
      <c r="BF88" s="1680">
        <v>0</v>
      </c>
      <c r="BG88" s="744">
        <v>0</v>
      </c>
      <c r="BH88" s="1075" t="e">
        <f t="shared" si="92"/>
        <v>#DIV/0!</v>
      </c>
      <c r="BI88" s="1075" t="e">
        <f t="shared" si="93"/>
        <v>#DIV/0!</v>
      </c>
      <c r="BJ88" s="1075">
        <f t="shared" si="94"/>
        <v>0</v>
      </c>
      <c r="BK88" s="1075" t="e">
        <f t="shared" si="95"/>
        <v>#DIV/0!</v>
      </c>
      <c r="BL88" s="1053" t="s">
        <v>2195</v>
      </c>
      <c r="BM88" s="708" t="str">
        <f t="shared" si="96"/>
        <v>No Prog ni Ejec</v>
      </c>
      <c r="BN88" s="708" t="str">
        <f t="shared" si="97"/>
        <v>No Prog ni Ejec</v>
      </c>
      <c r="BO88" s="708" t="str">
        <f t="shared" si="98"/>
        <v>No Prog ni Ejec</v>
      </c>
      <c r="BP88" s="708" t="str">
        <f t="shared" si="99"/>
        <v>No Prog ni Ejec</v>
      </c>
      <c r="BQ88" s="708">
        <f t="shared" si="100"/>
        <v>0</v>
      </c>
      <c r="BR88" s="708" t="str">
        <f t="shared" si="101"/>
        <v>No Prog ni Ejec</v>
      </c>
      <c r="BS88" s="708" t="str">
        <f t="shared" si="102"/>
        <v>No Prog ni Ejec</v>
      </c>
      <c r="BT88" s="829" t="str">
        <f t="shared" si="103"/>
        <v>No Prog ni Ejec</v>
      </c>
    </row>
    <row r="89" spans="1:72" ht="120" x14ac:dyDescent="0.25">
      <c r="A89" s="1091">
        <v>11600</v>
      </c>
      <c r="B89" s="1068" t="s">
        <v>6</v>
      </c>
      <c r="C89" s="1068" t="s">
        <v>1218</v>
      </c>
      <c r="D89" s="1085" t="s">
        <v>278</v>
      </c>
      <c r="E89" s="1068" t="s">
        <v>147</v>
      </c>
      <c r="F89" s="1085" t="s">
        <v>1223</v>
      </c>
      <c r="G89" s="1068" t="s">
        <v>1222</v>
      </c>
      <c r="H89" s="1089" t="s">
        <v>123</v>
      </c>
      <c r="I89" s="741">
        <v>1</v>
      </c>
      <c r="J89" s="1085" t="s">
        <v>1221</v>
      </c>
      <c r="K89" s="1068" t="s">
        <v>1220</v>
      </c>
      <c r="L89" s="529">
        <v>0</v>
      </c>
      <c r="M89" s="1078">
        <v>1</v>
      </c>
      <c r="N89" s="1068" t="s">
        <v>46</v>
      </c>
      <c r="O89" s="1068" t="s">
        <v>73</v>
      </c>
      <c r="P89" s="1068" t="s">
        <v>37</v>
      </c>
      <c r="Q89" s="1068" t="s">
        <v>40</v>
      </c>
      <c r="R89" s="1068" t="s">
        <v>228</v>
      </c>
      <c r="S89" s="1068" t="s">
        <v>1219</v>
      </c>
      <c r="T89" s="1068" t="s">
        <v>92</v>
      </c>
      <c r="U89" s="1078">
        <v>1</v>
      </c>
      <c r="V89" s="1071" t="str">
        <f t="shared" si="105"/>
        <v>Actualizar herramientas de administración de riesgos</v>
      </c>
      <c r="W89" s="699">
        <f t="shared" si="80"/>
        <v>0</v>
      </c>
      <c r="X89" s="1086" t="s">
        <v>117</v>
      </c>
      <c r="Y89" s="1078">
        <v>0</v>
      </c>
      <c r="Z89" s="1072" t="str">
        <f t="shared" si="106"/>
        <v>Actualizar herramientas de administración de riesgos</v>
      </c>
      <c r="AA89" s="529">
        <v>0</v>
      </c>
      <c r="AB89" s="738"/>
      <c r="AC89" s="739"/>
      <c r="AD89" s="1069" t="e">
        <f t="shared" si="81"/>
        <v>#DIV/0!</v>
      </c>
      <c r="AE89" s="1069" t="e">
        <f t="shared" si="82"/>
        <v>#DIV/0!</v>
      </c>
      <c r="AF89" s="1069">
        <f t="shared" si="83"/>
        <v>0</v>
      </c>
      <c r="AG89" s="1069" t="e">
        <f t="shared" si="84"/>
        <v>#DIV/0!</v>
      </c>
      <c r="AH89" s="1068"/>
      <c r="AI89" s="1078">
        <v>0</v>
      </c>
      <c r="AJ89" s="1072" t="str">
        <f t="shared" si="107"/>
        <v>Actualizar herramientas de administración de riesgos</v>
      </c>
      <c r="AK89" s="529">
        <v>0</v>
      </c>
      <c r="AL89" s="700"/>
      <c r="AM89" s="700"/>
      <c r="AN89" s="1069" t="e">
        <f t="shared" si="85"/>
        <v>#DIV/0!</v>
      </c>
      <c r="AO89" s="1069" t="e">
        <f t="shared" si="86"/>
        <v>#DIV/0!</v>
      </c>
      <c r="AP89" s="1069">
        <f t="shared" si="87"/>
        <v>0</v>
      </c>
      <c r="AQ89" s="1069" t="e">
        <f t="shared" si="104"/>
        <v>#DIV/0!</v>
      </c>
      <c r="AR89" s="845"/>
      <c r="AS89" s="1078">
        <v>0</v>
      </c>
      <c r="AT89" s="1072" t="str">
        <f t="shared" si="108"/>
        <v>Actualizar herramientas de administración de riesgos</v>
      </c>
      <c r="AU89" s="529">
        <v>0</v>
      </c>
      <c r="AV89" s="932">
        <v>0</v>
      </c>
      <c r="AW89" s="930">
        <v>0</v>
      </c>
      <c r="AX89" s="1069" t="e">
        <f t="shared" si="88"/>
        <v>#DIV/0!</v>
      </c>
      <c r="AY89" s="1069" t="e">
        <f t="shared" si="89"/>
        <v>#DIV/0!</v>
      </c>
      <c r="AZ89" s="1069">
        <f t="shared" si="90"/>
        <v>0</v>
      </c>
      <c r="BA89" s="1069" t="e">
        <f t="shared" si="91"/>
        <v>#DIV/0!</v>
      </c>
      <c r="BB89" s="1665" t="s">
        <v>1994</v>
      </c>
      <c r="BC89" s="1078">
        <v>1</v>
      </c>
      <c r="BD89" s="1072" t="str">
        <f t="shared" si="109"/>
        <v>Actualizar herramientas de administración de riesgos</v>
      </c>
      <c r="BE89" s="529">
        <v>0</v>
      </c>
      <c r="BF89" s="1100">
        <v>0</v>
      </c>
      <c r="BG89" s="744">
        <v>0</v>
      </c>
      <c r="BH89" s="1075">
        <f t="shared" si="92"/>
        <v>0</v>
      </c>
      <c r="BI89" s="1075" t="e">
        <f t="shared" si="93"/>
        <v>#DIV/0!</v>
      </c>
      <c r="BJ89" s="1075">
        <f t="shared" si="94"/>
        <v>0</v>
      </c>
      <c r="BK89" s="1075" t="e">
        <f t="shared" si="95"/>
        <v>#DIV/0!</v>
      </c>
      <c r="BL89" s="1072" t="s">
        <v>2196</v>
      </c>
      <c r="BM89" s="708" t="str">
        <f t="shared" si="96"/>
        <v>No Prog ni Ejec</v>
      </c>
      <c r="BN89" s="708" t="str">
        <f t="shared" si="97"/>
        <v>No Prog ni Ejec</v>
      </c>
      <c r="BO89" s="708" t="str">
        <f t="shared" si="98"/>
        <v>No Prog ni Ejec</v>
      </c>
      <c r="BP89" s="708" t="str">
        <f t="shared" si="99"/>
        <v>No Prog ni Ejec</v>
      </c>
      <c r="BQ89" s="708" t="str">
        <f t="shared" si="100"/>
        <v>No Prog ni Ejec</v>
      </c>
      <c r="BR89" s="708" t="str">
        <f t="shared" si="101"/>
        <v>No Prog ni Ejec</v>
      </c>
      <c r="BS89" s="708">
        <f t="shared" si="102"/>
        <v>0</v>
      </c>
      <c r="BT89" s="829" t="str">
        <f t="shared" si="103"/>
        <v>No Prog ni Ejec</v>
      </c>
    </row>
    <row r="90" spans="1:72" ht="120" x14ac:dyDescent="0.25">
      <c r="A90" s="1091">
        <v>11600</v>
      </c>
      <c r="B90" s="1068" t="s">
        <v>6</v>
      </c>
      <c r="C90" s="1068" t="s">
        <v>1218</v>
      </c>
      <c r="D90" s="1085" t="s">
        <v>278</v>
      </c>
      <c r="E90" s="1068" t="s">
        <v>147</v>
      </c>
      <c r="F90" s="1085" t="s">
        <v>1217</v>
      </c>
      <c r="G90" s="1068" t="s">
        <v>1216</v>
      </c>
      <c r="H90" s="1089" t="s">
        <v>123</v>
      </c>
      <c r="I90" s="741">
        <v>1</v>
      </c>
      <c r="J90" s="1085" t="s">
        <v>1215</v>
      </c>
      <c r="K90" s="1068" t="s">
        <v>1214</v>
      </c>
      <c r="L90" s="529">
        <v>0</v>
      </c>
      <c r="M90" s="1078">
        <v>1</v>
      </c>
      <c r="N90" s="1068" t="s">
        <v>46</v>
      </c>
      <c r="O90" s="1068" t="s">
        <v>73</v>
      </c>
      <c r="P90" s="1068" t="s">
        <v>37</v>
      </c>
      <c r="Q90" s="1068" t="s">
        <v>40</v>
      </c>
      <c r="R90" s="1068" t="s">
        <v>228</v>
      </c>
      <c r="S90" s="1068" t="s">
        <v>1213</v>
      </c>
      <c r="T90" s="1068" t="s">
        <v>92</v>
      </c>
      <c r="U90" s="1078">
        <v>1</v>
      </c>
      <c r="V90" s="1071" t="str">
        <f t="shared" si="105"/>
        <v>Actualizar mapa de riesgos de los procesos de la Entidad</v>
      </c>
      <c r="W90" s="699">
        <f t="shared" si="80"/>
        <v>0</v>
      </c>
      <c r="X90" s="1086" t="s">
        <v>117</v>
      </c>
      <c r="Y90" s="1078">
        <v>0</v>
      </c>
      <c r="Z90" s="1072" t="str">
        <f t="shared" si="106"/>
        <v>Actualizar mapa de riesgos de los procesos de la Entidad</v>
      </c>
      <c r="AA90" s="529">
        <v>0</v>
      </c>
      <c r="AB90" s="738"/>
      <c r="AC90" s="739"/>
      <c r="AD90" s="1069" t="e">
        <f t="shared" si="81"/>
        <v>#DIV/0!</v>
      </c>
      <c r="AE90" s="1069" t="e">
        <f t="shared" si="82"/>
        <v>#DIV/0!</v>
      </c>
      <c r="AF90" s="1069">
        <f t="shared" si="83"/>
        <v>0</v>
      </c>
      <c r="AG90" s="1069" t="e">
        <f t="shared" si="84"/>
        <v>#DIV/0!</v>
      </c>
      <c r="AH90" s="1068"/>
      <c r="AI90" s="1078">
        <v>0</v>
      </c>
      <c r="AJ90" s="1072" t="str">
        <f t="shared" si="107"/>
        <v>Actualizar mapa de riesgos de los procesos de la Entidad</v>
      </c>
      <c r="AK90" s="529">
        <v>0</v>
      </c>
      <c r="AL90" s="700"/>
      <c r="AM90" s="700"/>
      <c r="AN90" s="1069" t="e">
        <f t="shared" si="85"/>
        <v>#DIV/0!</v>
      </c>
      <c r="AO90" s="1069" t="e">
        <f t="shared" si="86"/>
        <v>#DIV/0!</v>
      </c>
      <c r="AP90" s="1069">
        <f t="shared" si="87"/>
        <v>0</v>
      </c>
      <c r="AQ90" s="1069" t="e">
        <f t="shared" si="104"/>
        <v>#DIV/0!</v>
      </c>
      <c r="AR90" s="845"/>
      <c r="AS90" s="1078">
        <v>0</v>
      </c>
      <c r="AT90" s="1072" t="str">
        <f t="shared" si="108"/>
        <v>Actualizar mapa de riesgos de los procesos de la Entidad</v>
      </c>
      <c r="AU90" s="529">
        <v>0</v>
      </c>
      <c r="AV90" s="932">
        <v>0</v>
      </c>
      <c r="AW90" s="930">
        <v>0</v>
      </c>
      <c r="AX90" s="1069" t="e">
        <f t="shared" si="88"/>
        <v>#DIV/0!</v>
      </c>
      <c r="AY90" s="1069" t="e">
        <f t="shared" si="89"/>
        <v>#DIV/0!</v>
      </c>
      <c r="AZ90" s="1069">
        <f t="shared" si="90"/>
        <v>0</v>
      </c>
      <c r="BA90" s="1069" t="e">
        <f t="shared" si="91"/>
        <v>#DIV/0!</v>
      </c>
      <c r="BB90" s="1665" t="s">
        <v>1994</v>
      </c>
      <c r="BC90" s="1078">
        <v>1</v>
      </c>
      <c r="BD90" s="1072" t="str">
        <f t="shared" si="109"/>
        <v>Actualizar mapa de riesgos de los procesos de la Entidad</v>
      </c>
      <c r="BE90" s="529">
        <v>0</v>
      </c>
      <c r="BF90" s="1100">
        <v>0</v>
      </c>
      <c r="BG90" s="744">
        <v>0</v>
      </c>
      <c r="BH90" s="1075">
        <f t="shared" si="92"/>
        <v>0</v>
      </c>
      <c r="BI90" s="1075" t="e">
        <f t="shared" si="93"/>
        <v>#DIV/0!</v>
      </c>
      <c r="BJ90" s="1075">
        <f t="shared" si="94"/>
        <v>0</v>
      </c>
      <c r="BK90" s="1075" t="e">
        <f t="shared" si="95"/>
        <v>#DIV/0!</v>
      </c>
      <c r="BL90" s="1072" t="s">
        <v>2196</v>
      </c>
      <c r="BM90" s="708" t="str">
        <f t="shared" si="96"/>
        <v>No Prog ni Ejec</v>
      </c>
      <c r="BN90" s="708" t="str">
        <f t="shared" si="97"/>
        <v>No Prog ni Ejec</v>
      </c>
      <c r="BO90" s="708" t="str">
        <f t="shared" si="98"/>
        <v>No Prog ni Ejec</v>
      </c>
      <c r="BP90" s="708" t="str">
        <f t="shared" si="99"/>
        <v>No Prog ni Ejec</v>
      </c>
      <c r="BQ90" s="708" t="str">
        <f t="shared" si="100"/>
        <v>No Prog ni Ejec</v>
      </c>
      <c r="BR90" s="708" t="str">
        <f t="shared" si="101"/>
        <v>No Prog ni Ejec</v>
      </c>
      <c r="BS90" s="708">
        <f t="shared" si="102"/>
        <v>0</v>
      </c>
      <c r="BT90" s="829" t="str">
        <f t="shared" si="103"/>
        <v>No Prog ni Ejec</v>
      </c>
    </row>
    <row r="91" spans="1:72" s="404" customFormat="1" ht="409.5" x14ac:dyDescent="0.25">
      <c r="A91" s="1092">
        <v>11600</v>
      </c>
      <c r="B91" s="1060" t="s">
        <v>6</v>
      </c>
      <c r="C91" s="1068" t="s">
        <v>1209</v>
      </c>
      <c r="D91" s="1059" t="s">
        <v>278</v>
      </c>
      <c r="E91" s="1060" t="s">
        <v>147</v>
      </c>
      <c r="F91" s="1059" t="s">
        <v>513</v>
      </c>
      <c r="G91" s="1060" t="s">
        <v>283</v>
      </c>
      <c r="H91" s="1079" t="s">
        <v>123</v>
      </c>
      <c r="I91" s="1056">
        <v>1</v>
      </c>
      <c r="J91" s="1059" t="s">
        <v>514</v>
      </c>
      <c r="K91" s="1060" t="s">
        <v>281</v>
      </c>
      <c r="L91" s="528">
        <f>5073602759+725656661.85+357741778-1240810616-40000000-30273600-10000000+40547278+60150000-90000000</f>
        <v>4846614260.8500004</v>
      </c>
      <c r="M91" s="1078">
        <v>1</v>
      </c>
      <c r="N91" s="1068" t="s">
        <v>46</v>
      </c>
      <c r="O91" s="1068" t="s">
        <v>73</v>
      </c>
      <c r="P91" s="1068" t="s">
        <v>37</v>
      </c>
      <c r="Q91" s="1068" t="s">
        <v>40</v>
      </c>
      <c r="R91" s="1068" t="s">
        <v>228</v>
      </c>
      <c r="S91" s="1068" t="s">
        <v>634</v>
      </c>
      <c r="T91" s="1068" t="s">
        <v>99</v>
      </c>
      <c r="U91" s="1078">
        <v>1</v>
      </c>
      <c r="V91" s="1071" t="str">
        <f t="shared" si="72"/>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W91" s="699">
        <f t="shared" si="73"/>
        <v>4846614260.8500004</v>
      </c>
      <c r="X91" s="998" t="s">
        <v>114</v>
      </c>
      <c r="Y91" s="821">
        <f>AA91/W91</f>
        <v>0.1679418231351569</v>
      </c>
      <c r="Z91" s="1072" t="str">
        <f t="shared" si="74"/>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A91" s="529">
        <v>813949235</v>
      </c>
      <c r="AB91" s="807">
        <f>(AC91/AA91)*0.13</f>
        <v>9.7743684003216744E-2</v>
      </c>
      <c r="AC91" s="739">
        <v>611987667.85000002</v>
      </c>
      <c r="AD91" s="1078">
        <f t="shared" si="81"/>
        <v>0.58200918733955975</v>
      </c>
      <c r="AE91" s="1078">
        <f t="shared" si="53"/>
        <v>0.75187449233243642</v>
      </c>
      <c r="AF91" s="1078">
        <f t="shared" si="54"/>
        <v>9.7743684003216744E-2</v>
      </c>
      <c r="AG91" s="1078">
        <f t="shared" si="55"/>
        <v>0.12627117301112994</v>
      </c>
      <c r="AH91" s="1068" t="s">
        <v>1146</v>
      </c>
      <c r="AI91" s="808">
        <f>+AK91/W91</f>
        <v>0.21532562704106417</v>
      </c>
      <c r="AJ91" s="1083" t="str">
        <f>+V91</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K91" s="528">
        <v>1043600254.7436901</v>
      </c>
      <c r="AL91" s="779">
        <f>(AM91*AI91)/AK91</f>
        <v>0.26059050295834729</v>
      </c>
      <c r="AM91" s="529">
        <f>(16999150+9728250+26727400+26727400+26727400) + (288565671.28+289168792.2+289168792.2+289168792.2)</f>
        <v>1262981647.8800001</v>
      </c>
      <c r="AN91" s="778">
        <f t="shared" ref="AN91:AN98" si="110">+IFERROR((AL91/AI91),"")</f>
        <v>1.2102159252444706</v>
      </c>
      <c r="AO91" s="778">
        <f t="shared" ref="AO91:AO98" si="111">+IFERROR((AM91/AK91),"")</f>
        <v>1.2102159252444706</v>
      </c>
      <c r="AP91" s="778">
        <f>+IFERROR((AL91+AB91)/U91,"")</f>
        <v>0.35833418696156405</v>
      </c>
      <c r="AQ91" s="778">
        <f t="shared" ref="AQ91:AQ98" si="112">+IFERROR((AM91+AC91)/W91,"")</f>
        <v>0.38686167596947718</v>
      </c>
      <c r="AR91" s="1071" t="s">
        <v>1079</v>
      </c>
      <c r="AS91" s="808">
        <v>0.35930000000000001</v>
      </c>
      <c r="AT91" s="1083" t="str">
        <f t="shared" ref="AT91:AT111" si="113">+V91</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U91" s="528">
        <f>+W91*AS91</f>
        <v>1741388503.9234052</v>
      </c>
      <c r="AV91" s="932">
        <f>+AW91/W91</f>
        <v>0.20418554556607982</v>
      </c>
      <c r="AW91" s="930">
        <v>989608577</v>
      </c>
      <c r="AX91" s="1078">
        <f t="shared" si="60"/>
        <v>0.56828707366011633</v>
      </c>
      <c r="AY91" s="1078">
        <f t="shared" si="61"/>
        <v>0.56828707366011633</v>
      </c>
      <c r="AZ91" s="1078">
        <f t="shared" si="62"/>
        <v>0.56251973252764387</v>
      </c>
      <c r="BA91" s="1078">
        <f t="shared" si="63"/>
        <v>0.591047221535557</v>
      </c>
      <c r="BB91" s="1665" t="s">
        <v>2035</v>
      </c>
      <c r="BC91" s="809">
        <f>1-(AS91+AI91+Y91)</f>
        <v>0.25743254982377894</v>
      </c>
      <c r="BD91" s="1083" t="str">
        <f t="shared" si="79"/>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E91" s="528">
        <f>+L91*BC91</f>
        <v>1247676267.1829052</v>
      </c>
      <c r="BF91" s="1100">
        <f>(BG91/BE91)*BC91</f>
        <v>0.16944940232069716</v>
      </c>
      <c r="BG91" s="744">
        <v>821255889.77999997</v>
      </c>
      <c r="BH91" s="1075">
        <f t="shared" si="75"/>
        <v>0.65822834927708584</v>
      </c>
      <c r="BI91" s="1075">
        <f t="shared" si="76"/>
        <v>0.65822834927708584</v>
      </c>
      <c r="BJ91" s="1075">
        <f t="shared" si="77"/>
        <v>0.73196913484834103</v>
      </c>
      <c r="BK91" s="1075">
        <f t="shared" si="78"/>
        <v>0.76049662385625416</v>
      </c>
      <c r="BL91" s="1053" t="s">
        <v>2197</v>
      </c>
      <c r="BM91" s="810">
        <f t="shared" si="64"/>
        <v>0.58200918733955975</v>
      </c>
      <c r="BN91" s="810">
        <f t="shared" si="65"/>
        <v>0.75187449233243642</v>
      </c>
      <c r="BO91" s="810">
        <f t="shared" si="66"/>
        <v>1.2102159252444706</v>
      </c>
      <c r="BP91" s="810">
        <f t="shared" si="67"/>
        <v>1.2102159252444706</v>
      </c>
      <c r="BQ91" s="810">
        <f t="shared" si="68"/>
        <v>0.56828707366011633</v>
      </c>
      <c r="BR91" s="810">
        <f t="shared" si="69"/>
        <v>0.56828707366011633</v>
      </c>
      <c r="BS91" s="810">
        <f t="shared" si="70"/>
        <v>0.65822834927708584</v>
      </c>
      <c r="BT91" s="831">
        <f t="shared" si="71"/>
        <v>0.65822834927708584</v>
      </c>
    </row>
    <row r="92" spans="1:72" s="404" customFormat="1" ht="409.5" x14ac:dyDescent="0.25">
      <c r="A92" s="1092">
        <v>11600</v>
      </c>
      <c r="B92" s="1060" t="s">
        <v>6</v>
      </c>
      <c r="C92" s="1068" t="s">
        <v>1209</v>
      </c>
      <c r="D92" s="1059" t="s">
        <v>278</v>
      </c>
      <c r="E92" s="1060" t="s">
        <v>147</v>
      </c>
      <c r="F92" s="1059" t="s">
        <v>516</v>
      </c>
      <c r="G92" s="1060" t="s">
        <v>285</v>
      </c>
      <c r="H92" s="1079" t="s">
        <v>123</v>
      </c>
      <c r="I92" s="1056">
        <v>1</v>
      </c>
      <c r="J92" s="1059" t="s">
        <v>517</v>
      </c>
      <c r="K92" s="1060" t="s">
        <v>284</v>
      </c>
      <c r="L92" s="528">
        <f>1024732093-10150000-8009593+5652500+90000000</f>
        <v>1102225000</v>
      </c>
      <c r="M92" s="1078">
        <v>1</v>
      </c>
      <c r="N92" s="1068" t="s">
        <v>46</v>
      </c>
      <c r="O92" s="1068" t="s">
        <v>73</v>
      </c>
      <c r="P92" s="1068" t="s">
        <v>37</v>
      </c>
      <c r="Q92" s="1068" t="s">
        <v>40</v>
      </c>
      <c r="R92" s="1068" t="s">
        <v>228</v>
      </c>
      <c r="S92" s="1068" t="s">
        <v>379</v>
      </c>
      <c r="T92" s="1068" t="s">
        <v>99</v>
      </c>
      <c r="U92" s="1078">
        <v>1</v>
      </c>
      <c r="V92" s="1071" t="str">
        <f t="shared" si="72"/>
        <v>Gestionar y administrar los procesos de adquisición y actualización del licenciamiento, requerido para el desarrollo de las actividades de la Entidad.</v>
      </c>
      <c r="W92" s="699">
        <f t="shared" si="73"/>
        <v>1102225000</v>
      </c>
      <c r="X92" s="998" t="s">
        <v>114</v>
      </c>
      <c r="Y92" s="1075">
        <v>0</v>
      </c>
      <c r="Z92" s="1072" t="str">
        <f t="shared" si="74"/>
        <v>Gestionar y administrar los procesos de adquisición y actualización del licenciamiento, requerido para el desarrollo de las actividades de la Entidad.</v>
      </c>
      <c r="AA92" s="529">
        <v>0</v>
      </c>
      <c r="AB92" s="806">
        <v>0</v>
      </c>
      <c r="AC92" s="739">
        <v>0</v>
      </c>
      <c r="AD92" s="1078" t="e">
        <f t="shared" ref="AD92:AD99" si="114">+(AB92/Y92)</f>
        <v>#DIV/0!</v>
      </c>
      <c r="AE92" s="1078" t="e">
        <f t="shared" si="53"/>
        <v>#DIV/0!</v>
      </c>
      <c r="AF92" s="1078">
        <f t="shared" si="54"/>
        <v>0</v>
      </c>
      <c r="AG92" s="1078">
        <f>+(AC92/W92)</f>
        <v>0</v>
      </c>
      <c r="AH92" s="1068" t="s">
        <v>1023</v>
      </c>
      <c r="AI92" s="808">
        <f>+AK92/W92</f>
        <v>0.29904588446097669</v>
      </c>
      <c r="AJ92" s="1072" t="str">
        <f t="shared" ref="AJ92:AJ101" si="115">+V92</f>
        <v>Gestionar y administrar los procesos de adquisición y actualización del licenciamiento, requerido para el desarrollo de las actividades de la Entidad.</v>
      </c>
      <c r="AK92" s="528">
        <v>329615850</v>
      </c>
      <c r="AL92" s="779">
        <f>(AM92*AI92)/AK92</f>
        <v>0.25914621486538597</v>
      </c>
      <c r="AM92" s="529">
        <v>285637436.68000001</v>
      </c>
      <c r="AN92" s="1078">
        <f t="shared" si="110"/>
        <v>0.86657676407248019</v>
      </c>
      <c r="AO92" s="1078">
        <f t="shared" si="111"/>
        <v>0.86657676407248019</v>
      </c>
      <c r="AP92" s="1078">
        <f t="shared" ref="AP92:AP98" si="116">+IFERROR((AL92+AB92)/U92,"")</f>
        <v>0.25914621486538597</v>
      </c>
      <c r="AQ92" s="1078">
        <f t="shared" si="112"/>
        <v>0.25914621486538592</v>
      </c>
      <c r="AR92" s="1657" t="s">
        <v>1022</v>
      </c>
      <c r="AS92" s="808">
        <v>0.51151183739999995</v>
      </c>
      <c r="AT92" s="1083" t="str">
        <f t="shared" si="113"/>
        <v>Gestionar y administrar los procesos de adquisición y actualización del licenciamiento, requerido para el desarrollo de las actividades de la Entidad.</v>
      </c>
      <c r="AU92" s="528">
        <f>+W92*AS92</f>
        <v>563801134.97821498</v>
      </c>
      <c r="AV92" s="937">
        <f>(AW92/AU92)*AS92</f>
        <v>2.0973871278550202E-2</v>
      </c>
      <c r="AW92" s="930">
        <v>23117925.27</v>
      </c>
      <c r="AX92" s="1078">
        <f t="shared" si="60"/>
        <v>4.1003687001966153E-2</v>
      </c>
      <c r="AY92" s="1078">
        <f t="shared" si="61"/>
        <v>4.1003687001966153E-2</v>
      </c>
      <c r="AZ92" s="1078">
        <f t="shared" si="62"/>
        <v>0.28012008614393619</v>
      </c>
      <c r="BA92" s="1078">
        <f t="shared" si="63"/>
        <v>0.28012008614393613</v>
      </c>
      <c r="BB92" s="1665" t="s">
        <v>2306</v>
      </c>
      <c r="BC92" s="808">
        <v>0.18948000000000001</v>
      </c>
      <c r="BD92" s="1083" t="str">
        <f t="shared" si="79"/>
        <v>Gestionar y administrar los procesos de adquisición y actualización del licenciamiento, requerido para el desarrollo de las actividades de la Entidad.</v>
      </c>
      <c r="BE92" s="528">
        <f>+W92*BC92</f>
        <v>208849593</v>
      </c>
      <c r="BF92" s="1100">
        <f>(BG92/BE92)*BC92</f>
        <v>0.27250438735285448</v>
      </c>
      <c r="BG92" s="744">
        <f>(9536201.16+22799870.6+93848867.79+41929840.64+132246368.16)</f>
        <v>300361148.35000002</v>
      </c>
      <c r="BH92" s="1075">
        <f t="shared" si="75"/>
        <v>1.4381696609291454</v>
      </c>
      <c r="BI92" s="1075">
        <f t="shared" si="76"/>
        <v>1.4381696609291454</v>
      </c>
      <c r="BJ92" s="1075">
        <f t="shared" si="77"/>
        <v>0.55262447349679067</v>
      </c>
      <c r="BK92" s="1075">
        <f t="shared" si="78"/>
        <v>0.55262447349679056</v>
      </c>
      <c r="BL92" s="1053" t="s">
        <v>2258</v>
      </c>
      <c r="BM92" s="810" t="str">
        <f t="shared" si="64"/>
        <v>No Prog ni Ejec</v>
      </c>
      <c r="BN92" s="810" t="str">
        <f t="shared" si="65"/>
        <v>No Prog ni Ejec</v>
      </c>
      <c r="BO92" s="810">
        <f t="shared" si="66"/>
        <v>0.86657676407248019</v>
      </c>
      <c r="BP92" s="810">
        <f t="shared" si="67"/>
        <v>0.86657676407248019</v>
      </c>
      <c r="BQ92" s="810">
        <f t="shared" si="68"/>
        <v>4.1003687001966153E-2</v>
      </c>
      <c r="BR92" s="810">
        <f t="shared" si="69"/>
        <v>4.1003687001966153E-2</v>
      </c>
      <c r="BS92" s="810">
        <f t="shared" si="70"/>
        <v>1.4381696609291454</v>
      </c>
      <c r="BT92" s="831">
        <f t="shared" si="71"/>
        <v>1.4381696609291454</v>
      </c>
    </row>
    <row r="93" spans="1:72" s="404" customFormat="1" ht="405" x14ac:dyDescent="0.25">
      <c r="A93" s="1092">
        <v>11600</v>
      </c>
      <c r="B93" s="1060" t="s">
        <v>6</v>
      </c>
      <c r="C93" s="1068" t="s">
        <v>1209</v>
      </c>
      <c r="D93" s="1059" t="s">
        <v>278</v>
      </c>
      <c r="E93" s="1060" t="s">
        <v>147</v>
      </c>
      <c r="F93" s="1059" t="s">
        <v>520</v>
      </c>
      <c r="G93" s="1060" t="s">
        <v>562</v>
      </c>
      <c r="H93" s="1079" t="s">
        <v>123</v>
      </c>
      <c r="I93" s="1056">
        <v>1</v>
      </c>
      <c r="J93" s="1059" t="s">
        <v>521</v>
      </c>
      <c r="K93" s="1060" t="s">
        <v>635</v>
      </c>
      <c r="L93" s="443">
        <f>815594000+52838618.28+30000000-420000000</f>
        <v>478432618.27999997</v>
      </c>
      <c r="M93" s="1078">
        <v>1</v>
      </c>
      <c r="N93" s="1068" t="s">
        <v>46</v>
      </c>
      <c r="O93" s="1068" t="s">
        <v>73</v>
      </c>
      <c r="P93" s="1068" t="s">
        <v>37</v>
      </c>
      <c r="Q93" s="1068" t="s">
        <v>40</v>
      </c>
      <c r="R93" s="1068" t="s">
        <v>228</v>
      </c>
      <c r="S93" s="1068" t="s">
        <v>636</v>
      </c>
      <c r="T93" s="1068" t="s">
        <v>99</v>
      </c>
      <c r="U93" s="1078">
        <v>1</v>
      </c>
      <c r="V93" s="1071" t="str">
        <f t="shared" si="72"/>
        <v>Implementación de estrategias, instrumentos y herramientas</v>
      </c>
      <c r="W93" s="699">
        <f t="shared" si="73"/>
        <v>478432618.27999997</v>
      </c>
      <c r="X93" s="998" t="s">
        <v>114</v>
      </c>
      <c r="Y93" s="808">
        <f>+AA93/W93</f>
        <v>0.12706132683458224</v>
      </c>
      <c r="Z93" s="1072" t="str">
        <f t="shared" si="74"/>
        <v>Implementación de estrategias, instrumentos y herramientas</v>
      </c>
      <c r="AA93" s="443">
        <v>60790283.279600002</v>
      </c>
      <c r="AB93" s="738">
        <f>(1/3)</f>
        <v>0.33333333333333331</v>
      </c>
      <c r="AC93" s="739">
        <f>7880000+3332000+19992000+15993600</f>
        <v>47197600</v>
      </c>
      <c r="AD93" s="1078">
        <f t="shared" si="114"/>
        <v>2.6234051039565416</v>
      </c>
      <c r="AE93" s="1078">
        <f t="shared" si="53"/>
        <v>0.77640039581520692</v>
      </c>
      <c r="AF93" s="1078">
        <f t="shared" si="54"/>
        <v>0.33333333333333331</v>
      </c>
      <c r="AG93" s="1078">
        <f t="shared" ref="AG93:AG98" si="117">+(AC93/W93)</f>
        <v>9.8650464447175026E-2</v>
      </c>
      <c r="AH93" s="1060" t="s">
        <v>1024</v>
      </c>
      <c r="AI93" s="808">
        <v>0.22919999999999999</v>
      </c>
      <c r="AJ93" s="1072" t="str">
        <f t="shared" si="115"/>
        <v>Implementación de estrategias, instrumentos y herramientas</v>
      </c>
      <c r="AK93" s="528">
        <f>+AI93*W93</f>
        <v>109656756.10977599</v>
      </c>
      <c r="AL93" s="1075">
        <f>(1/3)</f>
        <v>0.33333333333333331</v>
      </c>
      <c r="AM93" s="529">
        <f>19992000+19992000+19992000</f>
        <v>59976000</v>
      </c>
      <c r="AN93" s="1078">
        <f t="shared" si="110"/>
        <v>1.4543339150668995</v>
      </c>
      <c r="AO93" s="1078">
        <f t="shared" si="111"/>
        <v>0.54694304416554862</v>
      </c>
      <c r="AP93" s="1078">
        <f t="shared" si="116"/>
        <v>0.66666666666666663</v>
      </c>
      <c r="AQ93" s="1078">
        <f t="shared" si="112"/>
        <v>0.22400981016991878</v>
      </c>
      <c r="AR93" s="1071" t="s">
        <v>1025</v>
      </c>
      <c r="AS93" s="808">
        <v>0.3417</v>
      </c>
      <c r="AT93" s="1083" t="str">
        <f t="shared" si="113"/>
        <v>Implementación de estrategias, instrumentos y herramientas</v>
      </c>
      <c r="AU93" s="528">
        <f>+AS93*W93</f>
        <v>163480425.66627598</v>
      </c>
      <c r="AV93" s="932">
        <f>(0/3)</f>
        <v>0</v>
      </c>
      <c r="AW93" s="930">
        <v>59976000</v>
      </c>
      <c r="AX93" s="1078">
        <f t="shared" si="60"/>
        <v>0</v>
      </c>
      <c r="AY93" s="1078">
        <f>+(AW93/AU93)</f>
        <v>0.36686960995827844</v>
      </c>
      <c r="AZ93" s="1078">
        <f>+(AL93+AB93+AV93)/U93</f>
        <v>0.66666666666666663</v>
      </c>
      <c r="BA93" s="1078">
        <f t="shared" si="63"/>
        <v>0.34936915589266249</v>
      </c>
      <c r="BB93" s="1665" t="s">
        <v>2033</v>
      </c>
      <c r="BC93" s="809">
        <f>1-(AS93+AI93+Y93)</f>
        <v>0.30203867316541777</v>
      </c>
      <c r="BD93" s="1083" t="str">
        <f t="shared" si="79"/>
        <v>Implementación de estrategias, instrumentos y herramientas</v>
      </c>
      <c r="BE93" s="528">
        <f>+BC93*W93</f>
        <v>144505153.22434798</v>
      </c>
      <c r="BF93" s="1100">
        <f>(1/3)</f>
        <v>0.33333333333333331</v>
      </c>
      <c r="BG93" s="942">
        <v>173489008.21000001</v>
      </c>
      <c r="BH93" s="1002">
        <f t="shared" si="75"/>
        <v>1.1036114343899808</v>
      </c>
      <c r="BI93" s="1075">
        <f t="shared" si="76"/>
        <v>1.2005731583887105</v>
      </c>
      <c r="BJ93" s="1075">
        <f t="shared" si="77"/>
        <v>1</v>
      </c>
      <c r="BK93" s="1075">
        <f t="shared" si="78"/>
        <v>0.71198867969040358</v>
      </c>
      <c r="BL93" s="1053" t="s">
        <v>2259</v>
      </c>
      <c r="BM93" s="810">
        <f t="shared" si="64"/>
        <v>2.6234051039565416</v>
      </c>
      <c r="BN93" s="810">
        <f t="shared" si="65"/>
        <v>0.77640039581520692</v>
      </c>
      <c r="BO93" s="810">
        <f t="shared" si="66"/>
        <v>1.4543339150668995</v>
      </c>
      <c r="BP93" s="810">
        <f t="shared" si="67"/>
        <v>0.54694304416554862</v>
      </c>
      <c r="BQ93" s="810">
        <f t="shared" si="68"/>
        <v>0</v>
      </c>
      <c r="BR93" s="810">
        <f t="shared" si="69"/>
        <v>0.36686960995827844</v>
      </c>
      <c r="BS93" s="810">
        <f t="shared" si="70"/>
        <v>1.1036114343899808</v>
      </c>
      <c r="BT93" s="831">
        <f t="shared" si="71"/>
        <v>1.2005731583887105</v>
      </c>
    </row>
    <row r="94" spans="1:72" s="404" customFormat="1" ht="105" x14ac:dyDescent="0.25">
      <c r="A94" s="1092">
        <v>11600</v>
      </c>
      <c r="B94" s="1060" t="s">
        <v>6</v>
      </c>
      <c r="C94" s="1068" t="s">
        <v>1209</v>
      </c>
      <c r="D94" s="1059" t="s">
        <v>278</v>
      </c>
      <c r="E94" s="1060" t="s">
        <v>147</v>
      </c>
      <c r="F94" s="1059" t="s">
        <v>515</v>
      </c>
      <c r="G94" s="1060" t="s">
        <v>637</v>
      </c>
      <c r="H94" s="1079" t="s">
        <v>123</v>
      </c>
      <c r="I94" s="1056">
        <v>1</v>
      </c>
      <c r="J94" s="1059" t="s">
        <v>522</v>
      </c>
      <c r="K94" s="1060" t="s">
        <v>637</v>
      </c>
      <c r="L94" s="528">
        <v>0</v>
      </c>
      <c r="M94" s="1078">
        <v>1</v>
      </c>
      <c r="N94" s="1068" t="s">
        <v>46</v>
      </c>
      <c r="O94" s="1068" t="s">
        <v>73</v>
      </c>
      <c r="P94" s="1068" t="s">
        <v>37</v>
      </c>
      <c r="Q94" s="1068" t="s">
        <v>40</v>
      </c>
      <c r="R94" s="1068" t="s">
        <v>228</v>
      </c>
      <c r="S94" s="1068" t="s">
        <v>760</v>
      </c>
      <c r="T94" s="1068" t="s">
        <v>99</v>
      </c>
      <c r="U94" s="1078">
        <v>1</v>
      </c>
      <c r="V94" s="1071" t="str">
        <f t="shared" si="72"/>
        <v>Desarrollo de nuevos Sistemas de información</v>
      </c>
      <c r="W94" s="699">
        <f>+L94</f>
        <v>0</v>
      </c>
      <c r="X94" s="1086" t="s">
        <v>117</v>
      </c>
      <c r="Y94" s="1075">
        <v>0</v>
      </c>
      <c r="Z94" s="1072" t="str">
        <f t="shared" si="74"/>
        <v>Desarrollo de nuevos Sistemas de información</v>
      </c>
      <c r="AA94" s="529">
        <v>0</v>
      </c>
      <c r="AB94" s="806">
        <v>0</v>
      </c>
      <c r="AC94" s="739">
        <v>0</v>
      </c>
      <c r="AD94" s="1078" t="e">
        <f t="shared" si="114"/>
        <v>#DIV/0!</v>
      </c>
      <c r="AE94" s="1078" t="e">
        <f t="shared" si="53"/>
        <v>#DIV/0!</v>
      </c>
      <c r="AF94" s="1078">
        <f t="shared" si="54"/>
        <v>0</v>
      </c>
      <c r="AG94" s="1078" t="e">
        <f t="shared" si="117"/>
        <v>#DIV/0!</v>
      </c>
      <c r="AH94" s="1068" t="s">
        <v>1026</v>
      </c>
      <c r="AI94" s="1075">
        <v>0.17</v>
      </c>
      <c r="AJ94" s="1072" t="str">
        <f t="shared" si="115"/>
        <v>Desarrollo de nuevos Sistemas de información</v>
      </c>
      <c r="AK94" s="529">
        <v>138720000</v>
      </c>
      <c r="AL94" s="1075">
        <v>0</v>
      </c>
      <c r="AM94" s="529">
        <v>0</v>
      </c>
      <c r="AN94" s="1078">
        <f t="shared" si="110"/>
        <v>0</v>
      </c>
      <c r="AO94" s="1078">
        <f t="shared" si="111"/>
        <v>0</v>
      </c>
      <c r="AP94" s="1078">
        <f t="shared" si="116"/>
        <v>0</v>
      </c>
      <c r="AQ94" s="1078" t="str">
        <f>+IFERROR((AM94+AC94)/W94,"")</f>
        <v/>
      </c>
      <c r="AR94" s="1071" t="s">
        <v>1027</v>
      </c>
      <c r="AS94" s="1002">
        <v>0</v>
      </c>
      <c r="AT94" s="1083" t="str">
        <f t="shared" si="113"/>
        <v>Desarrollo de nuevos Sistemas de información</v>
      </c>
      <c r="AU94" s="528">
        <f>+W94*AS94</f>
        <v>0</v>
      </c>
      <c r="AV94" s="932">
        <v>0</v>
      </c>
      <c r="AW94" s="930">
        <v>0</v>
      </c>
      <c r="AX94" s="1078" t="e">
        <f t="shared" si="60"/>
        <v>#DIV/0!</v>
      </c>
      <c r="AY94" s="1078" t="e">
        <f t="shared" si="61"/>
        <v>#DIV/0!</v>
      </c>
      <c r="AZ94" s="1078">
        <f t="shared" si="62"/>
        <v>0</v>
      </c>
      <c r="BA94" s="1078" t="e">
        <f t="shared" si="63"/>
        <v>#DIV/0!</v>
      </c>
      <c r="BB94" s="1665" t="s">
        <v>1995</v>
      </c>
      <c r="BC94" s="1002">
        <v>0</v>
      </c>
      <c r="BD94" s="1083" t="str">
        <f t="shared" si="79"/>
        <v>Desarrollo de nuevos Sistemas de información</v>
      </c>
      <c r="BE94" s="528">
        <f>+W94*BC94</f>
        <v>0</v>
      </c>
      <c r="BF94" s="1067">
        <v>0</v>
      </c>
      <c r="BG94" s="744">
        <v>0</v>
      </c>
      <c r="BH94" s="1075" t="e">
        <f t="shared" si="75"/>
        <v>#DIV/0!</v>
      </c>
      <c r="BI94" s="1075" t="e">
        <f t="shared" si="76"/>
        <v>#DIV/0!</v>
      </c>
      <c r="BJ94" s="1075">
        <f t="shared" si="77"/>
        <v>0</v>
      </c>
      <c r="BK94" s="1010" t="e">
        <f>+(AM94+AC94+AW94+BG94)/W94</f>
        <v>#DIV/0!</v>
      </c>
      <c r="BL94" s="1053" t="s">
        <v>2198</v>
      </c>
      <c r="BM94" s="810" t="str">
        <f t="shared" si="64"/>
        <v>No Prog ni Ejec</v>
      </c>
      <c r="BN94" s="810" t="str">
        <f t="shared" si="65"/>
        <v>No Prog ni Ejec</v>
      </c>
      <c r="BO94" s="810">
        <f t="shared" si="66"/>
        <v>0</v>
      </c>
      <c r="BP94" s="810">
        <f t="shared" si="67"/>
        <v>0</v>
      </c>
      <c r="BQ94" s="810" t="str">
        <f t="shared" si="68"/>
        <v>No Prog ni Ejec</v>
      </c>
      <c r="BR94" s="810" t="str">
        <f t="shared" si="69"/>
        <v>No Prog ni Ejec</v>
      </c>
      <c r="BS94" s="810" t="str">
        <f t="shared" si="70"/>
        <v>No Prog ni Ejec</v>
      </c>
      <c r="BT94" s="831" t="str">
        <f t="shared" si="71"/>
        <v>No Prog ni Ejec</v>
      </c>
    </row>
    <row r="95" spans="1:72" s="404" customFormat="1" ht="240" x14ac:dyDescent="0.25">
      <c r="A95" s="1092">
        <v>11600</v>
      </c>
      <c r="B95" s="1060" t="s">
        <v>6</v>
      </c>
      <c r="C95" s="1068" t="s">
        <v>1209</v>
      </c>
      <c r="D95" s="1059" t="s">
        <v>278</v>
      </c>
      <c r="E95" s="1060" t="s">
        <v>147</v>
      </c>
      <c r="F95" s="1059" t="s">
        <v>523</v>
      </c>
      <c r="G95" s="1060" t="s">
        <v>286</v>
      </c>
      <c r="H95" s="1079" t="s">
        <v>123</v>
      </c>
      <c r="I95" s="1056">
        <v>1</v>
      </c>
      <c r="J95" s="1059" t="s">
        <v>524</v>
      </c>
      <c r="K95" s="1060" t="s">
        <v>286</v>
      </c>
      <c r="L95" s="529">
        <v>48960000</v>
      </c>
      <c r="M95" s="1078">
        <v>1</v>
      </c>
      <c r="N95" s="1068" t="s">
        <v>46</v>
      </c>
      <c r="O95" s="1068" t="s">
        <v>73</v>
      </c>
      <c r="P95" s="1068" t="s">
        <v>37</v>
      </c>
      <c r="Q95" s="1068" t="s">
        <v>40</v>
      </c>
      <c r="R95" s="1068" t="s">
        <v>228</v>
      </c>
      <c r="S95" s="1068" t="s">
        <v>379</v>
      </c>
      <c r="T95" s="1068" t="s">
        <v>99</v>
      </c>
      <c r="U95" s="1078">
        <v>1</v>
      </c>
      <c r="V95" s="1071" t="str">
        <f t="shared" si="72"/>
        <v>Brindar Soporte a usuario interno</v>
      </c>
      <c r="W95" s="699">
        <f t="shared" si="73"/>
        <v>48960000</v>
      </c>
      <c r="X95" s="998" t="s">
        <v>114</v>
      </c>
      <c r="Y95" s="1075">
        <v>0.25</v>
      </c>
      <c r="Z95" s="1053" t="str">
        <f t="shared" si="74"/>
        <v>Brindar Soporte a usuario interno</v>
      </c>
      <c r="AA95" s="529">
        <v>12240000</v>
      </c>
      <c r="AB95" s="738">
        <f>(AC95/AA95)/4</f>
        <v>0.22222222222222221</v>
      </c>
      <c r="AC95" s="739">
        <f>(4080000+2720000+4080000)</f>
        <v>10880000</v>
      </c>
      <c r="AD95" s="1078">
        <f t="shared" si="114"/>
        <v>0.88888888888888884</v>
      </c>
      <c r="AE95" s="1078">
        <f t="shared" si="53"/>
        <v>0.88888888888888884</v>
      </c>
      <c r="AF95" s="1078">
        <f t="shared" si="54"/>
        <v>0.22222222222222221</v>
      </c>
      <c r="AG95" s="1078">
        <f t="shared" si="117"/>
        <v>0.22222222222222221</v>
      </c>
      <c r="AH95" s="1068" t="s">
        <v>1866</v>
      </c>
      <c r="AI95" s="1075">
        <v>0.25</v>
      </c>
      <c r="AJ95" s="1053" t="str">
        <f t="shared" si="115"/>
        <v>Brindar Soporte a usuario interno</v>
      </c>
      <c r="AK95" s="529">
        <v>12240000</v>
      </c>
      <c r="AL95" s="1075">
        <f>(AM95*AI95)/AK95</f>
        <v>0.25</v>
      </c>
      <c r="AM95" s="529">
        <v>12240000</v>
      </c>
      <c r="AN95" s="1078">
        <f t="shared" si="110"/>
        <v>1</v>
      </c>
      <c r="AO95" s="1078">
        <f t="shared" si="111"/>
        <v>1</v>
      </c>
      <c r="AP95" s="1078">
        <f t="shared" si="116"/>
        <v>0.47222222222222221</v>
      </c>
      <c r="AQ95" s="1078">
        <f t="shared" si="112"/>
        <v>0.47222222222222221</v>
      </c>
      <c r="AR95" s="1071" t="s">
        <v>1028</v>
      </c>
      <c r="AS95" s="1075">
        <v>0.25</v>
      </c>
      <c r="AT95" s="1083" t="str">
        <f t="shared" si="113"/>
        <v>Brindar Soporte a usuario interno</v>
      </c>
      <c r="AU95" s="529">
        <v>12240000</v>
      </c>
      <c r="AV95" s="932">
        <v>0.25</v>
      </c>
      <c r="AW95" s="930">
        <v>12240000</v>
      </c>
      <c r="AX95" s="1078">
        <f t="shared" si="60"/>
        <v>1</v>
      </c>
      <c r="AY95" s="1078">
        <f t="shared" si="61"/>
        <v>1</v>
      </c>
      <c r="AZ95" s="1078">
        <f t="shared" si="62"/>
        <v>0.72222222222222221</v>
      </c>
      <c r="BA95" s="1078">
        <f t="shared" si="63"/>
        <v>0.72222222222222221</v>
      </c>
      <c r="BB95" s="1665" t="s">
        <v>1996</v>
      </c>
      <c r="BC95" s="1075">
        <v>0.25</v>
      </c>
      <c r="BD95" s="1083" t="str">
        <f t="shared" si="79"/>
        <v>Brindar Soporte a usuario interno</v>
      </c>
      <c r="BE95" s="529">
        <v>12240000</v>
      </c>
      <c r="BF95" s="1100">
        <f>(BG95/BE95)*BC95</f>
        <v>0.25</v>
      </c>
      <c r="BG95" s="744">
        <f>4080000+4080000+4080000</f>
        <v>12240000</v>
      </c>
      <c r="BH95" s="1075">
        <f t="shared" si="75"/>
        <v>1</v>
      </c>
      <c r="BI95" s="1075">
        <f t="shared" si="76"/>
        <v>1</v>
      </c>
      <c r="BJ95" s="1075">
        <f t="shared" si="77"/>
        <v>0.97222222222222221</v>
      </c>
      <c r="BK95" s="1075">
        <f t="shared" si="78"/>
        <v>0.97222222222222221</v>
      </c>
      <c r="BL95" s="1053" t="s">
        <v>2199</v>
      </c>
      <c r="BM95" s="810">
        <f t="shared" si="64"/>
        <v>0.88888888888888884</v>
      </c>
      <c r="BN95" s="810">
        <f t="shared" si="65"/>
        <v>0.88888888888888884</v>
      </c>
      <c r="BO95" s="810">
        <f t="shared" si="66"/>
        <v>1</v>
      </c>
      <c r="BP95" s="810">
        <f t="shared" si="67"/>
        <v>1</v>
      </c>
      <c r="BQ95" s="810">
        <f t="shared" si="68"/>
        <v>1</v>
      </c>
      <c r="BR95" s="810">
        <f t="shared" si="69"/>
        <v>1</v>
      </c>
      <c r="BS95" s="810">
        <f t="shared" si="70"/>
        <v>1</v>
      </c>
      <c r="BT95" s="831">
        <f t="shared" si="71"/>
        <v>1</v>
      </c>
    </row>
    <row r="96" spans="1:72" s="404" customFormat="1" ht="409.5" x14ac:dyDescent="0.25">
      <c r="A96" s="1092">
        <v>11600</v>
      </c>
      <c r="B96" s="1060" t="s">
        <v>6</v>
      </c>
      <c r="C96" s="1068" t="s">
        <v>1209</v>
      </c>
      <c r="D96" s="1059" t="s">
        <v>278</v>
      </c>
      <c r="E96" s="1060" t="s">
        <v>147</v>
      </c>
      <c r="F96" s="1059" t="s">
        <v>525</v>
      </c>
      <c r="G96" s="1060" t="s">
        <v>288</v>
      </c>
      <c r="H96" s="1079" t="s">
        <v>123</v>
      </c>
      <c r="I96" s="1056">
        <v>1</v>
      </c>
      <c r="J96" s="1059" t="s">
        <v>526</v>
      </c>
      <c r="K96" s="1060" t="s">
        <v>288</v>
      </c>
      <c r="L96" s="529">
        <v>146880000</v>
      </c>
      <c r="M96" s="1078">
        <v>1</v>
      </c>
      <c r="N96" s="1068" t="s">
        <v>46</v>
      </c>
      <c r="O96" s="1068" t="s">
        <v>73</v>
      </c>
      <c r="P96" s="1068" t="s">
        <v>37</v>
      </c>
      <c r="Q96" s="1068" t="s">
        <v>40</v>
      </c>
      <c r="R96" s="1068" t="s">
        <v>228</v>
      </c>
      <c r="S96" s="1068" t="s">
        <v>379</v>
      </c>
      <c r="T96" s="1068" t="s">
        <v>99</v>
      </c>
      <c r="U96" s="1078">
        <v>1</v>
      </c>
      <c r="V96" s="1071" t="str">
        <f t="shared" si="72"/>
        <v>Brindar Soporte al procesos BDUA</v>
      </c>
      <c r="W96" s="699">
        <f t="shared" si="73"/>
        <v>146880000</v>
      </c>
      <c r="X96" s="998" t="s">
        <v>114</v>
      </c>
      <c r="Y96" s="1075">
        <v>0.25</v>
      </c>
      <c r="Z96" s="1072" t="str">
        <f t="shared" si="74"/>
        <v>Brindar Soporte al procesos BDUA</v>
      </c>
      <c r="AA96" s="529">
        <v>36720000</v>
      </c>
      <c r="AB96" s="738">
        <f>(AC96/AA96)/4</f>
        <v>0.22222222222222221</v>
      </c>
      <c r="AC96" s="739">
        <f>(4080000+2720000+4080000)+(4080000+2720000+4080000)+(4080000+2720000+4080000)</f>
        <v>32640000</v>
      </c>
      <c r="AD96" s="1078">
        <f t="shared" si="114"/>
        <v>0.88888888888888884</v>
      </c>
      <c r="AE96" s="1078">
        <f t="shared" si="53"/>
        <v>0.88888888888888884</v>
      </c>
      <c r="AF96" s="1078">
        <f t="shared" si="54"/>
        <v>0.22222222222222221</v>
      </c>
      <c r="AG96" s="1078">
        <f t="shared" si="117"/>
        <v>0.22222222222222221</v>
      </c>
      <c r="AH96" s="1068" t="s">
        <v>1867</v>
      </c>
      <c r="AI96" s="1075">
        <v>0.25</v>
      </c>
      <c r="AJ96" s="1072" t="str">
        <f t="shared" si="115"/>
        <v>Brindar Soporte al procesos BDUA</v>
      </c>
      <c r="AK96" s="529">
        <v>36720000</v>
      </c>
      <c r="AL96" s="1075">
        <f>(AM96*AI96)/AK96</f>
        <v>0.25</v>
      </c>
      <c r="AM96" s="529">
        <v>36720000</v>
      </c>
      <c r="AN96" s="1078">
        <f t="shared" si="110"/>
        <v>1</v>
      </c>
      <c r="AO96" s="1078">
        <f t="shared" si="111"/>
        <v>1</v>
      </c>
      <c r="AP96" s="1078">
        <f t="shared" si="116"/>
        <v>0.47222222222222221</v>
      </c>
      <c r="AQ96" s="1078">
        <f t="shared" si="112"/>
        <v>0.47222222222222221</v>
      </c>
      <c r="AR96" s="1071" t="s">
        <v>1147</v>
      </c>
      <c r="AS96" s="1075">
        <v>0.25</v>
      </c>
      <c r="AT96" s="1083" t="str">
        <f t="shared" si="113"/>
        <v>Brindar Soporte al procesos BDUA</v>
      </c>
      <c r="AU96" s="529">
        <v>36720000</v>
      </c>
      <c r="AV96" s="932">
        <v>0.25</v>
      </c>
      <c r="AW96" s="930">
        <v>36720000</v>
      </c>
      <c r="AX96" s="1078">
        <f t="shared" si="60"/>
        <v>1</v>
      </c>
      <c r="AY96" s="1078">
        <f t="shared" si="61"/>
        <v>1</v>
      </c>
      <c r="AZ96" s="1078">
        <f t="shared" si="62"/>
        <v>0.72222222222222221</v>
      </c>
      <c r="BA96" s="1078">
        <f t="shared" si="63"/>
        <v>0.72222222222222221</v>
      </c>
      <c r="BB96" s="1665" t="s">
        <v>1997</v>
      </c>
      <c r="BC96" s="1075">
        <v>0.25</v>
      </c>
      <c r="BD96" s="1083" t="str">
        <f t="shared" si="79"/>
        <v>Brindar Soporte al procesos BDUA</v>
      </c>
      <c r="BE96" s="529">
        <v>36720000</v>
      </c>
      <c r="BF96" s="1100">
        <f>(BG96/BE96)*BC96</f>
        <v>0.25</v>
      </c>
      <c r="BG96" s="744">
        <f>(4080000*3)+(4080000*3)+(4080000*3)</f>
        <v>36720000</v>
      </c>
      <c r="BH96" s="1075">
        <f t="shared" si="75"/>
        <v>1</v>
      </c>
      <c r="BI96" s="1075">
        <f t="shared" si="76"/>
        <v>1</v>
      </c>
      <c r="BJ96" s="1075">
        <f t="shared" si="77"/>
        <v>0.97222222222222221</v>
      </c>
      <c r="BK96" s="1075">
        <f t="shared" si="78"/>
        <v>0.97222222222222221</v>
      </c>
      <c r="BL96" s="1053" t="s">
        <v>2200</v>
      </c>
      <c r="BM96" s="810">
        <f t="shared" si="64"/>
        <v>0.88888888888888884</v>
      </c>
      <c r="BN96" s="810">
        <f t="shared" si="65"/>
        <v>0.88888888888888884</v>
      </c>
      <c r="BO96" s="810">
        <f t="shared" si="66"/>
        <v>1</v>
      </c>
      <c r="BP96" s="810">
        <f t="shared" si="67"/>
        <v>1</v>
      </c>
      <c r="BQ96" s="810">
        <f t="shared" si="68"/>
        <v>1</v>
      </c>
      <c r="BR96" s="810">
        <f t="shared" si="69"/>
        <v>1</v>
      </c>
      <c r="BS96" s="810">
        <f t="shared" si="70"/>
        <v>1</v>
      </c>
      <c r="BT96" s="831">
        <f t="shared" si="71"/>
        <v>1</v>
      </c>
    </row>
    <row r="97" spans="1:72" s="1627" customFormat="1" ht="409.5" x14ac:dyDescent="0.2">
      <c r="A97" s="1092">
        <v>11600</v>
      </c>
      <c r="B97" s="1060" t="s">
        <v>6</v>
      </c>
      <c r="C97" s="1068" t="s">
        <v>1209</v>
      </c>
      <c r="D97" s="1059" t="s">
        <v>278</v>
      </c>
      <c r="E97" s="1060" t="s">
        <v>147</v>
      </c>
      <c r="F97" s="1059" t="s">
        <v>527</v>
      </c>
      <c r="G97" s="1060" t="s">
        <v>289</v>
      </c>
      <c r="H97" s="1079" t="s">
        <v>123</v>
      </c>
      <c r="I97" s="1056">
        <v>1</v>
      </c>
      <c r="J97" s="1059" t="s">
        <v>528</v>
      </c>
      <c r="K97" s="1060" t="s">
        <v>289</v>
      </c>
      <c r="L97" s="443">
        <f>576178068-41094712-20547356-(64250440*3)-41094712</f>
        <v>280689968</v>
      </c>
      <c r="M97" s="1078">
        <v>1</v>
      </c>
      <c r="N97" s="1068" t="s">
        <v>46</v>
      </c>
      <c r="O97" s="1068" t="s">
        <v>73</v>
      </c>
      <c r="P97" s="1068" t="s">
        <v>37</v>
      </c>
      <c r="Q97" s="1068" t="s">
        <v>40</v>
      </c>
      <c r="R97" s="1068" t="s">
        <v>228</v>
      </c>
      <c r="S97" s="1068" t="s">
        <v>379</v>
      </c>
      <c r="T97" s="1068" t="s">
        <v>99</v>
      </c>
      <c r="U97" s="1078">
        <v>1</v>
      </c>
      <c r="V97" s="1071" t="str">
        <f t="shared" si="72"/>
        <v>Brindar Soporte a los sistemas de información que respaldan los procesos misionales de ADRES</v>
      </c>
      <c r="W97" s="699">
        <f t="shared" si="73"/>
        <v>280689968</v>
      </c>
      <c r="X97" s="998" t="s">
        <v>114</v>
      </c>
      <c r="Y97" s="1002">
        <v>0.28000000000000003</v>
      </c>
      <c r="Z97" s="1072" t="str">
        <f t="shared" si="74"/>
        <v>Brindar Soporte a los sistemas de información que respaldan los procesos misionales de ADRES</v>
      </c>
      <c r="AA97" s="529">
        <v>144044517</v>
      </c>
      <c r="AB97" s="738">
        <f>(AC97/AA97)/4</f>
        <v>4.3630629828138479E-2</v>
      </c>
      <c r="AC97" s="739">
        <f>(3339000+2953605+4430407)+(4080000+2720000+4080000)+(0+3536000+0)</f>
        <v>25139012</v>
      </c>
      <c r="AD97" s="1078">
        <f t="shared" si="114"/>
        <v>0.15582367795763741</v>
      </c>
      <c r="AE97" s="1078">
        <f t="shared" si="53"/>
        <v>0.17452251931255391</v>
      </c>
      <c r="AF97" s="1078">
        <f t="shared" si="54"/>
        <v>4.3630629828138479E-2</v>
      </c>
      <c r="AG97" s="1078">
        <f t="shared" si="117"/>
        <v>8.9561490847439196E-2</v>
      </c>
      <c r="AH97" s="1068" t="s">
        <v>1148</v>
      </c>
      <c r="AI97" s="1002">
        <v>0.24</v>
      </c>
      <c r="AJ97" s="1072" t="str">
        <f t="shared" si="115"/>
        <v>Brindar Soporte a los sistemas de información que respaldan los procesos misionales de ADRES</v>
      </c>
      <c r="AK97" s="528">
        <v>123488640</v>
      </c>
      <c r="AL97" s="1075">
        <f>(AM97*AI97)/AK97</f>
        <v>7.3408315453146133E-2</v>
      </c>
      <c r="AM97" s="529">
        <v>37771221</v>
      </c>
      <c r="AN97" s="1078">
        <f>+IFERROR((AL97/AI97),"")</f>
        <v>0.30586798105477558</v>
      </c>
      <c r="AO97" s="1078">
        <f t="shared" si="111"/>
        <v>0.30586798105477558</v>
      </c>
      <c r="AP97" s="1078">
        <f t="shared" si="116"/>
        <v>0.11703894528128461</v>
      </c>
      <c r="AQ97" s="1078">
        <f t="shared" si="112"/>
        <v>0.22412711593597104</v>
      </c>
      <c r="AR97" s="1071" t="s">
        <v>1029</v>
      </c>
      <c r="AS97" s="1002">
        <v>0.24</v>
      </c>
      <c r="AT97" s="1083" t="str">
        <f t="shared" si="113"/>
        <v>Brindar Soporte a los sistemas de información que respaldan los procesos misionales de ADRES</v>
      </c>
      <c r="AU97" s="528">
        <f>+W97*AS97</f>
        <v>67365592.319999993</v>
      </c>
      <c r="AV97" s="803">
        <f>+AW97/W97</f>
        <v>0.13456562508853184</v>
      </c>
      <c r="AW97" s="1626">
        <v>37771221</v>
      </c>
      <c r="AX97" s="1078">
        <f t="shared" si="60"/>
        <v>0.56069010453554935</v>
      </c>
      <c r="AY97" s="1078">
        <f t="shared" si="61"/>
        <v>0.56069010453554935</v>
      </c>
      <c r="AZ97" s="1078">
        <f t="shared" si="62"/>
        <v>0.25160457036981643</v>
      </c>
      <c r="BA97" s="1078">
        <f t="shared" si="63"/>
        <v>0.35869274102450288</v>
      </c>
      <c r="BB97" s="1068" t="s">
        <v>1998</v>
      </c>
      <c r="BC97" s="1002">
        <v>0.24</v>
      </c>
      <c r="BD97" s="1083" t="str">
        <f t="shared" si="79"/>
        <v>Brindar Soporte a los sistemas de información que respaldan los procesos misionales de ADRES</v>
      </c>
      <c r="BE97" s="528">
        <f>+W97*BC97</f>
        <v>67365592.319999993</v>
      </c>
      <c r="BF97" s="1100">
        <f>(BG97/BE97)*BC97</f>
        <v>0.13456562508853184</v>
      </c>
      <c r="BG97" s="744">
        <f>(4430407*3)+(4080000*3)+(4080000*3)</f>
        <v>37771221</v>
      </c>
      <c r="BH97" s="1075">
        <f t="shared" si="75"/>
        <v>0.56069010453554935</v>
      </c>
      <c r="BI97" s="1075">
        <f t="shared" si="76"/>
        <v>0.56069010453554935</v>
      </c>
      <c r="BJ97" s="1075">
        <f t="shared" si="77"/>
        <v>0.3861701954583483</v>
      </c>
      <c r="BK97" s="1075">
        <f t="shared" si="78"/>
        <v>0.4932583661130347</v>
      </c>
      <c r="BL97" s="1053" t="s">
        <v>2201</v>
      </c>
      <c r="BM97" s="810">
        <f t="shared" si="64"/>
        <v>0.15582367795763741</v>
      </c>
      <c r="BN97" s="810">
        <f t="shared" si="65"/>
        <v>0.17452251931255391</v>
      </c>
      <c r="BO97" s="810">
        <f t="shared" si="66"/>
        <v>0.30586798105477558</v>
      </c>
      <c r="BP97" s="810">
        <f t="shared" si="67"/>
        <v>0.30586798105477558</v>
      </c>
      <c r="BQ97" s="810">
        <f t="shared" si="68"/>
        <v>0.56069010453554935</v>
      </c>
      <c r="BR97" s="810">
        <f t="shared" si="69"/>
        <v>0.56069010453554935</v>
      </c>
      <c r="BS97" s="810">
        <f t="shared" si="70"/>
        <v>0.56069010453554935</v>
      </c>
      <c r="BT97" s="831">
        <f t="shared" si="71"/>
        <v>0.56069010453554935</v>
      </c>
    </row>
    <row r="98" spans="1:72" s="1627" customFormat="1" ht="153" x14ac:dyDescent="0.2">
      <c r="A98" s="1092">
        <v>11600</v>
      </c>
      <c r="B98" s="1060" t="s">
        <v>6</v>
      </c>
      <c r="C98" s="1068" t="s">
        <v>1209</v>
      </c>
      <c r="D98" s="1059" t="s">
        <v>278</v>
      </c>
      <c r="E98" s="1060" t="s">
        <v>147</v>
      </c>
      <c r="F98" s="1059" t="s">
        <v>639</v>
      </c>
      <c r="G98" s="1060" t="s">
        <v>640</v>
      </c>
      <c r="H98" s="1079" t="s">
        <v>123</v>
      </c>
      <c r="I98" s="1056">
        <v>1</v>
      </c>
      <c r="J98" s="1059" t="s">
        <v>641</v>
      </c>
      <c r="K98" s="1060" t="s">
        <v>642</v>
      </c>
      <c r="L98" s="529">
        <f>737488220+52499230+56156100</f>
        <v>846143550</v>
      </c>
      <c r="M98" s="1078">
        <v>1</v>
      </c>
      <c r="N98" s="1068" t="s">
        <v>46</v>
      </c>
      <c r="O98" s="1068" t="s">
        <v>73</v>
      </c>
      <c r="P98" s="1068" t="s">
        <v>37</v>
      </c>
      <c r="Q98" s="1068" t="s">
        <v>40</v>
      </c>
      <c r="R98" s="1068" t="s">
        <v>228</v>
      </c>
      <c r="S98" s="1068" t="s">
        <v>634</v>
      </c>
      <c r="T98" s="1068" t="s">
        <v>99</v>
      </c>
      <c r="U98" s="1078">
        <v>1</v>
      </c>
      <c r="V98" s="1071" t="str">
        <f t="shared" si="72"/>
        <v>Suministro de Equipos de Computo a la ADRES</v>
      </c>
      <c r="W98" s="699">
        <f t="shared" si="73"/>
        <v>846143550</v>
      </c>
      <c r="X98" s="998" t="s">
        <v>114</v>
      </c>
      <c r="Y98" s="1075">
        <v>0.25</v>
      </c>
      <c r="Z98" s="1072" t="str">
        <f t="shared" si="74"/>
        <v>Suministro de Equipos de Computo a la ADRES</v>
      </c>
      <c r="AA98" s="529">
        <f>+L98*Y98</f>
        <v>211535887.5</v>
      </c>
      <c r="AB98" s="738">
        <f>(AC98/AA98)/4</f>
        <v>0.12409059904788024</v>
      </c>
      <c r="AC98" s="739">
        <f>(52499230*2)</f>
        <v>104998460</v>
      </c>
      <c r="AD98" s="1078">
        <f t="shared" si="114"/>
        <v>0.49636239619152095</v>
      </c>
      <c r="AE98" s="1078">
        <f t="shared" si="53"/>
        <v>0.49636239619152095</v>
      </c>
      <c r="AF98" s="1078">
        <f t="shared" si="54"/>
        <v>0.12409059904788024</v>
      </c>
      <c r="AG98" s="1078">
        <f t="shared" si="117"/>
        <v>0.12409059904788024</v>
      </c>
      <c r="AH98" s="1060" t="s">
        <v>1149</v>
      </c>
      <c r="AI98" s="1075">
        <v>0.25</v>
      </c>
      <c r="AJ98" s="1072" t="str">
        <f t="shared" si="115"/>
        <v>Suministro de Equipos de Computo a la ADRES</v>
      </c>
      <c r="AK98" s="529">
        <v>211535887.5</v>
      </c>
      <c r="AL98" s="1075">
        <f>(AM98*AI98)/AK98</f>
        <v>0.24818119809576047</v>
      </c>
      <c r="AM98" s="529">
        <v>209996920</v>
      </c>
      <c r="AN98" s="778">
        <f t="shared" si="110"/>
        <v>0.9927247923830419</v>
      </c>
      <c r="AO98" s="1078">
        <f t="shared" si="111"/>
        <v>0.9927247923830419</v>
      </c>
      <c r="AP98" s="1078">
        <f t="shared" si="116"/>
        <v>0.37227179714364073</v>
      </c>
      <c r="AQ98" s="1078">
        <f t="shared" si="112"/>
        <v>0.37227179714364067</v>
      </c>
      <c r="AR98" s="1071" t="s">
        <v>1030</v>
      </c>
      <c r="AS98" s="1075">
        <v>0.25</v>
      </c>
      <c r="AT98" s="1083" t="str">
        <f t="shared" si="113"/>
        <v>Suministro de Equipos de Computo a la ADRES</v>
      </c>
      <c r="AU98" s="529">
        <v>211535887.5</v>
      </c>
      <c r="AV98" s="803">
        <f>+AW98/W98</f>
        <v>0.18801295004848764</v>
      </c>
      <c r="AW98" s="1626">
        <v>159085945</v>
      </c>
      <c r="AX98" s="1078">
        <f t="shared" si="60"/>
        <v>0.75205180019395057</v>
      </c>
      <c r="AY98" s="1078">
        <f t="shared" si="61"/>
        <v>0.75205180019395057</v>
      </c>
      <c r="AZ98" s="1078">
        <f t="shared" si="62"/>
        <v>0.5602847471921284</v>
      </c>
      <c r="BA98" s="1078">
        <f t="shared" si="63"/>
        <v>0.56028474719212829</v>
      </c>
      <c r="BB98" s="1068" t="s">
        <v>2034</v>
      </c>
      <c r="BC98" s="1075">
        <v>0.25</v>
      </c>
      <c r="BD98" s="1083" t="str">
        <f t="shared" si="79"/>
        <v>Suministro de Equipos de Computo a la ADRES</v>
      </c>
      <c r="BE98" s="529">
        <v>211535887.5</v>
      </c>
      <c r="BF98" s="1100">
        <f>(BG98/BE98)*BC98</f>
        <v>0.18994362717768162</v>
      </c>
      <c r="BG98" s="744">
        <v>160719575</v>
      </c>
      <c r="BH98" s="1075">
        <f t="shared" si="75"/>
        <v>0.75977450871072649</v>
      </c>
      <c r="BI98" s="1075">
        <f t="shared" si="76"/>
        <v>0.75977450871072649</v>
      </c>
      <c r="BJ98" s="1075">
        <f t="shared" si="77"/>
        <v>0.75022837436981005</v>
      </c>
      <c r="BK98" s="1075">
        <f t="shared" si="78"/>
        <v>0.75022837436980994</v>
      </c>
      <c r="BL98" s="1053" t="s">
        <v>2202</v>
      </c>
      <c r="BM98" s="810">
        <f t="shared" si="64"/>
        <v>0.49636239619152095</v>
      </c>
      <c r="BN98" s="810">
        <f t="shared" si="65"/>
        <v>0.49636239619152095</v>
      </c>
      <c r="BO98" s="810">
        <f t="shared" si="66"/>
        <v>0.9927247923830419</v>
      </c>
      <c r="BP98" s="810">
        <f t="shared" si="67"/>
        <v>0.9927247923830419</v>
      </c>
      <c r="BQ98" s="810">
        <f t="shared" si="68"/>
        <v>0.75205180019395057</v>
      </c>
      <c r="BR98" s="810">
        <f t="shared" si="69"/>
        <v>0.75205180019395057</v>
      </c>
      <c r="BS98" s="810">
        <f t="shared" si="70"/>
        <v>0.75977450871072649</v>
      </c>
      <c r="BT98" s="831">
        <f t="shared" si="71"/>
        <v>0.75977450871072649</v>
      </c>
    </row>
    <row r="99" spans="1:72" s="1627" customFormat="1" ht="51" x14ac:dyDescent="0.2">
      <c r="A99" s="1092">
        <v>11700</v>
      </c>
      <c r="B99" s="1060" t="s">
        <v>29</v>
      </c>
      <c r="C99" s="1068" t="s">
        <v>1209</v>
      </c>
      <c r="D99" s="1059" t="s">
        <v>844</v>
      </c>
      <c r="E99" s="1060" t="s">
        <v>153</v>
      </c>
      <c r="F99" s="1059" t="s">
        <v>845</v>
      </c>
      <c r="G99" s="1060" t="s">
        <v>133</v>
      </c>
      <c r="H99" s="1079" t="s">
        <v>124</v>
      </c>
      <c r="I99" s="1059">
        <v>4</v>
      </c>
      <c r="J99" s="1059" t="s">
        <v>846</v>
      </c>
      <c r="K99" s="1060" t="s">
        <v>24</v>
      </c>
      <c r="L99" s="443">
        <v>0</v>
      </c>
      <c r="M99" s="444">
        <v>1</v>
      </c>
      <c r="N99" s="1060" t="s">
        <v>51</v>
      </c>
      <c r="O99" s="1060" t="s">
        <v>68</v>
      </c>
      <c r="P99" s="1060" t="s">
        <v>21</v>
      </c>
      <c r="Q99" s="1060" t="s">
        <v>36</v>
      </c>
      <c r="R99" s="1060" t="s">
        <v>75</v>
      </c>
      <c r="S99" s="1060" t="s">
        <v>631</v>
      </c>
      <c r="T99" s="1060" t="s">
        <v>98</v>
      </c>
      <c r="U99" s="1059">
        <v>4</v>
      </c>
      <c r="V99" s="1060" t="str">
        <f>+K99</f>
        <v>Reportar el cumplimiento del Plan de Acción de la Dependencia</v>
      </c>
      <c r="W99" s="819">
        <f>+L99</f>
        <v>0</v>
      </c>
      <c r="X99" s="1097" t="s">
        <v>117</v>
      </c>
      <c r="Y99" s="493">
        <v>1</v>
      </c>
      <c r="Z99" s="1060" t="str">
        <f t="shared" si="74"/>
        <v>Reportar el cumplimiento del Plan de Acción de la Dependencia</v>
      </c>
      <c r="AA99" s="443">
        <v>0</v>
      </c>
      <c r="AB99" s="1079">
        <v>1</v>
      </c>
      <c r="AC99" s="1077">
        <v>0</v>
      </c>
      <c r="AD99" s="1064">
        <f t="shared" si="114"/>
        <v>1</v>
      </c>
      <c r="AE99" s="1064" t="e">
        <f>+(AC99/AA99)</f>
        <v>#DIV/0!</v>
      </c>
      <c r="AF99" s="1064">
        <f>+(AB99/U99)</f>
        <v>0.25</v>
      </c>
      <c r="AG99" s="1064" t="e">
        <f>+(AC99/W99)</f>
        <v>#DIV/0!</v>
      </c>
      <c r="AH99" s="527"/>
      <c r="AI99" s="493">
        <v>1</v>
      </c>
      <c r="AJ99" s="1060" t="str">
        <f t="shared" si="115"/>
        <v>Reportar el cumplimiento del Plan de Acción de la Dependencia</v>
      </c>
      <c r="AK99" s="443">
        <v>0</v>
      </c>
      <c r="AL99" s="700">
        <v>1</v>
      </c>
      <c r="AM99" s="529">
        <v>0</v>
      </c>
      <c r="AN99" s="1064">
        <f>+(AL99/AI99)</f>
        <v>1</v>
      </c>
      <c r="AO99" s="1064" t="e">
        <f>+(AM99/AK99)</f>
        <v>#DIV/0!</v>
      </c>
      <c r="AP99" s="1064">
        <f>+(AL99+AB99)/U99</f>
        <v>0.5</v>
      </c>
      <c r="AQ99" s="1064" t="e">
        <f>+(AM99+AC99)/W99</f>
        <v>#DIV/0!</v>
      </c>
      <c r="AR99" s="804" t="s">
        <v>1017</v>
      </c>
      <c r="AS99" s="493">
        <v>1</v>
      </c>
      <c r="AT99" s="1083" t="str">
        <f t="shared" si="113"/>
        <v>Reportar el cumplimiento del Plan de Acción de la Dependencia</v>
      </c>
      <c r="AU99" s="443">
        <v>0</v>
      </c>
      <c r="AV99" s="446">
        <v>1</v>
      </c>
      <c r="AW99" s="448">
        <v>0</v>
      </c>
      <c r="AX99" s="1064">
        <f>+(AV99/AS99)</f>
        <v>1</v>
      </c>
      <c r="AY99" s="1064" t="e">
        <f>+(AW99/AU99)</f>
        <v>#DIV/0!</v>
      </c>
      <c r="AZ99" s="1064">
        <f>+(AL99+AB99+AV99)/U99</f>
        <v>0.75</v>
      </c>
      <c r="BA99" s="1064" t="e">
        <f>+(AM99+AC99+AW99)/W99</f>
        <v>#DIV/0!</v>
      </c>
      <c r="BB99" s="1058" t="s">
        <v>1970</v>
      </c>
      <c r="BC99" s="493">
        <v>1</v>
      </c>
      <c r="BD99" s="1083" t="str">
        <f t="shared" si="79"/>
        <v>Reportar el cumplimiento del Plan de Acción de la Dependencia</v>
      </c>
      <c r="BE99" s="443">
        <v>0</v>
      </c>
      <c r="BF99" s="1079">
        <v>1</v>
      </c>
      <c r="BG99" s="1077">
        <v>0</v>
      </c>
      <c r="BH99" s="1064">
        <f>+(BF99/BC99)</f>
        <v>1</v>
      </c>
      <c r="BI99" s="1064" t="e">
        <f>+(BG99/BE99)</f>
        <v>#DIV/0!</v>
      </c>
      <c r="BJ99" s="1064">
        <f>+(AL99+AB99+AV99+BF99)/U99</f>
        <v>1</v>
      </c>
      <c r="BK99" s="1064" t="e">
        <f>+(AM99+AC99+AW99+BG99)/W99</f>
        <v>#DIV/0!</v>
      </c>
      <c r="BL99" s="1063" t="s">
        <v>2108</v>
      </c>
      <c r="BM99" s="477">
        <f>IF(AND(Y99=0,AB99=0),"No Prog ni Ejec",IF(Y99=0,CONCATENATE("No Prog, Ejec=  ",AB99),AB99/Y99))</f>
        <v>1</v>
      </c>
      <c r="BN99" s="477" t="str">
        <f>IF(AND(AA99=0,AC99=0),"No Prog ni Ejec",IF(AA99=0,CONCATENATE("No Prog, Ejec=  ",AC99),AC99/AA99))</f>
        <v>No Prog ni Ejec</v>
      </c>
      <c r="BO99" s="477">
        <f>IF(AND(AI99=0,AL99=0),"No Prog ni Ejec",IF(AI99=0,CONCATENATE("No Prog, Ejec=  ",AL99),AL99/AI99))</f>
        <v>1</v>
      </c>
      <c r="BP99" s="477" t="str">
        <f>IF(AND(AK99=0,AM99=0),"No Prog ni Ejec",IF(AK99=0,CONCATENATE("No Prog, Ejec=  ",AM99),AM99/AK99))</f>
        <v>No Prog ni Ejec</v>
      </c>
      <c r="BQ99" s="477">
        <f>IF(AND(AS99=0,AV99=0),"No Prog ni Ejec",IF(AS99=0,CONCATENATE("No Prog, Ejec=  ",AV99),AV99/AS99))</f>
        <v>1</v>
      </c>
      <c r="BR99" s="477" t="str">
        <f>IF(AND(AU99=0,AW99=0),"No Prog ni Ejec",IF(AU99=0,CONCATENATE("No Prog, Ejec=  ",AW99),AW99/AU99))</f>
        <v>No Prog ni Ejec</v>
      </c>
      <c r="BS99" s="477">
        <f>IF(AND(BC99=0,BF99=0),"No Prog ni Ejec",IF(BC99=0,CONCATENATE("No Prog, Ejec=  ",BF99),BF99/BC99))</f>
        <v>1</v>
      </c>
      <c r="BT99" s="828" t="str">
        <f>IF(AND(BE99=0,BG99=0),"No Prog ni Ejec",IF(BE99=0,CONCATENATE("No Prog, Ejec=  ",BG99),BG99/BE99))</f>
        <v>No Prog ni Ejec</v>
      </c>
    </row>
    <row r="100" spans="1:72" s="1627" customFormat="1" ht="318.75" x14ac:dyDescent="0.2">
      <c r="A100" s="1092">
        <v>11700</v>
      </c>
      <c r="B100" s="1060" t="s">
        <v>29</v>
      </c>
      <c r="C100" s="1068" t="s">
        <v>1209</v>
      </c>
      <c r="D100" s="1059" t="s">
        <v>328</v>
      </c>
      <c r="E100" s="1060" t="s">
        <v>256</v>
      </c>
      <c r="F100" s="1059" t="s">
        <v>329</v>
      </c>
      <c r="G100" s="1060" t="s">
        <v>159</v>
      </c>
      <c r="H100" s="1079" t="s">
        <v>123</v>
      </c>
      <c r="I100" s="1056">
        <v>1</v>
      </c>
      <c r="J100" s="1059" t="s">
        <v>331</v>
      </c>
      <c r="K100" s="1060" t="s">
        <v>156</v>
      </c>
      <c r="L100" s="443">
        <v>0</v>
      </c>
      <c r="M100" s="444">
        <v>1</v>
      </c>
      <c r="N100" s="1060" t="s">
        <v>51</v>
      </c>
      <c r="O100" s="1060" t="s">
        <v>68</v>
      </c>
      <c r="P100" s="1060" t="s">
        <v>21</v>
      </c>
      <c r="Q100" s="1060" t="s">
        <v>36</v>
      </c>
      <c r="R100" s="1060" t="s">
        <v>75</v>
      </c>
      <c r="S100" s="1060" t="s">
        <v>672</v>
      </c>
      <c r="T100" s="1060" t="s">
        <v>98</v>
      </c>
      <c r="U100" s="444">
        <v>1</v>
      </c>
      <c r="V100" s="1058" t="str">
        <f t="shared" si="72"/>
        <v>Formular los proceso y procedimientos en el marco del MIPG</v>
      </c>
      <c r="W100" s="445">
        <f t="shared" si="73"/>
        <v>0</v>
      </c>
      <c r="X100" s="1097" t="s">
        <v>117</v>
      </c>
      <c r="Y100" s="1056">
        <v>0.15</v>
      </c>
      <c r="Z100" s="1083" t="str">
        <f t="shared" si="74"/>
        <v>Formular los proceso y procedimientos en el marco del MIPG</v>
      </c>
      <c r="AA100" s="443">
        <v>0</v>
      </c>
      <c r="AB100" s="487">
        <f>(9/9)*Y100</f>
        <v>0.15</v>
      </c>
      <c r="AC100" s="448">
        <v>0</v>
      </c>
      <c r="AD100" s="1064">
        <f t="shared" si="52"/>
        <v>1</v>
      </c>
      <c r="AE100" s="1064" t="e">
        <f t="shared" si="53"/>
        <v>#DIV/0!</v>
      </c>
      <c r="AF100" s="1064">
        <f t="shared" si="54"/>
        <v>0.15</v>
      </c>
      <c r="AG100" s="1064" t="e">
        <f t="shared" si="55"/>
        <v>#DIV/0!</v>
      </c>
      <c r="AH100" s="527"/>
      <c r="AI100" s="1056">
        <v>0.85</v>
      </c>
      <c r="AJ100" s="1083" t="str">
        <f t="shared" si="115"/>
        <v>Formular los proceso y procedimientos en el marco del MIPG</v>
      </c>
      <c r="AK100" s="443">
        <v>0</v>
      </c>
      <c r="AL100" s="701">
        <f>41/58</f>
        <v>0.7068965517241379</v>
      </c>
      <c r="AM100" s="529">
        <v>0</v>
      </c>
      <c r="AN100" s="1064">
        <f t="shared" si="56"/>
        <v>0.83164300202839758</v>
      </c>
      <c r="AO100" s="1064" t="e">
        <f t="shared" si="57"/>
        <v>#DIV/0!</v>
      </c>
      <c r="AP100" s="1064">
        <f t="shared" si="58"/>
        <v>0.85689655172413792</v>
      </c>
      <c r="AQ100" s="1064" t="e">
        <f t="shared" si="59"/>
        <v>#DIV/0!</v>
      </c>
      <c r="AR100" s="1071" t="s">
        <v>1018</v>
      </c>
      <c r="AS100" s="1056">
        <v>0</v>
      </c>
      <c r="AT100" s="1083" t="str">
        <f t="shared" si="113"/>
        <v>Formular los proceso y procedimientos en el marco del MIPG</v>
      </c>
      <c r="AU100" s="443">
        <v>0</v>
      </c>
      <c r="AV100" s="941">
        <f>(18/62)</f>
        <v>0.29032258064516131</v>
      </c>
      <c r="AW100" s="448">
        <v>0</v>
      </c>
      <c r="AX100" s="1064" t="e">
        <f>+(AV100/AS100)</f>
        <v>#DIV/0!</v>
      </c>
      <c r="AY100" s="1064" t="e">
        <f t="shared" si="61"/>
        <v>#DIV/0!</v>
      </c>
      <c r="AZ100" s="1064">
        <f t="shared" si="62"/>
        <v>1.1472191323692993</v>
      </c>
      <c r="BA100" s="1064" t="e">
        <f t="shared" si="63"/>
        <v>#DIV/0!</v>
      </c>
      <c r="BB100" s="1058" t="s">
        <v>1971</v>
      </c>
      <c r="BC100" s="1056">
        <v>0</v>
      </c>
      <c r="BD100" s="1083" t="str">
        <f t="shared" si="79"/>
        <v>Formular los proceso y procedimientos en el marco del MIPG</v>
      </c>
      <c r="BE100" s="443">
        <v>0</v>
      </c>
      <c r="BF100" s="1088">
        <v>0</v>
      </c>
      <c r="BG100" s="1077">
        <v>0</v>
      </c>
      <c r="BH100" s="1056" t="e">
        <f t="shared" si="75"/>
        <v>#DIV/0!</v>
      </c>
      <c r="BI100" s="1056" t="e">
        <f t="shared" si="76"/>
        <v>#DIV/0!</v>
      </c>
      <c r="BJ100" s="1056">
        <f t="shared" si="77"/>
        <v>1.1472191323692993</v>
      </c>
      <c r="BK100" s="1056" t="e">
        <f t="shared" si="78"/>
        <v>#DIV/0!</v>
      </c>
      <c r="BL100" s="1099" t="s">
        <v>2109</v>
      </c>
      <c r="BM100" s="477">
        <f t="shared" si="64"/>
        <v>1</v>
      </c>
      <c r="BN100" s="477" t="str">
        <f t="shared" si="65"/>
        <v>No Prog ni Ejec</v>
      </c>
      <c r="BO100" s="477">
        <f t="shared" si="66"/>
        <v>0.83164300202839758</v>
      </c>
      <c r="BP100" s="477" t="str">
        <f t="shared" si="67"/>
        <v>No Prog ni Ejec</v>
      </c>
      <c r="BQ100" s="477" t="str">
        <f t="shared" si="68"/>
        <v>No Prog, Ejec=  0,290322580645161</v>
      </c>
      <c r="BR100" s="477" t="str">
        <f t="shared" si="69"/>
        <v>No Prog ni Ejec</v>
      </c>
      <c r="BS100" s="477" t="str">
        <f t="shared" si="70"/>
        <v>No Prog ni Ejec</v>
      </c>
      <c r="BT100" s="828" t="str">
        <f t="shared" si="71"/>
        <v>No Prog ni Ejec</v>
      </c>
    </row>
    <row r="101" spans="1:72" s="1627" customFormat="1" ht="89.25" x14ac:dyDescent="0.2">
      <c r="A101" s="1092">
        <v>11700</v>
      </c>
      <c r="B101" s="1060" t="s">
        <v>29</v>
      </c>
      <c r="C101" s="1068" t="s">
        <v>1209</v>
      </c>
      <c r="D101" s="1059" t="s">
        <v>328</v>
      </c>
      <c r="E101" s="1060" t="s">
        <v>256</v>
      </c>
      <c r="F101" s="1059" t="s">
        <v>330</v>
      </c>
      <c r="G101" s="1060" t="s">
        <v>127</v>
      </c>
      <c r="H101" s="1079" t="s">
        <v>123</v>
      </c>
      <c r="I101" s="444">
        <v>1</v>
      </c>
      <c r="J101" s="1059" t="s">
        <v>332</v>
      </c>
      <c r="K101" s="1060" t="s">
        <v>128</v>
      </c>
      <c r="L101" s="443">
        <v>0</v>
      </c>
      <c r="M101" s="444">
        <v>1</v>
      </c>
      <c r="N101" s="1060" t="s">
        <v>51</v>
      </c>
      <c r="O101" s="1060" t="s">
        <v>68</v>
      </c>
      <c r="P101" s="1060" t="s">
        <v>21</v>
      </c>
      <c r="Q101" s="1060" t="s">
        <v>36</v>
      </c>
      <c r="R101" s="1060" t="s">
        <v>75</v>
      </c>
      <c r="S101" s="1060" t="s">
        <v>570</v>
      </c>
      <c r="T101" s="1060" t="s">
        <v>98</v>
      </c>
      <c r="U101" s="444">
        <v>1</v>
      </c>
      <c r="V101" s="1058" t="str">
        <f t="shared" si="72"/>
        <v>Remitir informes trimestrales de los indicadores formulados y las acciones de mejoras</v>
      </c>
      <c r="W101" s="445">
        <f t="shared" si="73"/>
        <v>0</v>
      </c>
      <c r="X101" s="1097" t="s">
        <v>117</v>
      </c>
      <c r="Y101" s="1056">
        <v>0</v>
      </c>
      <c r="Z101" s="1083" t="str">
        <f t="shared" si="74"/>
        <v>Remitir informes trimestrales de los indicadores formulados y las acciones de mejoras</v>
      </c>
      <c r="AA101" s="443">
        <v>0</v>
      </c>
      <c r="AB101" s="488">
        <v>0</v>
      </c>
      <c r="AC101" s="448">
        <v>0</v>
      </c>
      <c r="AD101" s="1064" t="e">
        <f t="shared" si="52"/>
        <v>#DIV/0!</v>
      </c>
      <c r="AE101" s="1064" t="e">
        <f t="shared" si="53"/>
        <v>#DIV/0!</v>
      </c>
      <c r="AF101" s="1064">
        <f t="shared" si="54"/>
        <v>0</v>
      </c>
      <c r="AG101" s="1064" t="e">
        <f t="shared" si="55"/>
        <v>#DIV/0!</v>
      </c>
      <c r="AH101" s="527"/>
      <c r="AI101" s="1056">
        <v>0</v>
      </c>
      <c r="AJ101" s="1083" t="str">
        <f t="shared" si="115"/>
        <v>Remitir informes trimestrales de los indicadores formulados y las acciones de mejoras</v>
      </c>
      <c r="AK101" s="443">
        <v>0</v>
      </c>
      <c r="AL101" s="792">
        <v>0</v>
      </c>
      <c r="AM101" s="529">
        <v>0</v>
      </c>
      <c r="AN101" s="1064" t="e">
        <f t="shared" si="56"/>
        <v>#DIV/0!</v>
      </c>
      <c r="AO101" s="1064" t="e">
        <f t="shared" si="57"/>
        <v>#DIV/0!</v>
      </c>
      <c r="AP101" s="1064">
        <f t="shared" si="58"/>
        <v>0</v>
      </c>
      <c r="AQ101" s="1064" t="e">
        <f t="shared" si="59"/>
        <v>#DIV/0!</v>
      </c>
      <c r="AR101" s="804" t="s">
        <v>1019</v>
      </c>
      <c r="AS101" s="1056">
        <v>0</v>
      </c>
      <c r="AT101" s="1083" t="str">
        <f t="shared" si="113"/>
        <v>Remitir informes trimestrales de los indicadores formulados y las acciones de mejoras</v>
      </c>
      <c r="AU101" s="443">
        <v>0</v>
      </c>
      <c r="AV101" s="447">
        <v>0</v>
      </c>
      <c r="AW101" s="446">
        <v>0</v>
      </c>
      <c r="AX101" s="1064" t="e">
        <f t="shared" si="60"/>
        <v>#DIV/0!</v>
      </c>
      <c r="AY101" s="1064" t="e">
        <f t="shared" si="61"/>
        <v>#DIV/0!</v>
      </c>
      <c r="AZ101" s="1064">
        <f t="shared" si="62"/>
        <v>0</v>
      </c>
      <c r="BA101" s="1064" t="e">
        <f t="shared" si="63"/>
        <v>#DIV/0!</v>
      </c>
      <c r="BB101" s="858"/>
      <c r="BC101" s="1056">
        <v>1</v>
      </c>
      <c r="BD101" s="1083" t="str">
        <f t="shared" si="79"/>
        <v>Remitir informes trimestrales de los indicadores formulados y las acciones de mejoras</v>
      </c>
      <c r="BE101" s="443">
        <v>0</v>
      </c>
      <c r="BF101" s="1681">
        <v>0</v>
      </c>
      <c r="BG101" s="1054">
        <v>0</v>
      </c>
      <c r="BH101" s="1056">
        <f t="shared" si="75"/>
        <v>0</v>
      </c>
      <c r="BI101" s="1056" t="e">
        <f t="shared" si="76"/>
        <v>#DIV/0!</v>
      </c>
      <c r="BJ101" s="1056">
        <f t="shared" si="77"/>
        <v>0</v>
      </c>
      <c r="BK101" s="1056" t="e">
        <f t="shared" si="78"/>
        <v>#DIV/0!</v>
      </c>
      <c r="BL101" s="1083"/>
      <c r="BM101" s="477" t="str">
        <f t="shared" si="64"/>
        <v>No Prog ni Ejec</v>
      </c>
      <c r="BN101" s="477" t="str">
        <f t="shared" si="65"/>
        <v>No Prog ni Ejec</v>
      </c>
      <c r="BO101" s="477" t="str">
        <f t="shared" si="66"/>
        <v>No Prog ni Ejec</v>
      </c>
      <c r="BP101" s="477" t="str">
        <f t="shared" si="67"/>
        <v>No Prog ni Ejec</v>
      </c>
      <c r="BQ101" s="477" t="str">
        <f t="shared" si="68"/>
        <v>No Prog ni Ejec</v>
      </c>
      <c r="BR101" s="477" t="str">
        <f t="shared" si="69"/>
        <v>No Prog ni Ejec</v>
      </c>
      <c r="BS101" s="477">
        <f t="shared" si="70"/>
        <v>0</v>
      </c>
      <c r="BT101" s="828" t="str">
        <f t="shared" si="71"/>
        <v>No Prog ni Ejec</v>
      </c>
    </row>
    <row r="102" spans="1:72" s="1627" customFormat="1" ht="89.25" x14ac:dyDescent="0.2">
      <c r="A102" s="1092">
        <v>11700</v>
      </c>
      <c r="B102" s="1060" t="s">
        <v>29</v>
      </c>
      <c r="C102" s="1068" t="s">
        <v>1209</v>
      </c>
      <c r="D102" s="1059" t="s">
        <v>328</v>
      </c>
      <c r="E102" s="1060" t="s">
        <v>256</v>
      </c>
      <c r="F102" s="1059" t="s">
        <v>376</v>
      </c>
      <c r="G102" s="1060" t="s">
        <v>380</v>
      </c>
      <c r="H102" s="1079" t="s">
        <v>123</v>
      </c>
      <c r="I102" s="1056">
        <v>1</v>
      </c>
      <c r="J102" s="1059" t="s">
        <v>377</v>
      </c>
      <c r="K102" s="1060" t="s">
        <v>932</v>
      </c>
      <c r="L102" s="528">
        <f>27749428000+2002739+19031-3730000-3296367824-489755210.49-596861373-1090353487.49-152583489.51-317563021</f>
        <v>21804235364.509998</v>
      </c>
      <c r="M102" s="444">
        <v>1</v>
      </c>
      <c r="N102" s="1060" t="s">
        <v>46</v>
      </c>
      <c r="O102" s="1060" t="s">
        <v>68</v>
      </c>
      <c r="P102" s="1060" t="s">
        <v>37</v>
      </c>
      <c r="Q102" s="1060" t="s">
        <v>38</v>
      </c>
      <c r="R102" s="1060" t="s">
        <v>219</v>
      </c>
      <c r="S102" s="1060" t="s">
        <v>182</v>
      </c>
      <c r="T102" s="1060" t="s">
        <v>99</v>
      </c>
      <c r="U102" s="444">
        <v>1</v>
      </c>
      <c r="V102" s="1058" t="str">
        <f t="shared" si="72"/>
        <v>Efectuar los pagos de nomina de los funcionarios de la ADRES</v>
      </c>
      <c r="W102" s="445">
        <f t="shared" si="73"/>
        <v>21804235364.509998</v>
      </c>
      <c r="X102" s="1097" t="s">
        <v>114</v>
      </c>
      <c r="Y102" s="1056">
        <f>+AA102/W102</f>
        <v>0.31814598524243604</v>
      </c>
      <c r="Z102" s="1083" t="str">
        <f t="shared" ref="Z102:Z151" si="118">+V102</f>
        <v>Efectuar los pagos de nomina de los funcionarios de la ADRES</v>
      </c>
      <c r="AA102" s="443">
        <v>6936929942.5</v>
      </c>
      <c r="AB102" s="481">
        <f>AC102/W102</f>
        <v>0.19007508219003016</v>
      </c>
      <c r="AC102" s="443">
        <v>4144441829</v>
      </c>
      <c r="AD102" s="1064">
        <f>+(AB102/Y102)</f>
        <v>0.59744611281260618</v>
      </c>
      <c r="AE102" s="1064">
        <f t="shared" si="53"/>
        <v>0.59744611281260607</v>
      </c>
      <c r="AF102" s="1064">
        <f t="shared" si="54"/>
        <v>0.19007508219003016</v>
      </c>
      <c r="AG102" s="1064">
        <f t="shared" si="55"/>
        <v>0.19007508219003016</v>
      </c>
      <c r="AH102" s="1060" t="s">
        <v>982</v>
      </c>
      <c r="AI102" s="1056">
        <f>+AK102/W102</f>
        <v>0.31818875216291781</v>
      </c>
      <c r="AJ102" s="1083" t="str">
        <f t="shared" ref="AJ102:AJ152" si="119">+V102</f>
        <v>Efectuar los pagos de nomina de los funcionarios de la ADRES</v>
      </c>
      <c r="AK102" s="443">
        <v>6937862442.5</v>
      </c>
      <c r="AL102" s="793">
        <f>AM102/W102</f>
        <v>0.2215642110919108</v>
      </c>
      <c r="AM102" s="529">
        <f>1568177653+1595704995+1667155559</f>
        <v>4831038207</v>
      </c>
      <c r="AN102" s="1064">
        <f t="shared" si="56"/>
        <v>0.69632948866296296</v>
      </c>
      <c r="AO102" s="1064">
        <f t="shared" si="57"/>
        <v>0.69632948866296296</v>
      </c>
      <c r="AP102" s="1064">
        <f t="shared" si="58"/>
        <v>0.41163929328194093</v>
      </c>
      <c r="AQ102" s="1064">
        <f t="shared" si="59"/>
        <v>0.41163929328194093</v>
      </c>
      <c r="AR102" s="1068" t="s">
        <v>1150</v>
      </c>
      <c r="AS102" s="1056">
        <f>+AU102/W102</f>
        <v>0.31801768448099071</v>
      </c>
      <c r="AT102" s="1083" t="str">
        <f t="shared" si="113"/>
        <v>Efectuar los pagos de nomina de los funcionarios de la ADRES</v>
      </c>
      <c r="AU102" s="443">
        <f>6937862442.5-3730000</f>
        <v>6934132442.5</v>
      </c>
      <c r="AV102" s="444">
        <f>+(AW102/AU102)*AS102</f>
        <v>0.27977824303480647</v>
      </c>
      <c r="AW102" s="1625">
        <f>2055458117+2400012717+1644879827</f>
        <v>6100350661</v>
      </c>
      <c r="AX102" s="1064">
        <f t="shared" si="60"/>
        <v>0.8797568710413336</v>
      </c>
      <c r="AY102" s="1064">
        <f t="shared" si="61"/>
        <v>0.8797568710413336</v>
      </c>
      <c r="AZ102" s="1064">
        <f t="shared" si="62"/>
        <v>0.69141753631674741</v>
      </c>
      <c r="BA102" s="1064">
        <f t="shared" si="63"/>
        <v>0.69141753631674741</v>
      </c>
      <c r="BB102" s="1068" t="s">
        <v>1972</v>
      </c>
      <c r="BC102" s="1002">
        <f>+BE102/W102</f>
        <v>4.564757813658684E-2</v>
      </c>
      <c r="BD102" s="1083" t="str">
        <f t="shared" si="79"/>
        <v>Efectuar los pagos de nomina de los funcionarios de la ADRES</v>
      </c>
      <c r="BE102" s="528">
        <f>6938794943-3296367824-489755210.49-596861373-1090353487.49-152583489.51-317563021</f>
        <v>995310537.51000023</v>
      </c>
      <c r="BF102" s="1088">
        <f>(BG102/BE102)*BC102</f>
        <v>0.29583329780502754</v>
      </c>
      <c r="BG102" s="1077">
        <f>1319196746+209646700+229194035+1238720113+211135300+229086501+2473145628+211348900+328944931</f>
        <v>6450418854</v>
      </c>
      <c r="BH102" s="1056">
        <f t="shared" si="75"/>
        <v>6.4808103711402634</v>
      </c>
      <c r="BI102" s="1056">
        <f t="shared" si="76"/>
        <v>6.4808103711402634</v>
      </c>
      <c r="BJ102" s="1056">
        <f t="shared" si="77"/>
        <v>0.98725083412177495</v>
      </c>
      <c r="BK102" s="1056">
        <f>+(AM102+AC102+AW102+BG102)/W102</f>
        <v>0.98725083412177495</v>
      </c>
      <c r="BL102" s="1083" t="s">
        <v>2307</v>
      </c>
      <c r="BM102" s="477">
        <f>IF(AND(Y102=0,AB102=0),"No Prog ni Ejec",IF(Y102=0,CONCATENATE("No Prog, Ejec=  ",AB102),AB102/Y102))</f>
        <v>0.59744611281260618</v>
      </c>
      <c r="BN102" s="477">
        <f t="shared" si="65"/>
        <v>0.59744611281260607</v>
      </c>
      <c r="BO102" s="477">
        <f t="shared" si="66"/>
        <v>0.69632948866296296</v>
      </c>
      <c r="BP102" s="477">
        <f t="shared" si="67"/>
        <v>0.69632948866296296</v>
      </c>
      <c r="BQ102" s="477">
        <f t="shared" si="68"/>
        <v>0.8797568710413336</v>
      </c>
      <c r="BR102" s="477">
        <f t="shared" si="69"/>
        <v>0.8797568710413336</v>
      </c>
      <c r="BS102" s="477">
        <f t="shared" si="70"/>
        <v>6.4808103711402634</v>
      </c>
      <c r="BT102" s="828">
        <f t="shared" si="71"/>
        <v>6.4808103711402634</v>
      </c>
    </row>
    <row r="103" spans="1:72" s="1627" customFormat="1" ht="89.25" x14ac:dyDescent="0.2">
      <c r="A103" s="1092">
        <v>11700</v>
      </c>
      <c r="B103" s="1060" t="s">
        <v>29</v>
      </c>
      <c r="C103" s="1068" t="s">
        <v>1209</v>
      </c>
      <c r="D103" s="1059" t="s">
        <v>328</v>
      </c>
      <c r="E103" s="1060" t="s">
        <v>256</v>
      </c>
      <c r="F103" s="1059" t="s">
        <v>330</v>
      </c>
      <c r="G103" s="1060" t="s">
        <v>380</v>
      </c>
      <c r="H103" s="1079" t="s">
        <v>123</v>
      </c>
      <c r="I103" s="1056">
        <v>1</v>
      </c>
      <c r="J103" s="1059" t="s">
        <v>751</v>
      </c>
      <c r="K103" s="1060" t="s">
        <v>975</v>
      </c>
      <c r="L103" s="528">
        <f>1000000000-1000000000</f>
        <v>0</v>
      </c>
      <c r="M103" s="444">
        <v>1</v>
      </c>
      <c r="N103" s="1060" t="s">
        <v>46</v>
      </c>
      <c r="O103" s="1060" t="s">
        <v>68</v>
      </c>
      <c r="P103" s="1060" t="s">
        <v>37</v>
      </c>
      <c r="Q103" s="1060" t="s">
        <v>38</v>
      </c>
      <c r="R103" s="1060" t="s">
        <v>219</v>
      </c>
      <c r="S103" s="1060" t="s">
        <v>379</v>
      </c>
      <c r="T103" s="1060" t="s">
        <v>99</v>
      </c>
      <c r="U103" s="444">
        <v>1</v>
      </c>
      <c r="V103" s="1058" t="str">
        <f t="shared" si="72"/>
        <v>Efectuar el pago de las sentencias y conciliaciones de la ADRES de acuerdo con las solicitudes de la Oficina Asesora Jurídica</v>
      </c>
      <c r="W103" s="445">
        <f t="shared" si="73"/>
        <v>0</v>
      </c>
      <c r="X103" s="1097" t="s">
        <v>114</v>
      </c>
      <c r="Y103" s="1056">
        <v>0.25</v>
      </c>
      <c r="Z103" s="1083" t="str">
        <f t="shared" si="118"/>
        <v>Efectuar el pago de las sentencias y conciliaciones de la ADRES de acuerdo con las solicitudes de la Oficina Asesora Jurídica</v>
      </c>
      <c r="AA103" s="443">
        <v>250000000</v>
      </c>
      <c r="AB103" s="481">
        <v>0</v>
      </c>
      <c r="AC103" s="443">
        <v>0</v>
      </c>
      <c r="AD103" s="1064">
        <f t="shared" si="52"/>
        <v>0</v>
      </c>
      <c r="AE103" s="1064">
        <f t="shared" si="53"/>
        <v>0</v>
      </c>
      <c r="AF103" s="1064">
        <f t="shared" si="54"/>
        <v>0</v>
      </c>
      <c r="AG103" s="1064" t="e">
        <f>+(AC103/W103)</f>
        <v>#DIV/0!</v>
      </c>
      <c r="AH103" s="1060"/>
      <c r="AI103" s="1056">
        <v>0.25</v>
      </c>
      <c r="AJ103" s="1083" t="str">
        <f t="shared" si="119"/>
        <v>Efectuar el pago de las sentencias y conciliaciones de la ADRES de acuerdo con las solicitudes de la Oficina Asesora Jurídica</v>
      </c>
      <c r="AK103" s="443">
        <v>250000000</v>
      </c>
      <c r="AL103" s="793">
        <v>0</v>
      </c>
      <c r="AM103" s="529">
        <v>0</v>
      </c>
      <c r="AN103" s="1064">
        <f t="shared" si="56"/>
        <v>0</v>
      </c>
      <c r="AO103" s="1064">
        <f t="shared" si="57"/>
        <v>0</v>
      </c>
      <c r="AP103" s="1064">
        <f t="shared" si="58"/>
        <v>0</v>
      </c>
      <c r="AQ103" s="1064" t="e">
        <f t="shared" si="59"/>
        <v>#DIV/0!</v>
      </c>
      <c r="AR103" s="804"/>
      <c r="AS103" s="1056">
        <v>0.25</v>
      </c>
      <c r="AT103" s="1083" t="str">
        <f t="shared" si="113"/>
        <v>Efectuar el pago de las sentencias y conciliaciones de la ADRES de acuerdo con las solicitudes de la Oficina Asesora Jurídica</v>
      </c>
      <c r="AU103" s="443">
        <v>250000000</v>
      </c>
      <c r="AV103" s="447">
        <v>0</v>
      </c>
      <c r="AW103" s="448">
        <v>0</v>
      </c>
      <c r="AX103" s="1064">
        <f t="shared" si="60"/>
        <v>0</v>
      </c>
      <c r="AY103" s="1064">
        <f t="shared" si="61"/>
        <v>0</v>
      </c>
      <c r="AZ103" s="1064">
        <f t="shared" si="62"/>
        <v>0</v>
      </c>
      <c r="BA103" s="1064" t="e">
        <f t="shared" si="63"/>
        <v>#DIV/0!</v>
      </c>
      <c r="BB103" s="858"/>
      <c r="BC103" s="1002">
        <v>0</v>
      </c>
      <c r="BD103" s="1083" t="str">
        <f t="shared" si="79"/>
        <v>Efectuar el pago de las sentencias y conciliaciones de la ADRES de acuerdo con las solicitudes de la Oficina Asesora Jurídica</v>
      </c>
      <c r="BE103" s="528">
        <v>0</v>
      </c>
      <c r="BF103" s="1088">
        <v>0</v>
      </c>
      <c r="BG103" s="1077">
        <v>0</v>
      </c>
      <c r="BH103" s="1056" t="e">
        <f t="shared" si="75"/>
        <v>#DIV/0!</v>
      </c>
      <c r="BI103" s="1056" t="e">
        <f t="shared" si="76"/>
        <v>#DIV/0!</v>
      </c>
      <c r="BJ103" s="1056">
        <f t="shared" si="77"/>
        <v>0</v>
      </c>
      <c r="BK103" s="1056" t="e">
        <f t="shared" si="78"/>
        <v>#DIV/0!</v>
      </c>
      <c r="BL103" s="1083" t="s">
        <v>2260</v>
      </c>
      <c r="BM103" s="477">
        <f>IF(AND(Y103=0,AB103=0),"No Prog ni Ejec",IF(Y103=0,CONCATENATE("No Prog, Ejec=  ",AB103),AB103/Y103))</f>
        <v>0</v>
      </c>
      <c r="BN103" s="477">
        <f>IF(AND(AA103=0,AC103=0),"No Prog ni Ejec",IF(AA103=0,CONCATENATE("No Prog, Ejec=  ",AC103),AC103/AA103))</f>
        <v>0</v>
      </c>
      <c r="BO103" s="477">
        <f t="shared" ref="BO103" si="120">IF(AND(AI103=0,AL103=0),"No Prog ni Ejec",IF(AI103=0,CONCATENATE("No Prog, Ejec=  ",AL103),AL103/AI103))</f>
        <v>0</v>
      </c>
      <c r="BP103" s="477">
        <f>IF(AND(AK103=0,AM103=0),"No Prog ni Ejec",IF(AK103=0,CONCATENATE("No Prog, Ejec=  ",AM103),AM103/AK103))</f>
        <v>0</v>
      </c>
      <c r="BQ103" s="477">
        <f t="shared" ref="BQ103" si="121">IF(AND(AS103=0,AV103=0),"No Prog ni Ejec",IF(AS103=0,CONCATENATE("No Prog, Ejec=  ",AV103),AV103/AS103))</f>
        <v>0</v>
      </c>
      <c r="BR103" s="477">
        <f t="shared" ref="BR103" si="122">IF(AND(AU103=0,AW103=0),"No Prog ni Ejec",IF(AU103=0,CONCATENATE("No Prog, Ejec=  ",AW103),AW103/AU103))</f>
        <v>0</v>
      </c>
      <c r="BS103" s="477" t="str">
        <f t="shared" ref="BS103" si="123">IF(AND(BC103=0,BF103=0),"No Prog ni Ejec",IF(BC103=0,CONCATENATE("No Prog, Ejec=  ",BF103),BF103/BC103))</f>
        <v>No Prog ni Ejec</v>
      </c>
      <c r="BT103" s="828" t="str">
        <f t="shared" ref="BT103" si="124">IF(AND(BE103=0,BG103=0),"No Prog ni Ejec",IF(BE103=0,CONCATENATE("No Prog, Ejec=  ",BG103),BG103/BE103))</f>
        <v>No Prog ni Ejec</v>
      </c>
    </row>
    <row r="104" spans="1:72" s="1627" customFormat="1" ht="114.75" x14ac:dyDescent="0.2">
      <c r="A104" s="1092">
        <v>11700</v>
      </c>
      <c r="B104" s="1060" t="s">
        <v>29</v>
      </c>
      <c r="C104" s="1068" t="s">
        <v>1209</v>
      </c>
      <c r="D104" s="1059" t="s">
        <v>328</v>
      </c>
      <c r="E104" s="1060" t="s">
        <v>256</v>
      </c>
      <c r="F104" s="1059" t="s">
        <v>330</v>
      </c>
      <c r="G104" s="1060" t="s">
        <v>380</v>
      </c>
      <c r="H104" s="1079" t="s">
        <v>123</v>
      </c>
      <c r="I104" s="1056">
        <v>1</v>
      </c>
      <c r="J104" s="1059" t="s">
        <v>753</v>
      </c>
      <c r="K104" s="1060" t="s">
        <v>933</v>
      </c>
      <c r="L104" s="528">
        <f>13118070672+200000000+109408920+48960000+27880404+632842083.77-11300573000-297500000+1059442341.87+636675122-61050000+4645175204-8454712-54265785-53164884-102000000-60150000+1240810616+40000000+420000000+10150000+10000000+8009593-5652500+20547356-30821034-50000000-38642460+119000000-4430413-774000+500000000-1215528-32125220-17720000-33478540-17721628-17721628-32125220+35443256+33478540+4184817+10708407-58879460+3396645-120000000+32125220-64250440+3730000+2677102+1883508+3864246-1777974945+22000000-5779619+816000000+(64250440*3)+41094712-23136029-10273678-10273678+580945500+56600000-26582442-18015000-5323930+57147718-20000000+4580424407.49-5644000000-6756627949.96-2308640923.99-32124000</f>
        <v>223959064.17999935</v>
      </c>
      <c r="M104" s="444">
        <v>1</v>
      </c>
      <c r="N104" s="1060" t="s">
        <v>46</v>
      </c>
      <c r="O104" s="1060" t="s">
        <v>68</v>
      </c>
      <c r="P104" s="1060" t="s">
        <v>37</v>
      </c>
      <c r="Q104" s="1060" t="s">
        <v>38</v>
      </c>
      <c r="R104" s="1060" t="s">
        <v>219</v>
      </c>
      <c r="S104" s="1060" t="s">
        <v>379</v>
      </c>
      <c r="T104" s="1060" t="s">
        <v>99</v>
      </c>
      <c r="U104" s="444">
        <v>1</v>
      </c>
      <c r="V104" s="1058" t="str">
        <f t="shared" si="72"/>
        <v>Efectuar los pagos de servicios personales indirectos (honorarios y remuneración de servicios técnicos) de acuerdo con las solicitudes de las dependencias de la ADRES</v>
      </c>
      <c r="W104" s="445">
        <f t="shared" si="73"/>
        <v>223959064.17999935</v>
      </c>
      <c r="X104" s="1097" t="s">
        <v>114</v>
      </c>
      <c r="Y104" s="1056">
        <v>0</v>
      </c>
      <c r="Z104" s="1083" t="str">
        <f t="shared" si="118"/>
        <v>Efectuar los pagos de servicios personales indirectos (honorarios y remuneración de servicios técnicos) de acuerdo con las solicitudes de las dependencias de la ADRES</v>
      </c>
      <c r="AA104" s="443">
        <v>0</v>
      </c>
      <c r="AB104" s="481">
        <v>0</v>
      </c>
      <c r="AC104" s="448">
        <v>0</v>
      </c>
      <c r="AD104" s="1064" t="e">
        <f t="shared" si="52"/>
        <v>#DIV/0!</v>
      </c>
      <c r="AE104" s="1064" t="e">
        <f>+(AC104/AA104)</f>
        <v>#DIV/0!</v>
      </c>
      <c r="AF104" s="1064">
        <f t="shared" si="54"/>
        <v>0</v>
      </c>
      <c r="AG104" s="1064">
        <f t="shared" si="55"/>
        <v>0</v>
      </c>
      <c r="AH104" s="1060" t="s">
        <v>983</v>
      </c>
      <c r="AI104" s="1056">
        <v>0</v>
      </c>
      <c r="AJ104" s="1083" t="str">
        <f t="shared" si="119"/>
        <v>Efectuar los pagos de servicios personales indirectos (honorarios y remuneración de servicios técnicos) de acuerdo con las solicitudes de las dependencias de la ADRES</v>
      </c>
      <c r="AK104" s="443">
        <v>0</v>
      </c>
      <c r="AL104" s="793">
        <v>0</v>
      </c>
      <c r="AM104" s="702">
        <v>0</v>
      </c>
      <c r="AN104" s="1064" t="e">
        <f t="shared" si="56"/>
        <v>#DIV/0!</v>
      </c>
      <c r="AO104" s="1064" t="e">
        <f t="shared" si="57"/>
        <v>#DIV/0!</v>
      </c>
      <c r="AP104" s="1064">
        <f t="shared" si="58"/>
        <v>0</v>
      </c>
      <c r="AQ104" s="1064">
        <f t="shared" si="59"/>
        <v>0</v>
      </c>
      <c r="AR104" s="1068" t="s">
        <v>983</v>
      </c>
      <c r="AS104" s="1056">
        <v>0</v>
      </c>
      <c r="AT104" s="1083" t="str">
        <f t="shared" si="113"/>
        <v>Efectuar los pagos de servicios personales indirectos (honorarios y remuneración de servicios técnicos) de acuerdo con las solicitudes de las dependencias de la ADRES</v>
      </c>
      <c r="AU104" s="443">
        <v>0</v>
      </c>
      <c r="AV104" s="446">
        <v>0</v>
      </c>
      <c r="AW104" s="448">
        <v>0</v>
      </c>
      <c r="AX104" s="1064" t="e">
        <f t="shared" si="60"/>
        <v>#DIV/0!</v>
      </c>
      <c r="AY104" s="1064" t="e">
        <f t="shared" si="61"/>
        <v>#DIV/0!</v>
      </c>
      <c r="AZ104" s="1064">
        <f t="shared" si="62"/>
        <v>0</v>
      </c>
      <c r="BA104" s="1064">
        <f t="shared" si="63"/>
        <v>0</v>
      </c>
      <c r="BB104" s="1068" t="s">
        <v>983</v>
      </c>
      <c r="BC104" s="1056">
        <v>0</v>
      </c>
      <c r="BD104" s="1083" t="str">
        <f t="shared" si="79"/>
        <v>Efectuar los pagos de servicios personales indirectos (honorarios y remuneración de servicios técnicos) de acuerdo con las solicitudes de las dependencias de la ADRES</v>
      </c>
      <c r="BE104" s="443">
        <v>0</v>
      </c>
      <c r="BF104" s="1088">
        <v>0</v>
      </c>
      <c r="BG104" s="1077">
        <v>0</v>
      </c>
      <c r="BH104" s="1056" t="e">
        <f t="shared" si="75"/>
        <v>#DIV/0!</v>
      </c>
      <c r="BI104" s="1056" t="e">
        <f t="shared" si="76"/>
        <v>#DIV/0!</v>
      </c>
      <c r="BJ104" s="1056">
        <f t="shared" si="77"/>
        <v>0</v>
      </c>
      <c r="BK104" s="1056">
        <f t="shared" si="78"/>
        <v>0</v>
      </c>
      <c r="BL104" s="1068" t="s">
        <v>2308</v>
      </c>
      <c r="BM104" s="477" t="str">
        <f t="shared" si="64"/>
        <v>No Prog ni Ejec</v>
      </c>
      <c r="BN104" s="477" t="str">
        <f t="shared" si="65"/>
        <v>No Prog ni Ejec</v>
      </c>
      <c r="BO104" s="477" t="str">
        <f t="shared" si="66"/>
        <v>No Prog ni Ejec</v>
      </c>
      <c r="BP104" s="477" t="str">
        <f t="shared" si="67"/>
        <v>No Prog ni Ejec</v>
      </c>
      <c r="BQ104" s="477" t="str">
        <f t="shared" si="68"/>
        <v>No Prog ni Ejec</v>
      </c>
      <c r="BR104" s="477" t="str">
        <f t="shared" si="69"/>
        <v>No Prog ni Ejec</v>
      </c>
      <c r="BS104" s="477" t="str">
        <f t="shared" si="70"/>
        <v>No Prog ni Ejec</v>
      </c>
      <c r="BT104" s="828" t="str">
        <f t="shared" si="71"/>
        <v>No Prog ni Ejec</v>
      </c>
    </row>
    <row r="105" spans="1:72" s="1627" customFormat="1" ht="89.25" x14ac:dyDescent="0.2">
      <c r="A105" s="1092">
        <v>11700</v>
      </c>
      <c r="B105" s="1060" t="s">
        <v>29</v>
      </c>
      <c r="C105" s="1068" t="s">
        <v>1209</v>
      </c>
      <c r="D105" s="1059" t="s">
        <v>328</v>
      </c>
      <c r="E105" s="1060" t="s">
        <v>256</v>
      </c>
      <c r="F105" s="1059" t="s">
        <v>383</v>
      </c>
      <c r="G105" s="1060" t="s">
        <v>382</v>
      </c>
      <c r="H105" s="1079" t="s">
        <v>384</v>
      </c>
      <c r="I105" s="1059">
        <v>12</v>
      </c>
      <c r="J105" s="1059" t="s">
        <v>388</v>
      </c>
      <c r="K105" s="1060" t="s">
        <v>381</v>
      </c>
      <c r="L105" s="528">
        <v>0</v>
      </c>
      <c r="M105" s="444">
        <v>1</v>
      </c>
      <c r="N105" s="1060" t="s">
        <v>46</v>
      </c>
      <c r="O105" s="1060" t="s">
        <v>68</v>
      </c>
      <c r="P105" s="1060" t="s">
        <v>37</v>
      </c>
      <c r="Q105" s="1060" t="s">
        <v>38</v>
      </c>
      <c r="R105" s="1060" t="s">
        <v>219</v>
      </c>
      <c r="S105" s="1060" t="s">
        <v>626</v>
      </c>
      <c r="T105" s="1060" t="s">
        <v>99</v>
      </c>
      <c r="U105" s="1059">
        <v>12</v>
      </c>
      <c r="V105" s="1058" t="str">
        <f t="shared" si="72"/>
        <v>Seguimiento a la ejecución presupuestal, PAC y Reservas</v>
      </c>
      <c r="W105" s="445">
        <f t="shared" si="73"/>
        <v>0</v>
      </c>
      <c r="X105" s="1097" t="s">
        <v>117</v>
      </c>
      <c r="Y105" s="463">
        <v>3</v>
      </c>
      <c r="Z105" s="1083" t="str">
        <f t="shared" si="118"/>
        <v>Seguimiento a la ejecución presupuestal, PAC y Reservas</v>
      </c>
      <c r="AA105" s="443">
        <v>0</v>
      </c>
      <c r="AB105" s="446">
        <v>3</v>
      </c>
      <c r="AC105" s="448">
        <v>0</v>
      </c>
      <c r="AD105" s="1064">
        <f t="shared" si="52"/>
        <v>1</v>
      </c>
      <c r="AE105" s="1064" t="e">
        <f t="shared" si="53"/>
        <v>#DIV/0!</v>
      </c>
      <c r="AF105" s="1064">
        <f t="shared" si="54"/>
        <v>0.25</v>
      </c>
      <c r="AG105" s="1064" t="e">
        <f t="shared" si="55"/>
        <v>#DIV/0!</v>
      </c>
      <c r="AH105" s="1060"/>
      <c r="AI105" s="463">
        <v>3</v>
      </c>
      <c r="AJ105" s="1083" t="str">
        <f t="shared" si="119"/>
        <v>Seguimiento a la ejecución presupuestal, PAC y Reservas</v>
      </c>
      <c r="AK105" s="443">
        <v>0</v>
      </c>
      <c r="AL105" s="700">
        <v>3</v>
      </c>
      <c r="AM105" s="529">
        <v>0</v>
      </c>
      <c r="AN105" s="1064">
        <f t="shared" si="56"/>
        <v>1</v>
      </c>
      <c r="AO105" s="1064" t="e">
        <f t="shared" si="57"/>
        <v>#DIV/0!</v>
      </c>
      <c r="AP105" s="1064">
        <f t="shared" si="58"/>
        <v>0.5</v>
      </c>
      <c r="AQ105" s="1064" t="e">
        <f t="shared" si="59"/>
        <v>#DIV/0!</v>
      </c>
      <c r="AR105" s="804"/>
      <c r="AS105" s="463">
        <v>3</v>
      </c>
      <c r="AT105" s="1083" t="str">
        <f t="shared" si="113"/>
        <v>Seguimiento a la ejecución presupuestal, PAC y Reservas</v>
      </c>
      <c r="AU105" s="443">
        <v>0</v>
      </c>
      <c r="AV105" s="446">
        <v>3</v>
      </c>
      <c r="AW105" s="448">
        <v>0</v>
      </c>
      <c r="AX105" s="1064">
        <f t="shared" si="60"/>
        <v>1</v>
      </c>
      <c r="AY105" s="1064" t="e">
        <f t="shared" si="61"/>
        <v>#DIV/0!</v>
      </c>
      <c r="AZ105" s="1064">
        <f t="shared" si="62"/>
        <v>0.75</v>
      </c>
      <c r="BA105" s="1064" t="e">
        <f t="shared" si="63"/>
        <v>#DIV/0!</v>
      </c>
      <c r="BB105" s="1083" t="s">
        <v>2309</v>
      </c>
      <c r="BC105" s="463">
        <v>3</v>
      </c>
      <c r="BD105" s="1083" t="str">
        <f t="shared" si="79"/>
        <v>Seguimiento a la ejecución presupuestal, PAC y Reservas</v>
      </c>
      <c r="BE105" s="528">
        <v>0</v>
      </c>
      <c r="BF105" s="1079">
        <v>3</v>
      </c>
      <c r="BG105" s="1077">
        <v>0</v>
      </c>
      <c r="BH105" s="1056">
        <f t="shared" si="75"/>
        <v>1</v>
      </c>
      <c r="BI105" s="1056" t="e">
        <f t="shared" si="76"/>
        <v>#DIV/0!</v>
      </c>
      <c r="BJ105" s="1056">
        <f t="shared" si="77"/>
        <v>1</v>
      </c>
      <c r="BK105" s="1056" t="e">
        <f t="shared" si="78"/>
        <v>#DIV/0!</v>
      </c>
      <c r="BL105" s="1083" t="s">
        <v>2261</v>
      </c>
      <c r="BM105" s="477">
        <f t="shared" si="64"/>
        <v>1</v>
      </c>
      <c r="BN105" s="477" t="str">
        <f t="shared" si="65"/>
        <v>No Prog ni Ejec</v>
      </c>
      <c r="BO105" s="477">
        <f t="shared" si="66"/>
        <v>1</v>
      </c>
      <c r="BP105" s="477" t="str">
        <f t="shared" si="67"/>
        <v>No Prog ni Ejec</v>
      </c>
      <c r="BQ105" s="477">
        <f t="shared" si="68"/>
        <v>1</v>
      </c>
      <c r="BR105" s="477" t="str">
        <f t="shared" si="69"/>
        <v>No Prog ni Ejec</v>
      </c>
      <c r="BS105" s="477">
        <f t="shared" si="70"/>
        <v>1</v>
      </c>
      <c r="BT105" s="828" t="str">
        <f t="shared" si="71"/>
        <v>No Prog ni Ejec</v>
      </c>
    </row>
    <row r="106" spans="1:72" s="1627" customFormat="1" ht="89.25" x14ac:dyDescent="0.2">
      <c r="A106" s="1092">
        <v>11700</v>
      </c>
      <c r="B106" s="1060" t="s">
        <v>29</v>
      </c>
      <c r="C106" s="1068" t="s">
        <v>1209</v>
      </c>
      <c r="D106" s="1059" t="s">
        <v>328</v>
      </c>
      <c r="E106" s="1060" t="s">
        <v>256</v>
      </c>
      <c r="F106" s="1059" t="s">
        <v>385</v>
      </c>
      <c r="G106" s="1060" t="s">
        <v>387</v>
      </c>
      <c r="H106" s="1079" t="s">
        <v>384</v>
      </c>
      <c r="I106" s="1059">
        <v>4</v>
      </c>
      <c r="J106" s="1059" t="s">
        <v>389</v>
      </c>
      <c r="K106" s="1060" t="s">
        <v>386</v>
      </c>
      <c r="L106" s="443">
        <v>0</v>
      </c>
      <c r="M106" s="444">
        <v>1</v>
      </c>
      <c r="N106" s="1060" t="s">
        <v>46</v>
      </c>
      <c r="O106" s="1060" t="s">
        <v>68</v>
      </c>
      <c r="P106" s="1060" t="s">
        <v>37</v>
      </c>
      <c r="Q106" s="1060" t="s">
        <v>38</v>
      </c>
      <c r="R106" s="1060" t="s">
        <v>219</v>
      </c>
      <c r="S106" s="1060" t="s">
        <v>627</v>
      </c>
      <c r="T106" s="1060" t="s">
        <v>99</v>
      </c>
      <c r="U106" s="1059">
        <v>4</v>
      </c>
      <c r="V106" s="1058" t="str">
        <f t="shared" si="72"/>
        <v>Informes Estados Financieros (Balance General y Estado de Resultados) de la UGG</v>
      </c>
      <c r="W106" s="445">
        <f t="shared" si="73"/>
        <v>0</v>
      </c>
      <c r="X106" s="1097" t="s">
        <v>117</v>
      </c>
      <c r="Y106" s="463">
        <v>1</v>
      </c>
      <c r="Z106" s="1083" t="str">
        <f t="shared" si="118"/>
        <v>Informes Estados Financieros (Balance General y Estado de Resultados) de la UGG</v>
      </c>
      <c r="AA106" s="443">
        <v>0</v>
      </c>
      <c r="AB106" s="446">
        <v>1</v>
      </c>
      <c r="AC106" s="443">
        <v>0</v>
      </c>
      <c r="AD106" s="1064">
        <f t="shared" si="52"/>
        <v>1</v>
      </c>
      <c r="AE106" s="1064" t="e">
        <f t="shared" si="53"/>
        <v>#DIV/0!</v>
      </c>
      <c r="AF106" s="1064">
        <f t="shared" si="54"/>
        <v>0.25</v>
      </c>
      <c r="AG106" s="1064" t="e">
        <f t="shared" si="55"/>
        <v>#DIV/0!</v>
      </c>
      <c r="AH106" s="1060" t="s">
        <v>984</v>
      </c>
      <c r="AI106" s="463">
        <v>1</v>
      </c>
      <c r="AJ106" s="1083" t="str">
        <f t="shared" si="119"/>
        <v>Informes Estados Financieros (Balance General y Estado de Resultados) de la UGG</v>
      </c>
      <c r="AK106" s="443">
        <v>0</v>
      </c>
      <c r="AL106" s="700">
        <v>1</v>
      </c>
      <c r="AM106" s="529">
        <v>0</v>
      </c>
      <c r="AN106" s="1064">
        <f t="shared" si="56"/>
        <v>1</v>
      </c>
      <c r="AO106" s="1064" t="e">
        <f t="shared" si="57"/>
        <v>#DIV/0!</v>
      </c>
      <c r="AP106" s="1064">
        <f t="shared" si="58"/>
        <v>0.5</v>
      </c>
      <c r="AQ106" s="1064" t="e">
        <f t="shared" si="59"/>
        <v>#DIV/0!</v>
      </c>
      <c r="AR106" s="804" t="s">
        <v>1151</v>
      </c>
      <c r="AS106" s="463">
        <v>1</v>
      </c>
      <c r="AT106" s="1083" t="str">
        <f t="shared" si="113"/>
        <v>Informes Estados Financieros (Balance General y Estado de Resultados) de la UGG</v>
      </c>
      <c r="AU106" s="443">
        <v>0</v>
      </c>
      <c r="AV106" s="446">
        <v>1</v>
      </c>
      <c r="AW106" s="448">
        <v>0</v>
      </c>
      <c r="AX106" s="1064">
        <f t="shared" si="60"/>
        <v>1</v>
      </c>
      <c r="AY106" s="1064" t="e">
        <f t="shared" si="61"/>
        <v>#DIV/0!</v>
      </c>
      <c r="AZ106" s="1064">
        <f t="shared" si="62"/>
        <v>0.75</v>
      </c>
      <c r="BA106" s="1064" t="e">
        <f t="shared" si="63"/>
        <v>#DIV/0!</v>
      </c>
      <c r="BB106" s="1083" t="s">
        <v>1973</v>
      </c>
      <c r="BC106" s="463">
        <v>1</v>
      </c>
      <c r="BD106" s="1083" t="str">
        <f t="shared" si="79"/>
        <v>Informes Estados Financieros (Balance General y Estado de Resultados) de la UGG</v>
      </c>
      <c r="BE106" s="443">
        <v>0</v>
      </c>
      <c r="BF106" s="1079">
        <v>1</v>
      </c>
      <c r="BG106" s="1077">
        <v>0</v>
      </c>
      <c r="BH106" s="1056">
        <f t="shared" si="75"/>
        <v>1</v>
      </c>
      <c r="BI106" s="1056" t="e">
        <f t="shared" si="76"/>
        <v>#DIV/0!</v>
      </c>
      <c r="BJ106" s="1056">
        <f t="shared" si="77"/>
        <v>1</v>
      </c>
      <c r="BK106" s="1056" t="e">
        <f t="shared" si="78"/>
        <v>#DIV/0!</v>
      </c>
      <c r="BL106" s="1083" t="s">
        <v>2133</v>
      </c>
      <c r="BM106" s="477">
        <f t="shared" si="64"/>
        <v>1</v>
      </c>
      <c r="BN106" s="477" t="str">
        <f t="shared" si="65"/>
        <v>No Prog ni Ejec</v>
      </c>
      <c r="BO106" s="477">
        <f t="shared" si="66"/>
        <v>1</v>
      </c>
      <c r="BP106" s="477" t="str">
        <f t="shared" si="67"/>
        <v>No Prog ni Ejec</v>
      </c>
      <c r="BQ106" s="477">
        <f t="shared" si="68"/>
        <v>1</v>
      </c>
      <c r="BR106" s="477" t="str">
        <f t="shared" si="69"/>
        <v>No Prog ni Ejec</v>
      </c>
      <c r="BS106" s="477">
        <f t="shared" si="70"/>
        <v>1</v>
      </c>
      <c r="BT106" s="828" t="str">
        <f t="shared" si="71"/>
        <v>No Prog ni Ejec</v>
      </c>
    </row>
    <row r="107" spans="1:72" s="1627" customFormat="1" ht="89.25" x14ac:dyDescent="0.2">
      <c r="A107" s="1092">
        <v>11700</v>
      </c>
      <c r="B107" s="1060" t="s">
        <v>29</v>
      </c>
      <c r="C107" s="1068" t="s">
        <v>1209</v>
      </c>
      <c r="D107" s="1059" t="s">
        <v>328</v>
      </c>
      <c r="E107" s="1060" t="s">
        <v>256</v>
      </c>
      <c r="F107" s="1059" t="s">
        <v>391</v>
      </c>
      <c r="G107" s="1060" t="s">
        <v>393</v>
      </c>
      <c r="H107" s="1079" t="s">
        <v>384</v>
      </c>
      <c r="I107" s="1059">
        <v>4</v>
      </c>
      <c r="J107" s="1059" t="s">
        <v>392</v>
      </c>
      <c r="K107" s="1060" t="s">
        <v>390</v>
      </c>
      <c r="L107" s="443">
        <v>0</v>
      </c>
      <c r="M107" s="444">
        <v>1</v>
      </c>
      <c r="N107" s="1060" t="s">
        <v>46</v>
      </c>
      <c r="O107" s="1060" t="s">
        <v>68</v>
      </c>
      <c r="P107" s="1060" t="s">
        <v>37</v>
      </c>
      <c r="Q107" s="1060" t="s">
        <v>38</v>
      </c>
      <c r="R107" s="1060" t="s">
        <v>219</v>
      </c>
      <c r="S107" s="1060" t="s">
        <v>628</v>
      </c>
      <c r="T107" s="1060" t="s">
        <v>99</v>
      </c>
      <c r="U107" s="1059">
        <v>4</v>
      </c>
      <c r="V107" s="1058" t="str">
        <f t="shared" si="72"/>
        <v>Informes Operaciones Reciprocas</v>
      </c>
      <c r="W107" s="445">
        <f t="shared" si="73"/>
        <v>0</v>
      </c>
      <c r="X107" s="1097" t="s">
        <v>117</v>
      </c>
      <c r="Y107" s="463">
        <v>1</v>
      </c>
      <c r="Z107" s="1083" t="str">
        <f t="shared" si="118"/>
        <v>Informes Operaciones Reciprocas</v>
      </c>
      <c r="AA107" s="443">
        <v>0</v>
      </c>
      <c r="AB107" s="446">
        <v>1</v>
      </c>
      <c r="AC107" s="443">
        <v>0</v>
      </c>
      <c r="AD107" s="1064">
        <f t="shared" si="52"/>
        <v>1</v>
      </c>
      <c r="AE107" s="1064" t="e">
        <f t="shared" si="53"/>
        <v>#DIV/0!</v>
      </c>
      <c r="AF107" s="1064">
        <f t="shared" si="54"/>
        <v>0.25</v>
      </c>
      <c r="AG107" s="1064" t="e">
        <f t="shared" si="55"/>
        <v>#DIV/0!</v>
      </c>
      <c r="AH107" s="1060" t="s">
        <v>984</v>
      </c>
      <c r="AI107" s="463">
        <v>1</v>
      </c>
      <c r="AJ107" s="1083" t="str">
        <f t="shared" si="119"/>
        <v>Informes Operaciones Reciprocas</v>
      </c>
      <c r="AK107" s="443">
        <v>0</v>
      </c>
      <c r="AL107" s="700">
        <v>1</v>
      </c>
      <c r="AM107" s="529">
        <v>0</v>
      </c>
      <c r="AN107" s="1064">
        <f t="shared" si="56"/>
        <v>1</v>
      </c>
      <c r="AO107" s="1064" t="e">
        <f t="shared" si="57"/>
        <v>#DIV/0!</v>
      </c>
      <c r="AP107" s="1064">
        <f t="shared" si="58"/>
        <v>0.5</v>
      </c>
      <c r="AQ107" s="1064" t="e">
        <f t="shared" si="59"/>
        <v>#DIV/0!</v>
      </c>
      <c r="AR107" s="804" t="s">
        <v>1151</v>
      </c>
      <c r="AS107" s="463">
        <v>1</v>
      </c>
      <c r="AT107" s="1083" t="str">
        <f t="shared" si="113"/>
        <v>Informes Operaciones Reciprocas</v>
      </c>
      <c r="AU107" s="443">
        <v>0</v>
      </c>
      <c r="AV107" s="446">
        <v>1</v>
      </c>
      <c r="AW107" s="448">
        <v>0</v>
      </c>
      <c r="AX107" s="1064">
        <f t="shared" si="60"/>
        <v>1</v>
      </c>
      <c r="AY107" s="1064" t="e">
        <f t="shared" si="61"/>
        <v>#DIV/0!</v>
      </c>
      <c r="AZ107" s="1064">
        <f t="shared" si="62"/>
        <v>0.75</v>
      </c>
      <c r="BA107" s="1064" t="e">
        <f t="shared" si="63"/>
        <v>#DIV/0!</v>
      </c>
      <c r="BB107" s="1083" t="s">
        <v>1973</v>
      </c>
      <c r="BC107" s="463">
        <v>1</v>
      </c>
      <c r="BD107" s="1083" t="str">
        <f t="shared" si="79"/>
        <v>Informes Operaciones Reciprocas</v>
      </c>
      <c r="BE107" s="443">
        <v>0</v>
      </c>
      <c r="BF107" s="1079">
        <v>1</v>
      </c>
      <c r="BG107" s="1077">
        <v>0</v>
      </c>
      <c r="BH107" s="1056">
        <f t="shared" si="75"/>
        <v>1</v>
      </c>
      <c r="BI107" s="1056" t="e">
        <f t="shared" si="76"/>
        <v>#DIV/0!</v>
      </c>
      <c r="BJ107" s="1056">
        <f t="shared" si="77"/>
        <v>1</v>
      </c>
      <c r="BK107" s="1056" t="e">
        <f t="shared" si="78"/>
        <v>#DIV/0!</v>
      </c>
      <c r="BL107" s="1083" t="s">
        <v>2133</v>
      </c>
      <c r="BM107" s="477">
        <f t="shared" si="64"/>
        <v>1</v>
      </c>
      <c r="BN107" s="477" t="str">
        <f t="shared" si="65"/>
        <v>No Prog ni Ejec</v>
      </c>
      <c r="BO107" s="477">
        <f t="shared" si="66"/>
        <v>1</v>
      </c>
      <c r="BP107" s="477" t="str">
        <f t="shared" si="67"/>
        <v>No Prog ni Ejec</v>
      </c>
      <c r="BQ107" s="477">
        <f t="shared" si="68"/>
        <v>1</v>
      </c>
      <c r="BR107" s="477" t="str">
        <f t="shared" si="69"/>
        <v>No Prog ni Ejec</v>
      </c>
      <c r="BS107" s="477">
        <f t="shared" si="70"/>
        <v>1</v>
      </c>
      <c r="BT107" s="828" t="str">
        <f t="shared" si="71"/>
        <v>No Prog ni Ejec</v>
      </c>
    </row>
    <row r="108" spans="1:72" s="1627" customFormat="1" ht="89.25" x14ac:dyDescent="0.2">
      <c r="A108" s="1092">
        <v>11700</v>
      </c>
      <c r="B108" s="1060" t="s">
        <v>29</v>
      </c>
      <c r="C108" s="1068" t="s">
        <v>1209</v>
      </c>
      <c r="D108" s="1059" t="s">
        <v>328</v>
      </c>
      <c r="E108" s="1060" t="s">
        <v>256</v>
      </c>
      <c r="F108" s="1059" t="s">
        <v>394</v>
      </c>
      <c r="G108" s="1060" t="s">
        <v>395</v>
      </c>
      <c r="H108" s="1079" t="s">
        <v>123</v>
      </c>
      <c r="I108" s="1056">
        <v>1</v>
      </c>
      <c r="J108" s="1059" t="s">
        <v>396</v>
      </c>
      <c r="K108" s="1097" t="s">
        <v>934</v>
      </c>
      <c r="L108" s="443">
        <v>0</v>
      </c>
      <c r="M108" s="444">
        <v>1</v>
      </c>
      <c r="N108" s="1060" t="s">
        <v>46</v>
      </c>
      <c r="O108" s="1060" t="s">
        <v>68</v>
      </c>
      <c r="P108" s="1060" t="s">
        <v>37</v>
      </c>
      <c r="Q108" s="1060" t="s">
        <v>38</v>
      </c>
      <c r="R108" s="1060" t="s">
        <v>219</v>
      </c>
      <c r="S108" s="1060" t="s">
        <v>398</v>
      </c>
      <c r="T108" s="1060" t="s">
        <v>99</v>
      </c>
      <c r="U108" s="444">
        <v>1</v>
      </c>
      <c r="V108" s="1058" t="str">
        <f t="shared" si="72"/>
        <v xml:space="preserve">Pago de las Cuentas de Cobro radicadas en el mes que cumplan con los requisitos exigidos debidamente aprobadas y soportadas por los supervisores de los contratos </v>
      </c>
      <c r="W108" s="445">
        <f t="shared" si="73"/>
        <v>0</v>
      </c>
      <c r="X108" s="1097" t="s">
        <v>117</v>
      </c>
      <c r="Y108" s="1056">
        <v>0.25</v>
      </c>
      <c r="Z108" s="1083" t="str">
        <f t="shared" si="118"/>
        <v xml:space="preserve">Pago de las Cuentas de Cobro radicadas en el mes que cumplan con los requisitos exigidos debidamente aprobadas y soportadas por los supervisores de los contratos </v>
      </c>
      <c r="AA108" s="443">
        <v>0</v>
      </c>
      <c r="AB108" s="481">
        <f>(291/293)*25%</f>
        <v>0.24829351535836178</v>
      </c>
      <c r="AC108" s="443">
        <v>0</v>
      </c>
      <c r="AD108" s="1064">
        <f t="shared" si="52"/>
        <v>0.99317406143344711</v>
      </c>
      <c r="AE108" s="1064" t="e">
        <f t="shared" si="53"/>
        <v>#DIV/0!</v>
      </c>
      <c r="AF108" s="1064">
        <f t="shared" si="54"/>
        <v>0.24829351535836178</v>
      </c>
      <c r="AG108" s="1064" t="e">
        <f t="shared" si="55"/>
        <v>#DIV/0!</v>
      </c>
      <c r="AH108" s="1060" t="s">
        <v>985</v>
      </c>
      <c r="AI108" s="1056">
        <v>0.25</v>
      </c>
      <c r="AJ108" s="1083" t="str">
        <f t="shared" si="119"/>
        <v xml:space="preserve">Pago de las Cuentas de Cobro radicadas en el mes que cumplan con los requisitos exigidos debidamente aprobadas y soportadas por los supervisores de los contratos </v>
      </c>
      <c r="AK108" s="443">
        <v>0</v>
      </c>
      <c r="AL108" s="793">
        <f>+(326/324)*25%</f>
        <v>0.25154320987654322</v>
      </c>
      <c r="AM108" s="529">
        <v>0</v>
      </c>
      <c r="AN108" s="1064">
        <f t="shared" si="56"/>
        <v>1.0061728395061729</v>
      </c>
      <c r="AO108" s="1064" t="e">
        <f t="shared" si="57"/>
        <v>#DIV/0!</v>
      </c>
      <c r="AP108" s="1064">
        <f t="shared" si="58"/>
        <v>0.49983672523490497</v>
      </c>
      <c r="AQ108" s="1064" t="e">
        <f t="shared" si="59"/>
        <v>#DIV/0!</v>
      </c>
      <c r="AR108" s="1068" t="s">
        <v>1152</v>
      </c>
      <c r="AS108" s="1056">
        <v>0.25</v>
      </c>
      <c r="AT108" s="1083" t="str">
        <f t="shared" si="113"/>
        <v xml:space="preserve">Pago de las Cuentas de Cobro radicadas en el mes que cumplan con los requisitos exigidos debidamente aprobadas y soportadas por los supervisores de los contratos </v>
      </c>
      <c r="AU108" s="443">
        <v>0</v>
      </c>
      <c r="AV108" s="793">
        <f>+(361/361)*25%</f>
        <v>0.25</v>
      </c>
      <c r="AW108" s="448">
        <v>0</v>
      </c>
      <c r="AX108" s="1064">
        <f t="shared" si="60"/>
        <v>1</v>
      </c>
      <c r="AY108" s="1064" t="e">
        <f t="shared" si="61"/>
        <v>#DIV/0!</v>
      </c>
      <c r="AZ108" s="1064">
        <f t="shared" si="62"/>
        <v>0.74983672523490497</v>
      </c>
      <c r="BA108" s="1064" t="e">
        <f t="shared" si="63"/>
        <v>#DIV/0!</v>
      </c>
      <c r="BB108" s="1068" t="s">
        <v>1974</v>
      </c>
      <c r="BC108" s="1056">
        <v>0.25</v>
      </c>
      <c r="BD108" s="1083" t="str">
        <f t="shared" si="79"/>
        <v xml:space="preserve">Pago de las Cuentas de Cobro radicadas en el mes que cumplan con los requisitos exigidos debidamente aprobadas y soportadas por los supervisores de los contratos </v>
      </c>
      <c r="BE108" s="443">
        <v>0</v>
      </c>
      <c r="BF108" s="487">
        <f>+(420/370)*25%</f>
        <v>0.28378378378378377</v>
      </c>
      <c r="BG108" s="1077">
        <v>0</v>
      </c>
      <c r="BH108" s="1056">
        <f t="shared" si="75"/>
        <v>1.1351351351351351</v>
      </c>
      <c r="BI108" s="1056" t="e">
        <f t="shared" si="76"/>
        <v>#DIV/0!</v>
      </c>
      <c r="BJ108" s="1056">
        <f t="shared" si="77"/>
        <v>1.0336205090186887</v>
      </c>
      <c r="BK108" s="1056" t="e">
        <f t="shared" si="78"/>
        <v>#DIV/0!</v>
      </c>
      <c r="BL108" s="1068" t="s">
        <v>2135</v>
      </c>
      <c r="BM108" s="477">
        <f t="shared" si="64"/>
        <v>0.99317406143344711</v>
      </c>
      <c r="BN108" s="477" t="str">
        <f t="shared" si="65"/>
        <v>No Prog ni Ejec</v>
      </c>
      <c r="BO108" s="477">
        <f t="shared" si="66"/>
        <v>1.0061728395061729</v>
      </c>
      <c r="BP108" s="477" t="str">
        <f t="shared" si="67"/>
        <v>No Prog ni Ejec</v>
      </c>
      <c r="BQ108" s="477">
        <f t="shared" si="68"/>
        <v>1</v>
      </c>
      <c r="BR108" s="477" t="str">
        <f t="shared" si="69"/>
        <v>No Prog ni Ejec</v>
      </c>
      <c r="BS108" s="477">
        <f t="shared" si="70"/>
        <v>1.1351351351351351</v>
      </c>
      <c r="BT108" s="828" t="str">
        <f t="shared" si="71"/>
        <v>No Prog ni Ejec</v>
      </c>
    </row>
    <row r="109" spans="1:72" s="1627" customFormat="1" ht="89.25" x14ac:dyDescent="0.2">
      <c r="A109" s="1092">
        <v>11700</v>
      </c>
      <c r="B109" s="1060" t="s">
        <v>29</v>
      </c>
      <c r="C109" s="1068" t="s">
        <v>1209</v>
      </c>
      <c r="D109" s="1059" t="s">
        <v>328</v>
      </c>
      <c r="E109" s="1060" t="s">
        <v>256</v>
      </c>
      <c r="F109" s="1059" t="s">
        <v>399</v>
      </c>
      <c r="G109" s="1060" t="s">
        <v>400</v>
      </c>
      <c r="H109" s="1079" t="s">
        <v>123</v>
      </c>
      <c r="I109" s="1056">
        <v>1</v>
      </c>
      <c r="J109" s="1059" t="s">
        <v>403</v>
      </c>
      <c r="K109" s="1060" t="s">
        <v>935</v>
      </c>
      <c r="L109" s="528">
        <f>319126980-30000000-(32125220)+64250440-2677102+5323930</f>
        <v>323899028</v>
      </c>
      <c r="M109" s="444">
        <v>1</v>
      </c>
      <c r="N109" s="1060" t="s">
        <v>51</v>
      </c>
      <c r="O109" s="1060" t="s">
        <v>56</v>
      </c>
      <c r="P109" s="1060" t="s">
        <v>37</v>
      </c>
      <c r="Q109" s="1060" t="s">
        <v>40</v>
      </c>
      <c r="R109" s="1060" t="s">
        <v>217</v>
      </c>
      <c r="S109" s="1060" t="s">
        <v>936</v>
      </c>
      <c r="T109" s="1060" t="s">
        <v>111</v>
      </c>
      <c r="U109" s="444">
        <v>1</v>
      </c>
      <c r="V109" s="1058" t="str">
        <f t="shared" si="72"/>
        <v>Trámites  Precontractuales y Contractuales Adelantados de conformidad con Plan de Adquisiciones</v>
      </c>
      <c r="W109" s="445">
        <f>+L109</f>
        <v>323899028</v>
      </c>
      <c r="X109" s="1097" t="s">
        <v>114</v>
      </c>
      <c r="Y109" s="1056">
        <v>0.25</v>
      </c>
      <c r="Z109" s="1083" t="str">
        <f t="shared" si="118"/>
        <v>Trámites  Precontractuales y Contractuales Adelantados de conformidad con Plan de Adquisiciones</v>
      </c>
      <c r="AA109" s="443">
        <v>79781745</v>
      </c>
      <c r="AB109" s="489">
        <f>(69/70)*25%</f>
        <v>0.24642857142857144</v>
      </c>
      <c r="AC109" s="443">
        <f>40156524+6692754+1070841</f>
        <v>47920119</v>
      </c>
      <c r="AD109" s="1064">
        <f t="shared" si="52"/>
        <v>0.98571428571428577</v>
      </c>
      <c r="AE109" s="1064">
        <f>+(AC109/AA109)</f>
        <v>0.60064014643951447</v>
      </c>
      <c r="AF109" s="1064">
        <f t="shared" si="54"/>
        <v>0.24642857142857144</v>
      </c>
      <c r="AG109" s="1064">
        <f t="shared" si="55"/>
        <v>0.14794770856799236</v>
      </c>
      <c r="AH109" s="1060" t="s">
        <v>945</v>
      </c>
      <c r="AI109" s="1056">
        <v>0.25</v>
      </c>
      <c r="AJ109" s="1083" t="str">
        <f t="shared" si="119"/>
        <v>Trámites  Precontractuales y Contractuales Adelantados de conformidad con Plan de Adquisiciones</v>
      </c>
      <c r="AK109" s="443">
        <f>79781745-10000000</f>
        <v>69781745</v>
      </c>
      <c r="AL109" s="747">
        <f>(9/9)*AI109</f>
        <v>0.25</v>
      </c>
      <c r="AM109" s="736">
        <f>72281745</f>
        <v>72281745</v>
      </c>
      <c r="AN109" s="1064">
        <f t="shared" si="56"/>
        <v>1</v>
      </c>
      <c r="AO109" s="1064">
        <f t="shared" si="57"/>
        <v>1.035825988587703</v>
      </c>
      <c r="AP109" s="1064">
        <f t="shared" si="58"/>
        <v>0.49642857142857144</v>
      </c>
      <c r="AQ109" s="1064">
        <f t="shared" si="59"/>
        <v>0.37110906056809778</v>
      </c>
      <c r="AR109" s="1068" t="s">
        <v>1053</v>
      </c>
      <c r="AS109" s="1056">
        <v>0.25</v>
      </c>
      <c r="AT109" s="1083" t="str">
        <f t="shared" si="113"/>
        <v>Trámites  Precontractuales y Contractuales Adelantados de conformidad con Plan de Adquisiciones</v>
      </c>
      <c r="AU109" s="443">
        <f>80313050-2677102</f>
        <v>77635948</v>
      </c>
      <c r="AV109" s="489">
        <f>(27/27)*25%</f>
        <v>0.25</v>
      </c>
      <c r="AW109" s="736">
        <v>72281745</v>
      </c>
      <c r="AX109" s="1064">
        <f t="shared" si="60"/>
        <v>1</v>
      </c>
      <c r="AY109" s="1064">
        <f t="shared" si="61"/>
        <v>0.93103448675605793</v>
      </c>
      <c r="AZ109" s="1064">
        <f t="shared" si="62"/>
        <v>0.74642857142857144</v>
      </c>
      <c r="BA109" s="1064">
        <f t="shared" si="63"/>
        <v>0.59427041256820323</v>
      </c>
      <c r="BB109" s="1058" t="s">
        <v>1886</v>
      </c>
      <c r="BC109" s="1056">
        <v>0.25</v>
      </c>
      <c r="BD109" s="1083" t="str">
        <f t="shared" si="79"/>
        <v>Trámites  Precontractuales y Contractuales Adelantados de conformidad con Plan de Adquisiciones</v>
      </c>
      <c r="BE109" s="1682">
        <f>99108981-2409391</f>
        <v>96699590</v>
      </c>
      <c r="BF109" s="738">
        <f>(28/28)*25%</f>
        <v>0.25</v>
      </c>
      <c r="BG109" s="744">
        <v>95173642</v>
      </c>
      <c r="BH109" s="1056">
        <f t="shared" si="75"/>
        <v>1</v>
      </c>
      <c r="BI109" s="1056">
        <f t="shared" si="76"/>
        <v>0.98421970558510119</v>
      </c>
      <c r="BJ109" s="1056">
        <f t="shared" si="77"/>
        <v>0.99642857142857144</v>
      </c>
      <c r="BK109" s="1056">
        <f t="shared" si="78"/>
        <v>0.88810779327192058</v>
      </c>
      <c r="BL109" s="1068" t="s">
        <v>2106</v>
      </c>
      <c r="BM109" s="477">
        <f t="shared" si="64"/>
        <v>0.98571428571428577</v>
      </c>
      <c r="BN109" s="477">
        <f t="shared" si="65"/>
        <v>0.60064014643951447</v>
      </c>
      <c r="BO109" s="477">
        <f t="shared" si="66"/>
        <v>1</v>
      </c>
      <c r="BP109" s="477">
        <f t="shared" si="67"/>
        <v>1.035825988587703</v>
      </c>
      <c r="BQ109" s="477">
        <f t="shared" si="68"/>
        <v>1</v>
      </c>
      <c r="BR109" s="477">
        <f t="shared" si="69"/>
        <v>0.93103448675605793</v>
      </c>
      <c r="BS109" s="477">
        <f t="shared" si="70"/>
        <v>1</v>
      </c>
      <c r="BT109" s="828">
        <f t="shared" si="71"/>
        <v>0.98421970558510119</v>
      </c>
    </row>
    <row r="110" spans="1:72" s="1627" customFormat="1" ht="89.25" x14ac:dyDescent="0.2">
      <c r="A110" s="1092">
        <v>11700</v>
      </c>
      <c r="B110" s="1060" t="s">
        <v>29</v>
      </c>
      <c r="C110" s="1068" t="s">
        <v>1209</v>
      </c>
      <c r="D110" s="1059" t="s">
        <v>328</v>
      </c>
      <c r="E110" s="1060" t="s">
        <v>256</v>
      </c>
      <c r="F110" s="1059" t="s">
        <v>401</v>
      </c>
      <c r="G110" s="1060" t="s">
        <v>563</v>
      </c>
      <c r="H110" s="1079" t="s">
        <v>123</v>
      </c>
      <c r="I110" s="1056">
        <v>1</v>
      </c>
      <c r="J110" s="1059" t="s">
        <v>404</v>
      </c>
      <c r="K110" s="1060" t="s">
        <v>564</v>
      </c>
      <c r="L110" s="443">
        <v>0</v>
      </c>
      <c r="M110" s="444">
        <v>1</v>
      </c>
      <c r="N110" s="1060" t="s">
        <v>51</v>
      </c>
      <c r="O110" s="1060" t="s">
        <v>56</v>
      </c>
      <c r="P110" s="1060" t="s">
        <v>37</v>
      </c>
      <c r="Q110" s="1060" t="s">
        <v>40</v>
      </c>
      <c r="R110" s="1060" t="s">
        <v>217</v>
      </c>
      <c r="S110" s="1060" t="s">
        <v>937</v>
      </c>
      <c r="T110" s="1060" t="s">
        <v>111</v>
      </c>
      <c r="U110" s="444">
        <v>1</v>
      </c>
      <c r="V110" s="1058" t="str">
        <f t="shared" si="72"/>
        <v xml:space="preserve">No de Actos de cierre y/ o liquidaciones elaboradas / No. De Contratos terminados. </v>
      </c>
      <c r="W110" s="445">
        <f t="shared" si="73"/>
        <v>0</v>
      </c>
      <c r="X110" s="1097" t="s">
        <v>117</v>
      </c>
      <c r="Y110" s="1056">
        <v>0.25</v>
      </c>
      <c r="Z110" s="1083" t="str">
        <f t="shared" si="118"/>
        <v xml:space="preserve">No de Actos de cierre y/ o liquidaciones elaboradas / No. De Contratos terminados. </v>
      </c>
      <c r="AA110" s="443">
        <v>0</v>
      </c>
      <c r="AB110" s="489">
        <f>(48/58)*Y110</f>
        <v>0.20689655172413793</v>
      </c>
      <c r="AC110" s="443">
        <v>0</v>
      </c>
      <c r="AD110" s="1064">
        <f t="shared" si="52"/>
        <v>0.82758620689655171</v>
      </c>
      <c r="AE110" s="1064" t="e">
        <f t="shared" si="53"/>
        <v>#DIV/0!</v>
      </c>
      <c r="AF110" s="1064">
        <f t="shared" si="54"/>
        <v>0.20689655172413793</v>
      </c>
      <c r="AG110" s="1064" t="e">
        <f t="shared" si="55"/>
        <v>#DIV/0!</v>
      </c>
      <c r="AH110" s="1060" t="s">
        <v>986</v>
      </c>
      <c r="AI110" s="1056">
        <v>0.25</v>
      </c>
      <c r="AJ110" s="1083" t="str">
        <f t="shared" si="119"/>
        <v xml:space="preserve">No de Actos de cierre y/ o liquidaciones elaboradas / No. De Contratos terminados. </v>
      </c>
      <c r="AK110" s="443">
        <v>0</v>
      </c>
      <c r="AL110" s="747">
        <f>(57/61)*AI110</f>
        <v>0.23360655737704919</v>
      </c>
      <c r="AM110" s="443">
        <v>0</v>
      </c>
      <c r="AN110" s="1064">
        <f t="shared" si="56"/>
        <v>0.93442622950819676</v>
      </c>
      <c r="AO110" s="1064" t="e">
        <f t="shared" si="57"/>
        <v>#DIV/0!</v>
      </c>
      <c r="AP110" s="1064">
        <f t="shared" si="58"/>
        <v>0.44050310910118712</v>
      </c>
      <c r="AQ110" s="1064" t="e">
        <f t="shared" si="59"/>
        <v>#DIV/0!</v>
      </c>
      <c r="AR110" s="1068" t="s">
        <v>1153</v>
      </c>
      <c r="AS110" s="1056">
        <v>0.25</v>
      </c>
      <c r="AT110" s="1083" t="str">
        <f t="shared" si="113"/>
        <v xml:space="preserve">No de Actos de cierre y/ o liquidaciones elaboradas / No. De Contratos terminados. </v>
      </c>
      <c r="AU110" s="443">
        <v>0</v>
      </c>
      <c r="AV110" s="489">
        <f>(59/72)*AS110</f>
        <v>0.2048611111111111</v>
      </c>
      <c r="AW110" s="475">
        <v>0</v>
      </c>
      <c r="AX110" s="1064">
        <f t="shared" si="60"/>
        <v>0.81944444444444442</v>
      </c>
      <c r="AY110" s="1064" t="e">
        <f t="shared" si="61"/>
        <v>#DIV/0!</v>
      </c>
      <c r="AZ110" s="1064">
        <f t="shared" si="62"/>
        <v>0.64536422021229822</v>
      </c>
      <c r="BA110" s="1064" t="e">
        <f t="shared" si="63"/>
        <v>#DIV/0!</v>
      </c>
      <c r="BB110" s="1068" t="s">
        <v>1885</v>
      </c>
      <c r="BC110" s="1056">
        <v>0.25</v>
      </c>
      <c r="BD110" s="1083" t="str">
        <f t="shared" si="79"/>
        <v xml:space="preserve">No de Actos de cierre y/ o liquidaciones elaboradas / No. De Contratos terminados. </v>
      </c>
      <c r="BE110" s="443">
        <v>0</v>
      </c>
      <c r="BF110" s="738">
        <v>0.2225</v>
      </c>
      <c r="BG110" s="744">
        <v>0</v>
      </c>
      <c r="BH110" s="1056">
        <f t="shared" si="75"/>
        <v>0.89</v>
      </c>
      <c r="BI110" s="1056" t="e">
        <f t="shared" si="76"/>
        <v>#DIV/0!</v>
      </c>
      <c r="BJ110" s="1056">
        <f t="shared" si="77"/>
        <v>0.86786422021229825</v>
      </c>
      <c r="BK110" s="1056" t="e">
        <f t="shared" si="78"/>
        <v>#DIV/0!</v>
      </c>
      <c r="BL110" s="1068" t="s">
        <v>2107</v>
      </c>
      <c r="BM110" s="477">
        <f t="shared" si="64"/>
        <v>0.82758620689655171</v>
      </c>
      <c r="BN110" s="477" t="str">
        <f t="shared" si="65"/>
        <v>No Prog ni Ejec</v>
      </c>
      <c r="BO110" s="477">
        <f t="shared" si="66"/>
        <v>0.93442622950819676</v>
      </c>
      <c r="BP110" s="477" t="str">
        <f t="shared" si="67"/>
        <v>No Prog ni Ejec</v>
      </c>
      <c r="BQ110" s="477">
        <f t="shared" si="68"/>
        <v>0.81944444444444442</v>
      </c>
      <c r="BR110" s="477" t="str">
        <f t="shared" si="69"/>
        <v>No Prog ni Ejec</v>
      </c>
      <c r="BS110" s="477">
        <f t="shared" si="70"/>
        <v>0.89</v>
      </c>
      <c r="BT110" s="828" t="str">
        <f t="shared" si="71"/>
        <v>No Prog ni Ejec</v>
      </c>
    </row>
    <row r="111" spans="1:72" s="1627" customFormat="1" ht="140.25" x14ac:dyDescent="0.2">
      <c r="A111" s="1092">
        <v>11700</v>
      </c>
      <c r="B111" s="1060" t="s">
        <v>29</v>
      </c>
      <c r="C111" s="1060" t="s">
        <v>1251</v>
      </c>
      <c r="D111" s="1059" t="s">
        <v>328</v>
      </c>
      <c r="E111" s="1060" t="s">
        <v>256</v>
      </c>
      <c r="F111" s="1059" t="s">
        <v>407</v>
      </c>
      <c r="G111" s="1060" t="s">
        <v>661</v>
      </c>
      <c r="H111" s="723" t="s">
        <v>123</v>
      </c>
      <c r="I111" s="724">
        <v>1</v>
      </c>
      <c r="J111" s="1059" t="s">
        <v>409</v>
      </c>
      <c r="K111" s="1060" t="s">
        <v>938</v>
      </c>
      <c r="L111" s="964">
        <f>+L112+L114+L115</f>
        <v>307532568</v>
      </c>
      <c r="M111" s="444">
        <v>1</v>
      </c>
      <c r="N111" s="1060" t="s">
        <v>45</v>
      </c>
      <c r="O111" s="1060" t="s">
        <v>54</v>
      </c>
      <c r="P111" s="1060" t="s">
        <v>37</v>
      </c>
      <c r="Q111" s="1060" t="s">
        <v>38</v>
      </c>
      <c r="R111" s="1060" t="s">
        <v>218</v>
      </c>
      <c r="S111" s="726" t="s">
        <v>1278</v>
      </c>
      <c r="T111" s="1060" t="s">
        <v>104</v>
      </c>
      <c r="U111" s="707">
        <v>1</v>
      </c>
      <c r="V111" s="1058" t="str">
        <f t="shared" si="72"/>
        <v>Realizar capacitación para fortalecer las competencias laborales de los funcionarios</v>
      </c>
      <c r="W111" s="445">
        <f>+L111</f>
        <v>307532568</v>
      </c>
      <c r="X111" s="1097" t="s">
        <v>114</v>
      </c>
      <c r="Y111" s="463">
        <v>3</v>
      </c>
      <c r="Z111" s="1083" t="str">
        <f t="shared" si="118"/>
        <v>Realizar capacitación para fortalecer las competencias laborales de los funcionarios</v>
      </c>
      <c r="AA111" s="443">
        <v>100000000</v>
      </c>
      <c r="AB111" s="1079">
        <v>4</v>
      </c>
      <c r="AC111" s="1077">
        <v>0</v>
      </c>
      <c r="AD111" s="1064">
        <f t="shared" si="52"/>
        <v>1.3333333333333333</v>
      </c>
      <c r="AE111" s="1064">
        <f t="shared" si="53"/>
        <v>0</v>
      </c>
      <c r="AF111" s="1064">
        <f t="shared" si="54"/>
        <v>4</v>
      </c>
      <c r="AG111" s="1064">
        <f t="shared" si="55"/>
        <v>0</v>
      </c>
      <c r="AH111" s="1060" t="s">
        <v>987</v>
      </c>
      <c r="AI111" s="463">
        <v>2</v>
      </c>
      <c r="AJ111" s="1083" t="str">
        <f t="shared" si="119"/>
        <v>Realizar capacitación para fortalecer las competencias laborales de los funcionarios</v>
      </c>
      <c r="AK111" s="443">
        <v>100000000</v>
      </c>
      <c r="AL111" s="1089">
        <v>8</v>
      </c>
      <c r="AM111" s="702">
        <v>0</v>
      </c>
      <c r="AN111" s="1064">
        <f t="shared" si="56"/>
        <v>4</v>
      </c>
      <c r="AO111" s="1064">
        <f t="shared" si="57"/>
        <v>0</v>
      </c>
      <c r="AP111" s="1064">
        <f t="shared" si="58"/>
        <v>12</v>
      </c>
      <c r="AQ111" s="1064">
        <f t="shared" si="59"/>
        <v>0</v>
      </c>
      <c r="AR111" s="1071" t="s">
        <v>2310</v>
      </c>
      <c r="AS111" s="727">
        <v>0</v>
      </c>
      <c r="AT111" s="1083" t="str">
        <f t="shared" si="113"/>
        <v>Realizar capacitación para fortalecer las competencias laborales de los funcionarios</v>
      </c>
      <c r="AU111" s="725">
        <v>0</v>
      </c>
      <c r="AV111" s="1088">
        <f>+(5/5)*AS111</f>
        <v>0</v>
      </c>
      <c r="AW111" s="942">
        <v>0</v>
      </c>
      <c r="AX111" s="1064" t="e">
        <f t="shared" si="60"/>
        <v>#DIV/0!</v>
      </c>
      <c r="AY111" s="1064" t="e">
        <f t="shared" si="61"/>
        <v>#DIV/0!</v>
      </c>
      <c r="AZ111" s="1064">
        <f>+(AL111+AB111+AV111)/U111</f>
        <v>12</v>
      </c>
      <c r="BA111" s="1064">
        <f t="shared" si="63"/>
        <v>0</v>
      </c>
      <c r="BB111" s="1063" t="s">
        <v>1959</v>
      </c>
      <c r="BC111" s="727">
        <v>1</v>
      </c>
      <c r="BD111" s="1083" t="str">
        <f t="shared" si="79"/>
        <v>Realizar capacitación para fortalecer las competencias laborales de los funcionarios</v>
      </c>
      <c r="BE111" s="964">
        <f>+BE112+BE114+BE115</f>
        <v>307532568</v>
      </c>
      <c r="BF111" s="1088">
        <f>4/4*1</f>
        <v>1</v>
      </c>
      <c r="BG111" s="1054">
        <f>42518998+30496596+26495664+64026850+68987927+27087361+4403600+40924370</f>
        <v>304941366</v>
      </c>
      <c r="BH111" s="1056">
        <f t="shared" si="75"/>
        <v>1</v>
      </c>
      <c r="BI111" s="1056">
        <f t="shared" si="76"/>
        <v>0.99157421922220612</v>
      </c>
      <c r="BJ111" s="1056">
        <f t="shared" si="77"/>
        <v>13</v>
      </c>
      <c r="BK111" s="1056">
        <f t="shared" si="78"/>
        <v>0.99157421922220612</v>
      </c>
      <c r="BL111" s="1099" t="s">
        <v>2262</v>
      </c>
      <c r="BM111" s="477">
        <f t="shared" si="64"/>
        <v>1.3333333333333333</v>
      </c>
      <c r="BN111" s="477">
        <f t="shared" si="65"/>
        <v>0</v>
      </c>
      <c r="BO111" s="477">
        <f t="shared" si="66"/>
        <v>4</v>
      </c>
      <c r="BP111" s="477">
        <f t="shared" si="67"/>
        <v>0</v>
      </c>
      <c r="BQ111" s="477" t="str">
        <f t="shared" si="68"/>
        <v>No Prog ni Ejec</v>
      </c>
      <c r="BR111" s="477" t="str">
        <f t="shared" si="69"/>
        <v>No Prog ni Ejec</v>
      </c>
      <c r="BS111" s="477">
        <f t="shared" si="70"/>
        <v>1</v>
      </c>
      <c r="BT111" s="828">
        <f t="shared" si="71"/>
        <v>0.99157421922220612</v>
      </c>
    </row>
    <row r="112" spans="1:72" s="958" customFormat="1" ht="89.25" customHeight="1" x14ac:dyDescent="0.2">
      <c r="A112" s="1091">
        <v>11700</v>
      </c>
      <c r="B112" s="1068" t="s">
        <v>29</v>
      </c>
      <c r="C112" s="1068" t="s">
        <v>1251</v>
      </c>
      <c r="D112" s="1085" t="s">
        <v>328</v>
      </c>
      <c r="E112" s="1068" t="s">
        <v>256</v>
      </c>
      <c r="F112" s="1085" t="s">
        <v>409</v>
      </c>
      <c r="G112" s="743" t="s">
        <v>1252</v>
      </c>
      <c r="H112" s="1089" t="s">
        <v>123</v>
      </c>
      <c r="I112" s="1075">
        <v>1</v>
      </c>
      <c r="J112" s="1162" t="s">
        <v>1253</v>
      </c>
      <c r="K112" s="1164" t="s">
        <v>1254</v>
      </c>
      <c r="L112" s="1165">
        <f>40924370</f>
        <v>40924370</v>
      </c>
      <c r="M112" s="1166">
        <v>1</v>
      </c>
      <c r="N112" s="1161" t="s">
        <v>45</v>
      </c>
      <c r="O112" s="1161" t="s">
        <v>54</v>
      </c>
      <c r="P112" s="1161" t="s">
        <v>37</v>
      </c>
      <c r="Q112" s="1161" t="s">
        <v>38</v>
      </c>
      <c r="R112" s="1161" t="s">
        <v>218</v>
      </c>
      <c r="S112" s="1067" t="s">
        <v>1255</v>
      </c>
      <c r="T112" s="1068" t="s">
        <v>104</v>
      </c>
      <c r="U112" s="1075">
        <v>1</v>
      </c>
      <c r="V112" s="1169" t="str">
        <f>+K112</f>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W112" s="1160">
        <f>+L112</f>
        <v>40924370</v>
      </c>
      <c r="X112" s="1136" t="s">
        <v>114</v>
      </c>
      <c r="Y112" s="745">
        <v>0</v>
      </c>
      <c r="Z112" s="1167" t="str">
        <f>+V112</f>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AA112" s="1138">
        <v>0</v>
      </c>
      <c r="AB112" s="1089"/>
      <c r="AC112" s="1054"/>
      <c r="AD112" s="1069" t="e">
        <f t="shared" si="52"/>
        <v>#DIV/0!</v>
      </c>
      <c r="AE112" s="1221" t="e">
        <f t="shared" si="53"/>
        <v>#DIV/0!</v>
      </c>
      <c r="AF112" s="1069">
        <f t="shared" si="54"/>
        <v>0</v>
      </c>
      <c r="AG112" s="1158">
        <f t="shared" si="55"/>
        <v>0</v>
      </c>
      <c r="AH112" s="1068"/>
      <c r="AI112" s="745">
        <v>0</v>
      </c>
      <c r="AJ112" s="1137" t="str">
        <f>+V112</f>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AK112" s="1138">
        <v>0</v>
      </c>
      <c r="AL112" s="700"/>
      <c r="AM112" s="700"/>
      <c r="AN112" s="1069" t="e">
        <f t="shared" si="56"/>
        <v>#DIV/0!</v>
      </c>
      <c r="AO112" s="1221" t="e">
        <f t="shared" si="57"/>
        <v>#DIV/0!</v>
      </c>
      <c r="AP112" s="1069">
        <f t="shared" si="58"/>
        <v>0</v>
      </c>
      <c r="AQ112" s="1221">
        <f t="shared" si="59"/>
        <v>0</v>
      </c>
      <c r="AR112" s="845"/>
      <c r="AS112" s="745">
        <v>0</v>
      </c>
      <c r="AT112" s="1137" t="str">
        <f>+Z112</f>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AU112" s="1138">
        <v>0</v>
      </c>
      <c r="AV112" s="943">
        <f>116/187</f>
        <v>0.6203208556149733</v>
      </c>
      <c r="AW112" s="744">
        <v>0</v>
      </c>
      <c r="AX112" s="1069" t="e">
        <f t="shared" si="60"/>
        <v>#DIV/0!</v>
      </c>
      <c r="AY112" s="1221" t="e">
        <f t="shared" si="61"/>
        <v>#DIV/0!</v>
      </c>
      <c r="AZ112" s="1069">
        <f t="shared" si="62"/>
        <v>0.6203208556149733</v>
      </c>
      <c r="BA112" s="1158">
        <f t="shared" si="63"/>
        <v>0</v>
      </c>
      <c r="BB112" s="855" t="s">
        <v>1960</v>
      </c>
      <c r="BC112" s="745">
        <v>1</v>
      </c>
      <c r="BD112" s="1137" t="str">
        <f>+V112</f>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BE112" s="1165">
        <f>+W112</f>
        <v>40924370</v>
      </c>
      <c r="BF112" s="943">
        <v>0</v>
      </c>
      <c r="BG112" s="1683">
        <v>40924370</v>
      </c>
      <c r="BH112" s="1075">
        <f t="shared" si="75"/>
        <v>0</v>
      </c>
      <c r="BI112" s="1229">
        <f t="shared" si="76"/>
        <v>1</v>
      </c>
      <c r="BJ112" s="1075">
        <f t="shared" si="77"/>
        <v>0.6203208556149733</v>
      </c>
      <c r="BK112" s="1233">
        <f t="shared" si="78"/>
        <v>1</v>
      </c>
      <c r="BL112" s="1068" t="s">
        <v>2143</v>
      </c>
      <c r="BM112" s="742" t="str">
        <f t="shared" si="64"/>
        <v>No Prog ni Ejec</v>
      </c>
      <c r="BN112" s="1234" t="str">
        <f t="shared" si="65"/>
        <v>No Prog ni Ejec</v>
      </c>
      <c r="BO112" s="742" t="str">
        <f t="shared" si="66"/>
        <v>No Prog ni Ejec</v>
      </c>
      <c r="BP112" s="1234" t="str">
        <f t="shared" si="67"/>
        <v>No Prog ni Ejec</v>
      </c>
      <c r="BQ112" s="742" t="str">
        <f t="shared" si="68"/>
        <v>No Prog, Ejec=  0,620320855614973</v>
      </c>
      <c r="BR112" s="1234" t="str">
        <f t="shared" si="69"/>
        <v>No Prog ni Ejec</v>
      </c>
      <c r="BS112" s="742">
        <f t="shared" si="70"/>
        <v>0</v>
      </c>
      <c r="BT112" s="1238">
        <f t="shared" si="71"/>
        <v>1</v>
      </c>
    </row>
    <row r="113" spans="1:72" s="958" customFormat="1" ht="102" x14ac:dyDescent="0.2">
      <c r="A113" s="1091">
        <v>11700</v>
      </c>
      <c r="B113" s="1068" t="s">
        <v>29</v>
      </c>
      <c r="C113" s="1068" t="s">
        <v>1251</v>
      </c>
      <c r="D113" s="1085" t="s">
        <v>328</v>
      </c>
      <c r="E113" s="1068" t="s">
        <v>256</v>
      </c>
      <c r="F113" s="1085" t="s">
        <v>629</v>
      </c>
      <c r="G113" s="743" t="s">
        <v>1256</v>
      </c>
      <c r="H113" s="1089" t="s">
        <v>123</v>
      </c>
      <c r="I113" s="1075">
        <v>1</v>
      </c>
      <c r="J113" s="1162"/>
      <c r="K113" s="1164"/>
      <c r="L113" s="1165"/>
      <c r="M113" s="1166"/>
      <c r="N113" s="1161"/>
      <c r="O113" s="1161"/>
      <c r="P113" s="1161"/>
      <c r="Q113" s="1161"/>
      <c r="R113" s="1161"/>
      <c r="S113" s="1067" t="s">
        <v>1255</v>
      </c>
      <c r="T113" s="1068" t="s">
        <v>104</v>
      </c>
      <c r="U113" s="1075">
        <v>1</v>
      </c>
      <c r="V113" s="1169"/>
      <c r="W113" s="1160"/>
      <c r="X113" s="1136"/>
      <c r="Y113" s="745">
        <v>0</v>
      </c>
      <c r="Z113" s="1167"/>
      <c r="AA113" s="1138"/>
      <c r="AB113" s="1089"/>
      <c r="AC113" s="1054"/>
      <c r="AD113" s="1069" t="e">
        <f t="shared" si="52"/>
        <v>#DIV/0!</v>
      </c>
      <c r="AE113" s="1221"/>
      <c r="AF113" s="1069">
        <f t="shared" si="54"/>
        <v>0</v>
      </c>
      <c r="AG113" s="1158"/>
      <c r="AH113" s="1068"/>
      <c r="AI113" s="745">
        <v>0</v>
      </c>
      <c r="AJ113" s="1137"/>
      <c r="AK113" s="1138"/>
      <c r="AL113" s="700"/>
      <c r="AM113" s="700"/>
      <c r="AN113" s="1069" t="e">
        <f t="shared" si="56"/>
        <v>#DIV/0!</v>
      </c>
      <c r="AO113" s="1221"/>
      <c r="AP113" s="1069">
        <f t="shared" si="58"/>
        <v>0</v>
      </c>
      <c r="AQ113" s="1221"/>
      <c r="AR113" s="845"/>
      <c r="AS113" s="745">
        <v>0</v>
      </c>
      <c r="AT113" s="1137"/>
      <c r="AU113" s="1138"/>
      <c r="AV113" s="943">
        <f>139/187</f>
        <v>0.74331550802139035</v>
      </c>
      <c r="AW113" s="1054">
        <v>0</v>
      </c>
      <c r="AX113" s="1069" t="e">
        <f t="shared" si="60"/>
        <v>#DIV/0!</v>
      </c>
      <c r="AY113" s="1221"/>
      <c r="AZ113" s="1069">
        <f t="shared" si="62"/>
        <v>0.74331550802139035</v>
      </c>
      <c r="BA113" s="1158"/>
      <c r="BB113" s="845"/>
      <c r="BC113" s="745">
        <v>1</v>
      </c>
      <c r="BD113" s="1137"/>
      <c r="BE113" s="1165"/>
      <c r="BF113" s="943">
        <f>(5+14)/(15+12)</f>
        <v>0.70370370370370372</v>
      </c>
      <c r="BG113" s="1684"/>
      <c r="BH113" s="1075">
        <f t="shared" si="75"/>
        <v>0.70370370370370372</v>
      </c>
      <c r="BI113" s="1229"/>
      <c r="BJ113" s="1075">
        <f t="shared" si="77"/>
        <v>1.447019211725094</v>
      </c>
      <c r="BK113" s="1233"/>
      <c r="BL113" s="1048" t="s">
        <v>2216</v>
      </c>
      <c r="BM113" s="742" t="str">
        <f t="shared" si="64"/>
        <v>No Prog ni Ejec</v>
      </c>
      <c r="BN113" s="1234"/>
      <c r="BO113" s="742" t="str">
        <f t="shared" si="66"/>
        <v>No Prog ni Ejec</v>
      </c>
      <c r="BP113" s="1234"/>
      <c r="BQ113" s="742" t="str">
        <f t="shared" si="68"/>
        <v>No Prog, Ejec=  0,74331550802139</v>
      </c>
      <c r="BR113" s="1234"/>
      <c r="BS113" s="742">
        <f t="shared" si="70"/>
        <v>0.70370370370370372</v>
      </c>
      <c r="BT113" s="1238"/>
    </row>
    <row r="114" spans="1:72" s="958" customFormat="1" ht="204" x14ac:dyDescent="0.2">
      <c r="A114" s="1091">
        <v>11700</v>
      </c>
      <c r="B114" s="1068" t="s">
        <v>29</v>
      </c>
      <c r="C114" s="1068" t="s">
        <v>1251</v>
      </c>
      <c r="D114" s="1085" t="s">
        <v>328</v>
      </c>
      <c r="E114" s="1068" t="s">
        <v>256</v>
      </c>
      <c r="F114" s="1085" t="s">
        <v>1257</v>
      </c>
      <c r="G114" s="743" t="s">
        <v>1258</v>
      </c>
      <c r="H114" s="1089" t="s">
        <v>123</v>
      </c>
      <c r="I114" s="1075">
        <v>1</v>
      </c>
      <c r="J114" s="1085" t="s">
        <v>1259</v>
      </c>
      <c r="K114" s="1101" t="s">
        <v>1260</v>
      </c>
      <c r="L114" s="1076">
        <f>42518998</f>
        <v>42518998</v>
      </c>
      <c r="M114" s="1078">
        <v>1</v>
      </c>
      <c r="N114" s="1068" t="s">
        <v>45</v>
      </c>
      <c r="O114" s="1068" t="s">
        <v>54</v>
      </c>
      <c r="P114" s="1068" t="s">
        <v>37</v>
      </c>
      <c r="Q114" s="1068" t="s">
        <v>38</v>
      </c>
      <c r="R114" s="1068" t="s">
        <v>218</v>
      </c>
      <c r="S114" s="1067" t="s">
        <v>1255</v>
      </c>
      <c r="T114" s="1068" t="s">
        <v>104</v>
      </c>
      <c r="U114" s="1075">
        <v>1</v>
      </c>
      <c r="V114" s="1071" t="str">
        <f>+K114</f>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W114" s="699">
        <f>+L114</f>
        <v>42518998</v>
      </c>
      <c r="X114" s="1086" t="s">
        <v>114</v>
      </c>
      <c r="Y114" s="745">
        <v>0</v>
      </c>
      <c r="Z114" s="1072" t="str">
        <f>+V114</f>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AA114" s="529">
        <v>0</v>
      </c>
      <c r="AB114" s="1089"/>
      <c r="AC114" s="1054"/>
      <c r="AD114" s="1069" t="e">
        <f t="shared" si="52"/>
        <v>#DIV/0!</v>
      </c>
      <c r="AE114" s="1069" t="e">
        <f t="shared" si="53"/>
        <v>#DIV/0!</v>
      </c>
      <c r="AF114" s="1069">
        <f t="shared" si="54"/>
        <v>0</v>
      </c>
      <c r="AG114" s="1081">
        <f t="shared" si="55"/>
        <v>0</v>
      </c>
      <c r="AH114" s="1068"/>
      <c r="AI114" s="745">
        <v>0</v>
      </c>
      <c r="AJ114" s="1072" t="str">
        <f>+Z114</f>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AK114" s="529">
        <v>0</v>
      </c>
      <c r="AL114" s="700"/>
      <c r="AM114" s="700"/>
      <c r="AN114" s="1069" t="e">
        <f t="shared" si="56"/>
        <v>#DIV/0!</v>
      </c>
      <c r="AO114" s="1069" t="e">
        <f t="shared" si="57"/>
        <v>#DIV/0!</v>
      </c>
      <c r="AP114" s="1081">
        <f t="shared" si="58"/>
        <v>0</v>
      </c>
      <c r="AQ114" s="1081">
        <f t="shared" si="59"/>
        <v>0</v>
      </c>
      <c r="AR114" s="845"/>
      <c r="AS114" s="745">
        <v>0</v>
      </c>
      <c r="AT114" s="1072" t="str">
        <f>+V114</f>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AU114" s="529">
        <v>0</v>
      </c>
      <c r="AV114" s="1089">
        <v>0</v>
      </c>
      <c r="AW114" s="1054">
        <v>0</v>
      </c>
      <c r="AX114" s="1069" t="e">
        <f t="shared" si="60"/>
        <v>#DIV/0!</v>
      </c>
      <c r="AY114" s="1069" t="e">
        <f t="shared" si="61"/>
        <v>#DIV/0!</v>
      </c>
      <c r="AZ114" s="1069">
        <f t="shared" si="62"/>
        <v>0</v>
      </c>
      <c r="BA114" s="1081">
        <f t="shared" si="63"/>
        <v>0</v>
      </c>
      <c r="BB114" s="855"/>
      <c r="BC114" s="745">
        <v>1</v>
      </c>
      <c r="BD114" s="1072" t="str">
        <f>+V114</f>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BE114" s="528">
        <f>+W114</f>
        <v>42518998</v>
      </c>
      <c r="BF114" s="1074">
        <f>28/37</f>
        <v>0.7567567567567568</v>
      </c>
      <c r="BG114" s="1054">
        <v>42518998</v>
      </c>
      <c r="BH114" s="1075">
        <f t="shared" si="75"/>
        <v>0.7567567567567568</v>
      </c>
      <c r="BI114" s="1075">
        <f t="shared" si="76"/>
        <v>1</v>
      </c>
      <c r="BJ114" s="1075">
        <f t="shared" si="77"/>
        <v>0.7567567567567568</v>
      </c>
      <c r="BK114" s="1096">
        <f t="shared" si="78"/>
        <v>1</v>
      </c>
      <c r="BL114" s="1072"/>
      <c r="BM114" s="742" t="str">
        <f t="shared" si="64"/>
        <v>No Prog ni Ejec</v>
      </c>
      <c r="BN114" s="742" t="str">
        <f t="shared" si="65"/>
        <v>No Prog ni Ejec</v>
      </c>
      <c r="BO114" s="742" t="str">
        <f t="shared" si="66"/>
        <v>No Prog ni Ejec</v>
      </c>
      <c r="BP114" s="742" t="str">
        <f t="shared" si="67"/>
        <v>No Prog ni Ejec</v>
      </c>
      <c r="BQ114" s="742" t="str">
        <f t="shared" si="68"/>
        <v>No Prog ni Ejec</v>
      </c>
      <c r="BR114" s="742" t="str">
        <f t="shared" si="69"/>
        <v>No Prog ni Ejec</v>
      </c>
      <c r="BS114" s="742">
        <f t="shared" si="70"/>
        <v>0.7567567567567568</v>
      </c>
      <c r="BT114" s="830">
        <f t="shared" si="71"/>
        <v>1</v>
      </c>
    </row>
    <row r="115" spans="1:72" s="958" customFormat="1" ht="89.25" x14ac:dyDescent="0.2">
      <c r="A115" s="1091">
        <v>11700</v>
      </c>
      <c r="B115" s="1068" t="s">
        <v>29</v>
      </c>
      <c r="C115" s="1068" t="s">
        <v>1251</v>
      </c>
      <c r="D115" s="1085" t="s">
        <v>328</v>
      </c>
      <c r="E115" s="1068" t="s">
        <v>256</v>
      </c>
      <c r="F115" s="1085" t="s">
        <v>1261</v>
      </c>
      <c r="G115" s="743" t="s">
        <v>1262</v>
      </c>
      <c r="H115" s="1089" t="s">
        <v>124</v>
      </c>
      <c r="I115" s="1090">
        <v>1</v>
      </c>
      <c r="J115" s="1162" t="s">
        <v>1263</v>
      </c>
      <c r="K115" s="1163" t="s">
        <v>1264</v>
      </c>
      <c r="L115" s="1165">
        <f>224089200</f>
        <v>224089200</v>
      </c>
      <c r="M115" s="1078">
        <v>1</v>
      </c>
      <c r="N115" s="1161" t="s">
        <v>45</v>
      </c>
      <c r="O115" s="1161" t="s">
        <v>54</v>
      </c>
      <c r="P115" s="1161" t="s">
        <v>37</v>
      </c>
      <c r="Q115" s="1161" t="s">
        <v>38</v>
      </c>
      <c r="R115" s="1161" t="s">
        <v>218</v>
      </c>
      <c r="S115" s="1067" t="s">
        <v>1265</v>
      </c>
      <c r="T115" s="1068" t="s">
        <v>104</v>
      </c>
      <c r="U115" s="1090">
        <v>1</v>
      </c>
      <c r="V115" s="1169" t="str">
        <f>+K115</f>
        <v>Contribuir al fortalecimiento de las competencias de los servidores públicos desde las dimensiones del Ser.</v>
      </c>
      <c r="W115" s="1160">
        <f>+L115</f>
        <v>224089200</v>
      </c>
      <c r="X115" s="776" t="s">
        <v>114</v>
      </c>
      <c r="Y115" s="746">
        <v>0</v>
      </c>
      <c r="Z115" s="1137" t="str">
        <f>+V115</f>
        <v>Contribuir al fortalecimiento de las competencias de los servidores públicos desde las dimensiones del Ser.</v>
      </c>
      <c r="AA115" s="1138">
        <v>0</v>
      </c>
      <c r="AB115" s="1089"/>
      <c r="AC115" s="1054"/>
      <c r="AD115" s="1069" t="e">
        <f t="shared" si="52"/>
        <v>#DIV/0!</v>
      </c>
      <c r="AE115" s="1221" t="e">
        <f t="shared" si="53"/>
        <v>#DIV/0!</v>
      </c>
      <c r="AF115" s="1069">
        <f t="shared" si="54"/>
        <v>0</v>
      </c>
      <c r="AG115" s="1158">
        <f t="shared" si="55"/>
        <v>0</v>
      </c>
      <c r="AH115" s="1068"/>
      <c r="AI115" s="746">
        <v>0</v>
      </c>
      <c r="AJ115" s="1137" t="str">
        <f>+Z115</f>
        <v>Contribuir al fortalecimiento de las competencias de los servidores públicos desde las dimensiones del Ser.</v>
      </c>
      <c r="AK115" s="1138">
        <v>0</v>
      </c>
      <c r="AL115" s="700"/>
      <c r="AM115" s="700"/>
      <c r="AN115" s="1069" t="e">
        <f t="shared" si="56"/>
        <v>#DIV/0!</v>
      </c>
      <c r="AO115" s="1139" t="e">
        <f t="shared" si="57"/>
        <v>#DIV/0!</v>
      </c>
      <c r="AP115" s="1081">
        <f t="shared" si="58"/>
        <v>0</v>
      </c>
      <c r="AQ115" s="1261">
        <f t="shared" si="59"/>
        <v>0</v>
      </c>
      <c r="AR115" s="845"/>
      <c r="AS115" s="746">
        <v>0</v>
      </c>
      <c r="AT115" s="1137" t="str">
        <f>+V115</f>
        <v>Contribuir al fortalecimiento de las competencias de los servidores públicos desde las dimensiones del Ser.</v>
      </c>
      <c r="AU115" s="1138">
        <v>0</v>
      </c>
      <c r="AV115" s="944">
        <v>1</v>
      </c>
      <c r="AW115" s="1054">
        <v>0</v>
      </c>
      <c r="AX115" s="1069" t="e">
        <f t="shared" si="60"/>
        <v>#DIV/0!</v>
      </c>
      <c r="AY115" s="1221" t="e">
        <f t="shared" si="61"/>
        <v>#DIV/0!</v>
      </c>
      <c r="AZ115" s="1069">
        <f t="shared" si="62"/>
        <v>1</v>
      </c>
      <c r="BA115" s="1158">
        <f t="shared" si="63"/>
        <v>0</v>
      </c>
      <c r="BB115" s="855" t="s">
        <v>1961</v>
      </c>
      <c r="BC115" s="746">
        <v>1</v>
      </c>
      <c r="BD115" s="1137" t="str">
        <f>+V115</f>
        <v>Contribuir al fortalecimiento de las competencias de los servidores públicos desde las dimensiones del Ser.</v>
      </c>
      <c r="BE115" s="1165">
        <f>+W115</f>
        <v>224089200</v>
      </c>
      <c r="BF115" s="1089">
        <v>0</v>
      </c>
      <c r="BG115" s="1683">
        <f>4403600+26495664+27087361+68987927+30496596+64026850</f>
        <v>221497998</v>
      </c>
      <c r="BH115" s="1075">
        <f t="shared" si="75"/>
        <v>0</v>
      </c>
      <c r="BI115" s="1227">
        <f t="shared" si="76"/>
        <v>0.98843673858445658</v>
      </c>
      <c r="BJ115" s="1075">
        <f t="shared" si="77"/>
        <v>1</v>
      </c>
      <c r="BK115" s="1228">
        <f t="shared" si="78"/>
        <v>0.98843673858445658</v>
      </c>
      <c r="BL115" s="1053" t="s">
        <v>2263</v>
      </c>
      <c r="BM115" s="742" t="str">
        <f t="shared" si="64"/>
        <v>No Prog ni Ejec</v>
      </c>
      <c r="BN115" s="742" t="str">
        <f t="shared" si="65"/>
        <v>No Prog ni Ejec</v>
      </c>
      <c r="BO115" s="742" t="str">
        <f t="shared" si="66"/>
        <v>No Prog ni Ejec</v>
      </c>
      <c r="BP115" s="742" t="str">
        <f t="shared" si="67"/>
        <v>No Prog ni Ejec</v>
      </c>
      <c r="BQ115" s="742" t="str">
        <f t="shared" si="68"/>
        <v>No Prog, Ejec=  1</v>
      </c>
      <c r="BR115" s="742" t="str">
        <f t="shared" si="69"/>
        <v>No Prog ni Ejec</v>
      </c>
      <c r="BS115" s="742">
        <f t="shared" si="70"/>
        <v>0</v>
      </c>
      <c r="BT115" s="830">
        <f t="shared" si="71"/>
        <v>0.98843673858445658</v>
      </c>
    </row>
    <row r="116" spans="1:72" s="958" customFormat="1" ht="89.25" x14ac:dyDescent="0.2">
      <c r="A116" s="1091">
        <v>11700</v>
      </c>
      <c r="B116" s="1068" t="s">
        <v>29</v>
      </c>
      <c r="C116" s="1068" t="s">
        <v>1251</v>
      </c>
      <c r="D116" s="1085" t="s">
        <v>328</v>
      </c>
      <c r="E116" s="1068" t="s">
        <v>256</v>
      </c>
      <c r="F116" s="1085" t="s">
        <v>1266</v>
      </c>
      <c r="G116" s="743" t="s">
        <v>1267</v>
      </c>
      <c r="H116" s="1089" t="s">
        <v>123</v>
      </c>
      <c r="I116" s="1075">
        <v>1</v>
      </c>
      <c r="J116" s="1162"/>
      <c r="K116" s="1163"/>
      <c r="L116" s="1165"/>
      <c r="M116" s="1078">
        <v>1</v>
      </c>
      <c r="N116" s="1161"/>
      <c r="O116" s="1161"/>
      <c r="P116" s="1161"/>
      <c r="Q116" s="1161"/>
      <c r="R116" s="1161"/>
      <c r="S116" s="1067" t="s">
        <v>1255</v>
      </c>
      <c r="T116" s="1068" t="s">
        <v>104</v>
      </c>
      <c r="U116" s="1075">
        <v>1</v>
      </c>
      <c r="V116" s="1169"/>
      <c r="W116" s="1160"/>
      <c r="X116" s="776" t="s">
        <v>114</v>
      </c>
      <c r="Y116" s="745">
        <v>0</v>
      </c>
      <c r="Z116" s="1137"/>
      <c r="AA116" s="1138"/>
      <c r="AB116" s="1089"/>
      <c r="AC116" s="1054"/>
      <c r="AD116" s="1069" t="e">
        <f t="shared" si="52"/>
        <v>#DIV/0!</v>
      </c>
      <c r="AE116" s="1221"/>
      <c r="AF116" s="1069">
        <f t="shared" si="54"/>
        <v>0</v>
      </c>
      <c r="AG116" s="1158"/>
      <c r="AH116" s="1068"/>
      <c r="AI116" s="745">
        <v>0</v>
      </c>
      <c r="AJ116" s="1137"/>
      <c r="AK116" s="1138"/>
      <c r="AL116" s="700"/>
      <c r="AM116" s="700"/>
      <c r="AN116" s="1069" t="e">
        <f t="shared" si="56"/>
        <v>#DIV/0!</v>
      </c>
      <c r="AO116" s="1139"/>
      <c r="AP116" s="1081">
        <f t="shared" si="58"/>
        <v>0</v>
      </c>
      <c r="AQ116" s="1261"/>
      <c r="AR116" s="845"/>
      <c r="AS116" s="745">
        <v>0</v>
      </c>
      <c r="AT116" s="1137"/>
      <c r="AU116" s="1138"/>
      <c r="AV116" s="1089">
        <v>0</v>
      </c>
      <c r="AW116" s="1054">
        <v>0</v>
      </c>
      <c r="AX116" s="1069" t="e">
        <f t="shared" si="60"/>
        <v>#DIV/0!</v>
      </c>
      <c r="AY116" s="1221"/>
      <c r="AZ116" s="1069">
        <f t="shared" si="62"/>
        <v>0</v>
      </c>
      <c r="BA116" s="1158"/>
      <c r="BB116" s="845"/>
      <c r="BC116" s="745">
        <v>1</v>
      </c>
      <c r="BD116" s="1137"/>
      <c r="BE116" s="1165"/>
      <c r="BF116" s="943">
        <f>116/155</f>
        <v>0.74838709677419357</v>
      </c>
      <c r="BG116" s="1685"/>
      <c r="BH116" s="1075">
        <f t="shared" si="75"/>
        <v>0.74838709677419357</v>
      </c>
      <c r="BI116" s="1227"/>
      <c r="BJ116" s="1075">
        <f t="shared" si="77"/>
        <v>0.74838709677419357</v>
      </c>
      <c r="BK116" s="1228"/>
      <c r="BL116" s="1099" t="s">
        <v>2217</v>
      </c>
      <c r="BM116" s="742" t="str">
        <f t="shared" si="64"/>
        <v>No Prog ni Ejec</v>
      </c>
      <c r="BN116" s="742" t="str">
        <f t="shared" si="65"/>
        <v>No Prog ni Ejec</v>
      </c>
      <c r="BO116" s="742" t="str">
        <f t="shared" si="66"/>
        <v>No Prog ni Ejec</v>
      </c>
      <c r="BP116" s="742" t="str">
        <f t="shared" si="67"/>
        <v>No Prog ni Ejec</v>
      </c>
      <c r="BQ116" s="742" t="str">
        <f t="shared" si="68"/>
        <v>No Prog ni Ejec</v>
      </c>
      <c r="BR116" s="742" t="str">
        <f t="shared" si="69"/>
        <v>No Prog ni Ejec</v>
      </c>
      <c r="BS116" s="742">
        <f t="shared" si="70"/>
        <v>0.74838709677419357</v>
      </c>
      <c r="BT116" s="830" t="str">
        <f t="shared" si="71"/>
        <v>No Prog ni Ejec</v>
      </c>
    </row>
    <row r="117" spans="1:72" s="958" customFormat="1" ht="89.25" x14ac:dyDescent="0.2">
      <c r="A117" s="1091">
        <v>11700</v>
      </c>
      <c r="B117" s="1068" t="s">
        <v>29</v>
      </c>
      <c r="C117" s="1068" t="s">
        <v>1251</v>
      </c>
      <c r="D117" s="1085" t="s">
        <v>328</v>
      </c>
      <c r="E117" s="1068" t="s">
        <v>256</v>
      </c>
      <c r="F117" s="1085" t="s">
        <v>1268</v>
      </c>
      <c r="G117" s="743" t="s">
        <v>1269</v>
      </c>
      <c r="H117" s="1089" t="s">
        <v>123</v>
      </c>
      <c r="I117" s="1075">
        <v>1</v>
      </c>
      <c r="J117" s="1162"/>
      <c r="K117" s="1163"/>
      <c r="L117" s="1165"/>
      <c r="M117" s="1078">
        <v>1</v>
      </c>
      <c r="N117" s="1161"/>
      <c r="O117" s="1161"/>
      <c r="P117" s="1161"/>
      <c r="Q117" s="1161"/>
      <c r="R117" s="1161"/>
      <c r="S117" s="1067" t="s">
        <v>1255</v>
      </c>
      <c r="T117" s="1068" t="s">
        <v>104</v>
      </c>
      <c r="U117" s="1075">
        <v>1</v>
      </c>
      <c r="V117" s="1169"/>
      <c r="W117" s="1160"/>
      <c r="X117" s="776" t="s">
        <v>114</v>
      </c>
      <c r="Y117" s="745">
        <v>0</v>
      </c>
      <c r="Z117" s="1137"/>
      <c r="AA117" s="1138"/>
      <c r="AB117" s="1089"/>
      <c r="AC117" s="1054"/>
      <c r="AD117" s="1069" t="e">
        <f t="shared" si="52"/>
        <v>#DIV/0!</v>
      </c>
      <c r="AE117" s="1221"/>
      <c r="AF117" s="1069">
        <f t="shared" si="54"/>
        <v>0</v>
      </c>
      <c r="AG117" s="1158"/>
      <c r="AH117" s="1068"/>
      <c r="AI117" s="745">
        <v>0</v>
      </c>
      <c r="AJ117" s="1137"/>
      <c r="AK117" s="1138"/>
      <c r="AL117" s="700"/>
      <c r="AM117" s="700"/>
      <c r="AN117" s="1069" t="e">
        <f t="shared" si="56"/>
        <v>#DIV/0!</v>
      </c>
      <c r="AO117" s="1139"/>
      <c r="AP117" s="1081">
        <f t="shared" si="58"/>
        <v>0</v>
      </c>
      <c r="AQ117" s="1261"/>
      <c r="AR117" s="845"/>
      <c r="AS117" s="745">
        <v>0</v>
      </c>
      <c r="AT117" s="1137"/>
      <c r="AU117" s="1138"/>
      <c r="AV117" s="1089">
        <v>0</v>
      </c>
      <c r="AW117" s="1054">
        <v>0</v>
      </c>
      <c r="AX117" s="1069" t="e">
        <f t="shared" si="60"/>
        <v>#DIV/0!</v>
      </c>
      <c r="AY117" s="1221"/>
      <c r="AZ117" s="1069">
        <f t="shared" si="62"/>
        <v>0</v>
      </c>
      <c r="BA117" s="1158"/>
      <c r="BB117" s="845"/>
      <c r="BC117" s="745">
        <v>1</v>
      </c>
      <c r="BD117" s="1137"/>
      <c r="BE117" s="1165"/>
      <c r="BF117" s="943">
        <f>99/130</f>
        <v>0.7615384615384615</v>
      </c>
      <c r="BG117" s="1685"/>
      <c r="BH117" s="1075">
        <f t="shared" si="75"/>
        <v>0.7615384615384615</v>
      </c>
      <c r="BI117" s="1227"/>
      <c r="BJ117" s="1075">
        <f t="shared" si="77"/>
        <v>0.7615384615384615</v>
      </c>
      <c r="BK117" s="1228"/>
      <c r="BL117" s="1053" t="s">
        <v>2218</v>
      </c>
      <c r="BM117" s="742" t="str">
        <f t="shared" si="64"/>
        <v>No Prog ni Ejec</v>
      </c>
      <c r="BN117" s="742" t="str">
        <f t="shared" si="65"/>
        <v>No Prog ni Ejec</v>
      </c>
      <c r="BO117" s="742" t="str">
        <f t="shared" si="66"/>
        <v>No Prog ni Ejec</v>
      </c>
      <c r="BP117" s="742" t="str">
        <f t="shared" si="67"/>
        <v>No Prog ni Ejec</v>
      </c>
      <c r="BQ117" s="742" t="str">
        <f t="shared" si="68"/>
        <v>No Prog ni Ejec</v>
      </c>
      <c r="BR117" s="742" t="str">
        <f t="shared" si="69"/>
        <v>No Prog ni Ejec</v>
      </c>
      <c r="BS117" s="742">
        <f t="shared" si="70"/>
        <v>0.7615384615384615</v>
      </c>
      <c r="BT117" s="830" t="str">
        <f t="shared" si="71"/>
        <v>No Prog ni Ejec</v>
      </c>
    </row>
    <row r="118" spans="1:72" s="958" customFormat="1" ht="89.25" x14ac:dyDescent="0.2">
      <c r="A118" s="1091">
        <v>11700</v>
      </c>
      <c r="B118" s="1068" t="s">
        <v>29</v>
      </c>
      <c r="C118" s="1068" t="s">
        <v>1251</v>
      </c>
      <c r="D118" s="1085" t="s">
        <v>328</v>
      </c>
      <c r="E118" s="1068" t="s">
        <v>256</v>
      </c>
      <c r="F118" s="1085" t="s">
        <v>1270</v>
      </c>
      <c r="G118" s="743" t="s">
        <v>1271</v>
      </c>
      <c r="H118" s="1089" t="s">
        <v>123</v>
      </c>
      <c r="I118" s="1075">
        <v>1</v>
      </c>
      <c r="J118" s="1162"/>
      <c r="K118" s="1163"/>
      <c r="L118" s="1165"/>
      <c r="M118" s="1078">
        <v>1</v>
      </c>
      <c r="N118" s="1161"/>
      <c r="O118" s="1161"/>
      <c r="P118" s="1161"/>
      <c r="Q118" s="1161"/>
      <c r="R118" s="1161"/>
      <c r="S118" s="1067" t="s">
        <v>1255</v>
      </c>
      <c r="T118" s="1068" t="s">
        <v>104</v>
      </c>
      <c r="U118" s="1075">
        <v>1</v>
      </c>
      <c r="V118" s="1169"/>
      <c r="W118" s="1160"/>
      <c r="X118" s="776" t="s">
        <v>114</v>
      </c>
      <c r="Y118" s="745">
        <v>0</v>
      </c>
      <c r="Z118" s="1137"/>
      <c r="AA118" s="1138"/>
      <c r="AB118" s="1089"/>
      <c r="AC118" s="1054"/>
      <c r="AD118" s="1069" t="e">
        <f t="shared" si="52"/>
        <v>#DIV/0!</v>
      </c>
      <c r="AE118" s="1221"/>
      <c r="AF118" s="1069">
        <f t="shared" si="54"/>
        <v>0</v>
      </c>
      <c r="AG118" s="1158"/>
      <c r="AH118" s="1068"/>
      <c r="AI118" s="745">
        <v>0</v>
      </c>
      <c r="AJ118" s="1137"/>
      <c r="AK118" s="1138"/>
      <c r="AL118" s="700"/>
      <c r="AM118" s="700"/>
      <c r="AN118" s="1069" t="e">
        <f t="shared" si="56"/>
        <v>#DIV/0!</v>
      </c>
      <c r="AO118" s="1139"/>
      <c r="AP118" s="1081">
        <f t="shared" si="58"/>
        <v>0</v>
      </c>
      <c r="AQ118" s="1261"/>
      <c r="AR118" s="845"/>
      <c r="AS118" s="745">
        <v>0</v>
      </c>
      <c r="AT118" s="1137"/>
      <c r="AU118" s="1138"/>
      <c r="AV118" s="1089">
        <v>0</v>
      </c>
      <c r="AW118" s="1054">
        <v>0</v>
      </c>
      <c r="AX118" s="1069" t="e">
        <f t="shared" si="60"/>
        <v>#DIV/0!</v>
      </c>
      <c r="AY118" s="1221"/>
      <c r="AZ118" s="1069">
        <f t="shared" si="62"/>
        <v>0</v>
      </c>
      <c r="BA118" s="1158"/>
      <c r="BB118" s="845"/>
      <c r="BC118" s="745">
        <v>1</v>
      </c>
      <c r="BD118" s="1137"/>
      <c r="BE118" s="1165"/>
      <c r="BF118" s="1225">
        <f>81/163</f>
        <v>0.49693251533742333</v>
      </c>
      <c r="BG118" s="1685"/>
      <c r="BH118" s="1223">
        <f t="shared" si="75"/>
        <v>0.49693251533742333</v>
      </c>
      <c r="BI118" s="1227"/>
      <c r="BJ118" s="1225">
        <f t="shared" si="77"/>
        <v>0.49693251533742333</v>
      </c>
      <c r="BK118" s="1228"/>
      <c r="BL118" s="1132" t="s">
        <v>2219</v>
      </c>
      <c r="BM118" s="742" t="str">
        <f t="shared" si="64"/>
        <v>No Prog ni Ejec</v>
      </c>
      <c r="BN118" s="742" t="str">
        <f t="shared" si="65"/>
        <v>No Prog ni Ejec</v>
      </c>
      <c r="BO118" s="742" t="str">
        <f t="shared" si="66"/>
        <v>No Prog ni Ejec</v>
      </c>
      <c r="BP118" s="742" t="str">
        <f t="shared" si="67"/>
        <v>No Prog ni Ejec</v>
      </c>
      <c r="BQ118" s="742" t="str">
        <f t="shared" si="68"/>
        <v>No Prog ni Ejec</v>
      </c>
      <c r="BR118" s="742" t="str">
        <f t="shared" si="69"/>
        <v>No Prog ni Ejec</v>
      </c>
      <c r="BS118" s="1236">
        <f t="shared" si="70"/>
        <v>0.49693251533742333</v>
      </c>
      <c r="BT118" s="830" t="str">
        <f t="shared" si="71"/>
        <v>No Prog ni Ejec</v>
      </c>
    </row>
    <row r="119" spans="1:72" s="958" customFormat="1" ht="89.25" x14ac:dyDescent="0.2">
      <c r="A119" s="1091">
        <v>11700</v>
      </c>
      <c r="B119" s="1068" t="s">
        <v>29</v>
      </c>
      <c r="C119" s="1068" t="s">
        <v>1251</v>
      </c>
      <c r="D119" s="1085" t="s">
        <v>328</v>
      </c>
      <c r="E119" s="1068" t="s">
        <v>256</v>
      </c>
      <c r="F119" s="1085" t="s">
        <v>1272</v>
      </c>
      <c r="G119" s="743" t="s">
        <v>1273</v>
      </c>
      <c r="H119" s="1089" t="s">
        <v>123</v>
      </c>
      <c r="I119" s="1075">
        <v>1</v>
      </c>
      <c r="J119" s="1162"/>
      <c r="K119" s="1163"/>
      <c r="L119" s="1165"/>
      <c r="M119" s="1078">
        <v>1</v>
      </c>
      <c r="N119" s="1161"/>
      <c r="O119" s="1161"/>
      <c r="P119" s="1161"/>
      <c r="Q119" s="1161"/>
      <c r="R119" s="1161"/>
      <c r="S119" s="1067" t="s">
        <v>1255</v>
      </c>
      <c r="T119" s="1068" t="s">
        <v>104</v>
      </c>
      <c r="U119" s="1075">
        <v>1</v>
      </c>
      <c r="V119" s="1169"/>
      <c r="W119" s="1160"/>
      <c r="X119" s="776" t="s">
        <v>114</v>
      </c>
      <c r="Y119" s="745">
        <v>0</v>
      </c>
      <c r="Z119" s="1137"/>
      <c r="AA119" s="1138"/>
      <c r="AB119" s="1089"/>
      <c r="AC119" s="1054"/>
      <c r="AD119" s="1069" t="e">
        <f t="shared" si="52"/>
        <v>#DIV/0!</v>
      </c>
      <c r="AE119" s="1221"/>
      <c r="AF119" s="1069">
        <f t="shared" si="54"/>
        <v>0</v>
      </c>
      <c r="AG119" s="1158"/>
      <c r="AH119" s="1068"/>
      <c r="AI119" s="745">
        <v>0</v>
      </c>
      <c r="AJ119" s="1137"/>
      <c r="AK119" s="1138"/>
      <c r="AL119" s="700"/>
      <c r="AM119" s="700"/>
      <c r="AN119" s="1069" t="e">
        <f t="shared" si="56"/>
        <v>#DIV/0!</v>
      </c>
      <c r="AO119" s="1139"/>
      <c r="AP119" s="1081">
        <f t="shared" si="58"/>
        <v>0</v>
      </c>
      <c r="AQ119" s="1261"/>
      <c r="AR119" s="845"/>
      <c r="AS119" s="745">
        <v>0</v>
      </c>
      <c r="AT119" s="1137"/>
      <c r="AU119" s="1138"/>
      <c r="AV119" s="1089">
        <v>0</v>
      </c>
      <c r="AW119" s="1054">
        <v>0</v>
      </c>
      <c r="AX119" s="1069" t="e">
        <f t="shared" si="60"/>
        <v>#DIV/0!</v>
      </c>
      <c r="AY119" s="1221"/>
      <c r="AZ119" s="1069">
        <f t="shared" si="62"/>
        <v>0</v>
      </c>
      <c r="BA119" s="1158"/>
      <c r="BB119" s="845"/>
      <c r="BC119" s="745">
        <v>1</v>
      </c>
      <c r="BD119" s="1137"/>
      <c r="BE119" s="1165"/>
      <c r="BF119" s="1226"/>
      <c r="BG119" s="1685"/>
      <c r="BH119" s="1224"/>
      <c r="BI119" s="1227"/>
      <c r="BJ119" s="1226"/>
      <c r="BK119" s="1228"/>
      <c r="BL119" s="1133"/>
      <c r="BM119" s="742" t="str">
        <f t="shared" si="64"/>
        <v>No Prog ni Ejec</v>
      </c>
      <c r="BN119" s="742" t="str">
        <f t="shared" si="65"/>
        <v>No Prog ni Ejec</v>
      </c>
      <c r="BO119" s="742" t="str">
        <f t="shared" si="66"/>
        <v>No Prog ni Ejec</v>
      </c>
      <c r="BP119" s="742" t="str">
        <f t="shared" si="67"/>
        <v>No Prog ni Ejec</v>
      </c>
      <c r="BQ119" s="742" t="str">
        <f t="shared" si="68"/>
        <v>No Prog ni Ejec</v>
      </c>
      <c r="BR119" s="742" t="str">
        <f t="shared" si="69"/>
        <v>No Prog ni Ejec</v>
      </c>
      <c r="BS119" s="1237"/>
      <c r="BT119" s="830" t="str">
        <f t="shared" si="71"/>
        <v>No Prog ni Ejec</v>
      </c>
    </row>
    <row r="120" spans="1:72" s="958" customFormat="1" ht="89.25" x14ac:dyDescent="0.2">
      <c r="A120" s="1091">
        <v>11700</v>
      </c>
      <c r="B120" s="1068" t="s">
        <v>29</v>
      </c>
      <c r="C120" s="1068" t="s">
        <v>1251</v>
      </c>
      <c r="D120" s="1085" t="s">
        <v>328</v>
      </c>
      <c r="E120" s="1068" t="s">
        <v>256</v>
      </c>
      <c r="F120" s="1085" t="s">
        <v>1274</v>
      </c>
      <c r="G120" s="743" t="s">
        <v>1275</v>
      </c>
      <c r="H120" s="1089" t="s">
        <v>123</v>
      </c>
      <c r="I120" s="1075">
        <v>1</v>
      </c>
      <c r="J120" s="1162"/>
      <c r="K120" s="1163"/>
      <c r="L120" s="1165"/>
      <c r="M120" s="1078">
        <v>1</v>
      </c>
      <c r="N120" s="1161"/>
      <c r="O120" s="1161"/>
      <c r="P120" s="1161"/>
      <c r="Q120" s="1161"/>
      <c r="R120" s="1161"/>
      <c r="S120" s="1067" t="s">
        <v>1255</v>
      </c>
      <c r="T120" s="1068" t="s">
        <v>104</v>
      </c>
      <c r="U120" s="1075">
        <v>1</v>
      </c>
      <c r="V120" s="1169"/>
      <c r="W120" s="1160"/>
      <c r="X120" s="776" t="s">
        <v>114</v>
      </c>
      <c r="Y120" s="745">
        <v>0</v>
      </c>
      <c r="Z120" s="1137"/>
      <c r="AA120" s="1138"/>
      <c r="AB120" s="1089"/>
      <c r="AC120" s="1054"/>
      <c r="AD120" s="1069" t="e">
        <f t="shared" si="52"/>
        <v>#DIV/0!</v>
      </c>
      <c r="AE120" s="1221"/>
      <c r="AF120" s="1069">
        <f t="shared" si="54"/>
        <v>0</v>
      </c>
      <c r="AG120" s="1158"/>
      <c r="AH120" s="1068"/>
      <c r="AI120" s="745">
        <v>0</v>
      </c>
      <c r="AJ120" s="1137"/>
      <c r="AK120" s="1138"/>
      <c r="AL120" s="700"/>
      <c r="AM120" s="700"/>
      <c r="AN120" s="1069" t="e">
        <f t="shared" si="56"/>
        <v>#DIV/0!</v>
      </c>
      <c r="AO120" s="1139"/>
      <c r="AP120" s="1081">
        <f t="shared" si="58"/>
        <v>0</v>
      </c>
      <c r="AQ120" s="1261"/>
      <c r="AR120" s="845"/>
      <c r="AS120" s="745">
        <v>0</v>
      </c>
      <c r="AT120" s="1137"/>
      <c r="AU120" s="1138"/>
      <c r="AV120" s="1089">
        <v>0</v>
      </c>
      <c r="AW120" s="1054">
        <v>0</v>
      </c>
      <c r="AX120" s="1069" t="e">
        <f t="shared" si="60"/>
        <v>#DIV/0!</v>
      </c>
      <c r="AY120" s="1221"/>
      <c r="AZ120" s="1069">
        <f t="shared" si="62"/>
        <v>0</v>
      </c>
      <c r="BA120" s="1158"/>
      <c r="BB120" s="845"/>
      <c r="BC120" s="745">
        <v>1</v>
      </c>
      <c r="BD120" s="1137"/>
      <c r="BE120" s="1165"/>
      <c r="BF120" s="943">
        <f>105/160</f>
        <v>0.65625</v>
      </c>
      <c r="BG120" s="1685"/>
      <c r="BH120" s="1075">
        <f t="shared" si="75"/>
        <v>0.65625</v>
      </c>
      <c r="BI120" s="1227"/>
      <c r="BJ120" s="1075">
        <f t="shared" si="77"/>
        <v>0.65625</v>
      </c>
      <c r="BK120" s="1228"/>
      <c r="BL120" s="1099" t="s">
        <v>2220</v>
      </c>
      <c r="BM120" s="742" t="str">
        <f t="shared" si="64"/>
        <v>No Prog ni Ejec</v>
      </c>
      <c r="BN120" s="742" t="str">
        <f t="shared" si="65"/>
        <v>No Prog ni Ejec</v>
      </c>
      <c r="BO120" s="742" t="str">
        <f t="shared" si="66"/>
        <v>No Prog ni Ejec</v>
      </c>
      <c r="BP120" s="742" t="str">
        <f t="shared" si="67"/>
        <v>No Prog ni Ejec</v>
      </c>
      <c r="BQ120" s="742" t="str">
        <f t="shared" si="68"/>
        <v>No Prog ni Ejec</v>
      </c>
      <c r="BR120" s="742" t="str">
        <f t="shared" si="69"/>
        <v>No Prog ni Ejec</v>
      </c>
      <c r="BS120" s="742">
        <f t="shared" si="70"/>
        <v>0.65625</v>
      </c>
      <c r="BT120" s="830" t="str">
        <f t="shared" si="71"/>
        <v>No Prog ni Ejec</v>
      </c>
    </row>
    <row r="121" spans="1:72" s="958" customFormat="1" ht="89.25" x14ac:dyDescent="0.2">
      <c r="A121" s="1091">
        <v>11700</v>
      </c>
      <c r="B121" s="1068" t="s">
        <v>29</v>
      </c>
      <c r="C121" s="1068" t="s">
        <v>1251</v>
      </c>
      <c r="D121" s="1085" t="s">
        <v>328</v>
      </c>
      <c r="E121" s="1068" t="s">
        <v>256</v>
      </c>
      <c r="F121" s="1085" t="s">
        <v>1276</v>
      </c>
      <c r="G121" s="743" t="s">
        <v>1277</v>
      </c>
      <c r="H121" s="1089" t="s">
        <v>123</v>
      </c>
      <c r="I121" s="1075">
        <v>1</v>
      </c>
      <c r="J121" s="1162"/>
      <c r="K121" s="1163"/>
      <c r="L121" s="1165"/>
      <c r="M121" s="1078">
        <v>1</v>
      </c>
      <c r="N121" s="1161"/>
      <c r="O121" s="1161"/>
      <c r="P121" s="1161"/>
      <c r="Q121" s="1161"/>
      <c r="R121" s="1161"/>
      <c r="S121" s="1067" t="s">
        <v>1255</v>
      </c>
      <c r="T121" s="1068" t="s">
        <v>104</v>
      </c>
      <c r="U121" s="1075">
        <v>1</v>
      </c>
      <c r="V121" s="1169"/>
      <c r="W121" s="1160"/>
      <c r="X121" s="776" t="s">
        <v>114</v>
      </c>
      <c r="Y121" s="745">
        <v>0</v>
      </c>
      <c r="Z121" s="1137"/>
      <c r="AA121" s="1138"/>
      <c r="AB121" s="1089"/>
      <c r="AC121" s="1054"/>
      <c r="AD121" s="1069" t="e">
        <f t="shared" si="52"/>
        <v>#DIV/0!</v>
      </c>
      <c r="AE121" s="1221"/>
      <c r="AF121" s="1069">
        <f t="shared" si="54"/>
        <v>0</v>
      </c>
      <c r="AG121" s="1158"/>
      <c r="AH121" s="1068"/>
      <c r="AI121" s="745">
        <v>0</v>
      </c>
      <c r="AJ121" s="1137"/>
      <c r="AK121" s="1138"/>
      <c r="AL121" s="700"/>
      <c r="AM121" s="700"/>
      <c r="AN121" s="1069" t="e">
        <f t="shared" si="56"/>
        <v>#DIV/0!</v>
      </c>
      <c r="AO121" s="1139"/>
      <c r="AP121" s="1081">
        <f t="shared" si="58"/>
        <v>0</v>
      </c>
      <c r="AQ121" s="1261"/>
      <c r="AR121" s="845"/>
      <c r="AS121" s="745">
        <v>0</v>
      </c>
      <c r="AT121" s="1137"/>
      <c r="AU121" s="1138"/>
      <c r="AV121" s="1089">
        <v>0</v>
      </c>
      <c r="AW121" s="1054">
        <v>0</v>
      </c>
      <c r="AX121" s="1069" t="e">
        <f t="shared" si="60"/>
        <v>#DIV/0!</v>
      </c>
      <c r="AY121" s="1221"/>
      <c r="AZ121" s="1069">
        <f t="shared" si="62"/>
        <v>0</v>
      </c>
      <c r="BA121" s="1158"/>
      <c r="BB121" s="845"/>
      <c r="BC121" s="745">
        <v>1</v>
      </c>
      <c r="BD121" s="1137"/>
      <c r="BE121" s="1165"/>
      <c r="BF121" s="943">
        <f>99/130</f>
        <v>0.7615384615384615</v>
      </c>
      <c r="BG121" s="1684"/>
      <c r="BH121" s="1075">
        <f t="shared" si="75"/>
        <v>0.7615384615384615</v>
      </c>
      <c r="BI121" s="1227"/>
      <c r="BJ121" s="1075">
        <f t="shared" si="77"/>
        <v>0.7615384615384615</v>
      </c>
      <c r="BK121" s="1228"/>
      <c r="BL121" s="1053" t="s">
        <v>2218</v>
      </c>
      <c r="BM121" s="742" t="str">
        <f t="shared" si="64"/>
        <v>No Prog ni Ejec</v>
      </c>
      <c r="BN121" s="742" t="str">
        <f t="shared" si="65"/>
        <v>No Prog ni Ejec</v>
      </c>
      <c r="BO121" s="742" t="str">
        <f t="shared" si="66"/>
        <v>No Prog ni Ejec</v>
      </c>
      <c r="BP121" s="742" t="str">
        <f t="shared" si="67"/>
        <v>No Prog ni Ejec</v>
      </c>
      <c r="BQ121" s="742" t="str">
        <f t="shared" si="68"/>
        <v>No Prog ni Ejec</v>
      </c>
      <c r="BR121" s="742" t="str">
        <f t="shared" si="69"/>
        <v>No Prog ni Ejec</v>
      </c>
      <c r="BS121" s="742">
        <f t="shared" si="70"/>
        <v>0.7615384615384615</v>
      </c>
      <c r="BT121" s="830" t="str">
        <f t="shared" si="71"/>
        <v>No Prog ni Ejec</v>
      </c>
    </row>
    <row r="122" spans="1:72" s="1627" customFormat="1" ht="178.5" x14ac:dyDescent="0.2">
      <c r="A122" s="1092">
        <v>11700</v>
      </c>
      <c r="B122" s="1060" t="s">
        <v>29</v>
      </c>
      <c r="C122" s="1068" t="s">
        <v>1279</v>
      </c>
      <c r="D122" s="1059" t="s">
        <v>328</v>
      </c>
      <c r="E122" s="1060" t="s">
        <v>256</v>
      </c>
      <c r="F122" s="1059" t="s">
        <v>407</v>
      </c>
      <c r="G122" s="1060" t="s">
        <v>662</v>
      </c>
      <c r="H122" s="1079" t="s">
        <v>123</v>
      </c>
      <c r="I122" s="1056">
        <v>1</v>
      </c>
      <c r="J122" s="1059" t="s">
        <v>629</v>
      </c>
      <c r="K122" s="1060" t="s">
        <v>663</v>
      </c>
      <c r="L122" s="725">
        <f>+L123+L124+L125+L126+L127+L128+L129+L130+L131+L132+L133+L134+L135</f>
        <v>485319714</v>
      </c>
      <c r="M122" s="444">
        <v>1</v>
      </c>
      <c r="N122" s="1060" t="s">
        <v>45</v>
      </c>
      <c r="O122" s="1060" t="s">
        <v>54</v>
      </c>
      <c r="P122" s="1060" t="s">
        <v>37</v>
      </c>
      <c r="Q122" s="1060" t="s">
        <v>38</v>
      </c>
      <c r="R122" s="1060" t="s">
        <v>218</v>
      </c>
      <c r="S122" s="1060" t="s">
        <v>411</v>
      </c>
      <c r="T122" s="1060" t="s">
        <v>104</v>
      </c>
      <c r="U122" s="444">
        <v>1</v>
      </c>
      <c r="V122" s="1058" t="str">
        <f t="shared" si="72"/>
        <v>Realizar actividades para fortalecer la calidad de vida de los servidores públicos de la entidad, así como el clima organizacional</v>
      </c>
      <c r="W122" s="445">
        <f t="shared" si="73"/>
        <v>485319714</v>
      </c>
      <c r="X122" s="1097" t="s">
        <v>114</v>
      </c>
      <c r="Y122" s="1056">
        <v>0.25</v>
      </c>
      <c r="Z122" s="1083" t="str">
        <f t="shared" si="118"/>
        <v>Realizar actividades para fortalecer la calidad de vida de los servidores públicos de la entidad, así como el clima organizacional</v>
      </c>
      <c r="AA122" s="443">
        <f>L122*Y122</f>
        <v>121329928.5</v>
      </c>
      <c r="AB122" s="1082">
        <v>0.24</v>
      </c>
      <c r="AC122" s="1077">
        <v>0</v>
      </c>
      <c r="AD122" s="1064">
        <f t="shared" si="52"/>
        <v>0.96</v>
      </c>
      <c r="AE122" s="1064">
        <f t="shared" si="53"/>
        <v>0</v>
      </c>
      <c r="AF122" s="1064">
        <f t="shared" si="54"/>
        <v>0.24</v>
      </c>
      <c r="AG122" s="1064">
        <f t="shared" si="55"/>
        <v>0</v>
      </c>
      <c r="AH122" s="1060" t="s">
        <v>988</v>
      </c>
      <c r="AI122" s="1056">
        <v>0.25</v>
      </c>
      <c r="AJ122" s="1083" t="str">
        <f t="shared" si="119"/>
        <v>Realizar actividades para fortalecer la calidad de vida de los servidores públicos de la entidad, así como el clima organizacional</v>
      </c>
      <c r="AK122" s="443">
        <v>112500000</v>
      </c>
      <c r="AL122" s="701">
        <f>(25.5/36)*AI122</f>
        <v>0.17708333333333334</v>
      </c>
      <c r="AM122" s="702">
        <v>0</v>
      </c>
      <c r="AN122" s="1064">
        <f t="shared" si="56"/>
        <v>0.70833333333333337</v>
      </c>
      <c r="AO122" s="1064">
        <f t="shared" si="57"/>
        <v>0</v>
      </c>
      <c r="AP122" s="1064">
        <f t="shared" si="58"/>
        <v>0.41708333333333336</v>
      </c>
      <c r="AQ122" s="1064">
        <f t="shared" si="59"/>
        <v>0</v>
      </c>
      <c r="AR122" s="1071" t="s">
        <v>1154</v>
      </c>
      <c r="AS122" s="1056">
        <v>0.25</v>
      </c>
      <c r="AT122" s="1083" t="str">
        <f>+V122</f>
        <v>Realizar actividades para fortalecer la calidad de vida de los servidores públicos de la entidad, así como el clima organizacional</v>
      </c>
      <c r="AU122" s="443">
        <v>0</v>
      </c>
      <c r="AV122" s="943">
        <f>+(121/(53*3))*AS122</f>
        <v>0.19025157232704404</v>
      </c>
      <c r="AW122" s="1054">
        <f>SUM(AW123:AW135)</f>
        <v>18919999</v>
      </c>
      <c r="AX122" s="1064">
        <f t="shared" si="60"/>
        <v>0.76100628930817615</v>
      </c>
      <c r="AY122" s="1064" t="e">
        <f t="shared" si="61"/>
        <v>#DIV/0!</v>
      </c>
      <c r="AZ122" s="1064">
        <f t="shared" si="62"/>
        <v>0.6073349056603774</v>
      </c>
      <c r="BA122" s="1064">
        <f t="shared" si="63"/>
        <v>3.8984608401875058E-2</v>
      </c>
      <c r="BB122" s="855" t="s">
        <v>1962</v>
      </c>
      <c r="BC122" s="1056">
        <v>0.25</v>
      </c>
      <c r="BD122" s="1083" t="str">
        <f t="shared" si="79"/>
        <v>Realizar actividades para fortalecer la calidad de vida de los servidores públicos de la entidad, así como el clima organizacional</v>
      </c>
      <c r="BE122" s="443">
        <f>+BE123+BE124+BE125+BE126+BE127+BE128+BE129+BE130+BE131+BE132+BE133+BE134+BE135</f>
        <v>485319714</v>
      </c>
      <c r="BF122" s="1088">
        <f>(31/37)*AI122</f>
        <v>0.20945945945945946</v>
      </c>
      <c r="BG122" s="1077">
        <f>13805081+5517600+61947325+43073196+53157037+38312539+3111054+14900000+26595137+9698500+10533600+29547717</f>
        <v>310198786</v>
      </c>
      <c r="BH122" s="1056">
        <f t="shared" si="75"/>
        <v>0.83783783783783783</v>
      </c>
      <c r="BI122" s="1056">
        <f t="shared" si="76"/>
        <v>0.63916378636949411</v>
      </c>
      <c r="BJ122" s="1056">
        <f t="shared" si="77"/>
        <v>0.81679436511983683</v>
      </c>
      <c r="BK122" s="1056">
        <f t="shared" si="78"/>
        <v>0.67814839477136923</v>
      </c>
      <c r="BL122" s="1053" t="s">
        <v>2264</v>
      </c>
      <c r="BM122" s="477">
        <f t="shared" si="64"/>
        <v>0.96</v>
      </c>
      <c r="BN122" s="477">
        <f t="shared" si="65"/>
        <v>0</v>
      </c>
      <c r="BO122" s="477">
        <f t="shared" si="66"/>
        <v>0.70833333333333337</v>
      </c>
      <c r="BP122" s="477">
        <f t="shared" si="67"/>
        <v>0</v>
      </c>
      <c r="BQ122" s="477">
        <f t="shared" si="68"/>
        <v>0.76100628930817615</v>
      </c>
      <c r="BR122" s="477" t="str">
        <f t="shared" si="69"/>
        <v>No Prog, Ejec=  18919999</v>
      </c>
      <c r="BS122" s="477">
        <f t="shared" si="70"/>
        <v>0.83783783783783783</v>
      </c>
      <c r="BT122" s="828">
        <f t="shared" si="71"/>
        <v>0.63916378636949411</v>
      </c>
    </row>
    <row r="123" spans="1:72" s="958" customFormat="1" ht="153" x14ac:dyDescent="0.2">
      <c r="A123" s="1091">
        <v>11700</v>
      </c>
      <c r="B123" s="1068" t="s">
        <v>29</v>
      </c>
      <c r="C123" s="1068" t="s">
        <v>1279</v>
      </c>
      <c r="D123" s="1085" t="s">
        <v>328</v>
      </c>
      <c r="E123" s="1068" t="s">
        <v>256</v>
      </c>
      <c r="F123" s="1085" t="s">
        <v>1280</v>
      </c>
      <c r="G123" s="743" t="s">
        <v>1281</v>
      </c>
      <c r="H123" s="1089" t="s">
        <v>123</v>
      </c>
      <c r="I123" s="1075">
        <v>1</v>
      </c>
      <c r="J123" s="1085" t="s">
        <v>1282</v>
      </c>
      <c r="K123" s="1102" t="s">
        <v>1283</v>
      </c>
      <c r="L123" s="1054">
        <v>53157037</v>
      </c>
      <c r="M123" s="1078">
        <v>1</v>
      </c>
      <c r="N123" s="1068" t="s">
        <v>45</v>
      </c>
      <c r="O123" s="1068" t="s">
        <v>54</v>
      </c>
      <c r="P123" s="1068" t="s">
        <v>37</v>
      </c>
      <c r="Q123" s="1068" t="s">
        <v>38</v>
      </c>
      <c r="R123" s="1068" t="s">
        <v>218</v>
      </c>
      <c r="S123" s="1067" t="s">
        <v>1284</v>
      </c>
      <c r="T123" s="1068" t="s">
        <v>104</v>
      </c>
      <c r="U123" s="1075">
        <v>1</v>
      </c>
      <c r="V123" s="1071" t="str">
        <f t="shared" si="72"/>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W123" s="699">
        <f t="shared" si="73"/>
        <v>53157037</v>
      </c>
      <c r="X123" s="1086" t="s">
        <v>114</v>
      </c>
      <c r="Y123" s="745">
        <v>0</v>
      </c>
      <c r="Z123" s="1086" t="str">
        <f>+K123</f>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AA123" s="529">
        <v>0</v>
      </c>
      <c r="AB123" s="1073"/>
      <c r="AC123" s="1054"/>
      <c r="AD123" s="1069" t="e">
        <f t="shared" si="52"/>
        <v>#DIV/0!</v>
      </c>
      <c r="AE123" s="1069" t="e">
        <f t="shared" si="53"/>
        <v>#DIV/0!</v>
      </c>
      <c r="AF123" s="1069">
        <f t="shared" si="54"/>
        <v>0</v>
      </c>
      <c r="AG123" s="1069">
        <f t="shared" si="55"/>
        <v>0</v>
      </c>
      <c r="AH123" s="1068"/>
      <c r="AI123" s="745">
        <v>0</v>
      </c>
      <c r="AJ123" s="1072" t="str">
        <f>+V123</f>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AK123" s="529">
        <v>0</v>
      </c>
      <c r="AL123" s="700"/>
      <c r="AM123" s="700"/>
      <c r="AN123" s="1069" t="e">
        <f t="shared" si="56"/>
        <v>#DIV/0!</v>
      </c>
      <c r="AO123" s="1069" t="e">
        <f t="shared" si="57"/>
        <v>#DIV/0!</v>
      </c>
      <c r="AP123" s="1069">
        <f t="shared" si="58"/>
        <v>0</v>
      </c>
      <c r="AQ123" s="1069">
        <f t="shared" si="59"/>
        <v>0</v>
      </c>
      <c r="AR123" s="845"/>
      <c r="AS123" s="745">
        <v>0</v>
      </c>
      <c r="AT123" s="1072" t="str">
        <f>+V123</f>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AU123" s="529">
        <v>0</v>
      </c>
      <c r="AV123" s="1073">
        <f>(2+22+6+29+31+60+12)/(180*4)</f>
        <v>0.22500000000000001</v>
      </c>
      <c r="AW123" s="1054">
        <v>0</v>
      </c>
      <c r="AX123" s="1069" t="e">
        <f t="shared" si="60"/>
        <v>#DIV/0!</v>
      </c>
      <c r="AY123" s="1069" t="e">
        <f t="shared" si="61"/>
        <v>#DIV/0!</v>
      </c>
      <c r="AZ123" s="1069">
        <f t="shared" si="62"/>
        <v>0.22500000000000001</v>
      </c>
      <c r="BA123" s="1069">
        <f t="shared" si="63"/>
        <v>0</v>
      </c>
      <c r="BB123" s="526" t="s">
        <v>1963</v>
      </c>
      <c r="BC123" s="745">
        <v>1</v>
      </c>
      <c r="BD123" s="1072" t="str">
        <f>+V123</f>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BE123" s="529">
        <f>+W123</f>
        <v>53157037</v>
      </c>
      <c r="BF123" s="1073">
        <f>(2+60+12+28)/((10+60+12+32)*4)</f>
        <v>0.22368421052631579</v>
      </c>
      <c r="BG123" s="1054">
        <v>53157037</v>
      </c>
      <c r="BH123" s="1075">
        <f t="shared" si="75"/>
        <v>0.22368421052631579</v>
      </c>
      <c r="BI123" s="1075">
        <f t="shared" si="76"/>
        <v>1</v>
      </c>
      <c r="BJ123" s="1075">
        <f t="shared" si="77"/>
        <v>0.4486842105263158</v>
      </c>
      <c r="BK123" s="1075">
        <f t="shared" si="78"/>
        <v>1</v>
      </c>
      <c r="BL123" s="526" t="s">
        <v>2144</v>
      </c>
      <c r="BM123" s="708" t="str">
        <f t="shared" si="64"/>
        <v>No Prog ni Ejec</v>
      </c>
      <c r="BN123" s="708" t="str">
        <f t="shared" si="65"/>
        <v>No Prog ni Ejec</v>
      </c>
      <c r="BO123" s="708" t="str">
        <f t="shared" si="66"/>
        <v>No Prog ni Ejec</v>
      </c>
      <c r="BP123" s="708" t="str">
        <f t="shared" si="67"/>
        <v>No Prog ni Ejec</v>
      </c>
      <c r="BQ123" s="708" t="str">
        <f t="shared" si="68"/>
        <v>No Prog, Ejec=  0,225</v>
      </c>
      <c r="BR123" s="708" t="str">
        <f t="shared" si="69"/>
        <v>No Prog ni Ejec</v>
      </c>
      <c r="BS123" s="708">
        <f t="shared" si="70"/>
        <v>0.22368421052631579</v>
      </c>
      <c r="BT123" s="829">
        <f t="shared" si="71"/>
        <v>1</v>
      </c>
    </row>
    <row r="124" spans="1:72" s="958" customFormat="1" ht="89.25" x14ac:dyDescent="0.2">
      <c r="A124" s="1091">
        <v>11700</v>
      </c>
      <c r="B124" s="1068" t="s">
        <v>29</v>
      </c>
      <c r="C124" s="1068" t="s">
        <v>1279</v>
      </c>
      <c r="D124" s="1085" t="s">
        <v>328</v>
      </c>
      <c r="E124" s="1068" t="s">
        <v>256</v>
      </c>
      <c r="F124" s="1085" t="s">
        <v>1285</v>
      </c>
      <c r="G124" s="743" t="s">
        <v>1286</v>
      </c>
      <c r="H124" s="1089" t="s">
        <v>123</v>
      </c>
      <c r="I124" s="1075">
        <v>1</v>
      </c>
      <c r="J124" s="1085" t="s">
        <v>1287</v>
      </c>
      <c r="K124" s="1102" t="s">
        <v>1288</v>
      </c>
      <c r="L124" s="1076">
        <f>112842057</f>
        <v>112842057</v>
      </c>
      <c r="M124" s="1078">
        <v>1</v>
      </c>
      <c r="N124" s="1068" t="s">
        <v>45</v>
      </c>
      <c r="O124" s="1068" t="s">
        <v>54</v>
      </c>
      <c r="P124" s="1068" t="s">
        <v>37</v>
      </c>
      <c r="Q124" s="1068" t="s">
        <v>38</v>
      </c>
      <c r="R124" s="1068" t="s">
        <v>218</v>
      </c>
      <c r="S124" s="1067" t="s">
        <v>1289</v>
      </c>
      <c r="T124" s="1068" t="s">
        <v>104</v>
      </c>
      <c r="U124" s="1075">
        <v>1</v>
      </c>
      <c r="V124" s="1071" t="str">
        <f t="shared" si="72"/>
        <v xml:space="preserve">
Crear un espacio de integración en las familias, fomentar un habito saludable y sensibilizar sobre el cuidado del medio ambiente.</v>
      </c>
      <c r="W124" s="699">
        <f t="shared" si="73"/>
        <v>112842057</v>
      </c>
      <c r="X124" s="1086" t="s">
        <v>114</v>
      </c>
      <c r="Y124" s="745">
        <v>0</v>
      </c>
      <c r="Z124" s="1086" t="str">
        <f t="shared" ref="Z124:Z134" si="125">+K124</f>
        <v xml:space="preserve">
Crear un espacio de integración en las familias, fomentar un habito saludable y sensibilizar sobre el cuidado del medio ambiente.</v>
      </c>
      <c r="AA124" s="529">
        <v>0</v>
      </c>
      <c r="AB124" s="1073"/>
      <c r="AC124" s="1054"/>
      <c r="AD124" s="1069" t="e">
        <f t="shared" si="52"/>
        <v>#DIV/0!</v>
      </c>
      <c r="AE124" s="1069" t="e">
        <f t="shared" si="53"/>
        <v>#DIV/0!</v>
      </c>
      <c r="AF124" s="1069">
        <f t="shared" si="54"/>
        <v>0</v>
      </c>
      <c r="AG124" s="1069">
        <f t="shared" si="55"/>
        <v>0</v>
      </c>
      <c r="AH124" s="1068"/>
      <c r="AI124" s="745">
        <v>0</v>
      </c>
      <c r="AJ124" s="1072" t="str">
        <f t="shared" ref="AJ124:AJ135" si="126">+V124</f>
        <v xml:space="preserve">
Crear un espacio de integración en las familias, fomentar un habito saludable y sensibilizar sobre el cuidado del medio ambiente.</v>
      </c>
      <c r="AK124" s="529">
        <v>0</v>
      </c>
      <c r="AL124" s="700"/>
      <c r="AM124" s="700"/>
      <c r="AN124" s="1069" t="e">
        <f t="shared" si="56"/>
        <v>#DIV/0!</v>
      </c>
      <c r="AO124" s="1069" t="e">
        <f t="shared" si="57"/>
        <v>#DIV/0!</v>
      </c>
      <c r="AP124" s="1069">
        <f t="shared" si="58"/>
        <v>0</v>
      </c>
      <c r="AQ124" s="1069">
        <f t="shared" si="59"/>
        <v>0</v>
      </c>
      <c r="AR124" s="845"/>
      <c r="AS124" s="745">
        <v>0</v>
      </c>
      <c r="AT124" s="1072" t="str">
        <f t="shared" ref="AT124:AT135" si="127">+V124</f>
        <v xml:space="preserve">
Crear un espacio de integración en las familias, fomentar un habito saludable y sensibilizar sobre el cuidado del medio ambiente.</v>
      </c>
      <c r="AU124" s="529">
        <v>0</v>
      </c>
      <c r="AV124" s="1073">
        <f>(231/241)*AS124</f>
        <v>0</v>
      </c>
      <c r="AW124" s="1054">
        <v>0</v>
      </c>
      <c r="AX124" s="1069" t="e">
        <f t="shared" si="60"/>
        <v>#DIV/0!</v>
      </c>
      <c r="AY124" s="1069" t="e">
        <f t="shared" si="61"/>
        <v>#DIV/0!</v>
      </c>
      <c r="AZ124" s="1069">
        <f t="shared" si="62"/>
        <v>0</v>
      </c>
      <c r="BA124" s="1069">
        <f t="shared" si="63"/>
        <v>0</v>
      </c>
      <c r="BB124" s="845" t="s">
        <v>1964</v>
      </c>
      <c r="BC124" s="745">
        <v>1</v>
      </c>
      <c r="BD124" s="1072" t="str">
        <f t="shared" ref="BD124:BE135" si="128">+V124</f>
        <v xml:space="preserve">
Crear un espacio de integración en las familias, fomentar un habito saludable y sensibilizar sobre el cuidado del medio ambiente.</v>
      </c>
      <c r="BE124" s="529">
        <f t="shared" si="128"/>
        <v>112842057</v>
      </c>
      <c r="BF124" s="1073">
        <f>((114-10)/114)*BC124</f>
        <v>0.91228070175438591</v>
      </c>
      <c r="BG124" s="1054">
        <f>29547717+13805081</f>
        <v>43352798</v>
      </c>
      <c r="BH124" s="1075">
        <f t="shared" si="75"/>
        <v>0.91228070175438591</v>
      </c>
      <c r="BI124" s="1075">
        <f t="shared" si="76"/>
        <v>0.38419007196935445</v>
      </c>
      <c r="BJ124" s="1075">
        <f t="shared" si="77"/>
        <v>0.91228070175438591</v>
      </c>
      <c r="BK124" s="1075">
        <f t="shared" si="78"/>
        <v>0.38419007196935445</v>
      </c>
      <c r="BL124" s="1053" t="s">
        <v>2145</v>
      </c>
      <c r="BM124" s="708" t="str">
        <f t="shared" si="64"/>
        <v>No Prog ni Ejec</v>
      </c>
      <c r="BN124" s="708" t="str">
        <f t="shared" si="65"/>
        <v>No Prog ni Ejec</v>
      </c>
      <c r="BO124" s="708" t="str">
        <f t="shared" si="66"/>
        <v>No Prog ni Ejec</v>
      </c>
      <c r="BP124" s="708" t="str">
        <f t="shared" si="67"/>
        <v>No Prog ni Ejec</v>
      </c>
      <c r="BQ124" s="708" t="str">
        <f t="shared" si="68"/>
        <v>No Prog ni Ejec</v>
      </c>
      <c r="BR124" s="708" t="str">
        <f t="shared" si="69"/>
        <v>No Prog ni Ejec</v>
      </c>
      <c r="BS124" s="708">
        <f t="shared" si="70"/>
        <v>0.91228070175438591</v>
      </c>
      <c r="BT124" s="829">
        <f t="shared" si="71"/>
        <v>0.38419007196935445</v>
      </c>
    </row>
    <row r="125" spans="1:72" s="958" customFormat="1" ht="89.25" x14ac:dyDescent="0.2">
      <c r="A125" s="1091">
        <v>11700</v>
      </c>
      <c r="B125" s="1068" t="s">
        <v>29</v>
      </c>
      <c r="C125" s="1068" t="s">
        <v>1279</v>
      </c>
      <c r="D125" s="1085" t="s">
        <v>328</v>
      </c>
      <c r="E125" s="1068" t="s">
        <v>256</v>
      </c>
      <c r="F125" s="1085" t="s">
        <v>1290</v>
      </c>
      <c r="G125" s="743" t="s">
        <v>1291</v>
      </c>
      <c r="H125" s="1089" t="s">
        <v>123</v>
      </c>
      <c r="I125" s="1075">
        <v>1</v>
      </c>
      <c r="J125" s="1085" t="s">
        <v>1292</v>
      </c>
      <c r="K125" s="1102" t="s">
        <v>1293</v>
      </c>
      <c r="L125" s="1054">
        <v>38312539</v>
      </c>
      <c r="M125" s="1078">
        <v>1</v>
      </c>
      <c r="N125" s="1068" t="s">
        <v>45</v>
      </c>
      <c r="O125" s="1068" t="s">
        <v>54</v>
      </c>
      <c r="P125" s="1068" t="s">
        <v>37</v>
      </c>
      <c r="Q125" s="1068" t="s">
        <v>38</v>
      </c>
      <c r="R125" s="1068" t="s">
        <v>218</v>
      </c>
      <c r="S125" s="1067" t="s">
        <v>1294</v>
      </c>
      <c r="T125" s="1068" t="s">
        <v>104</v>
      </c>
      <c r="U125" s="1075">
        <v>1</v>
      </c>
      <c r="V125" s="1071" t="str">
        <f t="shared" si="72"/>
        <v xml:space="preserve">
Ofrecer un espacio de diversión y sano esparcimiento a los hijos de los funcionarios de la Entidad con edades entre los 6 a 16 años.</v>
      </c>
      <c r="W125" s="699">
        <f t="shared" si="73"/>
        <v>38312539</v>
      </c>
      <c r="X125" s="1086" t="s">
        <v>114</v>
      </c>
      <c r="Y125" s="745">
        <v>0</v>
      </c>
      <c r="Z125" s="1086" t="str">
        <f t="shared" si="125"/>
        <v xml:space="preserve">
Ofrecer un espacio de diversión y sano esparcimiento a los hijos de los funcionarios de la Entidad con edades entre los 6 a 16 años.</v>
      </c>
      <c r="AA125" s="529">
        <v>0</v>
      </c>
      <c r="AB125" s="1073"/>
      <c r="AC125" s="1054"/>
      <c r="AD125" s="1069" t="e">
        <f t="shared" si="52"/>
        <v>#DIV/0!</v>
      </c>
      <c r="AE125" s="1069" t="e">
        <f t="shared" si="53"/>
        <v>#DIV/0!</v>
      </c>
      <c r="AF125" s="1069">
        <f t="shared" si="54"/>
        <v>0</v>
      </c>
      <c r="AG125" s="1069">
        <f t="shared" si="55"/>
        <v>0</v>
      </c>
      <c r="AH125" s="1068"/>
      <c r="AI125" s="745">
        <v>0</v>
      </c>
      <c r="AJ125" s="1072" t="str">
        <f t="shared" si="126"/>
        <v xml:space="preserve">
Ofrecer un espacio de diversión y sano esparcimiento a los hijos de los funcionarios de la Entidad con edades entre los 6 a 16 años.</v>
      </c>
      <c r="AK125" s="529">
        <v>0</v>
      </c>
      <c r="AL125" s="700"/>
      <c r="AM125" s="700"/>
      <c r="AN125" s="1069" t="e">
        <f t="shared" si="56"/>
        <v>#DIV/0!</v>
      </c>
      <c r="AO125" s="1069" t="e">
        <f t="shared" si="57"/>
        <v>#DIV/0!</v>
      </c>
      <c r="AP125" s="1069">
        <f t="shared" si="58"/>
        <v>0</v>
      </c>
      <c r="AQ125" s="1069">
        <f t="shared" si="59"/>
        <v>0</v>
      </c>
      <c r="AR125" s="845"/>
      <c r="AS125" s="745">
        <v>0</v>
      </c>
      <c r="AT125" s="1072" t="str">
        <f t="shared" si="127"/>
        <v xml:space="preserve">
Ofrecer un espacio de diversión y sano esparcimiento a los hijos de los funcionarios de la Entidad con edades entre los 6 a 16 años.</v>
      </c>
      <c r="AU125" s="529">
        <v>0</v>
      </c>
      <c r="AV125" s="1073">
        <v>0</v>
      </c>
      <c r="AW125" s="1054">
        <v>0</v>
      </c>
      <c r="AX125" s="1069" t="e">
        <f t="shared" si="60"/>
        <v>#DIV/0!</v>
      </c>
      <c r="AY125" s="1069" t="e">
        <f t="shared" si="61"/>
        <v>#DIV/0!</v>
      </c>
      <c r="AZ125" s="1069">
        <f t="shared" si="62"/>
        <v>0</v>
      </c>
      <c r="BA125" s="1069">
        <f t="shared" si="63"/>
        <v>0</v>
      </c>
      <c r="BB125" s="845"/>
      <c r="BC125" s="745">
        <v>1</v>
      </c>
      <c r="BD125" s="1072" t="str">
        <f t="shared" si="128"/>
        <v xml:space="preserve">
Ofrecer un espacio de diversión y sano esparcimiento a los hijos de los funcionarios de la Entidad con edades entre los 6 a 16 años.</v>
      </c>
      <c r="BE125" s="529">
        <f t="shared" si="128"/>
        <v>38312539</v>
      </c>
      <c r="BF125" s="943">
        <f>(46)/(46*BC125)</f>
        <v>1</v>
      </c>
      <c r="BG125" s="1054">
        <v>38312539</v>
      </c>
      <c r="BH125" s="1075">
        <f t="shared" si="75"/>
        <v>1</v>
      </c>
      <c r="BI125" s="1075">
        <f t="shared" si="76"/>
        <v>1</v>
      </c>
      <c r="BJ125" s="1075">
        <f t="shared" si="77"/>
        <v>1</v>
      </c>
      <c r="BK125" s="1075">
        <f t="shared" si="78"/>
        <v>1</v>
      </c>
      <c r="BL125" s="1053" t="s">
        <v>2146</v>
      </c>
      <c r="BM125" s="708" t="str">
        <f t="shared" si="64"/>
        <v>No Prog ni Ejec</v>
      </c>
      <c r="BN125" s="708" t="str">
        <f t="shared" si="65"/>
        <v>No Prog ni Ejec</v>
      </c>
      <c r="BO125" s="708" t="str">
        <f t="shared" si="66"/>
        <v>No Prog ni Ejec</v>
      </c>
      <c r="BP125" s="708" t="str">
        <f t="shared" si="67"/>
        <v>No Prog ni Ejec</v>
      </c>
      <c r="BQ125" s="708" t="str">
        <f t="shared" si="68"/>
        <v>No Prog ni Ejec</v>
      </c>
      <c r="BR125" s="708" t="str">
        <f t="shared" si="69"/>
        <v>No Prog ni Ejec</v>
      </c>
      <c r="BS125" s="708">
        <f t="shared" si="70"/>
        <v>1</v>
      </c>
      <c r="BT125" s="829">
        <f t="shared" si="71"/>
        <v>1</v>
      </c>
    </row>
    <row r="126" spans="1:72" s="958" customFormat="1" ht="89.25" x14ac:dyDescent="0.2">
      <c r="A126" s="1091">
        <v>11700</v>
      </c>
      <c r="B126" s="1068" t="s">
        <v>29</v>
      </c>
      <c r="C126" s="1068" t="s">
        <v>1279</v>
      </c>
      <c r="D126" s="1085" t="s">
        <v>328</v>
      </c>
      <c r="E126" s="1068" t="s">
        <v>256</v>
      </c>
      <c r="F126" s="1085" t="s">
        <v>1295</v>
      </c>
      <c r="G126" s="743" t="s">
        <v>1296</v>
      </c>
      <c r="H126" s="1089" t="s">
        <v>123</v>
      </c>
      <c r="I126" s="1075">
        <v>1</v>
      </c>
      <c r="J126" s="1085" t="s">
        <v>1297</v>
      </c>
      <c r="K126" s="1102" t="s">
        <v>1298</v>
      </c>
      <c r="L126" s="1054">
        <v>5517600</v>
      </c>
      <c r="M126" s="1078">
        <v>1</v>
      </c>
      <c r="N126" s="1068" t="s">
        <v>45</v>
      </c>
      <c r="O126" s="1068" t="s">
        <v>54</v>
      </c>
      <c r="P126" s="1068" t="s">
        <v>37</v>
      </c>
      <c r="Q126" s="1068" t="s">
        <v>38</v>
      </c>
      <c r="R126" s="1068" t="s">
        <v>218</v>
      </c>
      <c r="S126" s="1067" t="s">
        <v>1299</v>
      </c>
      <c r="T126" s="1068" t="s">
        <v>104</v>
      </c>
      <c r="U126" s="1075">
        <v>1</v>
      </c>
      <c r="V126" s="1071" t="str">
        <f t="shared" si="72"/>
        <v>Celebración el día del niño a los hijos de los funcionarios a través de actividades lúdicas y recreativas.</v>
      </c>
      <c r="W126" s="699">
        <f t="shared" si="73"/>
        <v>5517600</v>
      </c>
      <c r="X126" s="1086" t="s">
        <v>114</v>
      </c>
      <c r="Y126" s="745">
        <v>0</v>
      </c>
      <c r="Z126" s="1086" t="str">
        <f t="shared" si="125"/>
        <v>Celebración el día del niño a los hijos de los funcionarios a través de actividades lúdicas y recreativas.</v>
      </c>
      <c r="AA126" s="529">
        <v>0</v>
      </c>
      <c r="AB126" s="1073"/>
      <c r="AC126" s="1054"/>
      <c r="AD126" s="1069" t="e">
        <f t="shared" si="52"/>
        <v>#DIV/0!</v>
      </c>
      <c r="AE126" s="1069" t="e">
        <f t="shared" si="53"/>
        <v>#DIV/0!</v>
      </c>
      <c r="AF126" s="1069">
        <f t="shared" si="54"/>
        <v>0</v>
      </c>
      <c r="AG126" s="1069">
        <f t="shared" si="55"/>
        <v>0</v>
      </c>
      <c r="AH126" s="1068"/>
      <c r="AI126" s="745">
        <v>0</v>
      </c>
      <c r="AJ126" s="1072" t="str">
        <f t="shared" si="126"/>
        <v>Celebración el día del niño a los hijos de los funcionarios a través de actividades lúdicas y recreativas.</v>
      </c>
      <c r="AK126" s="529">
        <v>0</v>
      </c>
      <c r="AL126" s="700"/>
      <c r="AM126" s="700"/>
      <c r="AN126" s="1069" t="e">
        <f t="shared" si="56"/>
        <v>#DIV/0!</v>
      </c>
      <c r="AO126" s="1069" t="e">
        <f t="shared" si="57"/>
        <v>#DIV/0!</v>
      </c>
      <c r="AP126" s="1069">
        <f t="shared" si="58"/>
        <v>0</v>
      </c>
      <c r="AQ126" s="1069">
        <f t="shared" si="59"/>
        <v>0</v>
      </c>
      <c r="AR126" s="845"/>
      <c r="AS126" s="745">
        <v>0</v>
      </c>
      <c r="AT126" s="1072" t="str">
        <f t="shared" si="127"/>
        <v>Celebración el día del niño a los hijos de los funcionarios a través de actividades lúdicas y recreativas.</v>
      </c>
      <c r="AU126" s="529">
        <v>0</v>
      </c>
      <c r="AV126" s="1073">
        <v>0</v>
      </c>
      <c r="AW126" s="1054">
        <v>0</v>
      </c>
      <c r="AX126" s="1069" t="e">
        <f t="shared" si="60"/>
        <v>#DIV/0!</v>
      </c>
      <c r="AY126" s="1069" t="e">
        <f t="shared" si="61"/>
        <v>#DIV/0!</v>
      </c>
      <c r="AZ126" s="1069">
        <f t="shared" si="62"/>
        <v>0</v>
      </c>
      <c r="BA126" s="1069">
        <f t="shared" si="63"/>
        <v>0</v>
      </c>
      <c r="BB126" s="845"/>
      <c r="BC126" s="745">
        <v>1</v>
      </c>
      <c r="BD126" s="1072" t="str">
        <f t="shared" si="128"/>
        <v>Celebración el día del niño a los hijos de los funcionarios a través de actividades lúdicas y recreativas.</v>
      </c>
      <c r="BE126" s="529">
        <f t="shared" si="128"/>
        <v>5517600</v>
      </c>
      <c r="BF126" s="943">
        <f>537/550</f>
        <v>0.97636363636363632</v>
      </c>
      <c r="BG126" s="1054">
        <v>5517600</v>
      </c>
      <c r="BH126" s="1075">
        <f t="shared" si="75"/>
        <v>0.97636363636363632</v>
      </c>
      <c r="BI126" s="1075">
        <f t="shared" si="76"/>
        <v>1</v>
      </c>
      <c r="BJ126" s="1075">
        <f t="shared" si="77"/>
        <v>0.97636363636363632</v>
      </c>
      <c r="BK126" s="1075">
        <f t="shared" si="78"/>
        <v>1</v>
      </c>
      <c r="BL126" s="1053" t="s">
        <v>2265</v>
      </c>
      <c r="BM126" s="708" t="str">
        <f t="shared" si="64"/>
        <v>No Prog ni Ejec</v>
      </c>
      <c r="BN126" s="708" t="str">
        <f t="shared" si="65"/>
        <v>No Prog ni Ejec</v>
      </c>
      <c r="BO126" s="708" t="str">
        <f t="shared" si="66"/>
        <v>No Prog ni Ejec</v>
      </c>
      <c r="BP126" s="708" t="str">
        <f t="shared" si="67"/>
        <v>No Prog ni Ejec</v>
      </c>
      <c r="BQ126" s="708" t="str">
        <f t="shared" si="68"/>
        <v>No Prog ni Ejec</v>
      </c>
      <c r="BR126" s="708" t="str">
        <f t="shared" si="69"/>
        <v>No Prog ni Ejec</v>
      </c>
      <c r="BS126" s="708">
        <f t="shared" si="70"/>
        <v>0.97636363636363632</v>
      </c>
      <c r="BT126" s="829">
        <f t="shared" si="71"/>
        <v>1</v>
      </c>
    </row>
    <row r="127" spans="1:72" s="958" customFormat="1" ht="89.25" x14ac:dyDescent="0.2">
      <c r="A127" s="1091">
        <v>11700</v>
      </c>
      <c r="B127" s="1068" t="s">
        <v>29</v>
      </c>
      <c r="C127" s="1068" t="s">
        <v>1279</v>
      </c>
      <c r="D127" s="1085" t="s">
        <v>328</v>
      </c>
      <c r="E127" s="1068" t="s">
        <v>256</v>
      </c>
      <c r="F127" s="1085" t="s">
        <v>1300</v>
      </c>
      <c r="G127" s="743" t="s">
        <v>1301</v>
      </c>
      <c r="H127" s="1089" t="s">
        <v>123</v>
      </c>
      <c r="I127" s="1075">
        <v>1</v>
      </c>
      <c r="J127" s="1085" t="s">
        <v>1302</v>
      </c>
      <c r="K127" s="1102" t="s">
        <v>1303</v>
      </c>
      <c r="L127" s="1076">
        <f>50293528</f>
        <v>50293528</v>
      </c>
      <c r="M127" s="1078">
        <v>1</v>
      </c>
      <c r="N127" s="1068" t="s">
        <v>45</v>
      </c>
      <c r="O127" s="1068" t="s">
        <v>54</v>
      </c>
      <c r="P127" s="1068" t="s">
        <v>37</v>
      </c>
      <c r="Q127" s="1068" t="s">
        <v>38</v>
      </c>
      <c r="R127" s="1068" t="s">
        <v>218</v>
      </c>
      <c r="S127" s="1067" t="s">
        <v>1304</v>
      </c>
      <c r="T127" s="1068" t="s">
        <v>104</v>
      </c>
      <c r="U127" s="1075">
        <v>1</v>
      </c>
      <c r="V127" s="1071" t="str">
        <f t="shared" si="72"/>
        <v>Crear espacios de encuentro entre los funcionares y su grupo familiar para fortalecer el equilibrio entre la vida familiar y laboral.</v>
      </c>
      <c r="W127" s="699">
        <f t="shared" si="73"/>
        <v>50293528</v>
      </c>
      <c r="X127" s="1086" t="s">
        <v>114</v>
      </c>
      <c r="Y127" s="745">
        <v>0</v>
      </c>
      <c r="Z127" s="1086" t="str">
        <f t="shared" si="125"/>
        <v>Crear espacios de encuentro entre los funcionares y su grupo familiar para fortalecer el equilibrio entre la vida familiar y laboral.</v>
      </c>
      <c r="AA127" s="529">
        <v>0</v>
      </c>
      <c r="AB127" s="1073"/>
      <c r="AC127" s="1054"/>
      <c r="AD127" s="1069" t="e">
        <f t="shared" si="52"/>
        <v>#DIV/0!</v>
      </c>
      <c r="AE127" s="1069" t="e">
        <f t="shared" si="53"/>
        <v>#DIV/0!</v>
      </c>
      <c r="AF127" s="1069">
        <f t="shared" si="54"/>
        <v>0</v>
      </c>
      <c r="AG127" s="1069">
        <f t="shared" si="55"/>
        <v>0</v>
      </c>
      <c r="AH127" s="1068"/>
      <c r="AI127" s="745">
        <v>0</v>
      </c>
      <c r="AJ127" s="1072" t="str">
        <f t="shared" si="126"/>
        <v>Crear espacios de encuentro entre los funcionares y su grupo familiar para fortalecer el equilibrio entre la vida familiar y laboral.</v>
      </c>
      <c r="AK127" s="529">
        <v>0</v>
      </c>
      <c r="AL127" s="700"/>
      <c r="AM127" s="700"/>
      <c r="AN127" s="1069" t="e">
        <f t="shared" si="56"/>
        <v>#DIV/0!</v>
      </c>
      <c r="AO127" s="1069" t="e">
        <f t="shared" si="57"/>
        <v>#DIV/0!</v>
      </c>
      <c r="AP127" s="1069">
        <f t="shared" si="58"/>
        <v>0</v>
      </c>
      <c r="AQ127" s="1069">
        <f t="shared" si="59"/>
        <v>0</v>
      </c>
      <c r="AR127" s="845"/>
      <c r="AS127" s="745">
        <v>0</v>
      </c>
      <c r="AT127" s="1072" t="str">
        <f t="shared" si="127"/>
        <v>Crear espacios de encuentro entre los funcionares y su grupo familiar para fortalecer el equilibrio entre la vida familiar y laboral.</v>
      </c>
      <c r="AU127" s="529">
        <v>0</v>
      </c>
      <c r="AV127" s="1073">
        <v>0</v>
      </c>
      <c r="AW127" s="1054">
        <v>0</v>
      </c>
      <c r="AX127" s="1069" t="e">
        <f t="shared" si="60"/>
        <v>#DIV/0!</v>
      </c>
      <c r="AY127" s="1069" t="e">
        <f t="shared" si="61"/>
        <v>#DIV/0!</v>
      </c>
      <c r="AZ127" s="1069">
        <f t="shared" si="62"/>
        <v>0</v>
      </c>
      <c r="BA127" s="1069">
        <f t="shared" si="63"/>
        <v>0</v>
      </c>
      <c r="BB127" s="845"/>
      <c r="BC127" s="745">
        <v>1</v>
      </c>
      <c r="BD127" s="1072" t="str">
        <f t="shared" si="128"/>
        <v>Crear espacios de encuentro entre los funcionares y su grupo familiar para fortalecer el equilibrio entre la vida familiar y laboral.</v>
      </c>
      <c r="BE127" s="529">
        <f t="shared" si="128"/>
        <v>50293528</v>
      </c>
      <c r="BF127" s="943">
        <f>153/159</f>
        <v>0.96226415094339623</v>
      </c>
      <c r="BG127" s="1054">
        <v>43073196</v>
      </c>
      <c r="BH127" s="1075">
        <f t="shared" si="75"/>
        <v>0.96226415094339623</v>
      </c>
      <c r="BI127" s="1075">
        <f t="shared" si="76"/>
        <v>0.85643616013575341</v>
      </c>
      <c r="BJ127" s="1075">
        <f t="shared" si="77"/>
        <v>0.96226415094339623</v>
      </c>
      <c r="BK127" s="1075">
        <f t="shared" si="78"/>
        <v>0.85643616013575341</v>
      </c>
      <c r="BL127" s="1053" t="s">
        <v>2147</v>
      </c>
      <c r="BM127" s="708" t="str">
        <f t="shared" si="64"/>
        <v>No Prog ni Ejec</v>
      </c>
      <c r="BN127" s="708" t="str">
        <f t="shared" si="65"/>
        <v>No Prog ni Ejec</v>
      </c>
      <c r="BO127" s="708" t="str">
        <f t="shared" si="66"/>
        <v>No Prog ni Ejec</v>
      </c>
      <c r="BP127" s="708" t="str">
        <f t="shared" si="67"/>
        <v>No Prog ni Ejec</v>
      </c>
      <c r="BQ127" s="708" t="str">
        <f t="shared" si="68"/>
        <v>No Prog ni Ejec</v>
      </c>
      <c r="BR127" s="708" t="str">
        <f t="shared" si="69"/>
        <v>No Prog ni Ejec</v>
      </c>
      <c r="BS127" s="708">
        <f t="shared" si="70"/>
        <v>0.96226415094339623</v>
      </c>
      <c r="BT127" s="829">
        <f t="shared" si="71"/>
        <v>0.85643616013575341</v>
      </c>
    </row>
    <row r="128" spans="1:72" s="958" customFormat="1" ht="89.25" x14ac:dyDescent="0.2">
      <c r="A128" s="1091">
        <v>11700</v>
      </c>
      <c r="B128" s="1068" t="s">
        <v>29</v>
      </c>
      <c r="C128" s="1068" t="s">
        <v>1279</v>
      </c>
      <c r="D128" s="1085" t="s">
        <v>328</v>
      </c>
      <c r="E128" s="1068" t="s">
        <v>256</v>
      </c>
      <c r="F128" s="1085" t="s">
        <v>1305</v>
      </c>
      <c r="G128" s="743" t="s">
        <v>1306</v>
      </c>
      <c r="H128" s="1089" t="s">
        <v>123</v>
      </c>
      <c r="I128" s="1075">
        <v>1</v>
      </c>
      <c r="J128" s="1085" t="s">
        <v>1307</v>
      </c>
      <c r="K128" s="1102" t="s">
        <v>1308</v>
      </c>
      <c r="L128" s="1054">
        <v>18920000</v>
      </c>
      <c r="M128" s="1078">
        <v>1</v>
      </c>
      <c r="N128" s="1068" t="s">
        <v>45</v>
      </c>
      <c r="O128" s="1068" t="s">
        <v>54</v>
      </c>
      <c r="P128" s="1068" t="s">
        <v>37</v>
      </c>
      <c r="Q128" s="1068" t="s">
        <v>38</v>
      </c>
      <c r="R128" s="1068" t="s">
        <v>218</v>
      </c>
      <c r="S128" s="1067" t="s">
        <v>1309</v>
      </c>
      <c r="T128" s="1068" t="s">
        <v>104</v>
      </c>
      <c r="U128" s="1075">
        <v>1</v>
      </c>
      <c r="V128" s="1071" t="str">
        <f t="shared" si="72"/>
        <v>Conmemorar el aniversario de la creación de la ADRES y fomentar el sentido de pertenencia de los funcionarios hacia la Entidad.</v>
      </c>
      <c r="W128" s="699">
        <f t="shared" si="73"/>
        <v>18920000</v>
      </c>
      <c r="X128" s="1086" t="s">
        <v>114</v>
      </c>
      <c r="Y128" s="745">
        <v>0</v>
      </c>
      <c r="Z128" s="1086" t="str">
        <f t="shared" si="125"/>
        <v>Conmemorar el aniversario de la creación de la ADRES y fomentar el sentido de pertenencia de los funcionarios hacia la Entidad.</v>
      </c>
      <c r="AA128" s="529">
        <v>0</v>
      </c>
      <c r="AB128" s="1073"/>
      <c r="AC128" s="1054"/>
      <c r="AD128" s="1069" t="e">
        <f t="shared" si="52"/>
        <v>#DIV/0!</v>
      </c>
      <c r="AE128" s="1069" t="e">
        <f t="shared" si="53"/>
        <v>#DIV/0!</v>
      </c>
      <c r="AF128" s="1069">
        <f t="shared" si="54"/>
        <v>0</v>
      </c>
      <c r="AG128" s="1069">
        <f t="shared" si="55"/>
        <v>0</v>
      </c>
      <c r="AH128" s="1068"/>
      <c r="AI128" s="745">
        <v>0</v>
      </c>
      <c r="AJ128" s="1072" t="str">
        <f t="shared" si="126"/>
        <v>Conmemorar el aniversario de la creación de la ADRES y fomentar el sentido de pertenencia de los funcionarios hacia la Entidad.</v>
      </c>
      <c r="AK128" s="529">
        <v>0</v>
      </c>
      <c r="AL128" s="700"/>
      <c r="AM128" s="700"/>
      <c r="AN128" s="1069" t="e">
        <f t="shared" si="56"/>
        <v>#DIV/0!</v>
      </c>
      <c r="AO128" s="1069" t="e">
        <f t="shared" si="57"/>
        <v>#DIV/0!</v>
      </c>
      <c r="AP128" s="1069">
        <f t="shared" si="58"/>
        <v>0</v>
      </c>
      <c r="AQ128" s="1069">
        <f t="shared" si="59"/>
        <v>0</v>
      </c>
      <c r="AR128" s="845"/>
      <c r="AS128" s="745">
        <v>0</v>
      </c>
      <c r="AT128" s="1072" t="str">
        <f t="shared" si="127"/>
        <v>Conmemorar el aniversario de la creación de la ADRES y fomentar el sentido de pertenencia de los funcionarios hacia la Entidad.</v>
      </c>
      <c r="AU128" s="529">
        <v>0</v>
      </c>
      <c r="AV128" s="943">
        <f>156/186</f>
        <v>0.83870967741935487</v>
      </c>
      <c r="AW128" s="1054">
        <v>18919999</v>
      </c>
      <c r="AX128" s="1069" t="e">
        <f t="shared" si="60"/>
        <v>#DIV/0!</v>
      </c>
      <c r="AY128" s="1069" t="e">
        <f t="shared" si="61"/>
        <v>#DIV/0!</v>
      </c>
      <c r="AZ128" s="1069">
        <f t="shared" si="62"/>
        <v>0.83870967741935487</v>
      </c>
      <c r="BA128" s="1069">
        <f t="shared" si="63"/>
        <v>0.99999994714587737</v>
      </c>
      <c r="BB128" s="526" t="s">
        <v>1965</v>
      </c>
      <c r="BC128" s="745">
        <v>1</v>
      </c>
      <c r="BD128" s="1072" t="str">
        <f t="shared" si="128"/>
        <v>Conmemorar el aniversario de la creación de la ADRES y fomentar el sentido de pertenencia de los funcionarios hacia la Entidad.</v>
      </c>
      <c r="BE128" s="529">
        <f t="shared" si="128"/>
        <v>18920000</v>
      </c>
      <c r="BF128" s="943">
        <v>0</v>
      </c>
      <c r="BG128" s="1054">
        <v>0</v>
      </c>
      <c r="BH128" s="1075">
        <f t="shared" si="75"/>
        <v>0</v>
      </c>
      <c r="BI128" s="1075">
        <f t="shared" si="76"/>
        <v>0</v>
      </c>
      <c r="BJ128" s="1075">
        <f t="shared" si="77"/>
        <v>0.83870967741935487</v>
      </c>
      <c r="BK128" s="1075">
        <f t="shared" si="78"/>
        <v>0.99999994714587737</v>
      </c>
      <c r="BL128" s="1051" t="s">
        <v>2148</v>
      </c>
      <c r="BM128" s="708" t="str">
        <f t="shared" si="64"/>
        <v>No Prog ni Ejec</v>
      </c>
      <c r="BN128" s="708" t="str">
        <f t="shared" si="65"/>
        <v>No Prog ni Ejec</v>
      </c>
      <c r="BO128" s="708" t="str">
        <f t="shared" si="66"/>
        <v>No Prog ni Ejec</v>
      </c>
      <c r="BP128" s="708" t="str">
        <f t="shared" si="67"/>
        <v>No Prog ni Ejec</v>
      </c>
      <c r="BQ128" s="708" t="str">
        <f t="shared" si="68"/>
        <v>No Prog, Ejec=  0,838709677419355</v>
      </c>
      <c r="BR128" s="708" t="str">
        <f t="shared" si="69"/>
        <v>No Prog, Ejec=  18919999</v>
      </c>
      <c r="BS128" s="708">
        <f t="shared" si="70"/>
        <v>0</v>
      </c>
      <c r="BT128" s="829">
        <f t="shared" si="71"/>
        <v>0</v>
      </c>
    </row>
    <row r="129" spans="1:72" s="958" customFormat="1" ht="89.25" x14ac:dyDescent="0.2">
      <c r="A129" s="1091">
        <v>11700</v>
      </c>
      <c r="B129" s="1068" t="s">
        <v>29</v>
      </c>
      <c r="C129" s="1068" t="s">
        <v>1279</v>
      </c>
      <c r="D129" s="1085" t="s">
        <v>328</v>
      </c>
      <c r="E129" s="1068" t="s">
        <v>256</v>
      </c>
      <c r="F129" s="1085" t="s">
        <v>1310</v>
      </c>
      <c r="G129" s="743" t="s">
        <v>1311</v>
      </c>
      <c r="H129" s="1089" t="s">
        <v>123</v>
      </c>
      <c r="I129" s="1075">
        <v>1</v>
      </c>
      <c r="J129" s="1162" t="s">
        <v>1312</v>
      </c>
      <c r="K129" s="1164" t="s">
        <v>1313</v>
      </c>
      <c r="L129" s="965">
        <f>31033625</f>
        <v>31033625</v>
      </c>
      <c r="M129" s="1078">
        <v>1</v>
      </c>
      <c r="N129" s="1161" t="s">
        <v>45</v>
      </c>
      <c r="O129" s="1161" t="s">
        <v>54</v>
      </c>
      <c r="P129" s="1161" t="s">
        <v>37</v>
      </c>
      <c r="Q129" s="1161" t="s">
        <v>38</v>
      </c>
      <c r="R129" s="1161" t="s">
        <v>218</v>
      </c>
      <c r="S129" s="1067" t="s">
        <v>1314</v>
      </c>
      <c r="T129" s="1068" t="s">
        <v>104</v>
      </c>
      <c r="U129" s="1075">
        <v>1</v>
      </c>
      <c r="V129" s="1170" t="str">
        <f t="shared" si="72"/>
        <v>Promover actividades que contribuyan al desarrollo y fortalecimiento del ambiente laboral.</v>
      </c>
      <c r="W129" s="699">
        <f t="shared" si="73"/>
        <v>31033625</v>
      </c>
      <c r="X129" s="1086" t="s">
        <v>114</v>
      </c>
      <c r="Y129" s="745">
        <v>0</v>
      </c>
      <c r="Z129" s="1260" t="str">
        <f t="shared" si="125"/>
        <v>Promover actividades que contribuyan al desarrollo y fortalecimiento del ambiente laboral.</v>
      </c>
      <c r="AA129" s="529">
        <v>0</v>
      </c>
      <c r="AB129" s="1073"/>
      <c r="AC129" s="1054"/>
      <c r="AD129" s="1069" t="e">
        <f t="shared" si="52"/>
        <v>#DIV/0!</v>
      </c>
      <c r="AE129" s="1069" t="e">
        <f t="shared" si="53"/>
        <v>#DIV/0!</v>
      </c>
      <c r="AF129" s="1069">
        <f t="shared" si="54"/>
        <v>0</v>
      </c>
      <c r="AG129" s="1069">
        <f t="shared" si="55"/>
        <v>0</v>
      </c>
      <c r="AH129" s="1068"/>
      <c r="AI129" s="745">
        <v>0</v>
      </c>
      <c r="AJ129" s="1137" t="str">
        <f t="shared" si="126"/>
        <v>Promover actividades que contribuyan al desarrollo y fortalecimiento del ambiente laboral.</v>
      </c>
      <c r="AK129" s="529">
        <v>0</v>
      </c>
      <c r="AL129" s="700"/>
      <c r="AM129" s="700"/>
      <c r="AN129" s="1069" t="e">
        <f t="shared" si="56"/>
        <v>#DIV/0!</v>
      </c>
      <c r="AO129" s="1069" t="e">
        <f t="shared" si="57"/>
        <v>#DIV/0!</v>
      </c>
      <c r="AP129" s="1069">
        <f t="shared" si="58"/>
        <v>0</v>
      </c>
      <c r="AQ129" s="1069">
        <f t="shared" si="59"/>
        <v>0</v>
      </c>
      <c r="AR129" s="845"/>
      <c r="AS129" s="745">
        <v>0</v>
      </c>
      <c r="AT129" s="1072" t="str">
        <f t="shared" si="127"/>
        <v>Promover actividades que contribuyan al desarrollo y fortalecimiento del ambiente laboral.</v>
      </c>
      <c r="AU129" s="529">
        <v>0</v>
      </c>
      <c r="AV129" s="1073">
        <v>0</v>
      </c>
      <c r="AW129" s="1054">
        <v>0</v>
      </c>
      <c r="AX129" s="1069" t="e">
        <f t="shared" si="60"/>
        <v>#DIV/0!</v>
      </c>
      <c r="AY129" s="1069" t="e">
        <f t="shared" si="61"/>
        <v>#DIV/0!</v>
      </c>
      <c r="AZ129" s="1069">
        <f t="shared" si="62"/>
        <v>0</v>
      </c>
      <c r="BA129" s="1069">
        <f t="shared" si="63"/>
        <v>0</v>
      </c>
      <c r="BB129" s="845"/>
      <c r="BC129" s="745">
        <v>1</v>
      </c>
      <c r="BD129" s="1072" t="str">
        <f t="shared" si="128"/>
        <v>Promover actividades que contribuyan al desarrollo y fortalecimiento del ambiente laboral.</v>
      </c>
      <c r="BE129" s="529">
        <f t="shared" si="128"/>
        <v>31033625</v>
      </c>
      <c r="BF129" s="943">
        <f>(6)/(9*BC129)</f>
        <v>0.66666666666666663</v>
      </c>
      <c r="BG129" s="1054">
        <v>9698500</v>
      </c>
      <c r="BH129" s="1075">
        <f t="shared" si="75"/>
        <v>0.66666666666666663</v>
      </c>
      <c r="BI129" s="1075">
        <f t="shared" si="76"/>
        <v>0.31251585981334762</v>
      </c>
      <c r="BJ129" s="1075">
        <f t="shared" si="77"/>
        <v>0.66666666666666663</v>
      </c>
      <c r="BK129" s="1075">
        <f t="shared" si="78"/>
        <v>0.31251585981334762</v>
      </c>
      <c r="BL129" s="1053" t="s">
        <v>2149</v>
      </c>
      <c r="BM129" s="708" t="str">
        <f t="shared" si="64"/>
        <v>No Prog ni Ejec</v>
      </c>
      <c r="BN129" s="708" t="str">
        <f t="shared" si="65"/>
        <v>No Prog ni Ejec</v>
      </c>
      <c r="BO129" s="708" t="str">
        <f t="shared" si="66"/>
        <v>No Prog ni Ejec</v>
      </c>
      <c r="BP129" s="708" t="str">
        <f t="shared" si="67"/>
        <v>No Prog ni Ejec</v>
      </c>
      <c r="BQ129" s="708" t="str">
        <f t="shared" si="68"/>
        <v>No Prog ni Ejec</v>
      </c>
      <c r="BR129" s="708" t="str">
        <f t="shared" si="69"/>
        <v>No Prog ni Ejec</v>
      </c>
      <c r="BS129" s="708">
        <f t="shared" si="70"/>
        <v>0.66666666666666663</v>
      </c>
      <c r="BT129" s="829">
        <f t="shared" si="71"/>
        <v>0.31251585981334762</v>
      </c>
    </row>
    <row r="130" spans="1:72" s="958" customFormat="1" ht="89.25" x14ac:dyDescent="0.2">
      <c r="A130" s="1091">
        <v>11700</v>
      </c>
      <c r="B130" s="1068" t="s">
        <v>29</v>
      </c>
      <c r="C130" s="1068" t="s">
        <v>1279</v>
      </c>
      <c r="D130" s="1085" t="s">
        <v>328</v>
      </c>
      <c r="E130" s="1068" t="s">
        <v>256</v>
      </c>
      <c r="F130" s="1085" t="s">
        <v>1315</v>
      </c>
      <c r="G130" s="743" t="s">
        <v>1316</v>
      </c>
      <c r="H130" s="1089" t="s">
        <v>123</v>
      </c>
      <c r="I130" s="1075">
        <v>1</v>
      </c>
      <c r="J130" s="1162"/>
      <c r="K130" s="1164"/>
      <c r="L130" s="1054">
        <v>61947325</v>
      </c>
      <c r="M130" s="1078">
        <v>1</v>
      </c>
      <c r="N130" s="1161"/>
      <c r="O130" s="1161"/>
      <c r="P130" s="1161"/>
      <c r="Q130" s="1161"/>
      <c r="R130" s="1161"/>
      <c r="S130" s="1067" t="s">
        <v>1317</v>
      </c>
      <c r="T130" s="1068" t="s">
        <v>104</v>
      </c>
      <c r="U130" s="1075">
        <v>1</v>
      </c>
      <c r="V130" s="1170"/>
      <c r="W130" s="699">
        <f t="shared" si="73"/>
        <v>61947325</v>
      </c>
      <c r="X130" s="1086" t="s">
        <v>114</v>
      </c>
      <c r="Y130" s="745">
        <v>0</v>
      </c>
      <c r="Z130" s="1260"/>
      <c r="AA130" s="529">
        <v>0</v>
      </c>
      <c r="AB130" s="1073"/>
      <c r="AC130" s="1054"/>
      <c r="AD130" s="1069" t="e">
        <f t="shared" si="52"/>
        <v>#DIV/0!</v>
      </c>
      <c r="AE130" s="1069" t="e">
        <f t="shared" si="53"/>
        <v>#DIV/0!</v>
      </c>
      <c r="AF130" s="1069">
        <f t="shared" si="54"/>
        <v>0</v>
      </c>
      <c r="AG130" s="1069">
        <f t="shared" si="55"/>
        <v>0</v>
      </c>
      <c r="AH130" s="1068"/>
      <c r="AI130" s="745">
        <v>0</v>
      </c>
      <c r="AJ130" s="1137"/>
      <c r="AK130" s="529">
        <v>0</v>
      </c>
      <c r="AL130" s="700"/>
      <c r="AM130" s="700"/>
      <c r="AN130" s="1069" t="e">
        <f t="shared" si="56"/>
        <v>#DIV/0!</v>
      </c>
      <c r="AO130" s="1069" t="e">
        <f t="shared" si="57"/>
        <v>#DIV/0!</v>
      </c>
      <c r="AP130" s="1069">
        <f t="shared" si="58"/>
        <v>0</v>
      </c>
      <c r="AQ130" s="1069">
        <f t="shared" si="59"/>
        <v>0</v>
      </c>
      <c r="AR130" s="845"/>
      <c r="AS130" s="745">
        <v>0</v>
      </c>
      <c r="AT130" s="1072" t="str">
        <f>+V129</f>
        <v>Promover actividades que contribuyan al desarrollo y fortalecimiento del ambiente laboral.</v>
      </c>
      <c r="AU130" s="529">
        <v>0</v>
      </c>
      <c r="AV130" s="1073">
        <v>0</v>
      </c>
      <c r="AW130" s="1054">
        <v>0</v>
      </c>
      <c r="AX130" s="1069" t="e">
        <f t="shared" si="60"/>
        <v>#DIV/0!</v>
      </c>
      <c r="AY130" s="1069" t="e">
        <f t="shared" si="61"/>
        <v>#DIV/0!</v>
      </c>
      <c r="AZ130" s="1069">
        <f t="shared" si="62"/>
        <v>0</v>
      </c>
      <c r="BA130" s="1069">
        <f t="shared" si="63"/>
        <v>0</v>
      </c>
      <c r="BB130" s="845"/>
      <c r="BC130" s="745">
        <v>1</v>
      </c>
      <c r="BD130" s="1072">
        <f t="shared" si="128"/>
        <v>0</v>
      </c>
      <c r="BE130" s="529">
        <f t="shared" si="128"/>
        <v>61947325</v>
      </c>
      <c r="BF130" s="943">
        <f>(345+350+127)/(190*14)</f>
        <v>0.30902255639097742</v>
      </c>
      <c r="BG130" s="1054">
        <v>61947325</v>
      </c>
      <c r="BH130" s="1075">
        <f t="shared" si="75"/>
        <v>0.30902255639097742</v>
      </c>
      <c r="BI130" s="1075">
        <f t="shared" si="76"/>
        <v>1</v>
      </c>
      <c r="BJ130" s="1075">
        <f t="shared" si="77"/>
        <v>0.30902255639097742</v>
      </c>
      <c r="BK130" s="1075">
        <f t="shared" si="78"/>
        <v>1</v>
      </c>
      <c r="BL130" s="1053" t="s">
        <v>2266</v>
      </c>
      <c r="BM130" s="708" t="str">
        <f t="shared" si="64"/>
        <v>No Prog ni Ejec</v>
      </c>
      <c r="BN130" s="708" t="str">
        <f t="shared" si="65"/>
        <v>No Prog ni Ejec</v>
      </c>
      <c r="BO130" s="708" t="str">
        <f t="shared" si="66"/>
        <v>No Prog ni Ejec</v>
      </c>
      <c r="BP130" s="708" t="str">
        <f t="shared" si="67"/>
        <v>No Prog ni Ejec</v>
      </c>
      <c r="BQ130" s="708" t="str">
        <f t="shared" si="68"/>
        <v>No Prog ni Ejec</v>
      </c>
      <c r="BR130" s="708" t="str">
        <f t="shared" si="69"/>
        <v>No Prog ni Ejec</v>
      </c>
      <c r="BS130" s="708">
        <f t="shared" si="70"/>
        <v>0.30902255639097742</v>
      </c>
      <c r="BT130" s="829">
        <f t="shared" si="71"/>
        <v>1</v>
      </c>
    </row>
    <row r="131" spans="1:72" s="958" customFormat="1" ht="89.25" x14ac:dyDescent="0.2">
      <c r="A131" s="1091">
        <v>11700</v>
      </c>
      <c r="B131" s="1068" t="s">
        <v>29</v>
      </c>
      <c r="C131" s="1068" t="s">
        <v>1279</v>
      </c>
      <c r="D131" s="1085" t="s">
        <v>328</v>
      </c>
      <c r="E131" s="1068" t="s">
        <v>256</v>
      </c>
      <c r="F131" s="1085" t="s">
        <v>409</v>
      </c>
      <c r="G131" s="743" t="s">
        <v>1318</v>
      </c>
      <c r="H131" s="1089" t="s">
        <v>123</v>
      </c>
      <c r="I131" s="1075">
        <v>1</v>
      </c>
      <c r="J131" s="1162"/>
      <c r="K131" s="1164"/>
      <c r="L131" s="1054">
        <v>10533600</v>
      </c>
      <c r="M131" s="1078">
        <v>1</v>
      </c>
      <c r="N131" s="1161"/>
      <c r="O131" s="1161"/>
      <c r="P131" s="1161"/>
      <c r="Q131" s="1161"/>
      <c r="R131" s="1161"/>
      <c r="S131" s="1067" t="s">
        <v>1319</v>
      </c>
      <c r="T131" s="1068" t="s">
        <v>104</v>
      </c>
      <c r="U131" s="1075">
        <v>1</v>
      </c>
      <c r="V131" s="1170"/>
      <c r="W131" s="699">
        <f t="shared" si="73"/>
        <v>10533600</v>
      </c>
      <c r="X131" s="1086" t="s">
        <v>114</v>
      </c>
      <c r="Y131" s="745">
        <v>0</v>
      </c>
      <c r="Z131" s="1260"/>
      <c r="AA131" s="529">
        <v>0</v>
      </c>
      <c r="AB131" s="1073"/>
      <c r="AC131" s="1054"/>
      <c r="AD131" s="1069" t="e">
        <f t="shared" si="52"/>
        <v>#DIV/0!</v>
      </c>
      <c r="AE131" s="1069" t="e">
        <f t="shared" si="53"/>
        <v>#DIV/0!</v>
      </c>
      <c r="AF131" s="1069">
        <f t="shared" si="54"/>
        <v>0</v>
      </c>
      <c r="AG131" s="1069">
        <f t="shared" si="55"/>
        <v>0</v>
      </c>
      <c r="AH131" s="1068"/>
      <c r="AI131" s="745">
        <v>0</v>
      </c>
      <c r="AJ131" s="1137"/>
      <c r="AK131" s="529">
        <v>0</v>
      </c>
      <c r="AL131" s="700"/>
      <c r="AM131" s="700"/>
      <c r="AN131" s="1069" t="e">
        <f t="shared" si="56"/>
        <v>#DIV/0!</v>
      </c>
      <c r="AO131" s="1069" t="e">
        <f t="shared" si="57"/>
        <v>#DIV/0!</v>
      </c>
      <c r="AP131" s="1069">
        <f t="shared" si="58"/>
        <v>0</v>
      </c>
      <c r="AQ131" s="1069">
        <f t="shared" si="59"/>
        <v>0</v>
      </c>
      <c r="AR131" s="845"/>
      <c r="AS131" s="745">
        <v>0</v>
      </c>
      <c r="AT131" s="1072" t="str">
        <f>+V129</f>
        <v>Promover actividades que contribuyan al desarrollo y fortalecimiento del ambiente laboral.</v>
      </c>
      <c r="AU131" s="529">
        <v>0</v>
      </c>
      <c r="AV131" s="1073">
        <v>0</v>
      </c>
      <c r="AW131" s="1054">
        <v>0</v>
      </c>
      <c r="AX131" s="1069" t="e">
        <f t="shared" si="60"/>
        <v>#DIV/0!</v>
      </c>
      <c r="AY131" s="1069" t="e">
        <f t="shared" si="61"/>
        <v>#DIV/0!</v>
      </c>
      <c r="AZ131" s="1069">
        <f t="shared" si="62"/>
        <v>0</v>
      </c>
      <c r="BA131" s="1069">
        <f t="shared" si="63"/>
        <v>0</v>
      </c>
      <c r="BB131" s="845"/>
      <c r="BC131" s="745">
        <v>1</v>
      </c>
      <c r="BD131" s="1072">
        <f t="shared" si="128"/>
        <v>0</v>
      </c>
      <c r="BE131" s="529">
        <f t="shared" si="128"/>
        <v>10533600</v>
      </c>
      <c r="BF131" s="943">
        <f>(17+20+16+20)/(190*1)</f>
        <v>0.38421052631578945</v>
      </c>
      <c r="BG131" s="1054">
        <v>10533600</v>
      </c>
      <c r="BH131" s="1075">
        <f t="shared" si="75"/>
        <v>0.38421052631578945</v>
      </c>
      <c r="BI131" s="1075">
        <f t="shared" si="76"/>
        <v>1</v>
      </c>
      <c r="BJ131" s="1075">
        <f t="shared" si="77"/>
        <v>0.38421052631578945</v>
      </c>
      <c r="BK131" s="1075">
        <f t="shared" si="78"/>
        <v>1</v>
      </c>
      <c r="BL131" s="1053" t="s">
        <v>2267</v>
      </c>
      <c r="BM131" s="708" t="str">
        <f t="shared" si="64"/>
        <v>No Prog ni Ejec</v>
      </c>
      <c r="BN131" s="708" t="str">
        <f t="shared" si="65"/>
        <v>No Prog ni Ejec</v>
      </c>
      <c r="BO131" s="708" t="str">
        <f t="shared" si="66"/>
        <v>No Prog ni Ejec</v>
      </c>
      <c r="BP131" s="708" t="str">
        <f t="shared" si="67"/>
        <v>No Prog ni Ejec</v>
      </c>
      <c r="BQ131" s="708" t="str">
        <f t="shared" si="68"/>
        <v>No Prog ni Ejec</v>
      </c>
      <c r="BR131" s="708" t="str">
        <f t="shared" si="69"/>
        <v>No Prog ni Ejec</v>
      </c>
      <c r="BS131" s="708">
        <f t="shared" si="70"/>
        <v>0.38421052631578945</v>
      </c>
      <c r="BT131" s="829">
        <f t="shared" si="71"/>
        <v>1</v>
      </c>
    </row>
    <row r="132" spans="1:72" s="958" customFormat="1" ht="89.25" x14ac:dyDescent="0.2">
      <c r="A132" s="1091">
        <v>11700</v>
      </c>
      <c r="B132" s="1068" t="s">
        <v>29</v>
      </c>
      <c r="C132" s="1068" t="s">
        <v>1279</v>
      </c>
      <c r="D132" s="1085" t="s">
        <v>328</v>
      </c>
      <c r="E132" s="1068" t="s">
        <v>256</v>
      </c>
      <c r="F132" s="1085" t="s">
        <v>1320</v>
      </c>
      <c r="G132" s="743" t="s">
        <v>1321</v>
      </c>
      <c r="H132" s="1089" t="s">
        <v>123</v>
      </c>
      <c r="I132" s="1075">
        <v>1</v>
      </c>
      <c r="J132" s="1085" t="s">
        <v>1322</v>
      </c>
      <c r="K132" s="1102" t="s">
        <v>1323</v>
      </c>
      <c r="L132" s="1054">
        <v>10553600</v>
      </c>
      <c r="M132" s="1078">
        <v>1</v>
      </c>
      <c r="N132" s="1068" t="s">
        <v>45</v>
      </c>
      <c r="O132" s="1068" t="s">
        <v>54</v>
      </c>
      <c r="P132" s="1068" t="s">
        <v>37</v>
      </c>
      <c r="Q132" s="1068" t="s">
        <v>38</v>
      </c>
      <c r="R132" s="1068" t="s">
        <v>218</v>
      </c>
      <c r="S132" s="1067" t="s">
        <v>1324</v>
      </c>
      <c r="T132" s="1068" t="s">
        <v>104</v>
      </c>
      <c r="U132" s="1075">
        <v>1</v>
      </c>
      <c r="V132" s="1071" t="str">
        <f t="shared" si="72"/>
        <v>Proporcionar herramientas a los pre pensionados para una mejor adaptación a los cambios y transformaciones, el fortalecimiento de las relaciones con las personas y la interacción con su entorno.</v>
      </c>
      <c r="W132" s="699">
        <f t="shared" si="73"/>
        <v>10553600</v>
      </c>
      <c r="X132" s="1086" t="s">
        <v>114</v>
      </c>
      <c r="Y132" s="745">
        <v>0</v>
      </c>
      <c r="Z132" s="1086" t="str">
        <f t="shared" si="125"/>
        <v>Proporcionar herramientas a los pre pensionados para una mejor adaptación a los cambios y transformaciones, el fortalecimiento de las relaciones con las personas y la interacción con su entorno.</v>
      </c>
      <c r="AA132" s="529">
        <v>0</v>
      </c>
      <c r="AB132" s="1073"/>
      <c r="AC132" s="1054"/>
      <c r="AD132" s="1069" t="e">
        <f t="shared" si="52"/>
        <v>#DIV/0!</v>
      </c>
      <c r="AE132" s="1069" t="e">
        <f t="shared" si="53"/>
        <v>#DIV/0!</v>
      </c>
      <c r="AF132" s="1069">
        <f t="shared" si="54"/>
        <v>0</v>
      </c>
      <c r="AG132" s="1069">
        <f t="shared" si="55"/>
        <v>0</v>
      </c>
      <c r="AH132" s="1068"/>
      <c r="AI132" s="745">
        <v>0</v>
      </c>
      <c r="AJ132" s="1072" t="str">
        <f t="shared" si="126"/>
        <v>Proporcionar herramientas a los pre pensionados para una mejor adaptación a los cambios y transformaciones, el fortalecimiento de las relaciones con las personas y la interacción con su entorno.</v>
      </c>
      <c r="AK132" s="529">
        <v>0</v>
      </c>
      <c r="AL132" s="700"/>
      <c r="AM132" s="700"/>
      <c r="AN132" s="1069" t="e">
        <f t="shared" si="56"/>
        <v>#DIV/0!</v>
      </c>
      <c r="AO132" s="1069" t="e">
        <f t="shared" si="57"/>
        <v>#DIV/0!</v>
      </c>
      <c r="AP132" s="1069">
        <f t="shared" si="58"/>
        <v>0</v>
      </c>
      <c r="AQ132" s="1069">
        <f t="shared" si="59"/>
        <v>0</v>
      </c>
      <c r="AR132" s="845"/>
      <c r="AS132" s="745">
        <v>0</v>
      </c>
      <c r="AT132" s="1072" t="str">
        <f t="shared" si="127"/>
        <v>Proporcionar herramientas a los pre pensionados para una mejor adaptación a los cambios y transformaciones, el fortalecimiento de las relaciones con las personas y la interacción con su entorno.</v>
      </c>
      <c r="AU132" s="529">
        <v>0</v>
      </c>
      <c r="AV132" s="1073">
        <v>0</v>
      </c>
      <c r="AW132" s="1054">
        <v>0</v>
      </c>
      <c r="AX132" s="1069" t="e">
        <f t="shared" si="60"/>
        <v>#DIV/0!</v>
      </c>
      <c r="AY132" s="1069" t="e">
        <f t="shared" si="61"/>
        <v>#DIV/0!</v>
      </c>
      <c r="AZ132" s="1069">
        <f t="shared" si="62"/>
        <v>0</v>
      </c>
      <c r="BA132" s="1069">
        <f t="shared" si="63"/>
        <v>0</v>
      </c>
      <c r="BB132" s="845"/>
      <c r="BC132" s="745">
        <v>1</v>
      </c>
      <c r="BD132" s="1072" t="str">
        <f t="shared" si="128"/>
        <v>Proporcionar herramientas a los pre pensionados para una mejor adaptación a los cambios y transformaciones, el fortalecimiento de las relaciones con las personas y la interacción con su entorno.</v>
      </c>
      <c r="BE132" s="529">
        <f t="shared" si="128"/>
        <v>10553600</v>
      </c>
      <c r="BF132" s="943">
        <f>8/12</f>
        <v>0.66666666666666663</v>
      </c>
      <c r="BG132" s="1054">
        <v>3111054</v>
      </c>
      <c r="BH132" s="1075">
        <f t="shared" si="75"/>
        <v>0.66666666666666663</v>
      </c>
      <c r="BI132" s="1075">
        <f t="shared" si="76"/>
        <v>0.29478604457246815</v>
      </c>
      <c r="BJ132" s="1075">
        <f t="shared" si="77"/>
        <v>0.66666666666666663</v>
      </c>
      <c r="BK132" s="1075">
        <f t="shared" si="78"/>
        <v>0.29478604457246815</v>
      </c>
      <c r="BL132" s="1053" t="s">
        <v>2150</v>
      </c>
      <c r="BM132" s="708" t="str">
        <f t="shared" si="64"/>
        <v>No Prog ni Ejec</v>
      </c>
      <c r="BN132" s="708" t="str">
        <f t="shared" si="65"/>
        <v>No Prog ni Ejec</v>
      </c>
      <c r="BO132" s="708" t="str">
        <f t="shared" si="66"/>
        <v>No Prog ni Ejec</v>
      </c>
      <c r="BP132" s="708" t="str">
        <f t="shared" si="67"/>
        <v>No Prog ni Ejec</v>
      </c>
      <c r="BQ132" s="708" t="str">
        <f t="shared" si="68"/>
        <v>No Prog ni Ejec</v>
      </c>
      <c r="BR132" s="708" t="str">
        <f t="shared" si="69"/>
        <v>No Prog ni Ejec</v>
      </c>
      <c r="BS132" s="708">
        <f t="shared" si="70"/>
        <v>0.66666666666666663</v>
      </c>
      <c r="BT132" s="829">
        <f t="shared" si="71"/>
        <v>0.29478604457246815</v>
      </c>
    </row>
    <row r="133" spans="1:72" s="958" customFormat="1" ht="89.25" x14ac:dyDescent="0.2">
      <c r="A133" s="1091">
        <v>11700</v>
      </c>
      <c r="B133" s="1068" t="s">
        <v>29</v>
      </c>
      <c r="C133" s="1068" t="s">
        <v>1279</v>
      </c>
      <c r="D133" s="1085" t="s">
        <v>328</v>
      </c>
      <c r="E133" s="1068" t="s">
        <v>256</v>
      </c>
      <c r="F133" s="1085" t="s">
        <v>1325</v>
      </c>
      <c r="G133" s="743" t="s">
        <v>1326</v>
      </c>
      <c r="H133" s="1089" t="s">
        <v>123</v>
      </c>
      <c r="I133" s="1075">
        <v>1</v>
      </c>
      <c r="J133" s="1085" t="s">
        <v>1327</v>
      </c>
      <c r="K133" s="1102" t="s">
        <v>1328</v>
      </c>
      <c r="L133" s="1054">
        <v>27308803</v>
      </c>
      <c r="M133" s="1078">
        <v>1</v>
      </c>
      <c r="N133" s="1068" t="s">
        <v>45</v>
      </c>
      <c r="O133" s="1068" t="s">
        <v>54</v>
      </c>
      <c r="P133" s="1068" t="s">
        <v>37</v>
      </c>
      <c r="Q133" s="1068" t="s">
        <v>38</v>
      </c>
      <c r="R133" s="1068" t="s">
        <v>218</v>
      </c>
      <c r="S133" s="1067" t="s">
        <v>1329</v>
      </c>
      <c r="T133" s="1068" t="s">
        <v>104</v>
      </c>
      <c r="U133" s="1075">
        <v>1</v>
      </c>
      <c r="V133" s="1071" t="str">
        <f t="shared" si="72"/>
        <v>Reconocer la labor y dedicación de los funcionarios en el 2018, además generar un espacio de integración para todos los equipos de trabajo.</v>
      </c>
      <c r="W133" s="699">
        <f t="shared" si="73"/>
        <v>27308803</v>
      </c>
      <c r="X133" s="1086" t="s">
        <v>114</v>
      </c>
      <c r="Y133" s="745">
        <v>0</v>
      </c>
      <c r="Z133" s="1086" t="str">
        <f t="shared" si="125"/>
        <v>Reconocer la labor y dedicación de los funcionarios en el 2018, además generar un espacio de integración para todos los equipos de trabajo.</v>
      </c>
      <c r="AA133" s="529">
        <v>0</v>
      </c>
      <c r="AB133" s="1073"/>
      <c r="AC133" s="1054"/>
      <c r="AD133" s="1069" t="e">
        <f t="shared" si="52"/>
        <v>#DIV/0!</v>
      </c>
      <c r="AE133" s="1069" t="e">
        <f t="shared" si="53"/>
        <v>#DIV/0!</v>
      </c>
      <c r="AF133" s="1069">
        <f t="shared" si="54"/>
        <v>0</v>
      </c>
      <c r="AG133" s="1069">
        <f t="shared" si="55"/>
        <v>0</v>
      </c>
      <c r="AH133" s="1068"/>
      <c r="AI133" s="745">
        <v>0</v>
      </c>
      <c r="AJ133" s="1072" t="str">
        <f t="shared" si="126"/>
        <v>Reconocer la labor y dedicación de los funcionarios en el 2018, además generar un espacio de integración para todos los equipos de trabajo.</v>
      </c>
      <c r="AK133" s="529">
        <v>0</v>
      </c>
      <c r="AL133" s="700"/>
      <c r="AM133" s="700"/>
      <c r="AN133" s="1069" t="e">
        <f t="shared" si="56"/>
        <v>#DIV/0!</v>
      </c>
      <c r="AO133" s="1069" t="e">
        <f t="shared" si="57"/>
        <v>#DIV/0!</v>
      </c>
      <c r="AP133" s="1069">
        <f t="shared" si="58"/>
        <v>0</v>
      </c>
      <c r="AQ133" s="1069">
        <f t="shared" si="59"/>
        <v>0</v>
      </c>
      <c r="AR133" s="845"/>
      <c r="AS133" s="745">
        <v>0</v>
      </c>
      <c r="AT133" s="1072" t="str">
        <f t="shared" si="127"/>
        <v>Reconocer la labor y dedicación de los funcionarios en el 2018, además generar un espacio de integración para todos los equipos de trabajo.</v>
      </c>
      <c r="AU133" s="529">
        <v>0</v>
      </c>
      <c r="AV133" s="1073">
        <v>0</v>
      </c>
      <c r="AW133" s="1054">
        <v>0</v>
      </c>
      <c r="AX133" s="1069" t="e">
        <f t="shared" si="60"/>
        <v>#DIV/0!</v>
      </c>
      <c r="AY133" s="1069" t="e">
        <f t="shared" si="61"/>
        <v>#DIV/0!</v>
      </c>
      <c r="AZ133" s="1069">
        <f t="shared" si="62"/>
        <v>0</v>
      </c>
      <c r="BA133" s="1069">
        <f t="shared" si="63"/>
        <v>0</v>
      </c>
      <c r="BB133" s="845"/>
      <c r="BC133" s="745">
        <v>1</v>
      </c>
      <c r="BD133" s="1072" t="str">
        <f t="shared" si="128"/>
        <v>Reconocer la labor y dedicación de los funcionarios en el 2018, además generar un espacio de integración para todos los equipos de trabajo.</v>
      </c>
      <c r="BE133" s="529">
        <f t="shared" si="128"/>
        <v>27308803</v>
      </c>
      <c r="BF133" s="943">
        <f>185/(185*BC133)</f>
        <v>1</v>
      </c>
      <c r="BG133" s="1054">
        <v>26595137</v>
      </c>
      <c r="BH133" s="1075">
        <f t="shared" si="75"/>
        <v>1</v>
      </c>
      <c r="BI133" s="1075">
        <f t="shared" si="76"/>
        <v>0.97386681503396544</v>
      </c>
      <c r="BJ133" s="1075">
        <f t="shared" si="77"/>
        <v>1</v>
      </c>
      <c r="BK133" s="1075">
        <f t="shared" si="78"/>
        <v>0.97386681503396544</v>
      </c>
      <c r="BL133" s="1053" t="s">
        <v>2151</v>
      </c>
      <c r="BM133" s="708" t="str">
        <f t="shared" si="64"/>
        <v>No Prog ni Ejec</v>
      </c>
      <c r="BN133" s="708" t="str">
        <f t="shared" si="65"/>
        <v>No Prog ni Ejec</v>
      </c>
      <c r="BO133" s="708" t="str">
        <f t="shared" si="66"/>
        <v>No Prog ni Ejec</v>
      </c>
      <c r="BP133" s="708" t="str">
        <f t="shared" si="67"/>
        <v>No Prog ni Ejec</v>
      </c>
      <c r="BQ133" s="708" t="str">
        <f t="shared" si="68"/>
        <v>No Prog ni Ejec</v>
      </c>
      <c r="BR133" s="708" t="str">
        <f t="shared" si="69"/>
        <v>No Prog ni Ejec</v>
      </c>
      <c r="BS133" s="708">
        <f t="shared" si="70"/>
        <v>1</v>
      </c>
      <c r="BT133" s="829">
        <f t="shared" si="71"/>
        <v>0.97386681503396544</v>
      </c>
    </row>
    <row r="134" spans="1:72" s="958" customFormat="1" ht="114.75" x14ac:dyDescent="0.2">
      <c r="A134" s="1091">
        <v>11700</v>
      </c>
      <c r="B134" s="1068" t="s">
        <v>29</v>
      </c>
      <c r="C134" s="1068" t="s">
        <v>1279</v>
      </c>
      <c r="D134" s="1085" t="s">
        <v>328</v>
      </c>
      <c r="E134" s="1068" t="s">
        <v>256</v>
      </c>
      <c r="F134" s="1085" t="s">
        <v>1330</v>
      </c>
      <c r="G134" s="743" t="s">
        <v>1331</v>
      </c>
      <c r="H134" s="1089" t="s">
        <v>124</v>
      </c>
      <c r="I134" s="1090">
        <v>1</v>
      </c>
      <c r="J134" s="1085" t="s">
        <v>1332</v>
      </c>
      <c r="K134" s="1102" t="s">
        <v>1333</v>
      </c>
      <c r="L134" s="1054">
        <v>14900000</v>
      </c>
      <c r="M134" s="1078">
        <v>1</v>
      </c>
      <c r="N134" s="1068" t="s">
        <v>45</v>
      </c>
      <c r="O134" s="1068" t="s">
        <v>54</v>
      </c>
      <c r="P134" s="1068" t="s">
        <v>37</v>
      </c>
      <c r="Q134" s="1068" t="s">
        <v>38</v>
      </c>
      <c r="R134" s="1068" t="s">
        <v>218</v>
      </c>
      <c r="S134" s="1067" t="s">
        <v>1334</v>
      </c>
      <c r="T134" s="1068" t="s">
        <v>104</v>
      </c>
      <c r="U134" s="1075">
        <v>1</v>
      </c>
      <c r="V134" s="1071" t="str">
        <f t="shared" si="72"/>
        <v>Premiación del mejor empleado de carrera y mejor de libre nombramiento y remoción, y premiación al mejor empleado de carrera por nivel (Gestor, Técnico administrativo y Auxiliar Administrativo) según la calificación obtenida en la evaluación del desempeño.</v>
      </c>
      <c r="W134" s="699">
        <f t="shared" si="73"/>
        <v>14900000</v>
      </c>
      <c r="X134" s="1086" t="s">
        <v>114</v>
      </c>
      <c r="Y134" s="746">
        <v>0</v>
      </c>
      <c r="Z134" s="1086" t="str">
        <f t="shared" si="125"/>
        <v>Premiación del mejor empleado de carrera y mejor de libre nombramiento y remoción, y premiación al mejor empleado de carrera por nivel (Gestor, Técnico administrativo y Auxiliar Administrativo) según la calificación obtenida en la evaluación del desempeño.</v>
      </c>
      <c r="AA134" s="529">
        <v>0</v>
      </c>
      <c r="AB134" s="1073"/>
      <c r="AC134" s="1054"/>
      <c r="AD134" s="1069" t="e">
        <f t="shared" si="52"/>
        <v>#DIV/0!</v>
      </c>
      <c r="AE134" s="1069" t="e">
        <f t="shared" si="53"/>
        <v>#DIV/0!</v>
      </c>
      <c r="AF134" s="1069">
        <f t="shared" si="54"/>
        <v>0</v>
      </c>
      <c r="AG134" s="1069">
        <f t="shared" si="55"/>
        <v>0</v>
      </c>
      <c r="AH134" s="1068"/>
      <c r="AI134" s="746">
        <v>0</v>
      </c>
      <c r="AJ134" s="1072" t="str">
        <f t="shared" si="126"/>
        <v>Premiación del mejor empleado de carrera y mejor de libre nombramiento y remoción, y premiación al mejor empleado de carrera por nivel (Gestor, Técnico administrativo y Auxiliar Administrativo) según la calificación obtenida en la evaluación del desempeño.</v>
      </c>
      <c r="AK134" s="529">
        <v>0</v>
      </c>
      <c r="AL134" s="700"/>
      <c r="AM134" s="700"/>
      <c r="AN134" s="1069" t="e">
        <f t="shared" si="56"/>
        <v>#DIV/0!</v>
      </c>
      <c r="AO134" s="1069" t="e">
        <f t="shared" si="57"/>
        <v>#DIV/0!</v>
      </c>
      <c r="AP134" s="1069">
        <f t="shared" si="58"/>
        <v>0</v>
      </c>
      <c r="AQ134" s="1069">
        <f t="shared" si="59"/>
        <v>0</v>
      </c>
      <c r="AR134" s="845"/>
      <c r="AS134" s="746">
        <v>0</v>
      </c>
      <c r="AT134" s="1072" t="str">
        <f t="shared" si="127"/>
        <v>Premiación del mejor empleado de carrera y mejor de libre nombramiento y remoción, y premiación al mejor empleado de carrera por nivel (Gestor, Técnico administrativo y Auxiliar Administrativo) según la calificación obtenida en la evaluación del desempeño.</v>
      </c>
      <c r="AU134" s="529">
        <v>0</v>
      </c>
      <c r="AV134" s="945">
        <v>0</v>
      </c>
      <c r="AW134" s="1054">
        <v>0</v>
      </c>
      <c r="AX134" s="1069" t="e">
        <f t="shared" si="60"/>
        <v>#DIV/0!</v>
      </c>
      <c r="AY134" s="1069" t="e">
        <f>+(AW134/AU134)</f>
        <v>#DIV/0!</v>
      </c>
      <c r="AZ134" s="1069">
        <f t="shared" si="62"/>
        <v>0</v>
      </c>
      <c r="BA134" s="1069">
        <f t="shared" si="63"/>
        <v>0</v>
      </c>
      <c r="BB134" s="845"/>
      <c r="BC134" s="746">
        <v>1</v>
      </c>
      <c r="BD134" s="1072" t="str">
        <f t="shared" si="128"/>
        <v>Premiación del mejor empleado de carrera y mejor de libre nombramiento y remoción, y premiación al mejor empleado de carrera por nivel (Gestor, Técnico administrativo y Auxiliar Administrativo) según la calificación obtenida en la evaluación del desempeño.</v>
      </c>
      <c r="BE134" s="529">
        <f t="shared" si="128"/>
        <v>14900000</v>
      </c>
      <c r="BF134" s="943">
        <f>14900000/14900000</f>
        <v>1</v>
      </c>
      <c r="BG134" s="1054">
        <v>14900000</v>
      </c>
      <c r="BH134" s="1075">
        <f t="shared" si="75"/>
        <v>1</v>
      </c>
      <c r="BI134" s="1075">
        <f t="shared" si="76"/>
        <v>1</v>
      </c>
      <c r="BJ134" s="1075">
        <f t="shared" si="77"/>
        <v>1</v>
      </c>
      <c r="BK134" s="1075">
        <f t="shared" si="78"/>
        <v>1</v>
      </c>
      <c r="BL134" s="1053" t="s">
        <v>2152</v>
      </c>
      <c r="BM134" s="708" t="str">
        <f t="shared" si="64"/>
        <v>No Prog ni Ejec</v>
      </c>
      <c r="BN134" s="708" t="str">
        <f t="shared" si="65"/>
        <v>No Prog ni Ejec</v>
      </c>
      <c r="BO134" s="708" t="str">
        <f t="shared" si="66"/>
        <v>No Prog ni Ejec</v>
      </c>
      <c r="BP134" s="708" t="str">
        <f t="shared" si="67"/>
        <v>No Prog ni Ejec</v>
      </c>
      <c r="BQ134" s="708" t="str">
        <f t="shared" si="68"/>
        <v>No Prog ni Ejec</v>
      </c>
      <c r="BR134" s="708" t="str">
        <f t="shared" si="69"/>
        <v>No Prog ni Ejec</v>
      </c>
      <c r="BS134" s="708">
        <f t="shared" si="70"/>
        <v>1</v>
      </c>
      <c r="BT134" s="829">
        <f t="shared" si="71"/>
        <v>1</v>
      </c>
    </row>
    <row r="135" spans="1:72" s="958" customFormat="1" ht="89.25" x14ac:dyDescent="0.2">
      <c r="A135" s="1091">
        <v>11700</v>
      </c>
      <c r="B135" s="1068" t="s">
        <v>29</v>
      </c>
      <c r="C135" s="1068" t="s">
        <v>1279</v>
      </c>
      <c r="D135" s="1085" t="s">
        <v>328</v>
      </c>
      <c r="E135" s="1068" t="s">
        <v>256</v>
      </c>
      <c r="F135" s="1085" t="s">
        <v>1335</v>
      </c>
      <c r="G135" s="743" t="s">
        <v>1336</v>
      </c>
      <c r="H135" s="1089" t="s">
        <v>123</v>
      </c>
      <c r="I135" s="1075">
        <v>1</v>
      </c>
      <c r="J135" s="1085" t="s">
        <v>1337</v>
      </c>
      <c r="K135" s="1068" t="s">
        <v>1338</v>
      </c>
      <c r="L135" s="443">
        <f>50000000</f>
        <v>50000000</v>
      </c>
      <c r="M135" s="1078">
        <v>1</v>
      </c>
      <c r="N135" s="1068" t="s">
        <v>45</v>
      </c>
      <c r="O135" s="1068" t="s">
        <v>54</v>
      </c>
      <c r="P135" s="1068" t="s">
        <v>37</v>
      </c>
      <c r="Q135" s="1068" t="s">
        <v>38</v>
      </c>
      <c r="R135" s="1068" t="s">
        <v>218</v>
      </c>
      <c r="S135" s="1068" t="s">
        <v>379</v>
      </c>
      <c r="T135" s="1068" t="s">
        <v>104</v>
      </c>
      <c r="U135" s="1075">
        <v>1</v>
      </c>
      <c r="V135" s="1071" t="str">
        <f t="shared" si="72"/>
        <v>Proporcionar otros incentivos a los funcionarios</v>
      </c>
      <c r="W135" s="699">
        <f t="shared" si="73"/>
        <v>50000000</v>
      </c>
      <c r="X135" s="1086" t="s">
        <v>114</v>
      </c>
      <c r="Y135" s="1075">
        <v>0</v>
      </c>
      <c r="Z135" s="1086" t="str">
        <f>+K135</f>
        <v>Proporcionar otros incentivos a los funcionarios</v>
      </c>
      <c r="AA135" s="529">
        <v>0</v>
      </c>
      <c r="AB135" s="1073"/>
      <c r="AC135" s="1054"/>
      <c r="AD135" s="1069" t="e">
        <f t="shared" si="52"/>
        <v>#DIV/0!</v>
      </c>
      <c r="AE135" s="1069" t="e">
        <f t="shared" si="53"/>
        <v>#DIV/0!</v>
      </c>
      <c r="AF135" s="1069">
        <f t="shared" si="54"/>
        <v>0</v>
      </c>
      <c r="AG135" s="1069">
        <f t="shared" si="55"/>
        <v>0</v>
      </c>
      <c r="AH135" s="1068"/>
      <c r="AI135" s="1075">
        <v>0</v>
      </c>
      <c r="AJ135" s="1072" t="str">
        <f t="shared" si="126"/>
        <v>Proporcionar otros incentivos a los funcionarios</v>
      </c>
      <c r="AK135" s="529">
        <v>0</v>
      </c>
      <c r="AL135" s="700"/>
      <c r="AM135" s="700"/>
      <c r="AN135" s="1069" t="e">
        <f t="shared" si="56"/>
        <v>#DIV/0!</v>
      </c>
      <c r="AO135" s="1069" t="e">
        <f t="shared" si="57"/>
        <v>#DIV/0!</v>
      </c>
      <c r="AP135" s="1069">
        <f t="shared" si="58"/>
        <v>0</v>
      </c>
      <c r="AQ135" s="1069">
        <f t="shared" si="59"/>
        <v>0</v>
      </c>
      <c r="AR135" s="845"/>
      <c r="AS135" s="745">
        <v>0</v>
      </c>
      <c r="AT135" s="1072" t="str">
        <f t="shared" si="127"/>
        <v>Proporcionar otros incentivos a los funcionarios</v>
      </c>
      <c r="AU135" s="529">
        <v>0</v>
      </c>
      <c r="AV135" s="1073">
        <v>0</v>
      </c>
      <c r="AW135" s="1054">
        <v>0</v>
      </c>
      <c r="AX135" s="1069" t="e">
        <f t="shared" si="60"/>
        <v>#DIV/0!</v>
      </c>
      <c r="AY135" s="1069" t="e">
        <f t="shared" si="61"/>
        <v>#DIV/0!</v>
      </c>
      <c r="AZ135" s="1069">
        <f t="shared" si="62"/>
        <v>0</v>
      </c>
      <c r="BA135" s="1069">
        <f t="shared" si="63"/>
        <v>0</v>
      </c>
      <c r="BB135" s="845"/>
      <c r="BC135" s="1002">
        <v>1</v>
      </c>
      <c r="BD135" s="1072" t="str">
        <f t="shared" si="128"/>
        <v>Proporcionar otros incentivos a los funcionarios</v>
      </c>
      <c r="BE135" s="529">
        <f t="shared" si="128"/>
        <v>50000000</v>
      </c>
      <c r="BF135" s="943">
        <v>0</v>
      </c>
      <c r="BG135" s="1054">
        <v>0</v>
      </c>
      <c r="BH135" s="1075">
        <f t="shared" si="75"/>
        <v>0</v>
      </c>
      <c r="BI135" s="1075">
        <f t="shared" si="76"/>
        <v>0</v>
      </c>
      <c r="BJ135" s="1075">
        <f t="shared" si="77"/>
        <v>0</v>
      </c>
      <c r="BK135" s="1075">
        <f t="shared" si="78"/>
        <v>0</v>
      </c>
      <c r="BL135" s="1099" t="s">
        <v>2153</v>
      </c>
      <c r="BM135" s="708" t="str">
        <f t="shared" si="64"/>
        <v>No Prog ni Ejec</v>
      </c>
      <c r="BN135" s="708" t="str">
        <f t="shared" si="65"/>
        <v>No Prog ni Ejec</v>
      </c>
      <c r="BO135" s="708" t="str">
        <f t="shared" si="66"/>
        <v>No Prog ni Ejec</v>
      </c>
      <c r="BP135" s="708" t="str">
        <f t="shared" si="67"/>
        <v>No Prog ni Ejec</v>
      </c>
      <c r="BQ135" s="708" t="str">
        <f t="shared" si="68"/>
        <v>No Prog ni Ejec</v>
      </c>
      <c r="BR135" s="708" t="str">
        <f t="shared" si="69"/>
        <v>No Prog ni Ejec</v>
      </c>
      <c r="BS135" s="708">
        <f t="shared" si="70"/>
        <v>0</v>
      </c>
      <c r="BT135" s="829">
        <f t="shared" si="71"/>
        <v>0</v>
      </c>
    </row>
    <row r="136" spans="1:72" s="1627" customFormat="1" ht="89.25" x14ac:dyDescent="0.2">
      <c r="A136" s="1092">
        <v>11700</v>
      </c>
      <c r="B136" s="1060" t="s">
        <v>29</v>
      </c>
      <c r="C136" s="1068" t="s">
        <v>1209</v>
      </c>
      <c r="D136" s="1059" t="s">
        <v>328</v>
      </c>
      <c r="E136" s="1060" t="s">
        <v>256</v>
      </c>
      <c r="F136" s="1059" t="s">
        <v>412</v>
      </c>
      <c r="G136" s="1060" t="s">
        <v>413</v>
      </c>
      <c r="H136" s="1079" t="s">
        <v>123</v>
      </c>
      <c r="I136" s="1056">
        <v>1</v>
      </c>
      <c r="J136" s="1059" t="s">
        <v>416</v>
      </c>
      <c r="K136" s="1060" t="s">
        <v>1162</v>
      </c>
      <c r="L136" s="443">
        <f>6000000+1990560</f>
        <v>7990560</v>
      </c>
      <c r="M136" s="444">
        <v>1</v>
      </c>
      <c r="N136" s="1060" t="s">
        <v>45</v>
      </c>
      <c r="O136" s="1060" t="s">
        <v>54</v>
      </c>
      <c r="P136" s="1060" t="s">
        <v>37</v>
      </c>
      <c r="Q136" s="1060" t="s">
        <v>38</v>
      </c>
      <c r="R136" s="1060" t="s">
        <v>218</v>
      </c>
      <c r="S136" s="1060" t="s">
        <v>182</v>
      </c>
      <c r="T136" s="1060" t="s">
        <v>104</v>
      </c>
      <c r="U136" s="444">
        <v>1</v>
      </c>
      <c r="V136" s="1058" t="str">
        <f t="shared" si="72"/>
        <v>Realización de Exámenes de Salud Ocupacional (pre-ocupacionales, exámenes médicos post-ocupacionales)</v>
      </c>
      <c r="W136" s="445">
        <f t="shared" si="73"/>
        <v>7990560</v>
      </c>
      <c r="X136" s="1097" t="s">
        <v>114</v>
      </c>
      <c r="Y136" s="1056">
        <v>0.25</v>
      </c>
      <c r="Z136" s="1083" t="str">
        <f t="shared" si="118"/>
        <v>Realización de Exámenes de Salud Ocupacional (pre-ocupacionales, exámenes médicos post-ocupacionales)</v>
      </c>
      <c r="AA136" s="443">
        <f>+L136*Y136</f>
        <v>1997640</v>
      </c>
      <c r="AB136" s="1088">
        <f>(AC136/AA136)*25%</f>
        <v>8.2317134218377691E-2</v>
      </c>
      <c r="AC136" s="1077">
        <v>657760</v>
      </c>
      <c r="AD136" s="1064">
        <f t="shared" si="52"/>
        <v>0.32926853687351076</v>
      </c>
      <c r="AE136" s="1064">
        <f t="shared" si="53"/>
        <v>0.32926853687351076</v>
      </c>
      <c r="AF136" s="1064">
        <f t="shared" si="54"/>
        <v>8.2317134218377691E-2</v>
      </c>
      <c r="AG136" s="1064">
        <f t="shared" si="55"/>
        <v>8.2317134218377691E-2</v>
      </c>
      <c r="AH136" s="1060" t="s">
        <v>989</v>
      </c>
      <c r="AI136" s="1056">
        <v>0.25</v>
      </c>
      <c r="AJ136" s="1083" t="str">
        <f t="shared" si="119"/>
        <v>Realización de Exámenes de Salud Ocupacional (pre-ocupacionales, exámenes médicos post-ocupacionales)</v>
      </c>
      <c r="AK136" s="443">
        <v>1997640</v>
      </c>
      <c r="AL136" s="793">
        <f>(AM136/AK136)*AI136</f>
        <v>0.1480496986444004</v>
      </c>
      <c r="AM136" s="812">
        <v>1183000</v>
      </c>
      <c r="AN136" s="1064">
        <f t="shared" si="56"/>
        <v>0.59219879457760161</v>
      </c>
      <c r="AO136" s="1064">
        <f t="shared" si="57"/>
        <v>0.59219879457760161</v>
      </c>
      <c r="AP136" s="1064">
        <f t="shared" si="58"/>
        <v>0.23036683286277809</v>
      </c>
      <c r="AQ136" s="1064">
        <f t="shared" si="59"/>
        <v>0.23036683286277806</v>
      </c>
      <c r="AR136" s="804"/>
      <c r="AS136" s="1056">
        <v>0.25</v>
      </c>
      <c r="AT136" s="1083" t="str">
        <f t="shared" ref="AT136:AT143" si="129">+V136</f>
        <v>Realización de Exámenes de Salud Ocupacional (pre-ocupacionales, exámenes médicos post-ocupacionales)</v>
      </c>
      <c r="AU136" s="443">
        <v>1997640</v>
      </c>
      <c r="AV136" s="1088">
        <f>(AW136/AU136)*AS136</f>
        <v>5.5377845858112576E-2</v>
      </c>
      <c r="AW136" s="1077">
        <f>124000+318500</f>
        <v>442500</v>
      </c>
      <c r="AX136" s="1064">
        <f t="shared" si="60"/>
        <v>0.2215113834324503</v>
      </c>
      <c r="AY136" s="1064">
        <f t="shared" si="61"/>
        <v>0.2215113834324503</v>
      </c>
      <c r="AZ136" s="1064">
        <f t="shared" si="62"/>
        <v>0.28574467872089065</v>
      </c>
      <c r="BA136" s="1064">
        <f t="shared" si="63"/>
        <v>0.28574467872089065</v>
      </c>
      <c r="BB136" s="527"/>
      <c r="BC136" s="1056">
        <v>0.25</v>
      </c>
      <c r="BD136" s="1083" t="str">
        <f t="shared" si="79"/>
        <v>Realización de Exámenes de Salud Ocupacional (pre-ocupacionales, exámenes médicos post-ocupacionales)</v>
      </c>
      <c r="BE136" s="443">
        <v>1997640</v>
      </c>
      <c r="BF136" s="1088">
        <f>BG136/BE136</f>
        <v>7.6590376644440433E-2</v>
      </c>
      <c r="BG136" s="1077">
        <v>153000</v>
      </c>
      <c r="BH136" s="1056">
        <f t="shared" si="75"/>
        <v>0.30636150657776173</v>
      </c>
      <c r="BI136" s="1056">
        <f t="shared" si="76"/>
        <v>7.6590376644440433E-2</v>
      </c>
      <c r="BJ136" s="1056">
        <f t="shared" si="77"/>
        <v>0.36233505536533106</v>
      </c>
      <c r="BK136" s="1056">
        <f t="shared" si="78"/>
        <v>0.30489227288200077</v>
      </c>
      <c r="BL136" s="1099" t="s">
        <v>2155</v>
      </c>
      <c r="BM136" s="477">
        <f t="shared" si="64"/>
        <v>0.32926853687351076</v>
      </c>
      <c r="BN136" s="477">
        <f t="shared" si="65"/>
        <v>0.32926853687351076</v>
      </c>
      <c r="BO136" s="477">
        <f t="shared" si="66"/>
        <v>0.59219879457760161</v>
      </c>
      <c r="BP136" s="477">
        <f t="shared" si="67"/>
        <v>0.59219879457760161</v>
      </c>
      <c r="BQ136" s="477">
        <f t="shared" si="68"/>
        <v>0.2215113834324503</v>
      </c>
      <c r="BR136" s="477">
        <f t="shared" si="69"/>
        <v>0.2215113834324503</v>
      </c>
      <c r="BS136" s="477">
        <f t="shared" si="70"/>
        <v>0.30636150657776173</v>
      </c>
      <c r="BT136" s="828">
        <f t="shared" si="71"/>
        <v>7.6590376644440433E-2</v>
      </c>
    </row>
    <row r="137" spans="1:72" s="1627" customFormat="1" ht="89.25" x14ac:dyDescent="0.2">
      <c r="A137" s="1092">
        <v>11700</v>
      </c>
      <c r="B137" s="1060" t="s">
        <v>29</v>
      </c>
      <c r="C137" s="1068" t="s">
        <v>1209</v>
      </c>
      <c r="D137" s="1059" t="s">
        <v>328</v>
      </c>
      <c r="E137" s="1060" t="s">
        <v>256</v>
      </c>
      <c r="F137" s="1059" t="s">
        <v>414</v>
      </c>
      <c r="G137" s="1060" t="s">
        <v>408</v>
      </c>
      <c r="H137" s="1079" t="s">
        <v>124</v>
      </c>
      <c r="I137" s="1059">
        <v>12</v>
      </c>
      <c r="J137" s="1059" t="s">
        <v>415</v>
      </c>
      <c r="K137" s="1060" t="s">
        <v>417</v>
      </c>
      <c r="L137" s="528">
        <f>62100000-56600000</f>
        <v>5500000</v>
      </c>
      <c r="M137" s="444">
        <v>1</v>
      </c>
      <c r="N137" s="1060" t="s">
        <v>45</v>
      </c>
      <c r="O137" s="1060" t="s">
        <v>54</v>
      </c>
      <c r="P137" s="1060" t="s">
        <v>37</v>
      </c>
      <c r="Q137" s="1060" t="s">
        <v>38</v>
      </c>
      <c r="R137" s="1060" t="s">
        <v>218</v>
      </c>
      <c r="S137" s="1060" t="s">
        <v>658</v>
      </c>
      <c r="T137" s="1060" t="s">
        <v>104</v>
      </c>
      <c r="U137" s="1059">
        <v>12</v>
      </c>
      <c r="V137" s="1058" t="str">
        <f t="shared" si="72"/>
        <v>Generar y Liquidar Nomina ADRES</v>
      </c>
      <c r="W137" s="445">
        <f t="shared" si="73"/>
        <v>5500000</v>
      </c>
      <c r="X137" s="1097" t="s">
        <v>114</v>
      </c>
      <c r="Y137" s="463">
        <v>3</v>
      </c>
      <c r="Z137" s="1083" t="str">
        <f t="shared" si="118"/>
        <v>Generar y Liquidar Nomina ADRES</v>
      </c>
      <c r="AA137" s="443">
        <v>15524999.999999998</v>
      </c>
      <c r="AB137" s="1079">
        <v>4</v>
      </c>
      <c r="AC137" s="1077">
        <v>0</v>
      </c>
      <c r="AD137" s="1064">
        <f t="shared" si="52"/>
        <v>1.3333333333333333</v>
      </c>
      <c r="AE137" s="1064">
        <f t="shared" si="53"/>
        <v>0</v>
      </c>
      <c r="AF137" s="1064">
        <f t="shared" si="54"/>
        <v>0.33333333333333331</v>
      </c>
      <c r="AG137" s="1064">
        <f t="shared" si="55"/>
        <v>0</v>
      </c>
      <c r="AH137" s="1060" t="s">
        <v>896</v>
      </c>
      <c r="AI137" s="463">
        <v>3</v>
      </c>
      <c r="AJ137" s="1083" t="str">
        <f t="shared" si="119"/>
        <v>Generar y Liquidar Nomina ADRES</v>
      </c>
      <c r="AK137" s="443">
        <v>15524999.999999998</v>
      </c>
      <c r="AL137" s="700">
        <v>3</v>
      </c>
      <c r="AM137" s="702">
        <v>0</v>
      </c>
      <c r="AN137" s="1064">
        <f t="shared" si="56"/>
        <v>1</v>
      </c>
      <c r="AO137" s="1064">
        <f t="shared" si="57"/>
        <v>0</v>
      </c>
      <c r="AP137" s="1064">
        <f t="shared" si="58"/>
        <v>0.58333333333333337</v>
      </c>
      <c r="AQ137" s="1064">
        <f t="shared" si="59"/>
        <v>0</v>
      </c>
      <c r="AR137" s="1086"/>
      <c r="AS137" s="463">
        <v>3</v>
      </c>
      <c r="AT137" s="1083" t="str">
        <f t="shared" si="129"/>
        <v>Generar y Liquidar Nomina ADRES</v>
      </c>
      <c r="AU137" s="443">
        <v>15524999.999999998</v>
      </c>
      <c r="AV137" s="1079">
        <v>3</v>
      </c>
      <c r="AW137" s="1077">
        <v>0</v>
      </c>
      <c r="AX137" s="1064">
        <f t="shared" si="60"/>
        <v>1</v>
      </c>
      <c r="AY137" s="1064">
        <f t="shared" si="61"/>
        <v>0</v>
      </c>
      <c r="AZ137" s="1064">
        <f t="shared" si="62"/>
        <v>0.83333333333333337</v>
      </c>
      <c r="BA137" s="1064">
        <f t="shared" si="63"/>
        <v>0</v>
      </c>
      <c r="BB137" s="527" t="s">
        <v>1966</v>
      </c>
      <c r="BC137" s="463">
        <v>3</v>
      </c>
      <c r="BD137" s="1083" t="str">
        <f t="shared" si="79"/>
        <v>Generar y Liquidar Nomina ADRES</v>
      </c>
      <c r="BE137" s="528">
        <v>5500000</v>
      </c>
      <c r="BF137" s="1079">
        <v>3</v>
      </c>
      <c r="BG137" s="1077">
        <v>0</v>
      </c>
      <c r="BH137" s="1056">
        <f t="shared" si="75"/>
        <v>1</v>
      </c>
      <c r="BI137" s="1056">
        <f t="shared" si="76"/>
        <v>0</v>
      </c>
      <c r="BJ137" s="1056">
        <f t="shared" si="77"/>
        <v>1.0833333333333333</v>
      </c>
      <c r="BK137" s="1056">
        <f t="shared" si="78"/>
        <v>0</v>
      </c>
      <c r="BL137" s="1099" t="s">
        <v>2156</v>
      </c>
      <c r="BM137" s="477">
        <f t="shared" si="64"/>
        <v>1.3333333333333333</v>
      </c>
      <c r="BN137" s="477">
        <f t="shared" si="65"/>
        <v>0</v>
      </c>
      <c r="BO137" s="477">
        <f t="shared" si="66"/>
        <v>1</v>
      </c>
      <c r="BP137" s="477">
        <f t="shared" si="67"/>
        <v>0</v>
      </c>
      <c r="BQ137" s="477">
        <f t="shared" si="68"/>
        <v>1</v>
      </c>
      <c r="BR137" s="477">
        <f t="shared" si="69"/>
        <v>0</v>
      </c>
      <c r="BS137" s="477">
        <f t="shared" si="70"/>
        <v>1</v>
      </c>
      <c r="BT137" s="828">
        <f t="shared" si="71"/>
        <v>0</v>
      </c>
    </row>
    <row r="138" spans="1:72" s="1627" customFormat="1" ht="89.25" x14ac:dyDescent="0.2">
      <c r="A138" s="1092">
        <v>11700</v>
      </c>
      <c r="B138" s="1060" t="s">
        <v>29</v>
      </c>
      <c r="C138" s="1068" t="s">
        <v>1209</v>
      </c>
      <c r="D138" s="1059" t="s">
        <v>328</v>
      </c>
      <c r="E138" s="1060" t="s">
        <v>256</v>
      </c>
      <c r="F138" s="1059" t="s">
        <v>418</v>
      </c>
      <c r="G138" s="1060" t="s">
        <v>819</v>
      </c>
      <c r="H138" s="1079" t="s">
        <v>659</v>
      </c>
      <c r="I138" s="1056">
        <v>1</v>
      </c>
      <c r="J138" s="1059" t="s">
        <v>420</v>
      </c>
      <c r="K138" s="1060" t="s">
        <v>820</v>
      </c>
      <c r="L138" s="443">
        <v>0</v>
      </c>
      <c r="M138" s="444">
        <v>1</v>
      </c>
      <c r="N138" s="1060" t="s">
        <v>45</v>
      </c>
      <c r="O138" s="1060" t="s">
        <v>54</v>
      </c>
      <c r="P138" s="1060" t="s">
        <v>37</v>
      </c>
      <c r="Q138" s="1060" t="s">
        <v>38</v>
      </c>
      <c r="R138" s="1060" t="s">
        <v>218</v>
      </c>
      <c r="S138" s="1060" t="s">
        <v>822</v>
      </c>
      <c r="T138" s="1060" t="s">
        <v>104</v>
      </c>
      <c r="U138" s="1056">
        <v>1</v>
      </c>
      <c r="V138" s="1058" t="str">
        <f t="shared" si="72"/>
        <v>Consolidar, organizar y actualizar los expedientes de hojas de vida de los funcionarios de planta de la ADRES</v>
      </c>
      <c r="W138" s="445">
        <f t="shared" si="73"/>
        <v>0</v>
      </c>
      <c r="X138" s="1097" t="s">
        <v>117</v>
      </c>
      <c r="Y138" s="1056">
        <v>0.25</v>
      </c>
      <c r="Z138" s="1083" t="str">
        <f t="shared" si="118"/>
        <v>Consolidar, organizar y actualizar los expedientes de hojas de vida de los funcionarios de planta de la ADRES</v>
      </c>
      <c r="AA138" s="443">
        <v>0</v>
      </c>
      <c r="AB138" s="1082">
        <v>0.25</v>
      </c>
      <c r="AC138" s="1077">
        <v>0</v>
      </c>
      <c r="AD138" s="1064">
        <f t="shared" si="52"/>
        <v>1</v>
      </c>
      <c r="AE138" s="1064" t="e">
        <f>+(AC138/AA138)</f>
        <v>#DIV/0!</v>
      </c>
      <c r="AF138" s="1064">
        <f t="shared" si="54"/>
        <v>0.25</v>
      </c>
      <c r="AG138" s="1064" t="e">
        <f>+(AC138/W138)</f>
        <v>#DIV/0!</v>
      </c>
      <c r="AH138" s="1060" t="s">
        <v>990</v>
      </c>
      <c r="AI138" s="1056">
        <v>0.25</v>
      </c>
      <c r="AJ138" s="1083" t="str">
        <f t="shared" si="119"/>
        <v>Consolidar, organizar y actualizar los expedientes de hojas de vida de los funcionarios de planta de la ADRES</v>
      </c>
      <c r="AK138" s="443">
        <v>0</v>
      </c>
      <c r="AL138" s="701">
        <f>(45/180)</f>
        <v>0.25</v>
      </c>
      <c r="AM138" s="702">
        <v>0</v>
      </c>
      <c r="AN138" s="1064">
        <f>+(AL138/AI138)</f>
        <v>1</v>
      </c>
      <c r="AO138" s="1064" t="e">
        <f t="shared" si="57"/>
        <v>#DIV/0!</v>
      </c>
      <c r="AP138" s="1064">
        <f t="shared" si="58"/>
        <v>0.5</v>
      </c>
      <c r="AQ138" s="1064" t="e">
        <f t="shared" si="59"/>
        <v>#DIV/0!</v>
      </c>
      <c r="AR138" s="1071" t="s">
        <v>1155</v>
      </c>
      <c r="AS138" s="1056">
        <v>0.25</v>
      </c>
      <c r="AT138" s="1083" t="str">
        <f t="shared" si="129"/>
        <v>Consolidar, organizar y actualizar los expedientes de hojas de vida de los funcionarios de planta de la ADRES</v>
      </c>
      <c r="AU138" s="443">
        <v>0</v>
      </c>
      <c r="AV138" s="1082">
        <f>(30/176)</f>
        <v>0.17045454545454544</v>
      </c>
      <c r="AW138" s="1077">
        <v>0</v>
      </c>
      <c r="AX138" s="1064">
        <f t="shared" si="60"/>
        <v>0.68181818181818177</v>
      </c>
      <c r="AY138" s="1064" t="e">
        <f>+(AW138/AU138)</f>
        <v>#DIV/0!</v>
      </c>
      <c r="AZ138" s="1064">
        <f t="shared" si="62"/>
        <v>0.67045454545454541</v>
      </c>
      <c r="BA138" s="1064" t="e">
        <f t="shared" si="63"/>
        <v>#DIV/0!</v>
      </c>
      <c r="BB138" s="1055" t="s">
        <v>1967</v>
      </c>
      <c r="BC138" s="1056">
        <v>0.25</v>
      </c>
      <c r="BD138" s="1083" t="str">
        <f t="shared" si="79"/>
        <v>Consolidar, organizar y actualizar los expedientes de hojas de vida de los funcionarios de planta de la ADRES</v>
      </c>
      <c r="BE138" s="443">
        <v>0</v>
      </c>
      <c r="BF138" s="1082">
        <f>((2+0+1+2+14+15+2+11+0+12+11)/193)</f>
        <v>0.36269430051813473</v>
      </c>
      <c r="BG138" s="1077">
        <v>0</v>
      </c>
      <c r="BH138" s="1056">
        <f t="shared" si="75"/>
        <v>1.4507772020725389</v>
      </c>
      <c r="BI138" s="1056" t="e">
        <f t="shared" si="76"/>
        <v>#DIV/0!</v>
      </c>
      <c r="BJ138" s="1056">
        <f t="shared" si="77"/>
        <v>1.0331488459726801</v>
      </c>
      <c r="BK138" s="1056" t="e">
        <f t="shared" si="78"/>
        <v>#DIV/0!</v>
      </c>
      <c r="BL138" s="1099" t="s">
        <v>2157</v>
      </c>
      <c r="BM138" s="477">
        <f t="shared" si="64"/>
        <v>1</v>
      </c>
      <c r="BN138" s="477" t="str">
        <f t="shared" si="65"/>
        <v>No Prog ni Ejec</v>
      </c>
      <c r="BO138" s="477">
        <f t="shared" si="66"/>
        <v>1</v>
      </c>
      <c r="BP138" s="477" t="str">
        <f t="shared" si="67"/>
        <v>No Prog ni Ejec</v>
      </c>
      <c r="BQ138" s="477">
        <f t="shared" si="68"/>
        <v>0.68181818181818177</v>
      </c>
      <c r="BR138" s="477" t="str">
        <f t="shared" si="69"/>
        <v>No Prog ni Ejec</v>
      </c>
      <c r="BS138" s="477">
        <f t="shared" si="70"/>
        <v>1.4507772020725389</v>
      </c>
      <c r="BT138" s="828" t="str">
        <f t="shared" si="71"/>
        <v>No Prog ni Ejec</v>
      </c>
    </row>
    <row r="139" spans="1:72" s="1627" customFormat="1" ht="89.25" x14ac:dyDescent="0.2">
      <c r="A139" s="1092">
        <v>11700</v>
      </c>
      <c r="B139" s="1060" t="s">
        <v>29</v>
      </c>
      <c r="C139" s="1068" t="s">
        <v>1209</v>
      </c>
      <c r="D139" s="1059" t="s">
        <v>328</v>
      </c>
      <c r="E139" s="1060" t="s">
        <v>256</v>
      </c>
      <c r="F139" s="1059" t="s">
        <v>418</v>
      </c>
      <c r="G139" s="1060" t="s">
        <v>419</v>
      </c>
      <c r="H139" s="1079" t="s">
        <v>659</v>
      </c>
      <c r="I139" s="1056">
        <v>1</v>
      </c>
      <c r="J139" s="1059" t="s">
        <v>630</v>
      </c>
      <c r="K139" s="1060" t="s">
        <v>421</v>
      </c>
      <c r="L139" s="443">
        <v>0</v>
      </c>
      <c r="M139" s="444">
        <v>1</v>
      </c>
      <c r="N139" s="1060" t="s">
        <v>45</v>
      </c>
      <c r="O139" s="1060" t="s">
        <v>54</v>
      </c>
      <c r="P139" s="1060" t="s">
        <v>37</v>
      </c>
      <c r="Q139" s="1060" t="s">
        <v>38</v>
      </c>
      <c r="R139" s="1060" t="s">
        <v>218</v>
      </c>
      <c r="S139" s="1060" t="s">
        <v>883</v>
      </c>
      <c r="T139" s="1060" t="s">
        <v>104</v>
      </c>
      <c r="U139" s="1056">
        <v>1</v>
      </c>
      <c r="V139" s="1058" t="str">
        <f t="shared" si="72"/>
        <v>Expedición de Certificaciones de Personal</v>
      </c>
      <c r="W139" s="445">
        <f t="shared" si="73"/>
        <v>0</v>
      </c>
      <c r="X139" s="1097" t="s">
        <v>117</v>
      </c>
      <c r="Y139" s="1056">
        <v>0.25</v>
      </c>
      <c r="Z139" s="1083" t="str">
        <f t="shared" si="118"/>
        <v>Expedición de Certificaciones de Personal</v>
      </c>
      <c r="AA139" s="443">
        <v>0</v>
      </c>
      <c r="AB139" s="1082">
        <v>0.22500000000000001</v>
      </c>
      <c r="AC139" s="1077">
        <v>0</v>
      </c>
      <c r="AD139" s="1064">
        <f t="shared" si="52"/>
        <v>0.9</v>
      </c>
      <c r="AE139" s="1064" t="e">
        <f t="shared" si="53"/>
        <v>#DIV/0!</v>
      </c>
      <c r="AF139" s="1064">
        <f t="shared" si="54"/>
        <v>0.22500000000000001</v>
      </c>
      <c r="AG139" s="1064" t="e">
        <f t="shared" si="55"/>
        <v>#DIV/0!</v>
      </c>
      <c r="AH139" s="1060" t="s">
        <v>897</v>
      </c>
      <c r="AI139" s="1056">
        <v>0.25</v>
      </c>
      <c r="AJ139" s="1083" t="str">
        <f t="shared" si="119"/>
        <v>Expedición de Certificaciones de Personal</v>
      </c>
      <c r="AK139" s="443">
        <v>0</v>
      </c>
      <c r="AL139" s="701">
        <f>(107/107)*AI139</f>
        <v>0.25</v>
      </c>
      <c r="AM139" s="702">
        <v>0</v>
      </c>
      <c r="AN139" s="1064">
        <f t="shared" si="56"/>
        <v>1</v>
      </c>
      <c r="AO139" s="1064" t="e">
        <f t="shared" si="57"/>
        <v>#DIV/0!</v>
      </c>
      <c r="AP139" s="1064">
        <f t="shared" si="58"/>
        <v>0.47499999999999998</v>
      </c>
      <c r="AQ139" s="1064" t="e">
        <f t="shared" si="59"/>
        <v>#DIV/0!</v>
      </c>
      <c r="AR139" s="1071" t="s">
        <v>1054</v>
      </c>
      <c r="AS139" s="1056">
        <v>0.25</v>
      </c>
      <c r="AT139" s="1083" t="str">
        <f t="shared" si="129"/>
        <v>Expedición de Certificaciones de Personal</v>
      </c>
      <c r="AU139" s="443">
        <v>0</v>
      </c>
      <c r="AV139" s="1082">
        <f>(100/100)*0.25</f>
        <v>0.25</v>
      </c>
      <c r="AW139" s="1077">
        <v>0</v>
      </c>
      <c r="AX139" s="1064">
        <f t="shared" si="60"/>
        <v>1</v>
      </c>
      <c r="AY139" s="1064" t="e">
        <f t="shared" si="61"/>
        <v>#DIV/0!</v>
      </c>
      <c r="AZ139" s="1064">
        <f t="shared" si="62"/>
        <v>0.72499999999999998</v>
      </c>
      <c r="BA139" s="1064" t="e">
        <f t="shared" si="63"/>
        <v>#DIV/0!</v>
      </c>
      <c r="BB139" s="527"/>
      <c r="BC139" s="1056">
        <v>0.25</v>
      </c>
      <c r="BD139" s="1083" t="str">
        <f t="shared" si="79"/>
        <v>Expedición de Certificaciones de Personal</v>
      </c>
      <c r="BE139" s="443">
        <v>0</v>
      </c>
      <c r="BF139" s="1088">
        <f>(87/87)*0.25</f>
        <v>0.25</v>
      </c>
      <c r="BG139" s="1077">
        <v>0</v>
      </c>
      <c r="BH139" s="1056">
        <f t="shared" si="75"/>
        <v>1</v>
      </c>
      <c r="BI139" s="1056" t="e">
        <f t="shared" si="76"/>
        <v>#DIV/0!</v>
      </c>
      <c r="BJ139" s="1056">
        <f t="shared" si="77"/>
        <v>0.97499999999999998</v>
      </c>
      <c r="BK139" s="1056" t="e">
        <f t="shared" si="78"/>
        <v>#DIV/0!</v>
      </c>
      <c r="BL139" s="1083" t="s">
        <v>2158</v>
      </c>
      <c r="BM139" s="477">
        <f t="shared" si="64"/>
        <v>0.9</v>
      </c>
      <c r="BN139" s="477" t="str">
        <f t="shared" si="65"/>
        <v>No Prog ni Ejec</v>
      </c>
      <c r="BO139" s="477">
        <f t="shared" si="66"/>
        <v>1</v>
      </c>
      <c r="BP139" s="477" t="str">
        <f t="shared" si="67"/>
        <v>No Prog ni Ejec</v>
      </c>
      <c r="BQ139" s="477">
        <f t="shared" si="68"/>
        <v>1</v>
      </c>
      <c r="BR139" s="477" t="str">
        <f t="shared" si="69"/>
        <v>No Prog ni Ejec</v>
      </c>
      <c r="BS139" s="477">
        <f t="shared" si="70"/>
        <v>1</v>
      </c>
      <c r="BT139" s="828" t="str">
        <f t="shared" si="71"/>
        <v>No Prog ni Ejec</v>
      </c>
    </row>
    <row r="140" spans="1:72" s="1627" customFormat="1" ht="89.25" x14ac:dyDescent="0.2">
      <c r="A140" s="1092">
        <v>11700</v>
      </c>
      <c r="B140" s="1060" t="s">
        <v>29</v>
      </c>
      <c r="C140" s="1068" t="s">
        <v>1209</v>
      </c>
      <c r="D140" s="1059" t="s">
        <v>328</v>
      </c>
      <c r="E140" s="1060" t="s">
        <v>256</v>
      </c>
      <c r="F140" s="1059" t="s">
        <v>422</v>
      </c>
      <c r="G140" s="1060" t="s">
        <v>755</v>
      </c>
      <c r="H140" s="1079" t="s">
        <v>123</v>
      </c>
      <c r="I140" s="444">
        <v>1</v>
      </c>
      <c r="J140" s="1059" t="s">
        <v>423</v>
      </c>
      <c r="K140" s="1060" t="s">
        <v>756</v>
      </c>
      <c r="L140" s="443">
        <v>100000000</v>
      </c>
      <c r="M140" s="444">
        <v>1</v>
      </c>
      <c r="N140" s="1060" t="s">
        <v>48</v>
      </c>
      <c r="O140" s="1060" t="s">
        <v>68</v>
      </c>
      <c r="P140" s="1060" t="s">
        <v>37</v>
      </c>
      <c r="Q140" s="1060" t="s">
        <v>38</v>
      </c>
      <c r="R140" s="1060" t="s">
        <v>229</v>
      </c>
      <c r="S140" s="1060" t="s">
        <v>670</v>
      </c>
      <c r="T140" s="1060" t="s">
        <v>99</v>
      </c>
      <c r="U140" s="1056">
        <v>1</v>
      </c>
      <c r="V140" s="1058" t="str">
        <f t="shared" si="72"/>
        <v>Publicación Actos Administrativos Diario Oficial y diario de amplia circulación</v>
      </c>
      <c r="W140" s="445">
        <f t="shared" si="73"/>
        <v>100000000</v>
      </c>
      <c r="X140" s="1097" t="s">
        <v>114</v>
      </c>
      <c r="Y140" s="1056">
        <v>0</v>
      </c>
      <c r="Z140" s="1083" t="str">
        <f t="shared" si="118"/>
        <v>Publicación Actos Administrativos Diario Oficial y diario de amplia circulación</v>
      </c>
      <c r="AA140" s="443">
        <v>0</v>
      </c>
      <c r="AB140" s="1082">
        <f>(2/2)</f>
        <v>1</v>
      </c>
      <c r="AC140" s="443">
        <v>57600</v>
      </c>
      <c r="AD140" s="1064" t="e">
        <f t="shared" si="52"/>
        <v>#DIV/0!</v>
      </c>
      <c r="AE140" s="1064" t="e">
        <f t="shared" si="53"/>
        <v>#DIV/0!</v>
      </c>
      <c r="AF140" s="1064">
        <f t="shared" si="54"/>
        <v>1</v>
      </c>
      <c r="AG140" s="1064">
        <f>+(AC140/W140)</f>
        <v>5.7600000000000001E-4</v>
      </c>
      <c r="AH140" s="1060" t="s">
        <v>890</v>
      </c>
      <c r="AI140" s="1056">
        <v>0.5</v>
      </c>
      <c r="AJ140" s="1083" t="str">
        <f t="shared" si="119"/>
        <v>Publicación Actos Administrativos Diario Oficial y diario de amplia circulación</v>
      </c>
      <c r="AK140" s="443">
        <v>50000000</v>
      </c>
      <c r="AL140" s="701">
        <f>0%*AI140</f>
        <v>0</v>
      </c>
      <c r="AM140" s="448">
        <v>56700</v>
      </c>
      <c r="AN140" s="1064">
        <f t="shared" si="56"/>
        <v>0</v>
      </c>
      <c r="AO140" s="466">
        <f>+(AM140/AK140)</f>
        <v>1.134E-3</v>
      </c>
      <c r="AP140" s="1064">
        <f>+((AL140+AB140)/U140)*AI140</f>
        <v>0.5</v>
      </c>
      <c r="AQ140" s="1064">
        <f t="shared" si="59"/>
        <v>1.1429999999999999E-3</v>
      </c>
      <c r="AR140" s="527"/>
      <c r="AS140" s="1056">
        <v>0</v>
      </c>
      <c r="AT140" s="1083" t="str">
        <f t="shared" si="129"/>
        <v>Publicación Actos Administrativos Diario Oficial y diario de amplia circulación</v>
      </c>
      <c r="AU140" s="443">
        <v>0</v>
      </c>
      <c r="AV140" s="444">
        <f>3/3</f>
        <v>1</v>
      </c>
      <c r="AW140" s="443">
        <v>3892600</v>
      </c>
      <c r="AX140" s="1064" t="e">
        <f t="shared" si="60"/>
        <v>#DIV/0!</v>
      </c>
      <c r="AY140" s="1064" t="e">
        <f t="shared" si="61"/>
        <v>#DIV/0!</v>
      </c>
      <c r="AZ140" s="1064">
        <f t="shared" si="62"/>
        <v>2</v>
      </c>
      <c r="BA140" s="1064">
        <f t="shared" si="63"/>
        <v>4.0069E-2</v>
      </c>
      <c r="BB140" s="1070"/>
      <c r="BC140" s="1056">
        <v>0.5</v>
      </c>
      <c r="BD140" s="1083" t="str">
        <f t="shared" si="79"/>
        <v>Publicación Actos Administrativos Diario Oficial y diario de amplia circulación</v>
      </c>
      <c r="BE140" s="443">
        <v>50000000</v>
      </c>
      <c r="BF140" s="1100">
        <v>0</v>
      </c>
      <c r="BG140" s="744">
        <v>307300</v>
      </c>
      <c r="BH140" s="1056">
        <f t="shared" si="75"/>
        <v>0</v>
      </c>
      <c r="BI140" s="1056">
        <f t="shared" si="76"/>
        <v>6.1460000000000004E-3</v>
      </c>
      <c r="BJ140" s="1056">
        <f t="shared" si="77"/>
        <v>2</v>
      </c>
      <c r="BK140" s="1056">
        <f t="shared" si="78"/>
        <v>4.3142E-2</v>
      </c>
      <c r="BL140" s="1048" t="s">
        <v>2268</v>
      </c>
      <c r="BM140" s="477" t="str">
        <f t="shared" si="64"/>
        <v>No Prog, Ejec=  1</v>
      </c>
      <c r="BN140" s="477" t="str">
        <f>IF(AND(AA140=0,AC140=0),"No Prog ni Ejec",IF(AA140=0,CONCATENATE("No Prog, Ejec=  ",AC140),AC140/AA140))</f>
        <v>No Prog, Ejec=  57600</v>
      </c>
      <c r="BO140" s="477">
        <f t="shared" si="66"/>
        <v>0</v>
      </c>
      <c r="BP140" s="477">
        <f t="shared" si="67"/>
        <v>1.134E-3</v>
      </c>
      <c r="BQ140" s="477" t="str">
        <f t="shared" si="68"/>
        <v>No Prog, Ejec=  1</v>
      </c>
      <c r="BR140" s="477" t="str">
        <f t="shared" si="69"/>
        <v>No Prog, Ejec=  3892600</v>
      </c>
      <c r="BS140" s="477">
        <f t="shared" si="70"/>
        <v>0</v>
      </c>
      <c r="BT140" s="828">
        <f t="shared" si="71"/>
        <v>6.1460000000000004E-3</v>
      </c>
    </row>
    <row r="141" spans="1:72" s="1627" customFormat="1" ht="89.25" x14ac:dyDescent="0.2">
      <c r="A141" s="1092">
        <v>11700</v>
      </c>
      <c r="B141" s="1060" t="s">
        <v>29</v>
      </c>
      <c r="C141" s="1068" t="s">
        <v>1209</v>
      </c>
      <c r="D141" s="1059" t="s">
        <v>328</v>
      </c>
      <c r="E141" s="1060" t="s">
        <v>256</v>
      </c>
      <c r="F141" s="1059" t="s">
        <v>425</v>
      </c>
      <c r="G141" s="1060" t="s">
        <v>426</v>
      </c>
      <c r="H141" s="1079" t="s">
        <v>123</v>
      </c>
      <c r="I141" s="1056">
        <v>1</v>
      </c>
      <c r="J141" s="1059" t="s">
        <v>427</v>
      </c>
      <c r="K141" s="1060" t="s">
        <v>428</v>
      </c>
      <c r="L141" s="443">
        <f>4583312678.87+6916280+129160274+632991+100000000-22000000+5779619</f>
        <v>4803801842.8699999</v>
      </c>
      <c r="M141" s="444">
        <v>1</v>
      </c>
      <c r="N141" s="1060" t="s">
        <v>51</v>
      </c>
      <c r="O141" s="1060" t="s">
        <v>56</v>
      </c>
      <c r="P141" s="1060" t="s">
        <v>37</v>
      </c>
      <c r="Q141" s="1060" t="s">
        <v>41</v>
      </c>
      <c r="R141" s="1060" t="s">
        <v>222</v>
      </c>
      <c r="S141" s="1060" t="s">
        <v>379</v>
      </c>
      <c r="T141" s="1060" t="s">
        <v>99</v>
      </c>
      <c r="U141" s="444">
        <v>1</v>
      </c>
      <c r="V141" s="1058" t="str">
        <f t="shared" si="72"/>
        <v>Funcionamiento continuo de las instalaciones de la ADRES</v>
      </c>
      <c r="W141" s="445">
        <f t="shared" si="73"/>
        <v>4803801842.8699999</v>
      </c>
      <c r="X141" s="1097" t="s">
        <v>114</v>
      </c>
      <c r="Y141" s="1056">
        <f>+AA141/W141</f>
        <v>0.20067531437226432</v>
      </c>
      <c r="Z141" s="1083" t="str">
        <f t="shared" si="118"/>
        <v>Funcionamiento continuo de las instalaciones de la ADRES</v>
      </c>
      <c r="AA141" s="443">
        <v>964004445</v>
      </c>
      <c r="AB141" s="487">
        <f>(AC141/AA141)*20%</f>
        <v>0.18953582791830384</v>
      </c>
      <c r="AC141" s="443">
        <v>913566903</v>
      </c>
      <c r="AD141" s="1064">
        <f t="shared" si="52"/>
        <v>0.9444900012300661</v>
      </c>
      <c r="AE141" s="1064">
        <f t="shared" si="53"/>
        <v>0.94767913959151917</v>
      </c>
      <c r="AF141" s="1064">
        <f t="shared" si="54"/>
        <v>0.18953582791830384</v>
      </c>
      <c r="AG141" s="1064">
        <f t="shared" si="55"/>
        <v>0.1901758092615651</v>
      </c>
      <c r="AH141" s="1060" t="s">
        <v>769</v>
      </c>
      <c r="AI141" s="1056">
        <f>+AK141/W141</f>
        <v>0.20067531437226432</v>
      </c>
      <c r="AJ141" s="1083" t="str">
        <f t="shared" si="119"/>
        <v>Funcionamiento continuo de las instalaciones de la ADRES</v>
      </c>
      <c r="AK141" s="443">
        <v>964004445</v>
      </c>
      <c r="AL141" s="476">
        <f>+(AM141/AK141)*AI141</f>
        <v>0.21156725312857658</v>
      </c>
      <c r="AM141" s="475">
        <v>1016327160.47</v>
      </c>
      <c r="AN141" s="1064">
        <f t="shared" si="56"/>
        <v>1.0542764255303823</v>
      </c>
      <c r="AO141" s="1064">
        <f t="shared" si="57"/>
        <v>1.0542764255303823</v>
      </c>
      <c r="AP141" s="1064">
        <f t="shared" si="58"/>
        <v>0.40110308104688042</v>
      </c>
      <c r="AQ141" s="1064">
        <f t="shared" si="59"/>
        <v>0.40174306239014168</v>
      </c>
      <c r="AR141" s="527"/>
      <c r="AS141" s="1056">
        <v>0.29932468559999997</v>
      </c>
      <c r="AT141" s="1083" t="str">
        <f t="shared" si="129"/>
        <v>Funcionamiento continuo de las instalaciones de la ADRES</v>
      </c>
      <c r="AU141" s="443">
        <v>1437896476.3017633</v>
      </c>
      <c r="AV141" s="444">
        <f>+AW141/W141</f>
        <v>0.20689261162492462</v>
      </c>
      <c r="AW141" s="443">
        <v>993871109</v>
      </c>
      <c r="AX141" s="1064">
        <f t="shared" si="60"/>
        <v>0.69119795853190613</v>
      </c>
      <c r="AY141" s="1064">
        <f t="shared" si="61"/>
        <v>0.69119795853190602</v>
      </c>
      <c r="AZ141" s="1064">
        <f t="shared" si="62"/>
        <v>0.60799569267180509</v>
      </c>
      <c r="BA141" s="1064">
        <f t="shared" si="63"/>
        <v>0.60863567401506635</v>
      </c>
      <c r="BB141" s="527"/>
      <c r="BC141" s="1056">
        <v>0.29932468559999997</v>
      </c>
      <c r="BD141" s="1083" t="str">
        <f t="shared" si="79"/>
        <v>Funcionamiento continuo de las instalaciones de la ADRES</v>
      </c>
      <c r="BE141" s="443">
        <f>1437896476.30176</f>
        <v>1437896476.30176</v>
      </c>
      <c r="BF141" s="1088">
        <f>BG141/W141</f>
        <v>0.28032474917313988</v>
      </c>
      <c r="BG141" s="1077">
        <v>1346624546.6799998</v>
      </c>
      <c r="BH141" s="1056">
        <f t="shared" si="75"/>
        <v>0.93652399103410233</v>
      </c>
      <c r="BI141" s="1056">
        <f t="shared" si="76"/>
        <v>0.93652399103410444</v>
      </c>
      <c r="BJ141" s="1056">
        <f t="shared" si="77"/>
        <v>0.88832044184494496</v>
      </c>
      <c r="BK141" s="1056">
        <f t="shared" si="78"/>
        <v>0.88896042318820623</v>
      </c>
      <c r="BL141" s="1083"/>
      <c r="BM141" s="477">
        <f t="shared" si="64"/>
        <v>0.9444900012300661</v>
      </c>
      <c r="BN141" s="477">
        <f t="shared" si="65"/>
        <v>0.94767913959151917</v>
      </c>
      <c r="BO141" s="477">
        <f t="shared" si="66"/>
        <v>1.0542764255303823</v>
      </c>
      <c r="BP141" s="477">
        <f t="shared" si="67"/>
        <v>1.0542764255303823</v>
      </c>
      <c r="BQ141" s="477">
        <f t="shared" si="68"/>
        <v>0.69119795853190613</v>
      </c>
      <c r="BR141" s="477">
        <f t="shared" si="69"/>
        <v>0.69119795853190602</v>
      </c>
      <c r="BS141" s="477">
        <f t="shared" si="70"/>
        <v>0.93652399103410233</v>
      </c>
      <c r="BT141" s="828">
        <f t="shared" si="71"/>
        <v>0.93652399103410444</v>
      </c>
    </row>
    <row r="142" spans="1:72" s="1627" customFormat="1" ht="89.25" x14ac:dyDescent="0.2">
      <c r="A142" s="1092">
        <v>11700</v>
      </c>
      <c r="B142" s="1060" t="s">
        <v>29</v>
      </c>
      <c r="C142" s="1068" t="s">
        <v>1209</v>
      </c>
      <c r="D142" s="1059" t="s">
        <v>328</v>
      </c>
      <c r="E142" s="1060" t="s">
        <v>256</v>
      </c>
      <c r="F142" s="1059" t="s">
        <v>429</v>
      </c>
      <c r="G142" s="1060" t="s">
        <v>430</v>
      </c>
      <c r="H142" s="1079" t="s">
        <v>123</v>
      </c>
      <c r="I142" s="1056">
        <v>1</v>
      </c>
      <c r="J142" s="1059" t="s">
        <v>457</v>
      </c>
      <c r="K142" s="1060" t="s">
        <v>761</v>
      </c>
      <c r="L142" s="443">
        <f>570000000+2926175+100000000</f>
        <v>672926175</v>
      </c>
      <c r="M142" s="444">
        <v>1</v>
      </c>
      <c r="N142" s="1060" t="s">
        <v>51</v>
      </c>
      <c r="O142" s="1060" t="s">
        <v>56</v>
      </c>
      <c r="P142" s="1060" t="s">
        <v>37</v>
      </c>
      <c r="Q142" s="1060" t="s">
        <v>41</v>
      </c>
      <c r="R142" s="1060" t="s">
        <v>222</v>
      </c>
      <c r="S142" s="1060" t="s">
        <v>379</v>
      </c>
      <c r="T142" s="1060" t="s">
        <v>99</v>
      </c>
      <c r="U142" s="1056">
        <v>1</v>
      </c>
      <c r="V142" s="1058" t="str">
        <f t="shared" si="72"/>
        <v xml:space="preserve">Suministro de Tiquetes Aéreos y Viáticos </v>
      </c>
      <c r="W142" s="445">
        <f t="shared" si="73"/>
        <v>672926175</v>
      </c>
      <c r="X142" s="1097" t="s">
        <v>114</v>
      </c>
      <c r="Y142" s="1056">
        <v>0.25</v>
      </c>
      <c r="Z142" s="1083" t="str">
        <f t="shared" si="118"/>
        <v xml:space="preserve">Suministro de Tiquetes Aéreos y Viáticos </v>
      </c>
      <c r="AA142" s="443">
        <f>+Y142*W142</f>
        <v>168231543.75</v>
      </c>
      <c r="AB142" s="1082">
        <f>(AC142/AA142)*25%</f>
        <v>2.8526488808374856E-2</v>
      </c>
      <c r="AC142" s="443">
        <v>19196221</v>
      </c>
      <c r="AD142" s="1064">
        <f t="shared" si="52"/>
        <v>0.11410595523349942</v>
      </c>
      <c r="AE142" s="1064">
        <f t="shared" si="53"/>
        <v>0.11410595523349942</v>
      </c>
      <c r="AF142" s="1064">
        <f t="shared" si="54"/>
        <v>2.8526488808374856E-2</v>
      </c>
      <c r="AG142" s="1064">
        <f t="shared" si="55"/>
        <v>2.8526488808374856E-2</v>
      </c>
      <c r="AH142" s="1060" t="s">
        <v>991</v>
      </c>
      <c r="AI142" s="1056">
        <v>0.25</v>
      </c>
      <c r="AJ142" s="1083" t="str">
        <f t="shared" si="119"/>
        <v xml:space="preserve">Suministro de Tiquetes Aéreos y Viáticos </v>
      </c>
      <c r="AK142" s="443">
        <f>+AI142*W142</f>
        <v>168231543.75</v>
      </c>
      <c r="AL142" s="447">
        <f>+(AM142/AK142)*AI142</f>
        <v>6.3398401763759604E-2</v>
      </c>
      <c r="AM142" s="1628">
        <v>42662444</v>
      </c>
      <c r="AN142" s="1064">
        <f t="shared" si="56"/>
        <v>0.25359360705503842</v>
      </c>
      <c r="AO142" s="1064">
        <f t="shared" si="57"/>
        <v>0.25359360705503842</v>
      </c>
      <c r="AP142" s="1064">
        <f t="shared" si="58"/>
        <v>9.192489057213446E-2</v>
      </c>
      <c r="AQ142" s="1064">
        <f t="shared" si="59"/>
        <v>9.192489057213446E-2</v>
      </c>
      <c r="AR142" s="527"/>
      <c r="AS142" s="1056">
        <v>0.25</v>
      </c>
      <c r="AT142" s="1083" t="str">
        <f t="shared" si="129"/>
        <v xml:space="preserve">Suministro de Tiquetes Aéreos y Viáticos </v>
      </c>
      <c r="AU142" s="443">
        <f>+AS142*W142</f>
        <v>168231543.75</v>
      </c>
      <c r="AV142" s="444">
        <f>+AW142/W142</f>
        <v>5.3514000997211916E-2</v>
      </c>
      <c r="AW142" s="443">
        <v>36010972</v>
      </c>
      <c r="AX142" s="1064">
        <f t="shared" si="60"/>
        <v>0.21405600398884767</v>
      </c>
      <c r="AY142" s="1064">
        <f t="shared" si="61"/>
        <v>0.21405600398884767</v>
      </c>
      <c r="AZ142" s="1064">
        <f t="shared" si="62"/>
        <v>0.14543889156934636</v>
      </c>
      <c r="BA142" s="1064">
        <f t="shared" si="63"/>
        <v>0.14543889156934636</v>
      </c>
      <c r="BB142" s="527"/>
      <c r="BC142" s="1056">
        <v>0.25</v>
      </c>
      <c r="BD142" s="1083" t="str">
        <f t="shared" si="79"/>
        <v xml:space="preserve">Suministro de Tiquetes Aéreos y Viáticos </v>
      </c>
      <c r="BE142" s="443">
        <f>+BC142*W142</f>
        <v>168231543.75</v>
      </c>
      <c r="BF142" s="1088">
        <f>BG142/W142</f>
        <v>6.3772332826851325E-2</v>
      </c>
      <c r="BG142" s="1077">
        <v>42914072</v>
      </c>
      <c r="BH142" s="1056">
        <f t="shared" si="75"/>
        <v>0.2550893313074053</v>
      </c>
      <c r="BI142" s="1056">
        <f t="shared" si="76"/>
        <v>0.2550893313074053</v>
      </c>
      <c r="BJ142" s="1056">
        <f t="shared" si="77"/>
        <v>0.20921122439619769</v>
      </c>
      <c r="BK142" s="1056">
        <f t="shared" si="78"/>
        <v>0.20921122439619769</v>
      </c>
      <c r="BL142" s="1083"/>
      <c r="BM142" s="477">
        <f t="shared" si="64"/>
        <v>0.11410595523349942</v>
      </c>
      <c r="BN142" s="477">
        <f t="shared" si="65"/>
        <v>0.11410595523349942</v>
      </c>
      <c r="BO142" s="477">
        <f t="shared" si="66"/>
        <v>0.25359360705503842</v>
      </c>
      <c r="BP142" s="477">
        <f t="shared" si="67"/>
        <v>0.25359360705503842</v>
      </c>
      <c r="BQ142" s="477">
        <f t="shared" si="68"/>
        <v>0.21405600398884767</v>
      </c>
      <c r="BR142" s="477">
        <f t="shared" si="69"/>
        <v>0.21405600398884767</v>
      </c>
      <c r="BS142" s="477">
        <f t="shared" si="70"/>
        <v>0.2550893313074053</v>
      </c>
      <c r="BT142" s="828">
        <f t="shared" si="71"/>
        <v>0.2550893313074053</v>
      </c>
    </row>
    <row r="143" spans="1:72" s="1627" customFormat="1" ht="89.25" x14ac:dyDescent="0.2">
      <c r="A143" s="1092">
        <v>11700</v>
      </c>
      <c r="B143" s="1060" t="s">
        <v>29</v>
      </c>
      <c r="C143" s="1068" t="s">
        <v>1209</v>
      </c>
      <c r="D143" s="1059" t="s">
        <v>328</v>
      </c>
      <c r="E143" s="1060" t="s">
        <v>256</v>
      </c>
      <c r="F143" s="1059" t="s">
        <v>431</v>
      </c>
      <c r="G143" s="1060" t="s">
        <v>433</v>
      </c>
      <c r="H143" s="1079" t="s">
        <v>123</v>
      </c>
      <c r="I143" s="444">
        <v>1</v>
      </c>
      <c r="J143" s="1059" t="s">
        <v>432</v>
      </c>
      <c r="K143" s="1060" t="s">
        <v>434</v>
      </c>
      <c r="L143" s="443">
        <v>1170191442</v>
      </c>
      <c r="M143" s="444">
        <v>1</v>
      </c>
      <c r="N143" s="1060" t="s">
        <v>46</v>
      </c>
      <c r="O143" s="1060" t="s">
        <v>59</v>
      </c>
      <c r="P143" s="1060" t="s">
        <v>37</v>
      </c>
      <c r="Q143" s="1060" t="s">
        <v>40</v>
      </c>
      <c r="R143" s="1060" t="s">
        <v>221</v>
      </c>
      <c r="S143" s="1060" t="s">
        <v>643</v>
      </c>
      <c r="T143" s="1060" t="s">
        <v>99</v>
      </c>
      <c r="U143" s="1056">
        <v>1</v>
      </c>
      <c r="V143" s="1058" t="str">
        <f t="shared" si="72"/>
        <v xml:space="preserve">Garantizar la gestión de correspondencia de la entidad </v>
      </c>
      <c r="W143" s="445">
        <f t="shared" si="73"/>
        <v>1170191442</v>
      </c>
      <c r="X143" s="1097" t="s">
        <v>114</v>
      </c>
      <c r="Y143" s="1056">
        <v>0.25</v>
      </c>
      <c r="Z143" s="1083" t="str">
        <f t="shared" si="118"/>
        <v xml:space="preserve">Garantizar la gestión de correspondencia de la entidad </v>
      </c>
      <c r="AA143" s="443">
        <v>292547860.5</v>
      </c>
      <c r="AB143" s="1082">
        <f>+(34234/34234)*Y143</f>
        <v>0.25</v>
      </c>
      <c r="AC143" s="443">
        <v>128654910</v>
      </c>
      <c r="AD143" s="1064">
        <f t="shared" si="52"/>
        <v>1</v>
      </c>
      <c r="AE143" s="1064">
        <f t="shared" si="53"/>
        <v>0.43977388786953714</v>
      </c>
      <c r="AF143" s="1064">
        <f t="shared" si="54"/>
        <v>0.25</v>
      </c>
      <c r="AG143" s="1064">
        <f t="shared" si="55"/>
        <v>0.10994347196738428</v>
      </c>
      <c r="AH143" s="1060"/>
      <c r="AI143" s="1056">
        <v>0.25</v>
      </c>
      <c r="AJ143" s="1083" t="str">
        <f t="shared" si="119"/>
        <v xml:space="preserve">Garantizar la gestión de correspondencia de la entidad </v>
      </c>
      <c r="AK143" s="443">
        <v>292547860.5</v>
      </c>
      <c r="AL143" s="701">
        <f>(42663/42663)*AI143</f>
        <v>0.25</v>
      </c>
      <c r="AM143" s="448">
        <v>140905092</v>
      </c>
      <c r="AN143" s="1064">
        <f t="shared" si="56"/>
        <v>1</v>
      </c>
      <c r="AO143" s="1064">
        <f t="shared" si="57"/>
        <v>0.48164800029361349</v>
      </c>
      <c r="AP143" s="1064">
        <f t="shared" si="58"/>
        <v>0.5</v>
      </c>
      <c r="AQ143" s="1064">
        <f t="shared" si="59"/>
        <v>0.23035547204078766</v>
      </c>
      <c r="AR143" s="527"/>
      <c r="AS143" s="1056">
        <v>0.25</v>
      </c>
      <c r="AT143" s="1083" t="str">
        <f t="shared" si="129"/>
        <v xml:space="preserve">Garantizar la gestión de correspondencia de la entidad </v>
      </c>
      <c r="AU143" s="443">
        <v>292547860.5</v>
      </c>
      <c r="AV143" s="447">
        <f>(43094/43094)*AS143</f>
        <v>0.25</v>
      </c>
      <c r="AW143" s="1629">
        <v>124980538</v>
      </c>
      <c r="AX143" s="1064">
        <f t="shared" si="60"/>
        <v>1</v>
      </c>
      <c r="AY143" s="1064">
        <f t="shared" si="61"/>
        <v>0.42721398743574129</v>
      </c>
      <c r="AZ143" s="1064">
        <f t="shared" si="62"/>
        <v>0.75</v>
      </c>
      <c r="BA143" s="1064">
        <f t="shared" si="63"/>
        <v>0.33715896889972297</v>
      </c>
      <c r="BB143" s="527"/>
      <c r="BC143" s="1056">
        <v>0.25</v>
      </c>
      <c r="BD143" s="1083" t="str">
        <f t="shared" si="79"/>
        <v xml:space="preserve">Garantizar la gestión de correspondencia de la entidad </v>
      </c>
      <c r="BE143" s="443">
        <v>292547860.5</v>
      </c>
      <c r="BF143" s="1088">
        <f>(43497/43497)*BC143</f>
        <v>0.25</v>
      </c>
      <c r="BG143" s="1077">
        <v>363489131</v>
      </c>
      <c r="BH143" s="1056">
        <f t="shared" si="75"/>
        <v>1</v>
      </c>
      <c r="BI143" s="1056">
        <f t="shared" si="76"/>
        <v>1.2424945797885949</v>
      </c>
      <c r="BJ143" s="1056">
        <f t="shared" si="77"/>
        <v>1</v>
      </c>
      <c r="BK143" s="1056">
        <f t="shared" si="78"/>
        <v>0.64778261384687175</v>
      </c>
      <c r="BL143" s="1083"/>
      <c r="BM143" s="477">
        <f t="shared" si="64"/>
        <v>1</v>
      </c>
      <c r="BN143" s="477">
        <f t="shared" si="65"/>
        <v>0.43977388786953714</v>
      </c>
      <c r="BO143" s="477">
        <f t="shared" si="66"/>
        <v>1</v>
      </c>
      <c r="BP143" s="477">
        <f t="shared" si="67"/>
        <v>0.48164800029361349</v>
      </c>
      <c r="BQ143" s="477">
        <f t="shared" si="68"/>
        <v>1</v>
      </c>
      <c r="BR143" s="477">
        <f t="shared" si="69"/>
        <v>0.42721398743574129</v>
      </c>
      <c r="BS143" s="477">
        <f t="shared" si="70"/>
        <v>1</v>
      </c>
      <c r="BT143" s="828">
        <f t="shared" si="71"/>
        <v>1.2424945797885949</v>
      </c>
    </row>
    <row r="144" spans="1:72" s="1627" customFormat="1" ht="93" customHeight="1" x14ac:dyDescent="0.2">
      <c r="A144" s="1255">
        <v>11700</v>
      </c>
      <c r="B144" s="1151" t="s">
        <v>29</v>
      </c>
      <c r="C144" s="1068" t="s">
        <v>1209</v>
      </c>
      <c r="D144" s="1156" t="s">
        <v>328</v>
      </c>
      <c r="E144" s="1151" t="s">
        <v>256</v>
      </c>
      <c r="F144" s="1156" t="s">
        <v>644</v>
      </c>
      <c r="G144" s="1151" t="s">
        <v>652</v>
      </c>
      <c r="H144" s="1156" t="s">
        <v>123</v>
      </c>
      <c r="I144" s="1153">
        <v>1</v>
      </c>
      <c r="J144" s="1156" t="s">
        <v>645</v>
      </c>
      <c r="K144" s="1151" t="s">
        <v>653</v>
      </c>
      <c r="L144" s="1165">
        <f>538238487.5+18015000</f>
        <v>556253487.5</v>
      </c>
      <c r="M144" s="1153">
        <v>1</v>
      </c>
      <c r="N144" s="1151" t="s">
        <v>46</v>
      </c>
      <c r="O144" s="1151" t="s">
        <v>59</v>
      </c>
      <c r="P144" s="1151" t="s">
        <v>37</v>
      </c>
      <c r="Q144" s="1151" t="s">
        <v>40</v>
      </c>
      <c r="R144" s="1151" t="s">
        <v>220</v>
      </c>
      <c r="S144" s="822" t="s">
        <v>879</v>
      </c>
      <c r="T144" s="1151" t="s">
        <v>101</v>
      </c>
      <c r="U144" s="1056">
        <v>0.95</v>
      </c>
      <c r="V144" s="1154" t="str">
        <f t="shared" si="72"/>
        <v>Garantizar la gestión de Servicio al ciudadano de la entidad  por los diferentes canales  de atención.</v>
      </c>
      <c r="W144" s="1155">
        <f t="shared" si="73"/>
        <v>556253487.5</v>
      </c>
      <c r="X144" s="1156" t="s">
        <v>114</v>
      </c>
      <c r="Y144" s="472">
        <v>0.23749999999999999</v>
      </c>
      <c r="Z144" s="1148" t="str">
        <f t="shared" si="118"/>
        <v>Garantizar la gestión de Servicio al ciudadano de la entidad  por los diferentes canales  de atención.</v>
      </c>
      <c r="AA144" s="1152">
        <v>134559621.875</v>
      </c>
      <c r="AB144" s="1082">
        <f>(12070/14371)*0.2375</f>
        <v>0.19947289680606778</v>
      </c>
      <c r="AC144" s="1152">
        <v>137724460</v>
      </c>
      <c r="AD144" s="1064">
        <f t="shared" si="52"/>
        <v>0.83988588128870645</v>
      </c>
      <c r="AE144" s="1157">
        <f t="shared" si="53"/>
        <v>1.023519968924556</v>
      </c>
      <c r="AF144" s="1064">
        <f>+(AB144/U144)</f>
        <v>0.20997147032217661</v>
      </c>
      <c r="AG144" s="1157">
        <f t="shared" si="55"/>
        <v>0.24759298250691866</v>
      </c>
      <c r="AH144" s="1060" t="s">
        <v>2311</v>
      </c>
      <c r="AI144" s="472">
        <v>0.23749999999999999</v>
      </c>
      <c r="AJ144" s="1148" t="str">
        <f t="shared" si="119"/>
        <v>Garantizar la gestión de Servicio al ciudadano de la entidad  por los diferentes canales  de atención.</v>
      </c>
      <c r="AK144" s="1152">
        <v>134559621.875</v>
      </c>
      <c r="AL144" s="487">
        <f>((4393+5158+3789)/(4875+5984+4181))*0.2375</f>
        <v>0.21065492021276597</v>
      </c>
      <c r="AM144" s="1219">
        <v>140352908</v>
      </c>
      <c r="AN144" s="1064">
        <f t="shared" si="56"/>
        <v>0.88696808510638303</v>
      </c>
      <c r="AO144" s="1157">
        <f t="shared" si="57"/>
        <v>1.0430536742320939</v>
      </c>
      <c r="AP144" s="1064">
        <f>+(AL144+AB144)/U144</f>
        <v>0.43171349159877237</v>
      </c>
      <c r="AQ144" s="1157">
        <f t="shared" si="59"/>
        <v>0.49991123516326719</v>
      </c>
      <c r="AR144" s="527"/>
      <c r="AS144" s="472">
        <v>0.23749999999999999</v>
      </c>
      <c r="AT144" s="1148" t="str">
        <f t="shared" ref="AT144:AT179" si="130">+V144</f>
        <v>Garantizar la gestión de Servicio al ciudadano de la entidad  por los diferentes canales  de atención.</v>
      </c>
      <c r="AU144" s="1152">
        <v>134559621.875</v>
      </c>
      <c r="AV144" s="476">
        <f>((4590+5544+5399)/(4898+5928+5806))*0.2375</f>
        <v>0.22180660774410774</v>
      </c>
      <c r="AW144" s="1230">
        <v>140349314</v>
      </c>
      <c r="AX144" s="1064">
        <f t="shared" si="60"/>
        <v>0.93392255892255893</v>
      </c>
      <c r="AY144" s="1157">
        <f t="shared" si="61"/>
        <v>1.0430269648823653</v>
      </c>
      <c r="AZ144" s="1064">
        <f t="shared" si="62"/>
        <v>0.66519413132941208</v>
      </c>
      <c r="BA144" s="1157">
        <f t="shared" si="63"/>
        <v>0.75222302673652897</v>
      </c>
      <c r="BB144" s="1068" t="s">
        <v>1924</v>
      </c>
      <c r="BC144" s="472">
        <v>0.23749999999999999</v>
      </c>
      <c r="BD144" s="1148" t="str">
        <f t="shared" si="79"/>
        <v>Garantizar la gestión de Servicio al ciudadano de la entidad  por los diferentes canales  de atención.</v>
      </c>
      <c r="BE144" s="1165">
        <f>134559621.875+18015000</f>
        <v>152574621.875</v>
      </c>
      <c r="BF144" s="1088">
        <f>((5348+4409+3691)/(5629+4483+3723))*0.2375</f>
        <v>0.23085652331044451</v>
      </c>
      <c r="BG144" s="1152">
        <v>135700331</v>
      </c>
      <c r="BH144" s="1056">
        <f t="shared" si="75"/>
        <v>0.97202746657029271</v>
      </c>
      <c r="BI144" s="1148">
        <f t="shared" si="76"/>
        <v>0.88940303002143684</v>
      </c>
      <c r="BJ144" s="1056">
        <f t="shared" si="77"/>
        <v>0.90820099797198528</v>
      </c>
      <c r="BK144" s="1148">
        <f t="shared" si="78"/>
        <v>0.9961771484623726</v>
      </c>
      <c r="BL144" s="1134" t="s">
        <v>2185</v>
      </c>
      <c r="BM144" s="477">
        <f t="shared" si="64"/>
        <v>0.83988588128870645</v>
      </c>
      <c r="BN144" s="1276">
        <f t="shared" si="65"/>
        <v>1.023519968924556</v>
      </c>
      <c r="BO144" s="477">
        <f t="shared" si="66"/>
        <v>0.88696808510638303</v>
      </c>
      <c r="BP144" s="1276">
        <f t="shared" si="67"/>
        <v>1.0430536742320939</v>
      </c>
      <c r="BQ144" s="477">
        <f t="shared" si="68"/>
        <v>0.93392255892255893</v>
      </c>
      <c r="BR144" s="1276">
        <f t="shared" si="69"/>
        <v>1.0430269648823653</v>
      </c>
      <c r="BS144" s="477">
        <f t="shared" si="70"/>
        <v>0.97202746657029271</v>
      </c>
      <c r="BT144" s="1278">
        <f t="shared" si="71"/>
        <v>0.88940303002143684</v>
      </c>
    </row>
    <row r="145" spans="1:72 16317:16317" s="1627" customFormat="1" ht="86.25" customHeight="1" x14ac:dyDescent="0.2">
      <c r="A145" s="1255"/>
      <c r="B145" s="1151"/>
      <c r="C145" s="1068" t="s">
        <v>1209</v>
      </c>
      <c r="D145" s="1156"/>
      <c r="E145" s="1151"/>
      <c r="F145" s="1156"/>
      <c r="G145" s="1151"/>
      <c r="H145" s="1156"/>
      <c r="I145" s="1153"/>
      <c r="J145" s="1156"/>
      <c r="K145" s="1151"/>
      <c r="L145" s="1152"/>
      <c r="M145" s="1153"/>
      <c r="N145" s="1151"/>
      <c r="O145" s="1151"/>
      <c r="P145" s="1151"/>
      <c r="Q145" s="1151"/>
      <c r="R145" s="1151"/>
      <c r="S145" s="1060" t="s">
        <v>1339</v>
      </c>
      <c r="T145" s="1151"/>
      <c r="U145" s="1056">
        <v>1</v>
      </c>
      <c r="V145" s="1154"/>
      <c r="W145" s="1155"/>
      <c r="X145" s="1156"/>
      <c r="Y145" s="1056">
        <v>0</v>
      </c>
      <c r="Z145" s="1148"/>
      <c r="AA145" s="1152"/>
      <c r="AB145" s="1082">
        <v>0</v>
      </c>
      <c r="AC145" s="1152"/>
      <c r="AD145" s="1064" t="e">
        <f>+(AB145/Y145)</f>
        <v>#DIV/0!</v>
      </c>
      <c r="AE145" s="1157"/>
      <c r="AF145" s="1064">
        <f>+(AB145/U145)</f>
        <v>0</v>
      </c>
      <c r="AG145" s="1157"/>
      <c r="AH145" s="1083" t="s">
        <v>792</v>
      </c>
      <c r="AI145" s="472">
        <v>0.33329999999999999</v>
      </c>
      <c r="AJ145" s="1148"/>
      <c r="AK145" s="1152"/>
      <c r="AL145" s="1082">
        <f>1398/1398*0.3333</f>
        <v>0.33329999999999999</v>
      </c>
      <c r="AM145" s="1219"/>
      <c r="AN145" s="1064">
        <f>+(AL145/AI145)</f>
        <v>1</v>
      </c>
      <c r="AO145" s="1157"/>
      <c r="AP145" s="1064">
        <f>+(AL145+AB145)/U145</f>
        <v>0.33329999999999999</v>
      </c>
      <c r="AQ145" s="1157"/>
      <c r="AR145" s="527" t="s">
        <v>2312</v>
      </c>
      <c r="AS145" s="472">
        <v>0.33329999999999999</v>
      </c>
      <c r="AT145" s="1148"/>
      <c r="AU145" s="1152"/>
      <c r="AV145" s="946">
        <f>2002/2002*0.3333</f>
        <v>0.33329999999999999</v>
      </c>
      <c r="AW145" s="1231"/>
      <c r="AX145" s="1064">
        <f t="shared" si="60"/>
        <v>1</v>
      </c>
      <c r="AY145" s="1157"/>
      <c r="AZ145" s="1064">
        <f t="shared" si="62"/>
        <v>0.66659999999999997</v>
      </c>
      <c r="BA145" s="1157"/>
      <c r="BB145" s="1068" t="s">
        <v>2312</v>
      </c>
      <c r="BC145" s="472">
        <v>0.33329999999999999</v>
      </c>
      <c r="BD145" s="1148"/>
      <c r="BE145" s="1152"/>
      <c r="BF145" s="1088">
        <f>+((744+701+551)/(744+701+551))*BC145</f>
        <v>0.33329999999999999</v>
      </c>
      <c r="BG145" s="1152"/>
      <c r="BH145" s="1056">
        <f t="shared" si="75"/>
        <v>1</v>
      </c>
      <c r="BI145" s="1148"/>
      <c r="BJ145" s="1056">
        <f t="shared" si="77"/>
        <v>0.99990000000000001</v>
      </c>
      <c r="BK145" s="1148"/>
      <c r="BL145" s="1135"/>
      <c r="BM145" s="477" t="str">
        <f>IF(AND(Y145=0,AB145=0),"No Prog ni Ejec",IF(Y145=0,CONCATENATE("No Prog, Ejec=  ",AB145),AB145/Y145))</f>
        <v>No Prog ni Ejec</v>
      </c>
      <c r="BN145" s="1277"/>
      <c r="BO145" s="477">
        <f>IF(AND(AI145=0,AL145=0),"No Prog ni Ejec",IF(AI145=0,CONCATENATE("No Prog, Ejec=  ",AL145),AL145/AI145))</f>
        <v>1</v>
      </c>
      <c r="BP145" s="1277"/>
      <c r="BQ145" s="477">
        <f>IF(AND(AS145=0,AV145=0),"No Prog ni Ejec",IF(AS145=0,CONCATENATE("No Prog, Ejec=  ",AV145),AV145/AS145))</f>
        <v>1</v>
      </c>
      <c r="BR145" s="1277"/>
      <c r="BS145" s="477">
        <f>IF(AND(BC145=0,BF145=0),"No Prog ni Ejec",IF(BC145=0,CONCATENATE("No Prog, Ejec=  ",BF145),BF145/BC145))</f>
        <v>1</v>
      </c>
      <c r="BT145" s="1279"/>
      <c r="XCO145" s="1082"/>
    </row>
    <row r="146" spans="1:72 16317:16317" s="1627" customFormat="1" ht="165.75" x14ac:dyDescent="0.2">
      <c r="A146" s="1092">
        <v>11700</v>
      </c>
      <c r="B146" s="1060" t="s">
        <v>29</v>
      </c>
      <c r="C146" s="1068" t="s">
        <v>1209</v>
      </c>
      <c r="D146" s="1059" t="s">
        <v>328</v>
      </c>
      <c r="E146" s="1060" t="s">
        <v>256</v>
      </c>
      <c r="F146" s="1059" t="s">
        <v>650</v>
      </c>
      <c r="G146" s="1060" t="s">
        <v>655</v>
      </c>
      <c r="H146" s="1079" t="s">
        <v>123</v>
      </c>
      <c r="I146" s="444">
        <v>1</v>
      </c>
      <c r="J146" s="1059" t="s">
        <v>651</v>
      </c>
      <c r="K146" s="1060" t="s">
        <v>656</v>
      </c>
      <c r="L146" s="443">
        <v>48960000</v>
      </c>
      <c r="M146" s="444">
        <v>1</v>
      </c>
      <c r="N146" s="1060" t="s">
        <v>46</v>
      </c>
      <c r="O146" s="1060" t="s">
        <v>59</v>
      </c>
      <c r="P146" s="1060" t="s">
        <v>37</v>
      </c>
      <c r="Q146" s="1060" t="s">
        <v>40</v>
      </c>
      <c r="R146" s="1060" t="s">
        <v>220</v>
      </c>
      <c r="S146" s="1060" t="s">
        <v>821</v>
      </c>
      <c r="T146" s="1060" t="s">
        <v>101</v>
      </c>
      <c r="U146" s="1056">
        <v>1</v>
      </c>
      <c r="V146" s="1058" t="str">
        <f t="shared" si="72"/>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W146" s="445">
        <f t="shared" si="73"/>
        <v>48960000</v>
      </c>
      <c r="X146" s="1097" t="s">
        <v>114</v>
      </c>
      <c r="Y146" s="1056">
        <v>0.25</v>
      </c>
      <c r="Z146" s="1083" t="str">
        <f t="shared" si="118"/>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AA146" s="443">
        <v>12240000</v>
      </c>
      <c r="AB146" s="1082">
        <f>(12/12)*0.25</f>
        <v>0.25</v>
      </c>
      <c r="AC146" s="443">
        <f>2323367+2720000+4080000</f>
        <v>9123367</v>
      </c>
      <c r="AD146" s="1064">
        <f t="shared" si="52"/>
        <v>1</v>
      </c>
      <c r="AE146" s="1064">
        <f t="shared" si="53"/>
        <v>0.74537312091503272</v>
      </c>
      <c r="AF146" s="1064">
        <f t="shared" si="54"/>
        <v>0.25</v>
      </c>
      <c r="AG146" s="1064">
        <f t="shared" si="55"/>
        <v>0.18634328022875818</v>
      </c>
      <c r="AH146" s="1060" t="s">
        <v>894</v>
      </c>
      <c r="AI146" s="1056">
        <v>0.25</v>
      </c>
      <c r="AJ146" s="1083" t="str">
        <f t="shared" si="119"/>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AK146" s="443">
        <v>12240000</v>
      </c>
      <c r="AL146" s="1082">
        <f>(12/12)*AI146</f>
        <v>0.25</v>
      </c>
      <c r="AM146" s="1098">
        <v>12240000</v>
      </c>
      <c r="AN146" s="1064">
        <f t="shared" si="56"/>
        <v>1</v>
      </c>
      <c r="AO146" s="1064">
        <f t="shared" si="57"/>
        <v>1</v>
      </c>
      <c r="AP146" s="1064">
        <f t="shared" si="58"/>
        <v>0.5</v>
      </c>
      <c r="AQ146" s="1064">
        <f t="shared" si="59"/>
        <v>0.43634328022875818</v>
      </c>
      <c r="AR146" s="1068" t="s">
        <v>1156</v>
      </c>
      <c r="AS146" s="1056">
        <v>0.25</v>
      </c>
      <c r="AT146" s="1083" t="str">
        <f t="shared" si="130"/>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AU146" s="443">
        <v>12240000</v>
      </c>
      <c r="AV146" s="447">
        <f>12/12*0.25</f>
        <v>0.25</v>
      </c>
      <c r="AW146" s="947">
        <v>12240000</v>
      </c>
      <c r="AX146" s="1064">
        <f t="shared" si="60"/>
        <v>1</v>
      </c>
      <c r="AY146" s="1064">
        <f t="shared" si="61"/>
        <v>1</v>
      </c>
      <c r="AZ146" s="1064">
        <f t="shared" si="62"/>
        <v>0.75</v>
      </c>
      <c r="BA146" s="1064">
        <f t="shared" si="63"/>
        <v>0.68634328022875812</v>
      </c>
      <c r="BB146" s="1068" t="s">
        <v>2313</v>
      </c>
      <c r="BC146" s="1056">
        <v>0.25</v>
      </c>
      <c r="BD146" s="1083" t="str">
        <f t="shared" si="79"/>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BE146" s="443">
        <v>12240000</v>
      </c>
      <c r="BF146" s="1088">
        <f>12/12*0.25</f>
        <v>0.25</v>
      </c>
      <c r="BG146" s="1686">
        <v>12240000</v>
      </c>
      <c r="BH146" s="1056">
        <f t="shared" si="75"/>
        <v>1</v>
      </c>
      <c r="BI146" s="1056">
        <f t="shared" si="76"/>
        <v>1</v>
      </c>
      <c r="BJ146" s="1056">
        <f t="shared" si="77"/>
        <v>1</v>
      </c>
      <c r="BK146" s="1056">
        <f t="shared" si="78"/>
        <v>0.93634328022875812</v>
      </c>
      <c r="BL146" s="1099" t="s">
        <v>2269</v>
      </c>
      <c r="BM146" s="477">
        <f t="shared" si="64"/>
        <v>1</v>
      </c>
      <c r="BN146" s="477">
        <f t="shared" si="65"/>
        <v>0.74537312091503272</v>
      </c>
      <c r="BO146" s="477">
        <f t="shared" si="66"/>
        <v>1</v>
      </c>
      <c r="BP146" s="477">
        <f t="shared" si="67"/>
        <v>1</v>
      </c>
      <c r="BQ146" s="477">
        <f t="shared" si="68"/>
        <v>1</v>
      </c>
      <c r="BR146" s="477">
        <f t="shared" si="69"/>
        <v>1</v>
      </c>
      <c r="BS146" s="477">
        <f t="shared" si="70"/>
        <v>1</v>
      </c>
      <c r="BT146" s="828">
        <f t="shared" si="71"/>
        <v>1</v>
      </c>
    </row>
    <row r="147" spans="1:72 16317:16317" s="1627" customFormat="1" ht="89.25" x14ac:dyDescent="0.2">
      <c r="A147" s="1092">
        <v>11700</v>
      </c>
      <c r="B147" s="1060" t="s">
        <v>29</v>
      </c>
      <c r="C147" s="1068" t="s">
        <v>1209</v>
      </c>
      <c r="D147" s="1059" t="s">
        <v>328</v>
      </c>
      <c r="E147" s="1060" t="s">
        <v>256</v>
      </c>
      <c r="F147" s="1059" t="s">
        <v>817</v>
      </c>
      <c r="G147" s="1060" t="s">
        <v>646</v>
      </c>
      <c r="H147" s="1079" t="s">
        <v>123</v>
      </c>
      <c r="I147" s="1056">
        <v>1</v>
      </c>
      <c r="J147" s="1059" t="s">
        <v>716</v>
      </c>
      <c r="K147" s="1060" t="s">
        <v>762</v>
      </c>
      <c r="L147" s="443">
        <f>2423788854+309609496</f>
        <v>2733398350</v>
      </c>
      <c r="M147" s="444">
        <v>1</v>
      </c>
      <c r="N147" s="1060" t="s">
        <v>46</v>
      </c>
      <c r="O147" s="1060" t="s">
        <v>59</v>
      </c>
      <c r="P147" s="1060" t="s">
        <v>37</v>
      </c>
      <c r="Q147" s="1060" t="s">
        <v>40</v>
      </c>
      <c r="R147" s="1060" t="s">
        <v>221</v>
      </c>
      <c r="S147" s="1060" t="s">
        <v>648</v>
      </c>
      <c r="T147" s="1060" t="s">
        <v>99</v>
      </c>
      <c r="U147" s="1056">
        <v>1</v>
      </c>
      <c r="V147" s="1058" t="str">
        <f t="shared" si="72"/>
        <v xml:space="preserve">Prestar los servicios especializados en gestión documental de administración, custodia, conservación, consulta, préstamo en soporte físico y magnético </v>
      </c>
      <c r="W147" s="445">
        <f t="shared" si="73"/>
        <v>2733398350</v>
      </c>
      <c r="X147" s="1097" t="s">
        <v>114</v>
      </c>
      <c r="Y147" s="1056">
        <v>0.25</v>
      </c>
      <c r="Z147" s="1083" t="str">
        <f t="shared" si="118"/>
        <v xml:space="preserve">Prestar los servicios especializados en gestión documental de administración, custodia, conservación, consulta, préstamo en soporte físico y magnético </v>
      </c>
      <c r="AA147" s="443">
        <f>+L147*Y147</f>
        <v>683349587.5</v>
      </c>
      <c r="AB147" s="487">
        <f>((107-11)/107)*25%</f>
        <v>0.22429906542056074</v>
      </c>
      <c r="AC147" s="443">
        <v>931842461</v>
      </c>
      <c r="AD147" s="1064">
        <f t="shared" si="52"/>
        <v>0.89719626168224298</v>
      </c>
      <c r="AE147" s="1064">
        <f t="shared" si="53"/>
        <v>1.3636394578199698</v>
      </c>
      <c r="AF147" s="1064">
        <f t="shared" si="54"/>
        <v>0.22429906542056074</v>
      </c>
      <c r="AG147" s="1064">
        <f t="shared" si="55"/>
        <v>0.34090986445499244</v>
      </c>
      <c r="AH147" s="1060" t="s">
        <v>992</v>
      </c>
      <c r="AI147" s="1056">
        <v>0.25</v>
      </c>
      <c r="AJ147" s="1083" t="str">
        <f t="shared" si="119"/>
        <v xml:space="preserve">Prestar los servicios especializados en gestión documental de administración, custodia, conservación, consulta, préstamo en soporte físico y magnético </v>
      </c>
      <c r="AK147" s="443">
        <v>683349587.5</v>
      </c>
      <c r="AL147" s="701">
        <f>(662/662)*AI147</f>
        <v>0.25</v>
      </c>
      <c r="AM147" s="529">
        <v>461988694</v>
      </c>
      <c r="AN147" s="1064">
        <f t="shared" si="56"/>
        <v>1</v>
      </c>
      <c r="AO147" s="1064">
        <f t="shared" si="57"/>
        <v>0.67606493433348269</v>
      </c>
      <c r="AP147" s="1064">
        <f t="shared" si="58"/>
        <v>0.47429906542056077</v>
      </c>
      <c r="AQ147" s="1064">
        <f t="shared" si="59"/>
        <v>0.50992609803836308</v>
      </c>
      <c r="AR147" s="1086" t="s">
        <v>1056</v>
      </c>
      <c r="AS147" s="1056">
        <v>0.25</v>
      </c>
      <c r="AT147" s="1083" t="str">
        <f t="shared" si="130"/>
        <v xml:space="preserve">Prestar los servicios especializados en gestión documental de administración, custodia, conservación, consulta, préstamo en soporte físico y magnético </v>
      </c>
      <c r="AU147" s="443">
        <v>683349587.5</v>
      </c>
      <c r="AV147" s="948">
        <f>(558/558)*AS147</f>
        <v>0.25</v>
      </c>
      <c r="AW147" s="949">
        <v>593050441</v>
      </c>
      <c r="AX147" s="1064">
        <f t="shared" si="60"/>
        <v>1</v>
      </c>
      <c r="AY147" s="1064">
        <f t="shared" si="61"/>
        <v>0.8678580507667315</v>
      </c>
      <c r="AZ147" s="1064">
        <f t="shared" si="62"/>
        <v>0.72429906542056077</v>
      </c>
      <c r="BA147" s="1064">
        <f t="shared" si="63"/>
        <v>0.72689061073004602</v>
      </c>
      <c r="BB147" s="527"/>
      <c r="BC147" s="1056">
        <v>0.25</v>
      </c>
      <c r="BD147" s="1083" t="str">
        <f t="shared" si="79"/>
        <v xml:space="preserve">Prestar los servicios especializados en gestión documental de administración, custodia, conservación, consulta, préstamo en soporte físico y magnético </v>
      </c>
      <c r="BE147" s="443">
        <v>683349587.5</v>
      </c>
      <c r="BF147" s="1088">
        <f>(402/402)*BC147</f>
        <v>0.25</v>
      </c>
      <c r="BG147" s="1077">
        <v>442756529</v>
      </c>
      <c r="BH147" s="1056">
        <f t="shared" si="75"/>
        <v>1</v>
      </c>
      <c r="BI147" s="1056">
        <f t="shared" si="76"/>
        <v>0.64792097207492638</v>
      </c>
      <c r="BJ147" s="1056">
        <f t="shared" si="77"/>
        <v>0.97429906542056077</v>
      </c>
      <c r="BK147" s="1056">
        <f t="shared" si="78"/>
        <v>0.88887085374877761</v>
      </c>
      <c r="BL147" s="1083"/>
      <c r="BM147" s="477">
        <f t="shared" si="64"/>
        <v>0.89719626168224298</v>
      </c>
      <c r="BN147" s="477">
        <f t="shared" si="65"/>
        <v>1.3636394578199698</v>
      </c>
      <c r="BO147" s="477">
        <f t="shared" si="66"/>
        <v>1</v>
      </c>
      <c r="BP147" s="477">
        <f t="shared" si="67"/>
        <v>0.67606493433348269</v>
      </c>
      <c r="BQ147" s="477">
        <f t="shared" si="68"/>
        <v>1</v>
      </c>
      <c r="BR147" s="477">
        <f t="shared" si="69"/>
        <v>0.8678580507667315</v>
      </c>
      <c r="BS147" s="477">
        <f t="shared" si="70"/>
        <v>1</v>
      </c>
      <c r="BT147" s="828">
        <f t="shared" si="71"/>
        <v>0.64792097207492638</v>
      </c>
    </row>
    <row r="148" spans="1:72 16317:16317" s="1627" customFormat="1" ht="51" x14ac:dyDescent="0.2">
      <c r="A148" s="1092">
        <v>11800</v>
      </c>
      <c r="B148" s="1060" t="s">
        <v>5</v>
      </c>
      <c r="C148" s="1068" t="s">
        <v>1209</v>
      </c>
      <c r="D148" s="1059" t="s">
        <v>319</v>
      </c>
      <c r="E148" s="1060" t="s">
        <v>153</v>
      </c>
      <c r="F148" s="1059" t="s">
        <v>320</v>
      </c>
      <c r="G148" s="1060" t="s">
        <v>133</v>
      </c>
      <c r="H148" s="1079" t="s">
        <v>124</v>
      </c>
      <c r="I148" s="1059">
        <v>4</v>
      </c>
      <c r="J148" s="1059" t="s">
        <v>321</v>
      </c>
      <c r="K148" s="1060" t="s">
        <v>24</v>
      </c>
      <c r="L148" s="443">
        <v>0</v>
      </c>
      <c r="M148" s="444">
        <v>1</v>
      </c>
      <c r="N148" s="1060" t="s">
        <v>51</v>
      </c>
      <c r="O148" s="1060" t="s">
        <v>68</v>
      </c>
      <c r="P148" s="1060" t="s">
        <v>21</v>
      </c>
      <c r="Q148" s="1060" t="s">
        <v>36</v>
      </c>
      <c r="R148" s="1060" t="s">
        <v>75</v>
      </c>
      <c r="S148" s="1060" t="s">
        <v>631</v>
      </c>
      <c r="T148" s="1060" t="s">
        <v>98</v>
      </c>
      <c r="U148" s="467">
        <v>4</v>
      </c>
      <c r="V148" s="1058" t="str">
        <f t="shared" si="72"/>
        <v>Reportar el cumplimiento del Plan de Acción de la Dependencia</v>
      </c>
      <c r="W148" s="445">
        <f t="shared" si="73"/>
        <v>0</v>
      </c>
      <c r="X148" s="1097" t="s">
        <v>117</v>
      </c>
      <c r="Y148" s="463">
        <v>1</v>
      </c>
      <c r="Z148" s="1083" t="str">
        <f t="shared" si="118"/>
        <v>Reportar el cumplimiento del Plan de Acción de la Dependencia</v>
      </c>
      <c r="AA148" s="443">
        <v>0</v>
      </c>
      <c r="AB148" s="446">
        <v>1</v>
      </c>
      <c r="AC148" s="448">
        <v>0</v>
      </c>
      <c r="AD148" s="1064">
        <f t="shared" si="52"/>
        <v>1</v>
      </c>
      <c r="AE148" s="1064" t="e">
        <f t="shared" si="53"/>
        <v>#DIV/0!</v>
      </c>
      <c r="AF148" s="1064">
        <f t="shared" si="54"/>
        <v>0.25</v>
      </c>
      <c r="AG148" s="1064" t="e">
        <f t="shared" si="55"/>
        <v>#DIV/0!</v>
      </c>
      <c r="AH148" s="1060" t="s">
        <v>881</v>
      </c>
      <c r="AI148" s="463">
        <v>1</v>
      </c>
      <c r="AJ148" s="1083" t="str">
        <f t="shared" si="119"/>
        <v>Reportar el cumplimiento del Plan de Acción de la Dependencia</v>
      </c>
      <c r="AK148" s="443">
        <v>0</v>
      </c>
      <c r="AL148" s="776">
        <v>1</v>
      </c>
      <c r="AM148" s="529">
        <v>0</v>
      </c>
      <c r="AN148" s="1064">
        <f t="shared" si="56"/>
        <v>1</v>
      </c>
      <c r="AO148" s="1064" t="e">
        <f t="shared" si="57"/>
        <v>#DIV/0!</v>
      </c>
      <c r="AP148" s="1064">
        <f t="shared" si="58"/>
        <v>0.5</v>
      </c>
      <c r="AQ148" s="1064" t="e">
        <f t="shared" si="59"/>
        <v>#DIV/0!</v>
      </c>
      <c r="AR148" s="1068" t="s">
        <v>1045</v>
      </c>
      <c r="AS148" s="463">
        <v>1</v>
      </c>
      <c r="AT148" s="1083" t="str">
        <f t="shared" si="130"/>
        <v>Reportar el cumplimiento del Plan de Acción de la Dependencia</v>
      </c>
      <c r="AU148" s="443">
        <v>0</v>
      </c>
      <c r="AV148" s="825">
        <v>1</v>
      </c>
      <c r="AW148" s="1626">
        <v>0</v>
      </c>
      <c r="AX148" s="1064">
        <f t="shared" si="60"/>
        <v>1</v>
      </c>
      <c r="AY148" s="1064" t="e">
        <f t="shared" si="61"/>
        <v>#DIV/0!</v>
      </c>
      <c r="AZ148" s="1064">
        <f t="shared" si="62"/>
        <v>0.75</v>
      </c>
      <c r="BA148" s="1064" t="e">
        <f t="shared" si="63"/>
        <v>#DIV/0!</v>
      </c>
      <c r="BB148" s="1068" t="s">
        <v>1897</v>
      </c>
      <c r="BC148" s="463">
        <v>1</v>
      </c>
      <c r="BD148" s="1083" t="str">
        <f t="shared" si="79"/>
        <v>Reportar el cumplimiento del Plan de Acción de la Dependencia</v>
      </c>
      <c r="BE148" s="443">
        <v>0</v>
      </c>
      <c r="BF148" s="1067">
        <v>1</v>
      </c>
      <c r="BG148" s="744">
        <v>0</v>
      </c>
      <c r="BH148" s="1056">
        <f t="shared" si="75"/>
        <v>1</v>
      </c>
      <c r="BI148" s="1056" t="e">
        <f t="shared" si="76"/>
        <v>#DIV/0!</v>
      </c>
      <c r="BJ148" s="1056">
        <f t="shared" si="77"/>
        <v>1</v>
      </c>
      <c r="BK148" s="1056" t="e">
        <f t="shared" si="78"/>
        <v>#DIV/0!</v>
      </c>
      <c r="BL148" s="1068" t="s">
        <v>2119</v>
      </c>
      <c r="BM148" s="477">
        <f t="shared" si="64"/>
        <v>1</v>
      </c>
      <c r="BN148" s="477" t="str">
        <f t="shared" si="65"/>
        <v>No Prog ni Ejec</v>
      </c>
      <c r="BO148" s="477">
        <f t="shared" si="66"/>
        <v>1</v>
      </c>
      <c r="BP148" s="477" t="str">
        <f t="shared" si="67"/>
        <v>No Prog ni Ejec</v>
      </c>
      <c r="BQ148" s="477">
        <f t="shared" si="68"/>
        <v>1</v>
      </c>
      <c r="BR148" s="477" t="str">
        <f t="shared" si="69"/>
        <v>No Prog ni Ejec</v>
      </c>
      <c r="BS148" s="477">
        <f t="shared" si="70"/>
        <v>1</v>
      </c>
      <c r="BT148" s="828" t="str">
        <f t="shared" si="71"/>
        <v>No Prog ni Ejec</v>
      </c>
    </row>
    <row r="149" spans="1:72 16317:16317" s="1627" customFormat="1" ht="89.25" x14ac:dyDescent="0.2">
      <c r="A149" s="1092">
        <v>11800</v>
      </c>
      <c r="B149" s="1060" t="s">
        <v>5</v>
      </c>
      <c r="C149" s="1068" t="s">
        <v>1209</v>
      </c>
      <c r="D149" s="1059" t="s">
        <v>322</v>
      </c>
      <c r="E149" s="1060" t="s">
        <v>256</v>
      </c>
      <c r="F149" s="1059" t="s">
        <v>323</v>
      </c>
      <c r="G149" s="1060" t="s">
        <v>159</v>
      </c>
      <c r="H149" s="1079" t="s">
        <v>123</v>
      </c>
      <c r="I149" s="1056">
        <v>1</v>
      </c>
      <c r="J149" s="1059" t="s">
        <v>326</v>
      </c>
      <c r="K149" s="1060" t="s">
        <v>874</v>
      </c>
      <c r="L149" s="443">
        <v>0</v>
      </c>
      <c r="M149" s="444">
        <v>1</v>
      </c>
      <c r="N149" s="1060" t="s">
        <v>51</v>
      </c>
      <c r="O149" s="1060" t="s">
        <v>68</v>
      </c>
      <c r="P149" s="1060" t="s">
        <v>21</v>
      </c>
      <c r="Q149" s="1060" t="s">
        <v>36</v>
      </c>
      <c r="R149" s="1060" t="s">
        <v>75</v>
      </c>
      <c r="S149" s="1060" t="s">
        <v>672</v>
      </c>
      <c r="T149" s="1060" t="s">
        <v>98</v>
      </c>
      <c r="U149" s="444">
        <v>1</v>
      </c>
      <c r="V149" s="1058" t="str">
        <f t="shared" si="72"/>
        <v xml:space="preserve">Formular los procesos y procedimientos en el marco del MIPG
</v>
      </c>
      <c r="W149" s="445">
        <f t="shared" si="73"/>
        <v>0</v>
      </c>
      <c r="X149" s="1097" t="s">
        <v>117</v>
      </c>
      <c r="Y149" s="1056">
        <v>0</v>
      </c>
      <c r="Z149" s="1083" t="str">
        <f t="shared" si="118"/>
        <v xml:space="preserve">Formular los procesos y procedimientos en el marco del MIPG
</v>
      </c>
      <c r="AA149" s="443">
        <v>0</v>
      </c>
      <c r="AB149" s="447">
        <v>0</v>
      </c>
      <c r="AC149" s="448">
        <v>0</v>
      </c>
      <c r="AD149" s="1064" t="e">
        <f t="shared" si="52"/>
        <v>#DIV/0!</v>
      </c>
      <c r="AE149" s="1064" t="e">
        <f t="shared" si="53"/>
        <v>#DIV/0!</v>
      </c>
      <c r="AF149" s="1064">
        <f t="shared" si="54"/>
        <v>0</v>
      </c>
      <c r="AG149" s="1064" t="e">
        <f t="shared" si="55"/>
        <v>#DIV/0!</v>
      </c>
      <c r="AH149" s="1060" t="s">
        <v>1003</v>
      </c>
      <c r="AI149" s="1056">
        <v>1</v>
      </c>
      <c r="AJ149" s="1083" t="str">
        <f t="shared" si="119"/>
        <v xml:space="preserve">Formular los procesos y procedimientos en el marco del MIPG
</v>
      </c>
      <c r="AK149" s="443">
        <v>0</v>
      </c>
      <c r="AL149" s="802">
        <f>(2/2)*100%</f>
        <v>1</v>
      </c>
      <c r="AM149" s="529">
        <v>0</v>
      </c>
      <c r="AN149" s="1064">
        <f t="shared" si="56"/>
        <v>1</v>
      </c>
      <c r="AO149" s="1064" t="e">
        <f t="shared" si="57"/>
        <v>#DIV/0!</v>
      </c>
      <c r="AP149" s="1064">
        <f t="shared" si="58"/>
        <v>1</v>
      </c>
      <c r="AQ149" s="1064" t="e">
        <f t="shared" si="59"/>
        <v>#DIV/0!</v>
      </c>
      <c r="AR149" s="1068" t="s">
        <v>1046</v>
      </c>
      <c r="AS149" s="1056">
        <v>0</v>
      </c>
      <c r="AT149" s="1083" t="str">
        <f t="shared" si="130"/>
        <v xml:space="preserve">Formular los procesos y procedimientos en el marco del MIPG
</v>
      </c>
      <c r="AU149" s="443">
        <v>0</v>
      </c>
      <c r="AV149" s="803">
        <v>0</v>
      </c>
      <c r="AW149" s="1626">
        <v>0</v>
      </c>
      <c r="AX149" s="1064" t="e">
        <f t="shared" si="60"/>
        <v>#DIV/0!</v>
      </c>
      <c r="AY149" s="1064" t="e">
        <f t="shared" si="61"/>
        <v>#DIV/0!</v>
      </c>
      <c r="AZ149" s="1064">
        <f t="shared" si="62"/>
        <v>1</v>
      </c>
      <c r="BA149" s="1064" t="e">
        <f t="shared" si="63"/>
        <v>#DIV/0!</v>
      </c>
      <c r="BB149" s="1068" t="s">
        <v>1898</v>
      </c>
      <c r="BC149" s="1056">
        <v>0</v>
      </c>
      <c r="BD149" s="1083" t="str">
        <f t="shared" si="79"/>
        <v xml:space="preserve">Formular los procesos y procedimientos en el marco del MIPG
</v>
      </c>
      <c r="BE149" s="443">
        <v>0</v>
      </c>
      <c r="BF149" s="1067">
        <v>0</v>
      </c>
      <c r="BG149" s="744">
        <v>0</v>
      </c>
      <c r="BH149" s="1056" t="e">
        <f t="shared" si="75"/>
        <v>#DIV/0!</v>
      </c>
      <c r="BI149" s="1056" t="e">
        <f t="shared" si="76"/>
        <v>#DIV/0!</v>
      </c>
      <c r="BJ149" s="1056">
        <f t="shared" si="77"/>
        <v>1</v>
      </c>
      <c r="BK149" s="1056" t="e">
        <f t="shared" si="78"/>
        <v>#DIV/0!</v>
      </c>
      <c r="BL149" s="1068" t="s">
        <v>2120</v>
      </c>
      <c r="BM149" s="477" t="str">
        <f t="shared" si="64"/>
        <v>No Prog ni Ejec</v>
      </c>
      <c r="BN149" s="477" t="str">
        <f t="shared" si="65"/>
        <v>No Prog ni Ejec</v>
      </c>
      <c r="BO149" s="477">
        <f t="shared" si="66"/>
        <v>1</v>
      </c>
      <c r="BP149" s="477" t="str">
        <f t="shared" si="67"/>
        <v>No Prog ni Ejec</v>
      </c>
      <c r="BQ149" s="477" t="str">
        <f t="shared" si="68"/>
        <v>No Prog ni Ejec</v>
      </c>
      <c r="BR149" s="477" t="str">
        <f t="shared" si="69"/>
        <v>No Prog ni Ejec</v>
      </c>
      <c r="BS149" s="477" t="str">
        <f t="shared" si="70"/>
        <v>No Prog ni Ejec</v>
      </c>
      <c r="BT149" s="828" t="str">
        <f t="shared" si="71"/>
        <v>No Prog ni Ejec</v>
      </c>
    </row>
    <row r="150" spans="1:72 16317:16317" s="1627" customFormat="1" ht="191.25" x14ac:dyDescent="0.2">
      <c r="A150" s="1092">
        <v>11800</v>
      </c>
      <c r="B150" s="1060" t="s">
        <v>5</v>
      </c>
      <c r="C150" s="1068" t="s">
        <v>1209</v>
      </c>
      <c r="D150" s="1059" t="s">
        <v>322</v>
      </c>
      <c r="E150" s="1060" t="s">
        <v>256</v>
      </c>
      <c r="F150" s="1059" t="s">
        <v>325</v>
      </c>
      <c r="G150" s="1060" t="s">
        <v>127</v>
      </c>
      <c r="H150" s="1079" t="s">
        <v>123</v>
      </c>
      <c r="I150" s="444">
        <v>1</v>
      </c>
      <c r="J150" s="1059" t="s">
        <v>327</v>
      </c>
      <c r="K150" s="1060" t="s">
        <v>128</v>
      </c>
      <c r="L150" s="443">
        <v>0</v>
      </c>
      <c r="M150" s="444">
        <v>1</v>
      </c>
      <c r="N150" s="1060" t="s">
        <v>51</v>
      </c>
      <c r="O150" s="1060" t="s">
        <v>68</v>
      </c>
      <c r="P150" s="1060" t="s">
        <v>21</v>
      </c>
      <c r="Q150" s="1060" t="s">
        <v>36</v>
      </c>
      <c r="R150" s="1060" t="s">
        <v>75</v>
      </c>
      <c r="S150" s="1060" t="s">
        <v>570</v>
      </c>
      <c r="T150" s="1060" t="s">
        <v>98</v>
      </c>
      <c r="U150" s="444">
        <v>1</v>
      </c>
      <c r="V150" s="1058" t="str">
        <f t="shared" si="72"/>
        <v>Remitir informes trimestrales de los indicadores formulados y las acciones de mejoras</v>
      </c>
      <c r="W150" s="445">
        <f t="shared" si="73"/>
        <v>0</v>
      </c>
      <c r="X150" s="1097" t="s">
        <v>117</v>
      </c>
      <c r="Y150" s="1056">
        <v>0</v>
      </c>
      <c r="Z150" s="1083" t="str">
        <f t="shared" si="118"/>
        <v>Remitir informes trimestrales de los indicadores formulados y las acciones de mejoras</v>
      </c>
      <c r="AA150" s="443">
        <v>0</v>
      </c>
      <c r="AB150" s="447">
        <v>0</v>
      </c>
      <c r="AC150" s="448">
        <v>0</v>
      </c>
      <c r="AD150" s="1064" t="e">
        <f t="shared" si="52"/>
        <v>#DIV/0!</v>
      </c>
      <c r="AE150" s="1064" t="e">
        <f t="shared" si="53"/>
        <v>#DIV/0!</v>
      </c>
      <c r="AF150" s="1064">
        <f t="shared" si="54"/>
        <v>0</v>
      </c>
      <c r="AG150" s="1064" t="e">
        <f t="shared" si="55"/>
        <v>#DIV/0!</v>
      </c>
      <c r="AH150" s="1060" t="s">
        <v>1004</v>
      </c>
      <c r="AI150" s="1056">
        <v>0</v>
      </c>
      <c r="AJ150" s="1083" t="str">
        <f t="shared" si="119"/>
        <v>Remitir informes trimestrales de los indicadores formulados y las acciones de mejoras</v>
      </c>
      <c r="AK150" s="443">
        <v>0</v>
      </c>
      <c r="AL150" s="802">
        <v>0</v>
      </c>
      <c r="AM150" s="529">
        <v>0</v>
      </c>
      <c r="AN150" s="1064" t="e">
        <f t="shared" si="56"/>
        <v>#DIV/0!</v>
      </c>
      <c r="AO150" s="1064" t="e">
        <f t="shared" si="57"/>
        <v>#DIV/0!</v>
      </c>
      <c r="AP150" s="1064">
        <f t="shared" si="58"/>
        <v>0</v>
      </c>
      <c r="AQ150" s="1064" t="e">
        <f t="shared" si="59"/>
        <v>#DIV/0!</v>
      </c>
      <c r="AR150" s="1068" t="s">
        <v>1047</v>
      </c>
      <c r="AS150" s="1056">
        <v>0.5</v>
      </c>
      <c r="AT150" s="1083" t="str">
        <f t="shared" si="130"/>
        <v>Remitir informes trimestrales de los indicadores formulados y las acciones de mejoras</v>
      </c>
      <c r="AU150" s="443">
        <v>0</v>
      </c>
      <c r="AV150" s="803">
        <v>0.5</v>
      </c>
      <c r="AW150" s="1626">
        <v>0</v>
      </c>
      <c r="AX150" s="1064">
        <f t="shared" si="60"/>
        <v>1</v>
      </c>
      <c r="AY150" s="1064" t="e">
        <f t="shared" si="61"/>
        <v>#DIV/0!</v>
      </c>
      <c r="AZ150" s="1064">
        <f t="shared" si="62"/>
        <v>0.5</v>
      </c>
      <c r="BA150" s="1064" t="e">
        <f t="shared" si="63"/>
        <v>#DIV/0!</v>
      </c>
      <c r="BB150" s="1068" t="s">
        <v>1899</v>
      </c>
      <c r="BC150" s="1056">
        <v>0.5</v>
      </c>
      <c r="BD150" s="1083" t="str">
        <f t="shared" si="79"/>
        <v>Remitir informes trimestrales de los indicadores formulados y las acciones de mejoras</v>
      </c>
      <c r="BE150" s="443">
        <v>0</v>
      </c>
      <c r="BF150" s="1669">
        <v>0.5</v>
      </c>
      <c r="BG150" s="744">
        <v>0</v>
      </c>
      <c r="BH150" s="1056">
        <f t="shared" si="75"/>
        <v>1</v>
      </c>
      <c r="BI150" s="1056" t="e">
        <f t="shared" si="76"/>
        <v>#DIV/0!</v>
      </c>
      <c r="BJ150" s="1056">
        <f t="shared" si="77"/>
        <v>1</v>
      </c>
      <c r="BK150" s="1056" t="e">
        <f t="shared" si="78"/>
        <v>#DIV/0!</v>
      </c>
      <c r="BL150" s="1068" t="s">
        <v>2121</v>
      </c>
      <c r="BM150" s="477" t="str">
        <f t="shared" si="64"/>
        <v>No Prog ni Ejec</v>
      </c>
      <c r="BN150" s="477" t="str">
        <f t="shared" si="65"/>
        <v>No Prog ni Ejec</v>
      </c>
      <c r="BO150" s="477" t="str">
        <f t="shared" si="66"/>
        <v>No Prog ni Ejec</v>
      </c>
      <c r="BP150" s="477" t="str">
        <f t="shared" si="67"/>
        <v>No Prog ni Ejec</v>
      </c>
      <c r="BQ150" s="477">
        <f t="shared" si="68"/>
        <v>1</v>
      </c>
      <c r="BR150" s="477" t="str">
        <f t="shared" si="69"/>
        <v>No Prog ni Ejec</v>
      </c>
      <c r="BS150" s="477">
        <f t="shared" si="70"/>
        <v>1</v>
      </c>
      <c r="BT150" s="828" t="str">
        <f t="shared" si="71"/>
        <v>No Prog ni Ejec</v>
      </c>
    </row>
    <row r="151" spans="1:72 16317:16317" s="1627" customFormat="1" ht="89.25" x14ac:dyDescent="0.2">
      <c r="A151" s="1092">
        <v>11800</v>
      </c>
      <c r="B151" s="1060" t="s">
        <v>5</v>
      </c>
      <c r="C151" s="1068" t="s">
        <v>1209</v>
      </c>
      <c r="D151" s="1059" t="s">
        <v>333</v>
      </c>
      <c r="E151" s="1060" t="s">
        <v>256</v>
      </c>
      <c r="F151" s="1059" t="s">
        <v>324</v>
      </c>
      <c r="G151" s="1060" t="s">
        <v>871</v>
      </c>
      <c r="H151" s="1079" t="s">
        <v>123</v>
      </c>
      <c r="I151" s="473">
        <v>1</v>
      </c>
      <c r="J151" s="1059" t="s">
        <v>339</v>
      </c>
      <c r="K151" s="1060" t="s">
        <v>872</v>
      </c>
      <c r="L151" s="443">
        <v>0</v>
      </c>
      <c r="M151" s="444">
        <v>1</v>
      </c>
      <c r="N151" s="1060" t="s">
        <v>50</v>
      </c>
      <c r="O151" s="1060" t="s">
        <v>64</v>
      </c>
      <c r="P151" s="1060" t="s">
        <v>37</v>
      </c>
      <c r="Q151" s="1060" t="s">
        <v>39</v>
      </c>
      <c r="R151" s="1060" t="s">
        <v>230</v>
      </c>
      <c r="S151" s="1060" t="s">
        <v>873</v>
      </c>
      <c r="T151" s="1060" t="s">
        <v>105</v>
      </c>
      <c r="U151" s="444">
        <v>1</v>
      </c>
      <c r="V151" s="1058" t="str">
        <f>+K151</f>
        <v>Realizar las auditorías internas , al Control Interno y otros informes , de acuerdo a lo programado para la vigencia. Plan Anual Auditorias</v>
      </c>
      <c r="W151" s="445">
        <f t="shared" si="73"/>
        <v>0</v>
      </c>
      <c r="X151" s="1097" t="s">
        <v>117</v>
      </c>
      <c r="Y151" s="1056">
        <v>0</v>
      </c>
      <c r="Z151" s="1083" t="str">
        <f t="shared" si="118"/>
        <v>Realizar las auditorías internas , al Control Interno y otros informes , de acuerdo a lo programado para la vigencia. Plan Anual Auditorias</v>
      </c>
      <c r="AA151" s="443">
        <v>0</v>
      </c>
      <c r="AB151" s="447">
        <v>0</v>
      </c>
      <c r="AC151" s="448">
        <v>0</v>
      </c>
      <c r="AD151" s="1064" t="e">
        <f t="shared" si="52"/>
        <v>#DIV/0!</v>
      </c>
      <c r="AE151" s="1064" t="e">
        <f t="shared" si="53"/>
        <v>#DIV/0!</v>
      </c>
      <c r="AF151" s="1064">
        <f t="shared" si="54"/>
        <v>0</v>
      </c>
      <c r="AG151" s="1064" t="e">
        <f t="shared" si="55"/>
        <v>#DIV/0!</v>
      </c>
      <c r="AH151" s="1060" t="s">
        <v>1005</v>
      </c>
      <c r="AI151" s="1056">
        <v>0.25</v>
      </c>
      <c r="AJ151" s="1083" t="str">
        <f t="shared" si="119"/>
        <v>Realizar las auditorías internas , al Control Interno y otros informes , de acuerdo a lo programado para la vigencia. Plan Anual Auditorias</v>
      </c>
      <c r="AK151" s="443">
        <v>0</v>
      </c>
      <c r="AL151" s="802">
        <f>(2/8)*100%</f>
        <v>0.25</v>
      </c>
      <c r="AM151" s="529">
        <v>0</v>
      </c>
      <c r="AN151" s="1064">
        <f t="shared" si="56"/>
        <v>1</v>
      </c>
      <c r="AO151" s="1064" t="e">
        <f t="shared" si="57"/>
        <v>#DIV/0!</v>
      </c>
      <c r="AP151" s="1064">
        <f t="shared" si="58"/>
        <v>0.25</v>
      </c>
      <c r="AQ151" s="1064" t="e">
        <f t="shared" si="59"/>
        <v>#DIV/0!</v>
      </c>
      <c r="AR151" s="1071" t="s">
        <v>1048</v>
      </c>
      <c r="AS151" s="1056">
        <v>0.25</v>
      </c>
      <c r="AT151" s="1083" t="str">
        <f t="shared" si="130"/>
        <v>Realizar las auditorías internas , al Control Interno y otros informes , de acuerdo a lo programado para la vigencia. Plan Anual Auditorias</v>
      </c>
      <c r="AU151" s="443">
        <v>0</v>
      </c>
      <c r="AV151" s="803">
        <f>2/8</f>
        <v>0.25</v>
      </c>
      <c r="AW151" s="1626">
        <v>0</v>
      </c>
      <c r="AX151" s="1064">
        <f t="shared" si="60"/>
        <v>1</v>
      </c>
      <c r="AY151" s="1064" t="e">
        <f t="shared" si="61"/>
        <v>#DIV/0!</v>
      </c>
      <c r="AZ151" s="1064">
        <f t="shared" si="62"/>
        <v>0.5</v>
      </c>
      <c r="BA151" s="1064" t="e">
        <f t="shared" si="63"/>
        <v>#DIV/0!</v>
      </c>
      <c r="BB151" s="1068" t="s">
        <v>1900</v>
      </c>
      <c r="BC151" s="1056">
        <v>0.5</v>
      </c>
      <c r="BD151" s="1083" t="str">
        <f t="shared" si="79"/>
        <v>Realizar las auditorías internas , al Control Interno y otros informes , de acuerdo a lo programado para la vigencia. Plan Anual Auditorias</v>
      </c>
      <c r="BE151" s="443">
        <v>0</v>
      </c>
      <c r="BF151" s="1669">
        <v>0.5</v>
      </c>
      <c r="BG151" s="744">
        <v>0</v>
      </c>
      <c r="BH151" s="1056">
        <f t="shared" si="75"/>
        <v>1</v>
      </c>
      <c r="BI151" s="1056" t="e">
        <f t="shared" si="76"/>
        <v>#DIV/0!</v>
      </c>
      <c r="BJ151" s="1056">
        <f t="shared" si="77"/>
        <v>1</v>
      </c>
      <c r="BK151" s="1056" t="e">
        <f t="shared" si="78"/>
        <v>#DIV/0!</v>
      </c>
      <c r="BL151" s="1068" t="s">
        <v>2122</v>
      </c>
      <c r="BM151" s="477" t="str">
        <f t="shared" si="64"/>
        <v>No Prog ni Ejec</v>
      </c>
      <c r="BN151" s="477" t="str">
        <f t="shared" si="65"/>
        <v>No Prog ni Ejec</v>
      </c>
      <c r="BO151" s="477">
        <f t="shared" si="66"/>
        <v>1</v>
      </c>
      <c r="BP151" s="477" t="str">
        <f t="shared" si="67"/>
        <v>No Prog ni Ejec</v>
      </c>
      <c r="BQ151" s="477">
        <f t="shared" si="68"/>
        <v>1</v>
      </c>
      <c r="BR151" s="477" t="str">
        <f t="shared" si="69"/>
        <v>No Prog ni Ejec</v>
      </c>
      <c r="BS151" s="477">
        <f t="shared" si="70"/>
        <v>1</v>
      </c>
      <c r="BT151" s="828" t="str">
        <f t="shared" si="71"/>
        <v>No Prog ni Ejec</v>
      </c>
    </row>
    <row r="152" spans="1:72 16317:16317" s="1627" customFormat="1" ht="178.5" x14ac:dyDescent="0.2">
      <c r="A152" s="1092">
        <v>11800</v>
      </c>
      <c r="B152" s="1060" t="s">
        <v>5</v>
      </c>
      <c r="C152" s="1068" t="s">
        <v>1209</v>
      </c>
      <c r="D152" s="1059" t="s">
        <v>345</v>
      </c>
      <c r="E152" s="1060" t="s">
        <v>256</v>
      </c>
      <c r="F152" s="1059" t="s">
        <v>552</v>
      </c>
      <c r="G152" s="1060" t="s">
        <v>679</v>
      </c>
      <c r="H152" s="1079" t="s">
        <v>123</v>
      </c>
      <c r="I152" s="473">
        <v>1</v>
      </c>
      <c r="J152" s="1059" t="s">
        <v>553</v>
      </c>
      <c r="K152" s="1060" t="s">
        <v>335</v>
      </c>
      <c r="L152" s="443">
        <v>0</v>
      </c>
      <c r="M152" s="444">
        <v>1</v>
      </c>
      <c r="N152" s="1060" t="s">
        <v>50</v>
      </c>
      <c r="O152" s="1060" t="s">
        <v>64</v>
      </c>
      <c r="P152" s="1060" t="s">
        <v>37</v>
      </c>
      <c r="Q152" s="1060" t="s">
        <v>39</v>
      </c>
      <c r="R152" s="1060" t="s">
        <v>230</v>
      </c>
      <c r="S152" s="1060" t="s">
        <v>343</v>
      </c>
      <c r="T152" s="1060" t="s">
        <v>105</v>
      </c>
      <c r="U152" s="444">
        <v>1</v>
      </c>
      <c r="V152" s="1058" t="str">
        <f t="shared" si="72"/>
        <v>Dar respuesta a requerimientos de carácter interno en el marco de la normatividad vigente</v>
      </c>
      <c r="W152" s="445">
        <f t="shared" si="73"/>
        <v>0</v>
      </c>
      <c r="X152" s="1097" t="s">
        <v>117</v>
      </c>
      <c r="Y152" s="1056">
        <v>0.28000000000000003</v>
      </c>
      <c r="Z152" s="1083" t="str">
        <f t="shared" ref="Z152:Z179" si="131">+V152</f>
        <v>Dar respuesta a requerimientos de carácter interno en el marco de la normatividad vigente</v>
      </c>
      <c r="AA152" s="443">
        <v>0</v>
      </c>
      <c r="AB152" s="478">
        <v>0.28000000000000003</v>
      </c>
      <c r="AC152" s="448">
        <v>0</v>
      </c>
      <c r="AD152" s="1064">
        <f t="shared" si="52"/>
        <v>1</v>
      </c>
      <c r="AE152" s="1064" t="e">
        <f t="shared" si="53"/>
        <v>#DIV/0!</v>
      </c>
      <c r="AF152" s="1064">
        <f t="shared" si="54"/>
        <v>0.28000000000000003</v>
      </c>
      <c r="AG152" s="1064" t="e">
        <f t="shared" si="55"/>
        <v>#DIV/0!</v>
      </c>
      <c r="AH152" s="1060" t="s">
        <v>1006</v>
      </c>
      <c r="AI152" s="1056">
        <v>0.28000000000000003</v>
      </c>
      <c r="AJ152" s="1083" t="str">
        <f t="shared" si="119"/>
        <v>Dar respuesta a requerimientos de carácter interno en el marco de la normatividad vigente</v>
      </c>
      <c r="AK152" s="443">
        <v>0</v>
      </c>
      <c r="AL152" s="802">
        <f>(5/18)*100%</f>
        <v>0.27777777777777779</v>
      </c>
      <c r="AM152" s="529">
        <v>0</v>
      </c>
      <c r="AN152" s="1064">
        <f>+(AL152/AI152)</f>
        <v>0.99206349206349198</v>
      </c>
      <c r="AO152" s="1064" t="e">
        <f t="shared" si="57"/>
        <v>#DIV/0!</v>
      </c>
      <c r="AP152" s="1064">
        <f t="shared" si="58"/>
        <v>0.55777777777777782</v>
      </c>
      <c r="AQ152" s="1064" t="e">
        <f t="shared" si="59"/>
        <v>#DIV/0!</v>
      </c>
      <c r="AR152" s="1071" t="s">
        <v>1049</v>
      </c>
      <c r="AS152" s="1056">
        <v>0.17</v>
      </c>
      <c r="AT152" s="1083" t="str">
        <f t="shared" si="130"/>
        <v>Dar respuesta a requerimientos de carácter interno en el marco de la normatividad vigente</v>
      </c>
      <c r="AU152" s="443">
        <v>0</v>
      </c>
      <c r="AV152" s="1630">
        <f>3/18</f>
        <v>0.16666666666666666</v>
      </c>
      <c r="AW152" s="1626">
        <v>0</v>
      </c>
      <c r="AX152" s="1064">
        <f t="shared" si="60"/>
        <v>0.98039215686274495</v>
      </c>
      <c r="AY152" s="1064" t="e">
        <f t="shared" si="61"/>
        <v>#DIV/0!</v>
      </c>
      <c r="AZ152" s="1064">
        <f t="shared" si="62"/>
        <v>0.72444444444444445</v>
      </c>
      <c r="BA152" s="1064" t="e">
        <f t="shared" si="63"/>
        <v>#DIV/0!</v>
      </c>
      <c r="BB152" s="1068" t="s">
        <v>1901</v>
      </c>
      <c r="BC152" s="1056">
        <v>0.28000000000000003</v>
      </c>
      <c r="BD152" s="1083" t="str">
        <f t="shared" si="79"/>
        <v>Dar respuesta a requerimientos de carácter interno en el marco de la normatividad vigente</v>
      </c>
      <c r="BE152" s="443">
        <v>0</v>
      </c>
      <c r="BF152" s="1669">
        <v>0.28000000000000003</v>
      </c>
      <c r="BG152" s="744">
        <v>0</v>
      </c>
      <c r="BH152" s="1056">
        <f t="shared" si="75"/>
        <v>1</v>
      </c>
      <c r="BI152" s="1056" t="e">
        <f t="shared" si="76"/>
        <v>#DIV/0!</v>
      </c>
      <c r="BJ152" s="1056">
        <f t="shared" si="77"/>
        <v>1.0044444444444445</v>
      </c>
      <c r="BK152" s="1056" t="e">
        <f t="shared" si="78"/>
        <v>#DIV/0!</v>
      </c>
      <c r="BL152" s="1068" t="s">
        <v>2123</v>
      </c>
      <c r="BM152" s="477">
        <f t="shared" si="64"/>
        <v>1</v>
      </c>
      <c r="BN152" s="477" t="str">
        <f t="shared" si="65"/>
        <v>No Prog ni Ejec</v>
      </c>
      <c r="BO152" s="477">
        <f t="shared" si="66"/>
        <v>0.99206349206349198</v>
      </c>
      <c r="BP152" s="477" t="str">
        <f t="shared" si="67"/>
        <v>No Prog ni Ejec</v>
      </c>
      <c r="BQ152" s="477">
        <f t="shared" si="68"/>
        <v>0.98039215686274495</v>
      </c>
      <c r="BR152" s="477" t="str">
        <f t="shared" si="69"/>
        <v>No Prog ni Ejec</v>
      </c>
      <c r="BS152" s="477">
        <f t="shared" si="70"/>
        <v>1</v>
      </c>
      <c r="BT152" s="828" t="str">
        <f t="shared" si="71"/>
        <v>No Prog ni Ejec</v>
      </c>
    </row>
    <row r="153" spans="1:72 16317:16317" s="1627" customFormat="1" ht="178.5" x14ac:dyDescent="0.2">
      <c r="A153" s="1092">
        <v>11800</v>
      </c>
      <c r="B153" s="1060" t="s">
        <v>5</v>
      </c>
      <c r="C153" s="1068" t="s">
        <v>1209</v>
      </c>
      <c r="D153" s="1059" t="s">
        <v>346</v>
      </c>
      <c r="E153" s="1060" t="s">
        <v>256</v>
      </c>
      <c r="F153" s="1059" t="s">
        <v>554</v>
      </c>
      <c r="G153" s="1060" t="s">
        <v>680</v>
      </c>
      <c r="H153" s="1079" t="s">
        <v>123</v>
      </c>
      <c r="I153" s="473">
        <v>1</v>
      </c>
      <c r="J153" s="1059" t="s">
        <v>555</v>
      </c>
      <c r="K153" s="1060" t="s">
        <v>336</v>
      </c>
      <c r="L153" s="443">
        <v>0</v>
      </c>
      <c r="M153" s="444">
        <v>1</v>
      </c>
      <c r="N153" s="1060" t="s">
        <v>50</v>
      </c>
      <c r="O153" s="1060" t="s">
        <v>64</v>
      </c>
      <c r="P153" s="1060" t="s">
        <v>37</v>
      </c>
      <c r="Q153" s="1060" t="s">
        <v>39</v>
      </c>
      <c r="R153" s="1060" t="s">
        <v>230</v>
      </c>
      <c r="S153" s="1060" t="s">
        <v>344</v>
      </c>
      <c r="T153" s="1060" t="s">
        <v>105</v>
      </c>
      <c r="U153" s="444">
        <v>1</v>
      </c>
      <c r="V153" s="1058" t="str">
        <f t="shared" si="72"/>
        <v>Dar respuesta a requerimientos de organismos externos en el marco de la normatividad vigente</v>
      </c>
      <c r="W153" s="445">
        <f t="shared" si="73"/>
        <v>0</v>
      </c>
      <c r="X153" s="1097" t="s">
        <v>117</v>
      </c>
      <c r="Y153" s="1056">
        <v>0.53</v>
      </c>
      <c r="Z153" s="1083" t="str">
        <f t="shared" si="131"/>
        <v>Dar respuesta a requerimientos de organismos externos en el marco de la normatividad vigente</v>
      </c>
      <c r="AA153" s="443">
        <v>0</v>
      </c>
      <c r="AB153" s="490">
        <v>0.47</v>
      </c>
      <c r="AC153" s="448">
        <v>0</v>
      </c>
      <c r="AD153" s="1064">
        <f t="shared" si="52"/>
        <v>0.88679245283018859</v>
      </c>
      <c r="AE153" s="1064" t="e">
        <f t="shared" si="53"/>
        <v>#DIV/0!</v>
      </c>
      <c r="AF153" s="1064">
        <f t="shared" si="54"/>
        <v>0.47</v>
      </c>
      <c r="AG153" s="1064" t="e">
        <f t="shared" si="55"/>
        <v>#DIV/0!</v>
      </c>
      <c r="AH153" s="1060" t="s">
        <v>1007</v>
      </c>
      <c r="AI153" s="1056">
        <v>0.12</v>
      </c>
      <c r="AJ153" s="1083" t="str">
        <f t="shared" ref="AJ153:AJ179" si="132">+V153</f>
        <v>Dar respuesta a requerimientos de organismos externos en el marco de la normatividad vigente</v>
      </c>
      <c r="AK153" s="443">
        <v>0</v>
      </c>
      <c r="AL153" s="802">
        <f>3/17</f>
        <v>0.17647058823529413</v>
      </c>
      <c r="AM153" s="529">
        <v>0</v>
      </c>
      <c r="AN153" s="1064">
        <f>+(AL153/AI153)</f>
        <v>1.4705882352941178</v>
      </c>
      <c r="AO153" s="1064" t="e">
        <f t="shared" si="57"/>
        <v>#DIV/0!</v>
      </c>
      <c r="AP153" s="1064">
        <f>+(AL153+AB153)/U153</f>
        <v>0.64647058823529413</v>
      </c>
      <c r="AQ153" s="1064" t="e">
        <f t="shared" si="59"/>
        <v>#DIV/0!</v>
      </c>
      <c r="AR153" s="1071" t="s">
        <v>1050</v>
      </c>
      <c r="AS153" s="1056">
        <v>0.24</v>
      </c>
      <c r="AT153" s="1083" t="str">
        <f t="shared" si="130"/>
        <v>Dar respuesta a requerimientos de organismos externos en el marco de la normatividad vigente</v>
      </c>
      <c r="AU153" s="443">
        <v>0</v>
      </c>
      <c r="AV153" s="803">
        <f>4/17</f>
        <v>0.23529411764705882</v>
      </c>
      <c r="AW153" s="1626">
        <v>0</v>
      </c>
      <c r="AX153" s="1064">
        <f>+(AV153/AS153)</f>
        <v>0.98039215686274517</v>
      </c>
      <c r="AY153" s="1064" t="e">
        <f t="shared" si="61"/>
        <v>#DIV/0!</v>
      </c>
      <c r="AZ153" s="1064">
        <f t="shared" si="62"/>
        <v>0.88176470588235301</v>
      </c>
      <c r="BA153" s="1064" t="e">
        <f t="shared" si="63"/>
        <v>#DIV/0!</v>
      </c>
      <c r="BB153" s="1068" t="s">
        <v>2314</v>
      </c>
      <c r="BC153" s="1056">
        <v>0.12</v>
      </c>
      <c r="BD153" s="1083" t="str">
        <f t="shared" si="79"/>
        <v>Dar respuesta a requerimientos de organismos externos en el marco de la normatividad vigente</v>
      </c>
      <c r="BE153" s="443">
        <v>0</v>
      </c>
      <c r="BF153" s="1669">
        <v>0.12</v>
      </c>
      <c r="BG153" s="744">
        <v>0</v>
      </c>
      <c r="BH153" s="1056">
        <f t="shared" si="75"/>
        <v>1</v>
      </c>
      <c r="BI153" s="1056" t="e">
        <f t="shared" si="76"/>
        <v>#DIV/0!</v>
      </c>
      <c r="BJ153" s="1056">
        <f t="shared" si="77"/>
        <v>1.0017647058823531</v>
      </c>
      <c r="BK153" s="1056" t="e">
        <f t="shared" si="78"/>
        <v>#DIV/0!</v>
      </c>
      <c r="BL153" s="1068" t="s">
        <v>2124</v>
      </c>
      <c r="BM153" s="477">
        <f t="shared" si="64"/>
        <v>0.88679245283018859</v>
      </c>
      <c r="BN153" s="477" t="str">
        <f t="shared" si="65"/>
        <v>No Prog ni Ejec</v>
      </c>
      <c r="BO153" s="477">
        <f t="shared" si="66"/>
        <v>1.4705882352941178</v>
      </c>
      <c r="BP153" s="477" t="str">
        <f t="shared" si="67"/>
        <v>No Prog ni Ejec</v>
      </c>
      <c r="BQ153" s="477">
        <f t="shared" si="68"/>
        <v>0.98039215686274517</v>
      </c>
      <c r="BR153" s="477" t="str">
        <f t="shared" si="69"/>
        <v>No Prog ni Ejec</v>
      </c>
      <c r="BS153" s="477">
        <f t="shared" si="70"/>
        <v>1</v>
      </c>
      <c r="BT153" s="828" t="str">
        <f t="shared" si="71"/>
        <v>No Prog ni Ejec</v>
      </c>
    </row>
    <row r="154" spans="1:72 16317:16317" s="1627" customFormat="1" ht="89.25" x14ac:dyDescent="0.2">
      <c r="A154" s="1092">
        <v>11800</v>
      </c>
      <c r="B154" s="1060" t="s">
        <v>5</v>
      </c>
      <c r="C154" s="1068" t="s">
        <v>1209</v>
      </c>
      <c r="D154" s="1059" t="s">
        <v>347</v>
      </c>
      <c r="E154" s="1060" t="s">
        <v>256</v>
      </c>
      <c r="F154" s="1059" t="s">
        <v>556</v>
      </c>
      <c r="G154" s="1060" t="s">
        <v>681</v>
      </c>
      <c r="H154" s="1079" t="s">
        <v>123</v>
      </c>
      <c r="I154" s="473">
        <v>1</v>
      </c>
      <c r="J154" s="1059" t="s">
        <v>558</v>
      </c>
      <c r="K154" s="1060" t="s">
        <v>337</v>
      </c>
      <c r="L154" s="443">
        <v>0</v>
      </c>
      <c r="M154" s="444">
        <v>1</v>
      </c>
      <c r="N154" s="1060" t="s">
        <v>50</v>
      </c>
      <c r="O154" s="1060" t="s">
        <v>64</v>
      </c>
      <c r="P154" s="1060" t="s">
        <v>37</v>
      </c>
      <c r="Q154" s="1060" t="s">
        <v>39</v>
      </c>
      <c r="R154" s="1060" t="s">
        <v>230</v>
      </c>
      <c r="S154" s="1060" t="s">
        <v>340</v>
      </c>
      <c r="T154" s="1060" t="s">
        <v>105</v>
      </c>
      <c r="U154" s="444">
        <v>1</v>
      </c>
      <c r="V154" s="1058" t="str">
        <f t="shared" si="72"/>
        <v>Medir el grado de cumplimiento de las acciones que hacen parte del Plan de mejoramiento institucional derivadas de la Auditoría de la CGR.</v>
      </c>
      <c r="W154" s="445">
        <f t="shared" si="73"/>
        <v>0</v>
      </c>
      <c r="X154" s="1097" t="s">
        <v>117</v>
      </c>
      <c r="Y154" s="1056">
        <v>0.5</v>
      </c>
      <c r="Z154" s="1083" t="str">
        <f t="shared" si="131"/>
        <v>Medir el grado de cumplimiento de las acciones que hacen parte del Plan de mejoramiento institucional derivadas de la Auditoría de la CGR.</v>
      </c>
      <c r="AA154" s="443">
        <v>0</v>
      </c>
      <c r="AB154" s="447">
        <v>0.5</v>
      </c>
      <c r="AC154" s="448">
        <v>0</v>
      </c>
      <c r="AD154" s="1064">
        <f t="shared" si="52"/>
        <v>1</v>
      </c>
      <c r="AE154" s="1064" t="e">
        <f t="shared" si="53"/>
        <v>#DIV/0!</v>
      </c>
      <c r="AF154" s="1064">
        <f t="shared" si="54"/>
        <v>0.5</v>
      </c>
      <c r="AG154" s="1064" t="e">
        <f t="shared" si="55"/>
        <v>#DIV/0!</v>
      </c>
      <c r="AH154" s="1060" t="s">
        <v>1008</v>
      </c>
      <c r="AI154" s="1056">
        <v>0</v>
      </c>
      <c r="AJ154" s="1083" t="str">
        <f t="shared" si="132"/>
        <v>Medir el grado de cumplimiento de las acciones que hacen parte del Plan de mejoramiento institucional derivadas de la Auditoría de la CGR.</v>
      </c>
      <c r="AK154" s="443">
        <v>0</v>
      </c>
      <c r="AL154" s="745">
        <v>0</v>
      </c>
      <c r="AM154" s="529">
        <v>0</v>
      </c>
      <c r="AN154" s="1064" t="e">
        <f t="shared" si="56"/>
        <v>#DIV/0!</v>
      </c>
      <c r="AO154" s="1064" t="e">
        <f t="shared" si="57"/>
        <v>#DIV/0!</v>
      </c>
      <c r="AP154" s="1064">
        <f t="shared" si="58"/>
        <v>0.5</v>
      </c>
      <c r="AQ154" s="1064" t="e">
        <f t="shared" si="59"/>
        <v>#DIV/0!</v>
      </c>
      <c r="AR154" s="1071" t="s">
        <v>1051</v>
      </c>
      <c r="AS154" s="1056">
        <v>0.5</v>
      </c>
      <c r="AT154" s="1083" t="str">
        <f t="shared" si="130"/>
        <v>Medir el grado de cumplimiento de las acciones que hacen parte del Plan de mejoramiento institucional derivadas de la Auditoría de la CGR.</v>
      </c>
      <c r="AU154" s="443">
        <v>0</v>
      </c>
      <c r="AV154" s="803">
        <v>0.5</v>
      </c>
      <c r="AW154" s="1626">
        <v>0</v>
      </c>
      <c r="AX154" s="1064">
        <f t="shared" si="60"/>
        <v>1</v>
      </c>
      <c r="AY154" s="1064" t="e">
        <f t="shared" si="61"/>
        <v>#DIV/0!</v>
      </c>
      <c r="AZ154" s="1064">
        <f t="shared" si="62"/>
        <v>1</v>
      </c>
      <c r="BA154" s="1064" t="e">
        <f t="shared" si="63"/>
        <v>#DIV/0!</v>
      </c>
      <c r="BB154" s="1068" t="s">
        <v>1902</v>
      </c>
      <c r="BC154" s="1056">
        <v>0</v>
      </c>
      <c r="BD154" s="1083" t="str">
        <f t="shared" ref="BD154:BD179" si="133">+V154</f>
        <v>Medir el grado de cumplimiento de las acciones que hacen parte del Plan de mejoramiento institucional derivadas de la Auditoría de la CGR.</v>
      </c>
      <c r="BE154" s="443">
        <v>0</v>
      </c>
      <c r="BF154" s="1669">
        <v>0</v>
      </c>
      <c r="BG154" s="744">
        <v>0</v>
      </c>
      <c r="BH154" s="1056" t="e">
        <f t="shared" si="75"/>
        <v>#DIV/0!</v>
      </c>
      <c r="BI154" s="1056" t="e">
        <f t="shared" si="76"/>
        <v>#DIV/0!</v>
      </c>
      <c r="BJ154" s="1056">
        <f t="shared" si="77"/>
        <v>1</v>
      </c>
      <c r="BK154" s="1056" t="e">
        <f t="shared" si="78"/>
        <v>#DIV/0!</v>
      </c>
      <c r="BL154" s="1068" t="s">
        <v>2125</v>
      </c>
      <c r="BM154" s="477">
        <f t="shared" si="64"/>
        <v>1</v>
      </c>
      <c r="BN154" s="477" t="str">
        <f t="shared" si="65"/>
        <v>No Prog ni Ejec</v>
      </c>
      <c r="BO154" s="477" t="str">
        <f t="shared" si="66"/>
        <v>No Prog ni Ejec</v>
      </c>
      <c r="BP154" s="477" t="str">
        <f t="shared" si="67"/>
        <v>No Prog ni Ejec</v>
      </c>
      <c r="BQ154" s="477">
        <f t="shared" si="68"/>
        <v>1</v>
      </c>
      <c r="BR154" s="477" t="str">
        <f t="shared" si="69"/>
        <v>No Prog ni Ejec</v>
      </c>
      <c r="BS154" s="477" t="str">
        <f t="shared" si="70"/>
        <v>No Prog ni Ejec</v>
      </c>
      <c r="BT154" s="828" t="str">
        <f t="shared" si="71"/>
        <v>No Prog ni Ejec</v>
      </c>
    </row>
    <row r="155" spans="1:72 16317:16317" s="1627" customFormat="1" ht="89.25" x14ac:dyDescent="0.2">
      <c r="A155" s="1092">
        <v>11800</v>
      </c>
      <c r="B155" s="1060" t="s">
        <v>5</v>
      </c>
      <c r="C155" s="1068" t="s">
        <v>1209</v>
      </c>
      <c r="D155" s="1059" t="s">
        <v>348</v>
      </c>
      <c r="E155" s="1060" t="s">
        <v>256</v>
      </c>
      <c r="F155" s="1059" t="s">
        <v>557</v>
      </c>
      <c r="G155" s="1060" t="s">
        <v>682</v>
      </c>
      <c r="H155" s="1079" t="s">
        <v>123</v>
      </c>
      <c r="I155" s="473">
        <v>1</v>
      </c>
      <c r="J155" s="1059" t="s">
        <v>559</v>
      </c>
      <c r="K155" s="1060" t="s">
        <v>338</v>
      </c>
      <c r="L155" s="443">
        <v>0</v>
      </c>
      <c r="M155" s="444">
        <v>1</v>
      </c>
      <c r="N155" s="1060" t="s">
        <v>51</v>
      </c>
      <c r="O155" s="1060" t="s">
        <v>56</v>
      </c>
      <c r="P155" s="1060" t="s">
        <v>21</v>
      </c>
      <c r="Q155" s="1060" t="s">
        <v>23</v>
      </c>
      <c r="R155" s="1060" t="s">
        <v>230</v>
      </c>
      <c r="S155" s="1060" t="s">
        <v>341</v>
      </c>
      <c r="T155" s="1060" t="s">
        <v>105</v>
      </c>
      <c r="U155" s="444">
        <v>1</v>
      </c>
      <c r="V155" s="1058" t="str">
        <f t="shared" si="72"/>
        <v>Comunicar mensajes con contenidos de autocontrol y de esta manera fomentar la cultura del autocontrol en la ADRES.</v>
      </c>
      <c r="W155" s="445">
        <f t="shared" si="73"/>
        <v>0</v>
      </c>
      <c r="X155" s="1097" t="s">
        <v>117</v>
      </c>
      <c r="Y155" s="1056">
        <v>0.25</v>
      </c>
      <c r="Z155" s="1083" t="str">
        <f t="shared" si="131"/>
        <v>Comunicar mensajes con contenidos de autocontrol y de esta manera fomentar la cultura del autocontrol en la ADRES.</v>
      </c>
      <c r="AA155" s="443">
        <v>0</v>
      </c>
      <c r="AB155" s="478">
        <v>0.25</v>
      </c>
      <c r="AC155" s="448">
        <v>0</v>
      </c>
      <c r="AD155" s="1064">
        <f t="shared" si="52"/>
        <v>1</v>
      </c>
      <c r="AE155" s="1064" t="e">
        <f t="shared" si="53"/>
        <v>#DIV/0!</v>
      </c>
      <c r="AF155" s="1064">
        <f t="shared" si="54"/>
        <v>0.25</v>
      </c>
      <c r="AG155" s="1064" t="e">
        <f t="shared" si="55"/>
        <v>#DIV/0!</v>
      </c>
      <c r="AH155" s="1060" t="s">
        <v>978</v>
      </c>
      <c r="AI155" s="1056">
        <v>0.25</v>
      </c>
      <c r="AJ155" s="1083" t="str">
        <f t="shared" si="132"/>
        <v>Comunicar mensajes con contenidos de autocontrol y de esta manera fomentar la cultura del autocontrol en la ADRES.</v>
      </c>
      <c r="AK155" s="443">
        <v>0</v>
      </c>
      <c r="AL155" s="802">
        <f>3/12</f>
        <v>0.25</v>
      </c>
      <c r="AM155" s="529">
        <v>0</v>
      </c>
      <c r="AN155" s="1064">
        <f t="shared" si="56"/>
        <v>1</v>
      </c>
      <c r="AO155" s="1064" t="e">
        <f t="shared" si="57"/>
        <v>#DIV/0!</v>
      </c>
      <c r="AP155" s="1064">
        <f t="shared" si="58"/>
        <v>0.5</v>
      </c>
      <c r="AQ155" s="1064" t="e">
        <f t="shared" si="59"/>
        <v>#DIV/0!</v>
      </c>
      <c r="AR155" s="1071" t="s">
        <v>1052</v>
      </c>
      <c r="AS155" s="1056">
        <v>0.25</v>
      </c>
      <c r="AT155" s="1083" t="str">
        <f t="shared" si="130"/>
        <v>Comunicar mensajes con contenidos de autocontrol y de esta manera fomentar la cultura del autocontrol en la ADRES.</v>
      </c>
      <c r="AU155" s="443">
        <v>0</v>
      </c>
      <c r="AV155" s="803">
        <f>3/12</f>
        <v>0.25</v>
      </c>
      <c r="AW155" s="1626">
        <v>0</v>
      </c>
      <c r="AX155" s="1064">
        <f t="shared" si="60"/>
        <v>1</v>
      </c>
      <c r="AY155" s="1064" t="e">
        <f t="shared" si="61"/>
        <v>#DIV/0!</v>
      </c>
      <c r="AZ155" s="1064">
        <f t="shared" si="62"/>
        <v>0.75</v>
      </c>
      <c r="BA155" s="1064" t="e">
        <f t="shared" si="63"/>
        <v>#DIV/0!</v>
      </c>
      <c r="BB155" s="1068" t="s">
        <v>1903</v>
      </c>
      <c r="BC155" s="1056">
        <v>0.25</v>
      </c>
      <c r="BD155" s="1083" t="str">
        <f t="shared" si="133"/>
        <v>Comunicar mensajes con contenidos de autocontrol y de esta manera fomentar la cultura del autocontrol en la ADRES.</v>
      </c>
      <c r="BE155" s="443">
        <v>0</v>
      </c>
      <c r="BF155" s="1669">
        <v>0.25</v>
      </c>
      <c r="BG155" s="744">
        <v>0</v>
      </c>
      <c r="BH155" s="1056">
        <f t="shared" si="75"/>
        <v>1</v>
      </c>
      <c r="BI155" s="1056" t="e">
        <f t="shared" si="76"/>
        <v>#DIV/0!</v>
      </c>
      <c r="BJ155" s="1056">
        <f t="shared" si="77"/>
        <v>1</v>
      </c>
      <c r="BK155" s="1056" t="e">
        <f t="shared" si="78"/>
        <v>#DIV/0!</v>
      </c>
      <c r="BL155" s="1068" t="s">
        <v>2126</v>
      </c>
      <c r="BM155" s="477">
        <f t="shared" si="64"/>
        <v>1</v>
      </c>
      <c r="BN155" s="477" t="str">
        <f t="shared" si="65"/>
        <v>No Prog ni Ejec</v>
      </c>
      <c r="BO155" s="477">
        <f t="shared" si="66"/>
        <v>1</v>
      </c>
      <c r="BP155" s="477" t="str">
        <f t="shared" si="67"/>
        <v>No Prog ni Ejec</v>
      </c>
      <c r="BQ155" s="477">
        <f t="shared" si="68"/>
        <v>1</v>
      </c>
      <c r="BR155" s="477" t="str">
        <f t="shared" si="69"/>
        <v>No Prog ni Ejec</v>
      </c>
      <c r="BS155" s="477">
        <f t="shared" si="70"/>
        <v>1</v>
      </c>
      <c r="BT155" s="828" t="str">
        <f t="shared" si="71"/>
        <v>No Prog ni Ejec</v>
      </c>
    </row>
    <row r="156" spans="1:72 16317:16317" s="1627" customFormat="1" ht="51" customHeight="1" x14ac:dyDescent="0.2">
      <c r="A156" s="1092">
        <v>11900</v>
      </c>
      <c r="B156" s="1060" t="s">
        <v>349</v>
      </c>
      <c r="C156" s="1068" t="s">
        <v>1209</v>
      </c>
      <c r="D156" s="1059" t="s">
        <v>350</v>
      </c>
      <c r="E156" s="1060" t="s">
        <v>153</v>
      </c>
      <c r="F156" s="1059" t="s">
        <v>352</v>
      </c>
      <c r="G156" s="1060" t="s">
        <v>763</v>
      </c>
      <c r="H156" s="1079" t="s">
        <v>124</v>
      </c>
      <c r="I156" s="1059">
        <v>4</v>
      </c>
      <c r="J156" s="1059" t="s">
        <v>544</v>
      </c>
      <c r="K156" s="1060" t="s">
        <v>685</v>
      </c>
      <c r="L156" s="443">
        <v>0</v>
      </c>
      <c r="M156" s="444">
        <v>1</v>
      </c>
      <c r="N156" s="1060" t="s">
        <v>51</v>
      </c>
      <c r="O156" s="1060" t="s">
        <v>68</v>
      </c>
      <c r="P156" s="1060" t="s">
        <v>21</v>
      </c>
      <c r="Q156" s="1060" t="s">
        <v>36</v>
      </c>
      <c r="R156" s="1060" t="s">
        <v>75</v>
      </c>
      <c r="S156" s="1060" t="s">
        <v>631</v>
      </c>
      <c r="T156" s="1060" t="s">
        <v>98</v>
      </c>
      <c r="U156" s="467">
        <v>4</v>
      </c>
      <c r="V156" s="1058" t="str">
        <f t="shared" si="72"/>
        <v xml:space="preserve">
Reportar  trimestralmente el cumplimiento del Plan de Acción de la Dependencia</v>
      </c>
      <c r="W156" s="445">
        <f t="shared" si="73"/>
        <v>0</v>
      </c>
      <c r="X156" s="1097" t="s">
        <v>117</v>
      </c>
      <c r="Y156" s="463">
        <v>1</v>
      </c>
      <c r="Z156" s="1083" t="str">
        <f t="shared" si="131"/>
        <v xml:space="preserve">
Reportar  trimestralmente el cumplimiento del Plan de Acción de la Dependencia</v>
      </c>
      <c r="AA156" s="443">
        <v>0</v>
      </c>
      <c r="AB156" s="446">
        <v>1</v>
      </c>
      <c r="AC156" s="448">
        <v>0</v>
      </c>
      <c r="AD156" s="1064">
        <f t="shared" si="52"/>
        <v>1</v>
      </c>
      <c r="AE156" s="1064" t="e">
        <f t="shared" si="53"/>
        <v>#DIV/0!</v>
      </c>
      <c r="AF156" s="1064">
        <f t="shared" si="54"/>
        <v>0.25</v>
      </c>
      <c r="AG156" s="1064" t="e">
        <f t="shared" si="55"/>
        <v>#DIV/0!</v>
      </c>
      <c r="AH156" s="527"/>
      <c r="AI156" s="1056">
        <v>1</v>
      </c>
      <c r="AJ156" s="1083" t="str">
        <f t="shared" si="132"/>
        <v xml:space="preserve">
Reportar  trimestralmente el cumplimiento del Plan de Acción de la Dependencia</v>
      </c>
      <c r="AK156" s="443">
        <v>0</v>
      </c>
      <c r="AL156" s="446">
        <v>1</v>
      </c>
      <c r="AM156" s="448">
        <v>0</v>
      </c>
      <c r="AN156" s="1064">
        <f t="shared" si="56"/>
        <v>1</v>
      </c>
      <c r="AO156" s="1064" t="e">
        <f t="shared" si="57"/>
        <v>#DIV/0!</v>
      </c>
      <c r="AP156" s="1064">
        <f t="shared" si="58"/>
        <v>0.5</v>
      </c>
      <c r="AQ156" s="1064" t="e">
        <f t="shared" si="59"/>
        <v>#DIV/0!</v>
      </c>
      <c r="AR156" s="527"/>
      <c r="AS156" s="1056">
        <v>1</v>
      </c>
      <c r="AT156" s="1083" t="str">
        <f t="shared" si="130"/>
        <v xml:space="preserve">
Reportar  trimestralmente el cumplimiento del Plan de Acción de la Dependencia</v>
      </c>
      <c r="AU156" s="443">
        <v>0</v>
      </c>
      <c r="AV156" s="825">
        <v>1</v>
      </c>
      <c r="AW156" s="1626">
        <v>0</v>
      </c>
      <c r="AX156" s="1064">
        <f t="shared" si="60"/>
        <v>1</v>
      </c>
      <c r="AY156" s="1064" t="e">
        <f t="shared" si="61"/>
        <v>#DIV/0!</v>
      </c>
      <c r="AZ156" s="1064">
        <f t="shared" si="62"/>
        <v>0.75</v>
      </c>
      <c r="BA156" s="1064" t="e">
        <f t="shared" si="63"/>
        <v>#DIV/0!</v>
      </c>
      <c r="BB156" s="1048"/>
      <c r="BC156" s="1056">
        <v>1</v>
      </c>
      <c r="BD156" s="1083" t="str">
        <f t="shared" si="133"/>
        <v xml:space="preserve">
Reportar  trimestralmente el cumplimiento del Plan de Acción de la Dependencia</v>
      </c>
      <c r="BE156" s="443">
        <v>0</v>
      </c>
      <c r="BF156" s="1067">
        <v>1</v>
      </c>
      <c r="BG156" s="744">
        <v>0</v>
      </c>
      <c r="BH156" s="1056">
        <f t="shared" si="75"/>
        <v>1</v>
      </c>
      <c r="BI156" s="1056" t="e">
        <f t="shared" si="76"/>
        <v>#DIV/0!</v>
      </c>
      <c r="BJ156" s="1056">
        <f t="shared" si="77"/>
        <v>1</v>
      </c>
      <c r="BK156" s="1056" t="e">
        <f t="shared" si="78"/>
        <v>#DIV/0!</v>
      </c>
      <c r="BL156" s="1083"/>
      <c r="BM156" s="477">
        <f t="shared" si="64"/>
        <v>1</v>
      </c>
      <c r="BN156" s="477" t="str">
        <f t="shared" si="65"/>
        <v>No Prog ni Ejec</v>
      </c>
      <c r="BO156" s="477">
        <f t="shared" si="66"/>
        <v>1</v>
      </c>
      <c r="BP156" s="477" t="str">
        <f t="shared" si="67"/>
        <v>No Prog ni Ejec</v>
      </c>
      <c r="BQ156" s="477">
        <f t="shared" si="68"/>
        <v>1</v>
      </c>
      <c r="BR156" s="477" t="str">
        <f t="shared" si="69"/>
        <v>No Prog ni Ejec</v>
      </c>
      <c r="BS156" s="477">
        <f t="shared" si="70"/>
        <v>1</v>
      </c>
      <c r="BT156" s="828" t="str">
        <f t="shared" si="71"/>
        <v>No Prog ni Ejec</v>
      </c>
    </row>
    <row r="157" spans="1:72 16317:16317" s="1627" customFormat="1" ht="89.25" customHeight="1" x14ac:dyDescent="0.2">
      <c r="A157" s="1092">
        <v>11900</v>
      </c>
      <c r="B157" s="1060" t="s">
        <v>349</v>
      </c>
      <c r="C157" s="1068" t="s">
        <v>1209</v>
      </c>
      <c r="D157" s="1059" t="s">
        <v>351</v>
      </c>
      <c r="E157" s="1060" t="s">
        <v>256</v>
      </c>
      <c r="F157" s="1059" t="s">
        <v>353</v>
      </c>
      <c r="G157" s="1060" t="s">
        <v>686</v>
      </c>
      <c r="H157" s="1079" t="s">
        <v>123</v>
      </c>
      <c r="I157" s="1056">
        <v>1</v>
      </c>
      <c r="J157" s="1059" t="s">
        <v>545</v>
      </c>
      <c r="K157" s="1060" t="s">
        <v>598</v>
      </c>
      <c r="L157" s="443">
        <v>0</v>
      </c>
      <c r="M157" s="444">
        <v>1</v>
      </c>
      <c r="N157" s="1060" t="s">
        <v>51</v>
      </c>
      <c r="O157" s="1060" t="s">
        <v>68</v>
      </c>
      <c r="P157" s="1060" t="s">
        <v>21</v>
      </c>
      <c r="Q157" s="1060" t="s">
        <v>36</v>
      </c>
      <c r="R157" s="1060" t="s">
        <v>75</v>
      </c>
      <c r="S157" s="1060" t="s">
        <v>672</v>
      </c>
      <c r="T157" s="1060" t="s">
        <v>98</v>
      </c>
      <c r="U157" s="444">
        <v>1</v>
      </c>
      <c r="V157" s="1058" t="str">
        <f t="shared" si="72"/>
        <v>Formular los procesos y procedimientos en el marco del MIPG</v>
      </c>
      <c r="W157" s="445">
        <f t="shared" si="73"/>
        <v>0</v>
      </c>
      <c r="X157" s="1097" t="s">
        <v>117</v>
      </c>
      <c r="Y157" s="1056">
        <v>0.25</v>
      </c>
      <c r="Z157" s="1083" t="str">
        <f t="shared" si="131"/>
        <v>Formular los procesos y procedimientos en el marco del MIPG</v>
      </c>
      <c r="AA157" s="443">
        <v>0</v>
      </c>
      <c r="AB157" s="447">
        <f>(2/9)</f>
        <v>0.22222222222222221</v>
      </c>
      <c r="AC157" s="448">
        <v>0</v>
      </c>
      <c r="AD157" s="1064">
        <f t="shared" si="52"/>
        <v>0.88888888888888884</v>
      </c>
      <c r="AE157" s="1064" t="e">
        <f t="shared" si="53"/>
        <v>#DIV/0!</v>
      </c>
      <c r="AF157" s="1064">
        <f t="shared" si="54"/>
        <v>0.22222222222222221</v>
      </c>
      <c r="AG157" s="1064" t="e">
        <f t="shared" si="55"/>
        <v>#DIV/0!</v>
      </c>
      <c r="AH157" s="527"/>
      <c r="AI157" s="1056">
        <v>0.25</v>
      </c>
      <c r="AJ157" s="1083" t="str">
        <f t="shared" si="132"/>
        <v>Formular los procesos y procedimientos en el marco del MIPG</v>
      </c>
      <c r="AK157" s="443">
        <v>0</v>
      </c>
      <c r="AL157" s="478">
        <v>0</v>
      </c>
      <c r="AM157" s="446" t="s">
        <v>1057</v>
      </c>
      <c r="AN157" s="1064">
        <f t="shared" si="56"/>
        <v>0</v>
      </c>
      <c r="AO157" s="1064" t="e">
        <f t="shared" si="57"/>
        <v>#VALUE!</v>
      </c>
      <c r="AP157" s="1064">
        <f t="shared" si="58"/>
        <v>0.22222222222222221</v>
      </c>
      <c r="AQ157" s="1064" t="e">
        <f t="shared" si="59"/>
        <v>#VALUE!</v>
      </c>
      <c r="AR157" s="527"/>
      <c r="AS157" s="1056">
        <v>0.25</v>
      </c>
      <c r="AT157" s="1083" t="str">
        <f t="shared" si="130"/>
        <v>Formular los procesos y procedimientos en el marco del MIPG</v>
      </c>
      <c r="AU157" s="443">
        <v>0</v>
      </c>
      <c r="AV157" s="803">
        <f>(7/9)</f>
        <v>0.77777777777777779</v>
      </c>
      <c r="AW157" s="1626">
        <v>0</v>
      </c>
      <c r="AX157" s="1064">
        <f t="shared" si="60"/>
        <v>3.1111111111111112</v>
      </c>
      <c r="AY157" s="1064" t="e">
        <f t="shared" si="61"/>
        <v>#DIV/0!</v>
      </c>
      <c r="AZ157" s="1064">
        <f t="shared" si="62"/>
        <v>1</v>
      </c>
      <c r="BA157" s="1064" t="e">
        <f t="shared" si="63"/>
        <v>#VALUE!</v>
      </c>
      <c r="BB157" s="1048" t="s">
        <v>2315</v>
      </c>
      <c r="BC157" s="1056">
        <v>0.25</v>
      </c>
      <c r="BD157" s="1083" t="str">
        <f t="shared" si="133"/>
        <v>Formular los procesos y procedimientos en el marco del MIPG</v>
      </c>
      <c r="BE157" s="443">
        <v>0</v>
      </c>
      <c r="BF157" s="1067"/>
      <c r="BG157" s="744">
        <v>0</v>
      </c>
      <c r="BH157" s="1056">
        <f t="shared" si="75"/>
        <v>0</v>
      </c>
      <c r="BI157" s="1056" t="e">
        <f t="shared" si="76"/>
        <v>#DIV/0!</v>
      </c>
      <c r="BJ157" s="1056">
        <f t="shared" si="77"/>
        <v>1</v>
      </c>
      <c r="BK157" s="1056" t="e">
        <f t="shared" si="78"/>
        <v>#VALUE!</v>
      </c>
      <c r="BL157" s="1083"/>
      <c r="BM157" s="477">
        <f t="shared" si="64"/>
        <v>0.88888888888888884</v>
      </c>
      <c r="BN157" s="477" t="str">
        <f t="shared" si="65"/>
        <v>No Prog ni Ejec</v>
      </c>
      <c r="BO157" s="477">
        <f t="shared" si="66"/>
        <v>0</v>
      </c>
      <c r="BP157" s="477" t="str">
        <f t="shared" si="67"/>
        <v xml:space="preserve">No Prog, Ejec=   $ - </v>
      </c>
      <c r="BQ157" s="477">
        <f t="shared" si="68"/>
        <v>3.1111111111111112</v>
      </c>
      <c r="BR157" s="477" t="str">
        <f t="shared" si="69"/>
        <v>No Prog ni Ejec</v>
      </c>
      <c r="BS157" s="477">
        <f t="shared" si="70"/>
        <v>0</v>
      </c>
      <c r="BT157" s="828" t="str">
        <f t="shared" si="71"/>
        <v>No Prog ni Ejec</v>
      </c>
    </row>
    <row r="158" spans="1:72 16317:16317" s="1627" customFormat="1" ht="89.25" customHeight="1" x14ac:dyDescent="0.2">
      <c r="A158" s="1092">
        <v>11900</v>
      </c>
      <c r="B158" s="1060" t="s">
        <v>349</v>
      </c>
      <c r="C158" s="1068" t="s">
        <v>1209</v>
      </c>
      <c r="D158" s="1059" t="s">
        <v>351</v>
      </c>
      <c r="E158" s="1060" t="s">
        <v>256</v>
      </c>
      <c r="F158" s="1059" t="s">
        <v>354</v>
      </c>
      <c r="G158" s="1060" t="s">
        <v>687</v>
      </c>
      <c r="H158" s="1079" t="s">
        <v>124</v>
      </c>
      <c r="I158" s="1059">
        <v>4</v>
      </c>
      <c r="J158" s="1059" t="s">
        <v>560</v>
      </c>
      <c r="K158" s="1060" t="s">
        <v>688</v>
      </c>
      <c r="L158" s="443">
        <v>0</v>
      </c>
      <c r="M158" s="444">
        <v>1</v>
      </c>
      <c r="N158" s="1060" t="s">
        <v>51</v>
      </c>
      <c r="O158" s="1060" t="s">
        <v>68</v>
      </c>
      <c r="P158" s="1060" t="s">
        <v>21</v>
      </c>
      <c r="Q158" s="1060" t="s">
        <v>36</v>
      </c>
      <c r="R158" s="1060" t="s">
        <v>75</v>
      </c>
      <c r="S158" s="1060" t="s">
        <v>570</v>
      </c>
      <c r="T158" s="1060" t="s">
        <v>98</v>
      </c>
      <c r="U158" s="1059">
        <v>4</v>
      </c>
      <c r="V158" s="1058" t="str">
        <f t="shared" si="72"/>
        <v>Evaluar la gestión y resultados de los procesos de calidad de la Dependencia y remitir informes trimestrales de los indicadores formulados y las acciones de mejoras</v>
      </c>
      <c r="W158" s="445">
        <f t="shared" si="73"/>
        <v>0</v>
      </c>
      <c r="X158" s="1097" t="s">
        <v>117</v>
      </c>
      <c r="Y158" s="444">
        <v>0</v>
      </c>
      <c r="Z158" s="1083" t="str">
        <f t="shared" si="131"/>
        <v>Evaluar la gestión y resultados de los procesos de calidad de la Dependencia y remitir informes trimestrales de los indicadores formulados y las acciones de mejoras</v>
      </c>
      <c r="AA158" s="443">
        <v>0</v>
      </c>
      <c r="AB158" s="447">
        <v>0</v>
      </c>
      <c r="AC158" s="448">
        <v>0</v>
      </c>
      <c r="AD158" s="1064" t="e">
        <f t="shared" si="52"/>
        <v>#DIV/0!</v>
      </c>
      <c r="AE158" s="1064" t="e">
        <f t="shared" si="53"/>
        <v>#DIV/0!</v>
      </c>
      <c r="AF158" s="1064">
        <f t="shared" si="54"/>
        <v>0</v>
      </c>
      <c r="AG158" s="1064" t="e">
        <f t="shared" si="55"/>
        <v>#DIV/0!</v>
      </c>
      <c r="AH158" s="527"/>
      <c r="AI158" s="444">
        <v>0</v>
      </c>
      <c r="AJ158" s="1083" t="str">
        <f t="shared" si="132"/>
        <v>Evaluar la gestión y resultados de los procesos de calidad de la Dependencia y remitir informes trimestrales de los indicadores formulados y las acciones de mejoras</v>
      </c>
      <c r="AK158" s="443">
        <v>0</v>
      </c>
      <c r="AL158" s="478">
        <v>0</v>
      </c>
      <c r="AM158" s="446" t="s">
        <v>1057</v>
      </c>
      <c r="AN158" s="1064" t="e">
        <f t="shared" si="56"/>
        <v>#DIV/0!</v>
      </c>
      <c r="AO158" s="1064" t="e">
        <f t="shared" si="57"/>
        <v>#VALUE!</v>
      </c>
      <c r="AP158" s="1064">
        <f t="shared" si="58"/>
        <v>0</v>
      </c>
      <c r="AQ158" s="1064" t="e">
        <f t="shared" si="59"/>
        <v>#VALUE!</v>
      </c>
      <c r="AR158" s="527"/>
      <c r="AS158" s="444">
        <v>0</v>
      </c>
      <c r="AT158" s="1083" t="str">
        <f t="shared" si="130"/>
        <v>Evaluar la gestión y resultados de los procesos de calidad de la Dependencia y remitir informes trimestrales de los indicadores formulados y las acciones de mejoras</v>
      </c>
      <c r="AU158" s="443">
        <v>0</v>
      </c>
      <c r="AV158" s="803">
        <v>0</v>
      </c>
      <c r="AW158" s="1626">
        <v>0</v>
      </c>
      <c r="AX158" s="1064" t="e">
        <f t="shared" si="60"/>
        <v>#DIV/0!</v>
      </c>
      <c r="AY158" s="1064" t="e">
        <f t="shared" si="61"/>
        <v>#DIV/0!</v>
      </c>
      <c r="AZ158" s="1064">
        <f t="shared" si="62"/>
        <v>0</v>
      </c>
      <c r="BA158" s="1064" t="e">
        <f t="shared" si="63"/>
        <v>#VALUE!</v>
      </c>
      <c r="BB158" s="1048"/>
      <c r="BC158" s="444">
        <v>1</v>
      </c>
      <c r="BD158" s="474" t="str">
        <f t="shared" si="133"/>
        <v>Evaluar la gestión y resultados de los procesos de calidad de la Dependencia y remitir informes trimestrales de los indicadores formulados y las acciones de mejoras</v>
      </c>
      <c r="BE158" s="443">
        <v>0</v>
      </c>
      <c r="BF158" s="1088">
        <f>(2/2)</f>
        <v>1</v>
      </c>
      <c r="BG158" s="744">
        <v>0</v>
      </c>
      <c r="BH158" s="1056">
        <f t="shared" si="75"/>
        <v>1</v>
      </c>
      <c r="BI158" s="1056" t="e">
        <f t="shared" si="76"/>
        <v>#DIV/0!</v>
      </c>
      <c r="BJ158" s="1056">
        <f t="shared" si="77"/>
        <v>0.25</v>
      </c>
      <c r="BK158" s="1056" t="e">
        <f t="shared" si="78"/>
        <v>#VALUE!</v>
      </c>
      <c r="BL158" s="1048" t="s">
        <v>2136</v>
      </c>
      <c r="BM158" s="477" t="str">
        <f t="shared" si="64"/>
        <v>No Prog ni Ejec</v>
      </c>
      <c r="BN158" s="477" t="str">
        <f t="shared" si="65"/>
        <v>No Prog ni Ejec</v>
      </c>
      <c r="BO158" s="477" t="str">
        <f t="shared" si="66"/>
        <v>No Prog ni Ejec</v>
      </c>
      <c r="BP158" s="477" t="str">
        <f t="shared" si="67"/>
        <v xml:space="preserve">No Prog, Ejec=   $ - </v>
      </c>
      <c r="BQ158" s="477" t="str">
        <f t="shared" si="68"/>
        <v>No Prog ni Ejec</v>
      </c>
      <c r="BR158" s="477" t="str">
        <f t="shared" si="69"/>
        <v>No Prog ni Ejec</v>
      </c>
      <c r="BS158" s="477">
        <f t="shared" si="70"/>
        <v>1</v>
      </c>
      <c r="BT158" s="828" t="str">
        <f t="shared" si="71"/>
        <v>No Prog ni Ejec</v>
      </c>
    </row>
    <row r="159" spans="1:72 16317:16317" s="1627" customFormat="1" ht="51" x14ac:dyDescent="0.2">
      <c r="A159" s="1092">
        <v>11900</v>
      </c>
      <c r="B159" s="1060" t="s">
        <v>349</v>
      </c>
      <c r="C159" s="1068" t="s">
        <v>1209</v>
      </c>
      <c r="D159" s="1059" t="s">
        <v>357</v>
      </c>
      <c r="E159" s="1060" t="s">
        <v>146</v>
      </c>
      <c r="F159" s="1059" t="s">
        <v>358</v>
      </c>
      <c r="G159" s="1060" t="s">
        <v>767</v>
      </c>
      <c r="H159" s="1079" t="s">
        <v>123</v>
      </c>
      <c r="I159" s="1056">
        <v>1</v>
      </c>
      <c r="J159" s="1059" t="s">
        <v>359</v>
      </c>
      <c r="K159" s="1060" t="s">
        <v>690</v>
      </c>
      <c r="L159" s="443">
        <f>254442984+1215528-3864246</f>
        <v>251794266</v>
      </c>
      <c r="M159" s="444">
        <v>1</v>
      </c>
      <c r="N159" s="1060" t="s">
        <v>46</v>
      </c>
      <c r="O159" s="1060" t="s">
        <v>74</v>
      </c>
      <c r="P159" s="1060" t="s">
        <v>21</v>
      </c>
      <c r="Q159" s="1060" t="s">
        <v>36</v>
      </c>
      <c r="R159" s="1060" t="s">
        <v>229</v>
      </c>
      <c r="S159" s="1060" t="s">
        <v>360</v>
      </c>
      <c r="T159" s="1060" t="s">
        <v>99</v>
      </c>
      <c r="U159" s="444">
        <v>1</v>
      </c>
      <c r="V159" s="1058" t="str">
        <f t="shared" si="72"/>
        <v>Atender las solicitudes de informes derivadas de acciones constitucionales y tutelas</v>
      </c>
      <c r="W159" s="445">
        <f t="shared" si="73"/>
        <v>251794266</v>
      </c>
      <c r="X159" s="1097" t="s">
        <v>114</v>
      </c>
      <c r="Y159" s="1056">
        <v>0.25</v>
      </c>
      <c r="Z159" s="1083" t="str">
        <f t="shared" si="131"/>
        <v>Atender las solicitudes de informes derivadas de acciones constitucionales y tutelas</v>
      </c>
      <c r="AA159" s="443">
        <v>63610746</v>
      </c>
      <c r="AB159" s="481">
        <f>((9051/9075)*(25/100))</f>
        <v>0.24933884297520661</v>
      </c>
      <c r="AC159" s="448">
        <f>37149387+1084237.36-112417</f>
        <v>38121207.359999999</v>
      </c>
      <c r="AD159" s="1064">
        <f t="shared" si="52"/>
        <v>0.99735537190082646</v>
      </c>
      <c r="AE159" s="1064">
        <f t="shared" si="53"/>
        <v>0.59928879563839732</v>
      </c>
      <c r="AF159" s="1064">
        <f t="shared" si="54"/>
        <v>0.24933884297520661</v>
      </c>
      <c r="AG159" s="1064">
        <f t="shared" si="55"/>
        <v>0.15139823462064064</v>
      </c>
      <c r="AH159" s="527"/>
      <c r="AI159" s="1056">
        <v>0.25</v>
      </c>
      <c r="AJ159" s="1083" t="str">
        <f t="shared" si="132"/>
        <v>Atender las solicitudes de informes derivadas de acciones constitucionales y tutelas</v>
      </c>
      <c r="AK159" s="443">
        <v>63610746</v>
      </c>
      <c r="AL159" s="701">
        <f>((31033/31144)*(25/100))</f>
        <v>0.24910897765219625</v>
      </c>
      <c r="AM159" s="702">
        <v>59317140</v>
      </c>
      <c r="AN159" s="1064">
        <f t="shared" si="56"/>
        <v>0.996435910608785</v>
      </c>
      <c r="AO159" s="1064">
        <f t="shared" si="57"/>
        <v>0.93250187633391379</v>
      </c>
      <c r="AP159" s="1064">
        <f t="shared" si="58"/>
        <v>0.49844782062740289</v>
      </c>
      <c r="AQ159" s="1064">
        <f t="shared" si="59"/>
        <v>0.38697603765131011</v>
      </c>
      <c r="AR159" s="527"/>
      <c r="AS159" s="1056">
        <v>0.25</v>
      </c>
      <c r="AT159" s="1083" t="str">
        <f t="shared" si="130"/>
        <v>Atender las solicitudes de informes derivadas de acciones constitucionales y tutelas</v>
      </c>
      <c r="AU159" s="443">
        <f>63610746-3864246</f>
        <v>59746500</v>
      </c>
      <c r="AV159" s="481">
        <f>((25949/27764)*AS159)</f>
        <v>0.23365689381933438</v>
      </c>
      <c r="AW159" s="448">
        <v>63610746</v>
      </c>
      <c r="AX159" s="1064">
        <f t="shared" si="60"/>
        <v>0.93462757527733753</v>
      </c>
      <c r="AY159" s="1064">
        <f t="shared" si="61"/>
        <v>1.0646773618538325</v>
      </c>
      <c r="AZ159" s="1064">
        <f t="shared" si="62"/>
        <v>0.7321047144467373</v>
      </c>
      <c r="BA159" s="1064">
        <f t="shared" si="63"/>
        <v>0.63960588109659344</v>
      </c>
      <c r="BB159" s="527"/>
      <c r="BC159" s="1056">
        <v>0.25</v>
      </c>
      <c r="BD159" s="1083" t="str">
        <f t="shared" si="133"/>
        <v>Atender las solicitudes de informes derivadas de acciones constitucionales y tutelas</v>
      </c>
      <c r="BE159" s="443">
        <f>63610746+1215528</f>
        <v>64826274</v>
      </c>
      <c r="BF159" s="1088">
        <f>((26649/26802)*(25/100))</f>
        <v>0.24857286769644057</v>
      </c>
      <c r="BG159" s="1077">
        <v>61599865</v>
      </c>
      <c r="BH159" s="1056">
        <f t="shared" si="75"/>
        <v>0.9942914707857623</v>
      </c>
      <c r="BI159" s="1056">
        <f t="shared" si="76"/>
        <v>0.95022991757940611</v>
      </c>
      <c r="BJ159" s="1056">
        <f t="shared" si="77"/>
        <v>0.98067758214317791</v>
      </c>
      <c r="BK159" s="1056">
        <f t="shared" si="78"/>
        <v>0.8842495180569363</v>
      </c>
      <c r="BL159" s="1083"/>
      <c r="BM159" s="477">
        <f t="shared" si="64"/>
        <v>0.99735537190082646</v>
      </c>
      <c r="BN159" s="477">
        <f t="shared" si="65"/>
        <v>0.59928879563839732</v>
      </c>
      <c r="BO159" s="477">
        <f t="shared" si="66"/>
        <v>0.996435910608785</v>
      </c>
      <c r="BP159" s="477">
        <f t="shared" si="67"/>
        <v>0.93250187633391379</v>
      </c>
      <c r="BQ159" s="477">
        <f t="shared" si="68"/>
        <v>0.93462757527733753</v>
      </c>
      <c r="BR159" s="477">
        <f t="shared" si="69"/>
        <v>1.0646773618538325</v>
      </c>
      <c r="BS159" s="477">
        <f t="shared" si="70"/>
        <v>0.9942914707857623</v>
      </c>
      <c r="BT159" s="828">
        <f t="shared" si="71"/>
        <v>0.95022991757940611</v>
      </c>
    </row>
    <row r="160" spans="1:72 16317:16317" s="1627" customFormat="1" ht="51" x14ac:dyDescent="0.2">
      <c r="A160" s="1092">
        <v>11900</v>
      </c>
      <c r="B160" s="1060" t="s">
        <v>349</v>
      </c>
      <c r="C160" s="1068" t="s">
        <v>1209</v>
      </c>
      <c r="D160" s="1059" t="s">
        <v>357</v>
      </c>
      <c r="E160" s="1060" t="s">
        <v>146</v>
      </c>
      <c r="F160" s="1059" t="s">
        <v>361</v>
      </c>
      <c r="G160" s="1060" t="s">
        <v>436</v>
      </c>
      <c r="H160" s="1079" t="s">
        <v>123</v>
      </c>
      <c r="I160" s="1056">
        <v>1</v>
      </c>
      <c r="J160" s="1059" t="s">
        <v>458</v>
      </c>
      <c r="K160" s="1060" t="s">
        <v>362</v>
      </c>
      <c r="L160" s="1152">
        <f>768132904+33478540+17721628+32125220-33478540-4184817-10708407+58879460</f>
        <v>861965988</v>
      </c>
      <c r="M160" s="1153">
        <v>1</v>
      </c>
      <c r="N160" s="1060" t="s">
        <v>46</v>
      </c>
      <c r="O160" s="1060" t="s">
        <v>74</v>
      </c>
      <c r="P160" s="1060" t="s">
        <v>21</v>
      </c>
      <c r="Q160" s="1060" t="s">
        <v>36</v>
      </c>
      <c r="R160" s="1060" t="s">
        <v>229</v>
      </c>
      <c r="S160" s="1060" t="s">
        <v>437</v>
      </c>
      <c r="T160" s="1060" t="s">
        <v>99</v>
      </c>
      <c r="U160" s="444">
        <v>1</v>
      </c>
      <c r="V160" s="1058" t="str">
        <f t="shared" si="72"/>
        <v>Ejercer la defensa extrajudicial y judicial en los asuntos y/o procesos judiciales en que la ADRES es parte o vinculado.</v>
      </c>
      <c r="W160" s="1155">
        <f t="shared" si="73"/>
        <v>861965988</v>
      </c>
      <c r="X160" s="1097" t="s">
        <v>114</v>
      </c>
      <c r="Y160" s="1056">
        <v>0.25</v>
      </c>
      <c r="Z160" s="1083" t="str">
        <f t="shared" si="131"/>
        <v>Ejercer la defensa extrajudicial y judicial en los asuntos y/o procesos judiciales en que la ADRES es parte o vinculado.</v>
      </c>
      <c r="AA160" s="1152">
        <v>192033226</v>
      </c>
      <c r="AB160" s="447">
        <f>11/11*0.25</f>
        <v>0.25</v>
      </c>
      <c r="AC160" s="1152">
        <f>73830629+3407605</f>
        <v>77238234</v>
      </c>
      <c r="AD160" s="1064">
        <f t="shared" si="52"/>
        <v>1</v>
      </c>
      <c r="AE160" s="1157">
        <f>+(AC160/AA160)</f>
        <v>0.40221286497577247</v>
      </c>
      <c r="AF160" s="1064">
        <f t="shared" si="54"/>
        <v>0.25</v>
      </c>
      <c r="AG160" s="1157">
        <f t="shared" si="55"/>
        <v>8.9607055354021692E-2</v>
      </c>
      <c r="AH160" s="1060" t="s">
        <v>912</v>
      </c>
      <c r="AI160" s="1056">
        <v>0.25</v>
      </c>
      <c r="AJ160" s="1083" t="str">
        <f t="shared" si="132"/>
        <v>Ejercer la defensa extrajudicial y judicial en los asuntos y/o procesos judiciales en que la ADRES es parte o vinculado.</v>
      </c>
      <c r="AK160" s="1152">
        <v>192033226</v>
      </c>
      <c r="AL160" s="793">
        <f>(95/100)*AI160</f>
        <v>0.23749999999999999</v>
      </c>
      <c r="AM160" s="1138">
        <f>143795057+13117798</f>
        <v>156912855</v>
      </c>
      <c r="AN160" s="1064">
        <f t="shared" si="56"/>
        <v>0.95</v>
      </c>
      <c r="AO160" s="1157">
        <f t="shared" si="57"/>
        <v>0.81711305000937706</v>
      </c>
      <c r="AP160" s="1064">
        <f t="shared" si="58"/>
        <v>0.48749999999999999</v>
      </c>
      <c r="AQ160" s="1157">
        <f t="shared" si="59"/>
        <v>0.27164771262413201</v>
      </c>
      <c r="AR160" s="527"/>
      <c r="AS160" s="1056">
        <v>0.25</v>
      </c>
      <c r="AT160" s="1083" t="str">
        <f t="shared" si="130"/>
        <v>Ejercer la defensa extrajudicial y judicial en los asuntos y/o procesos judiciales en que la ADRES es parte o vinculado.</v>
      </c>
      <c r="AU160" s="1140">
        <f>192033226+8369635-33478540-4184817-10708407</f>
        <v>152031097</v>
      </c>
      <c r="AV160" s="490">
        <f>73/77*0.25</f>
        <v>0.23701298701298701</v>
      </c>
      <c r="AW160" s="1140">
        <v>180007583</v>
      </c>
      <c r="AX160" s="1064">
        <f t="shared" si="60"/>
        <v>0.94805194805194803</v>
      </c>
      <c r="AY160" s="1143">
        <f t="shared" si="61"/>
        <v>1.1840181814908564</v>
      </c>
      <c r="AZ160" s="1064">
        <f t="shared" si="62"/>
        <v>0.72451298701298694</v>
      </c>
      <c r="BA160" s="1143">
        <f t="shared" si="63"/>
        <v>0.48048145491327671</v>
      </c>
      <c r="BB160" s="1659"/>
      <c r="BC160" s="1056">
        <v>0.25</v>
      </c>
      <c r="BD160" s="1083" t="str">
        <f t="shared" si="133"/>
        <v>Ejercer la defensa extrajudicial y judicial en los asuntos y/o procesos judiciales en que la ADRES es parte o vinculado.</v>
      </c>
      <c r="BE160" s="1140">
        <f>192033226+25108905+17721628+32125220+58879460</f>
        <v>325868439</v>
      </c>
      <c r="BF160" s="738">
        <f>(60/69)*BC160</f>
        <v>0.21739130434782608</v>
      </c>
      <c r="BG160" s="1687">
        <f>169317128+11314446</f>
        <v>180631574</v>
      </c>
      <c r="BH160" s="1056">
        <f t="shared" si="75"/>
        <v>0.86956521739130432</v>
      </c>
      <c r="BI160" s="1056">
        <f t="shared" si="76"/>
        <v>0.5543082802197975</v>
      </c>
      <c r="BJ160" s="1056">
        <f t="shared" si="77"/>
        <v>0.941904291360813</v>
      </c>
      <c r="BK160" s="1056">
        <f t="shared" si="78"/>
        <v>0.69003911323702949</v>
      </c>
      <c r="BL160" s="1068" t="s">
        <v>2207</v>
      </c>
      <c r="BM160" s="477">
        <f t="shared" si="64"/>
        <v>1</v>
      </c>
      <c r="BN160" s="1222">
        <f t="shared" si="65"/>
        <v>0.40221286497577247</v>
      </c>
      <c r="BO160" s="477">
        <f t="shared" si="66"/>
        <v>0.95</v>
      </c>
      <c r="BP160" s="1222">
        <f t="shared" si="67"/>
        <v>0.81711305000937706</v>
      </c>
      <c r="BQ160" s="477">
        <f t="shared" si="68"/>
        <v>0.94805194805194803</v>
      </c>
      <c r="BR160" s="1222">
        <f t="shared" si="69"/>
        <v>1.1840181814908564</v>
      </c>
      <c r="BS160" s="477">
        <f t="shared" si="70"/>
        <v>0.86956521739130432</v>
      </c>
      <c r="BT160" s="1235">
        <f t="shared" si="71"/>
        <v>0.5543082802197975</v>
      </c>
    </row>
    <row r="161" spans="1:72" s="1627" customFormat="1" ht="51" x14ac:dyDescent="0.2">
      <c r="A161" s="1092">
        <v>11900</v>
      </c>
      <c r="B161" s="1060" t="s">
        <v>349</v>
      </c>
      <c r="C161" s="1068" t="s">
        <v>1209</v>
      </c>
      <c r="D161" s="1059" t="s">
        <v>357</v>
      </c>
      <c r="E161" s="1060" t="s">
        <v>146</v>
      </c>
      <c r="F161" s="1059" t="s">
        <v>371</v>
      </c>
      <c r="G161" s="1060" t="s">
        <v>366</v>
      </c>
      <c r="H161" s="1079" t="s">
        <v>123</v>
      </c>
      <c r="I161" s="1056">
        <v>1</v>
      </c>
      <c r="J161" s="1059" t="s">
        <v>547</v>
      </c>
      <c r="K161" s="1060" t="s">
        <v>362</v>
      </c>
      <c r="L161" s="1152"/>
      <c r="M161" s="1153"/>
      <c r="N161" s="1060" t="s">
        <v>46</v>
      </c>
      <c r="O161" s="1060" t="s">
        <v>74</v>
      </c>
      <c r="P161" s="1060" t="s">
        <v>21</v>
      </c>
      <c r="Q161" s="1060" t="s">
        <v>36</v>
      </c>
      <c r="R161" s="1060" t="s">
        <v>229</v>
      </c>
      <c r="S161" s="1060" t="s">
        <v>370</v>
      </c>
      <c r="T161" s="1060" t="s">
        <v>99</v>
      </c>
      <c r="U161" s="444">
        <v>1</v>
      </c>
      <c r="V161" s="1058" t="str">
        <f t="shared" si="72"/>
        <v>Ejercer la defensa extrajudicial y judicial en los asuntos y/o procesos judiciales en que la ADRES es parte o vinculado.</v>
      </c>
      <c r="W161" s="1155"/>
      <c r="X161" s="1097" t="s">
        <v>114</v>
      </c>
      <c r="Y161" s="1056">
        <v>0.25</v>
      </c>
      <c r="Z161" s="1083" t="str">
        <f t="shared" si="131"/>
        <v>Ejercer la defensa extrajudicial y judicial en los asuntos y/o procesos judiciales en que la ADRES es parte o vinculado.</v>
      </c>
      <c r="AA161" s="1152"/>
      <c r="AB161" s="447">
        <f>5/21*0.25</f>
        <v>5.9523809523809521E-2</v>
      </c>
      <c r="AC161" s="1152"/>
      <c r="AD161" s="1064">
        <f t="shared" si="52"/>
        <v>0.23809523809523808</v>
      </c>
      <c r="AE161" s="1157"/>
      <c r="AF161" s="1064">
        <f t="shared" si="54"/>
        <v>5.9523809523809521E-2</v>
      </c>
      <c r="AG161" s="1157"/>
      <c r="AH161" s="1060"/>
      <c r="AI161" s="1056">
        <v>0.25</v>
      </c>
      <c r="AJ161" s="1083" t="str">
        <f t="shared" si="132"/>
        <v>Ejercer la defensa extrajudicial y judicial en los asuntos y/o procesos judiciales en que la ADRES es parte o vinculado.</v>
      </c>
      <c r="AK161" s="1152"/>
      <c r="AL161" s="793">
        <f>(27/80)*AI161</f>
        <v>8.4375000000000006E-2</v>
      </c>
      <c r="AM161" s="1138"/>
      <c r="AN161" s="1064">
        <f t="shared" si="56"/>
        <v>0.33750000000000002</v>
      </c>
      <c r="AO161" s="1157"/>
      <c r="AP161" s="1064">
        <f t="shared" si="58"/>
        <v>0.14389880952380951</v>
      </c>
      <c r="AQ161" s="1157"/>
      <c r="AR161" s="527"/>
      <c r="AS161" s="1056">
        <v>0.25</v>
      </c>
      <c r="AT161" s="1083" t="str">
        <f t="shared" si="130"/>
        <v>Ejercer la defensa extrajudicial y judicial en los asuntos y/o procesos judiciales en que la ADRES es parte o vinculado.</v>
      </c>
      <c r="AU161" s="1141"/>
      <c r="AV161" s="1631">
        <f>(60/69)*AS161</f>
        <v>0.21739130434782608</v>
      </c>
      <c r="AW161" s="1141"/>
      <c r="AX161" s="1064">
        <f t="shared" si="60"/>
        <v>0.86956521739130432</v>
      </c>
      <c r="AY161" s="1144"/>
      <c r="AZ161" s="1064">
        <f t="shared" si="62"/>
        <v>0.36129011387163557</v>
      </c>
      <c r="BA161" s="1144"/>
      <c r="BB161" s="527"/>
      <c r="BC161" s="1056">
        <v>0.25</v>
      </c>
      <c r="BD161" s="1083" t="str">
        <f t="shared" si="133"/>
        <v>Ejercer la defensa extrajudicial y judicial en los asuntos y/o procesos judiciales en que la ADRES es parte o vinculado.</v>
      </c>
      <c r="BE161" s="1141"/>
      <c r="BF161" s="738">
        <f>(98/142)*BC161</f>
        <v>0.17253521126760563</v>
      </c>
      <c r="BG161" s="1687"/>
      <c r="BH161" s="1056">
        <f t="shared" si="75"/>
        <v>0.6901408450704225</v>
      </c>
      <c r="BI161" s="1056" t="e">
        <f t="shared" si="76"/>
        <v>#DIV/0!</v>
      </c>
      <c r="BJ161" s="1056">
        <f t="shared" si="77"/>
        <v>0.53382532513924119</v>
      </c>
      <c r="BK161" s="1056" t="e">
        <f t="shared" si="78"/>
        <v>#DIV/0!</v>
      </c>
      <c r="BL161" s="1068"/>
      <c r="BM161" s="477">
        <f t="shared" si="64"/>
        <v>0.23809523809523808</v>
      </c>
      <c r="BN161" s="1222"/>
      <c r="BO161" s="477">
        <f t="shared" si="66"/>
        <v>0.33750000000000002</v>
      </c>
      <c r="BP161" s="1222"/>
      <c r="BQ161" s="477">
        <f t="shared" si="68"/>
        <v>0.86956521739130432</v>
      </c>
      <c r="BR161" s="1222"/>
      <c r="BS161" s="477">
        <f t="shared" si="70"/>
        <v>0.6901408450704225</v>
      </c>
      <c r="BT161" s="1235"/>
    </row>
    <row r="162" spans="1:72" s="1627" customFormat="1" ht="51" x14ac:dyDescent="0.2">
      <c r="A162" s="1092">
        <v>11900</v>
      </c>
      <c r="B162" s="1060" t="s">
        <v>349</v>
      </c>
      <c r="C162" s="1068" t="s">
        <v>1209</v>
      </c>
      <c r="D162" s="1059" t="s">
        <v>357</v>
      </c>
      <c r="E162" s="1060" t="s">
        <v>146</v>
      </c>
      <c r="F162" s="1059" t="s">
        <v>372</v>
      </c>
      <c r="G162" s="1060" t="s">
        <v>367</v>
      </c>
      <c r="H162" s="1079" t="s">
        <v>123</v>
      </c>
      <c r="I162" s="1056">
        <v>1</v>
      </c>
      <c r="J162" s="1059" t="s">
        <v>459</v>
      </c>
      <c r="K162" s="1060" t="s">
        <v>363</v>
      </c>
      <c r="L162" s="1152"/>
      <c r="M162" s="1153"/>
      <c r="N162" s="1060" t="s">
        <v>46</v>
      </c>
      <c r="O162" s="1060" t="s">
        <v>74</v>
      </c>
      <c r="P162" s="1060" t="s">
        <v>21</v>
      </c>
      <c r="Q162" s="1060" t="s">
        <v>36</v>
      </c>
      <c r="R162" s="1060" t="s">
        <v>229</v>
      </c>
      <c r="S162" s="1060" t="s">
        <v>438</v>
      </c>
      <c r="T162" s="1060" t="s">
        <v>99</v>
      </c>
      <c r="U162" s="444">
        <v>1</v>
      </c>
      <c r="V162" s="1058" t="str">
        <f t="shared" si="72"/>
        <v>Atender las solicitudes de pruebas de los despachos judiciales o terceros intervinientes en el proceso judicial</v>
      </c>
      <c r="W162" s="1155"/>
      <c r="X162" s="1097" t="s">
        <v>114</v>
      </c>
      <c r="Y162" s="1056">
        <v>0.25</v>
      </c>
      <c r="Z162" s="1083" t="str">
        <f t="shared" si="131"/>
        <v>Atender las solicitudes de pruebas de los despachos judiciales o terceros intervinientes en el proceso judicial</v>
      </c>
      <c r="AA162" s="1152"/>
      <c r="AB162" s="447">
        <f>147/148*0.25</f>
        <v>0.2483108108108108</v>
      </c>
      <c r="AC162" s="1152"/>
      <c r="AD162" s="1064">
        <f t="shared" si="52"/>
        <v>0.9932432432432432</v>
      </c>
      <c r="AE162" s="1157"/>
      <c r="AF162" s="1064">
        <f t="shared" si="54"/>
        <v>0.2483108108108108</v>
      </c>
      <c r="AG162" s="1157"/>
      <c r="AH162" s="1060" t="s">
        <v>913</v>
      </c>
      <c r="AI162" s="1056">
        <v>0.25</v>
      </c>
      <c r="AJ162" s="1083" t="str">
        <f t="shared" si="132"/>
        <v>Atender las solicitudes de pruebas de los despachos judiciales o terceros intervinientes en el proceso judicial</v>
      </c>
      <c r="AK162" s="1152"/>
      <c r="AL162" s="793">
        <f>(78/93)*AI162</f>
        <v>0.20967741935483872</v>
      </c>
      <c r="AM162" s="1138"/>
      <c r="AN162" s="1064">
        <f t="shared" si="56"/>
        <v>0.83870967741935487</v>
      </c>
      <c r="AO162" s="1157"/>
      <c r="AP162" s="1064">
        <f t="shared" si="58"/>
        <v>0.45798823016564949</v>
      </c>
      <c r="AQ162" s="1157"/>
      <c r="AR162" s="527"/>
      <c r="AS162" s="1056">
        <v>0.25</v>
      </c>
      <c r="AT162" s="1083" t="str">
        <f t="shared" si="130"/>
        <v>Atender las solicitudes de pruebas de los despachos judiciales o terceros intervinientes en el proceso judicial</v>
      </c>
      <c r="AU162" s="1141"/>
      <c r="AV162" s="1631">
        <f>(36/33)*AS162</f>
        <v>0.27272727272727271</v>
      </c>
      <c r="AW162" s="1141"/>
      <c r="AX162" s="1064">
        <f t="shared" si="60"/>
        <v>1.0909090909090908</v>
      </c>
      <c r="AY162" s="1144"/>
      <c r="AZ162" s="1064">
        <f t="shared" si="62"/>
        <v>0.7307155028929222</v>
      </c>
      <c r="BA162" s="1144"/>
      <c r="BB162" s="527"/>
      <c r="BC162" s="1056">
        <v>0.25</v>
      </c>
      <c r="BD162" s="1083" t="str">
        <f t="shared" si="133"/>
        <v>Atender las solicitudes de pruebas de los despachos judiciales o terceros intervinientes en el proceso judicial</v>
      </c>
      <c r="BE162" s="1141"/>
      <c r="BF162" s="738">
        <f>(22/23)*BC162</f>
        <v>0.2391304347826087</v>
      </c>
      <c r="BG162" s="1687"/>
      <c r="BH162" s="1056">
        <f t="shared" si="75"/>
        <v>0.95652173913043481</v>
      </c>
      <c r="BI162" s="1056" t="e">
        <f t="shared" si="76"/>
        <v>#DIV/0!</v>
      </c>
      <c r="BJ162" s="1056">
        <f t="shared" si="77"/>
        <v>0.96984593767553084</v>
      </c>
      <c r="BK162" s="1056" t="e">
        <f t="shared" si="78"/>
        <v>#DIV/0!</v>
      </c>
      <c r="BL162" s="1068" t="s">
        <v>2208</v>
      </c>
      <c r="BM162" s="477">
        <f t="shared" si="64"/>
        <v>0.9932432432432432</v>
      </c>
      <c r="BN162" s="1222"/>
      <c r="BO162" s="477">
        <f t="shared" si="66"/>
        <v>0.83870967741935487</v>
      </c>
      <c r="BP162" s="1222"/>
      <c r="BQ162" s="477">
        <f t="shared" si="68"/>
        <v>1.0909090909090908</v>
      </c>
      <c r="BR162" s="1222"/>
      <c r="BS162" s="477">
        <f t="shared" si="70"/>
        <v>0.95652173913043481</v>
      </c>
      <c r="BT162" s="1235"/>
    </row>
    <row r="163" spans="1:72" s="1627" customFormat="1" ht="63.75" x14ac:dyDescent="0.2">
      <c r="A163" s="1092">
        <v>11900</v>
      </c>
      <c r="B163" s="1060" t="s">
        <v>349</v>
      </c>
      <c r="C163" s="1068" t="s">
        <v>1209</v>
      </c>
      <c r="D163" s="1059" t="s">
        <v>357</v>
      </c>
      <c r="E163" s="1060" t="s">
        <v>146</v>
      </c>
      <c r="F163" s="1059" t="s">
        <v>439</v>
      </c>
      <c r="G163" s="1060" t="s">
        <v>715</v>
      </c>
      <c r="H163" s="1079" t="s">
        <v>123</v>
      </c>
      <c r="I163" s="1056">
        <v>1</v>
      </c>
      <c r="J163" s="1059" t="s">
        <v>462</v>
      </c>
      <c r="K163" s="1060" t="s">
        <v>691</v>
      </c>
      <c r="L163" s="1152"/>
      <c r="M163" s="1153"/>
      <c r="N163" s="1060" t="s">
        <v>46</v>
      </c>
      <c r="O163" s="1060" t="s">
        <v>74</v>
      </c>
      <c r="P163" s="1060" t="s">
        <v>21</v>
      </c>
      <c r="Q163" s="1060" t="s">
        <v>36</v>
      </c>
      <c r="R163" s="1060" t="s">
        <v>229</v>
      </c>
      <c r="S163" s="1060" t="s">
        <v>442</v>
      </c>
      <c r="T163" s="1060" t="s">
        <v>99</v>
      </c>
      <c r="U163" s="444">
        <v>1</v>
      </c>
      <c r="V163" s="1058" t="str">
        <f t="shared" si="72"/>
        <v>Fichas técnicas de conciliaciones prejudiciales presentadas a consideración del Comité de Conciliación</v>
      </c>
      <c r="W163" s="1155"/>
      <c r="X163" s="1097" t="s">
        <v>114</v>
      </c>
      <c r="Y163" s="1056">
        <v>0.25</v>
      </c>
      <c r="Z163" s="1083" t="str">
        <f t="shared" si="131"/>
        <v>Fichas técnicas de conciliaciones prejudiciales presentadas a consideración del Comité de Conciliación</v>
      </c>
      <c r="AA163" s="1152"/>
      <c r="AB163" s="447">
        <f>(3/29)*25%</f>
        <v>2.5862068965517241E-2</v>
      </c>
      <c r="AC163" s="1152"/>
      <c r="AD163" s="1064">
        <f t="shared" si="52"/>
        <v>0.10344827586206896</v>
      </c>
      <c r="AE163" s="1157"/>
      <c r="AF163" s="1064">
        <f t="shared" si="54"/>
        <v>2.5862068965517241E-2</v>
      </c>
      <c r="AG163" s="1157"/>
      <c r="AH163" s="1060"/>
      <c r="AI163" s="1056">
        <v>0.25</v>
      </c>
      <c r="AJ163" s="1083" t="str">
        <f t="shared" si="132"/>
        <v>Fichas técnicas de conciliaciones prejudiciales presentadas a consideración del Comité de Conciliación</v>
      </c>
      <c r="AK163" s="1152"/>
      <c r="AL163" s="793">
        <f>(36/50)*AI163</f>
        <v>0.18</v>
      </c>
      <c r="AM163" s="1138"/>
      <c r="AN163" s="1064">
        <f t="shared" si="56"/>
        <v>0.72</v>
      </c>
      <c r="AO163" s="1157"/>
      <c r="AP163" s="1064">
        <f t="shared" si="58"/>
        <v>0.20586206896551723</v>
      </c>
      <c r="AQ163" s="1157"/>
      <c r="AR163" s="527"/>
      <c r="AS163" s="1056">
        <v>0.25</v>
      </c>
      <c r="AT163" s="1083" t="str">
        <f t="shared" si="130"/>
        <v>Fichas técnicas de conciliaciones prejudiciales presentadas a consideración del Comité de Conciliación</v>
      </c>
      <c r="AU163" s="1141"/>
      <c r="AV163" s="490">
        <f>(18/114)*AS163</f>
        <v>3.9473684210526314E-2</v>
      </c>
      <c r="AW163" s="1141"/>
      <c r="AX163" s="1064">
        <f t="shared" si="60"/>
        <v>0.15789473684210525</v>
      </c>
      <c r="AY163" s="1144"/>
      <c r="AZ163" s="1064">
        <f t="shared" si="62"/>
        <v>0.24533575317604356</v>
      </c>
      <c r="BA163" s="1144"/>
      <c r="BB163" s="527"/>
      <c r="BC163" s="1056">
        <v>0.25</v>
      </c>
      <c r="BD163" s="1083" t="str">
        <f t="shared" si="133"/>
        <v>Fichas técnicas de conciliaciones prejudiciales presentadas a consideración del Comité de Conciliación</v>
      </c>
      <c r="BE163" s="1141"/>
      <c r="BF163" s="738">
        <f>(21/267)*BC163</f>
        <v>1.9662921348314606E-2</v>
      </c>
      <c r="BG163" s="1687"/>
      <c r="BH163" s="1056">
        <f t="shared" si="75"/>
        <v>7.8651685393258425E-2</v>
      </c>
      <c r="BI163" s="1056" t="e">
        <f t="shared" si="76"/>
        <v>#DIV/0!</v>
      </c>
      <c r="BJ163" s="1056">
        <f t="shared" si="77"/>
        <v>0.26499867452435816</v>
      </c>
      <c r="BK163" s="1056" t="e">
        <f t="shared" si="78"/>
        <v>#DIV/0!</v>
      </c>
      <c r="BL163" s="1068" t="s">
        <v>2209</v>
      </c>
      <c r="BM163" s="477">
        <f t="shared" si="64"/>
        <v>0.10344827586206896</v>
      </c>
      <c r="BN163" s="1222"/>
      <c r="BO163" s="477">
        <f t="shared" si="66"/>
        <v>0.72</v>
      </c>
      <c r="BP163" s="1222"/>
      <c r="BQ163" s="477">
        <f t="shared" si="68"/>
        <v>0.15789473684210525</v>
      </c>
      <c r="BR163" s="1222"/>
      <c r="BS163" s="477">
        <f t="shared" si="70"/>
        <v>7.8651685393258425E-2</v>
      </c>
      <c r="BT163" s="1235"/>
    </row>
    <row r="164" spans="1:72" s="1627" customFormat="1" ht="63.75" x14ac:dyDescent="0.2">
      <c r="A164" s="1092">
        <v>11900</v>
      </c>
      <c r="B164" s="1060" t="s">
        <v>349</v>
      </c>
      <c r="C164" s="1068" t="s">
        <v>1209</v>
      </c>
      <c r="D164" s="1059" t="s">
        <v>357</v>
      </c>
      <c r="E164" s="1060" t="s">
        <v>146</v>
      </c>
      <c r="F164" s="1059" t="s">
        <v>439</v>
      </c>
      <c r="G164" s="1060" t="s">
        <v>715</v>
      </c>
      <c r="H164" s="1079" t="s">
        <v>123</v>
      </c>
      <c r="I164" s="1056">
        <v>1</v>
      </c>
      <c r="J164" s="1059" t="s">
        <v>718</v>
      </c>
      <c r="K164" s="1060" t="s">
        <v>444</v>
      </c>
      <c r="L164" s="1152"/>
      <c r="M164" s="1153"/>
      <c r="N164" s="1060" t="s">
        <v>46</v>
      </c>
      <c r="O164" s="1060" t="s">
        <v>74</v>
      </c>
      <c r="P164" s="1060" t="s">
        <v>21</v>
      </c>
      <c r="Q164" s="1060" t="s">
        <v>36</v>
      </c>
      <c r="R164" s="1060" t="s">
        <v>229</v>
      </c>
      <c r="S164" s="1060" t="s">
        <v>694</v>
      </c>
      <c r="T164" s="1060" t="s">
        <v>99</v>
      </c>
      <c r="U164" s="444">
        <v>1</v>
      </c>
      <c r="V164" s="1058" t="str">
        <f t="shared" si="72"/>
        <v>Presentación de fichas técnicas de demandas ordinarias laborales  presentadas al Comité de Conciliación</v>
      </c>
      <c r="W164" s="1155"/>
      <c r="X164" s="1097" t="s">
        <v>114</v>
      </c>
      <c r="Y164" s="1056">
        <v>0.25</v>
      </c>
      <c r="Z164" s="1083" t="str">
        <f t="shared" si="131"/>
        <v>Presentación de fichas técnicas de demandas ordinarias laborales  presentadas al Comité de Conciliación</v>
      </c>
      <c r="AA164" s="1152"/>
      <c r="AB164" s="446">
        <f>0/11</f>
        <v>0</v>
      </c>
      <c r="AC164" s="1152"/>
      <c r="AD164" s="1064">
        <f>+(AB164/Y164)</f>
        <v>0</v>
      </c>
      <c r="AE164" s="1157"/>
      <c r="AF164" s="1064">
        <f t="shared" si="54"/>
        <v>0</v>
      </c>
      <c r="AG164" s="1157"/>
      <c r="AH164" s="1060"/>
      <c r="AI164" s="1056">
        <v>0.25</v>
      </c>
      <c r="AJ164" s="1083" t="str">
        <f t="shared" si="132"/>
        <v>Presentación de fichas técnicas de demandas ordinarias laborales  presentadas al Comité de Conciliación</v>
      </c>
      <c r="AK164" s="1152"/>
      <c r="AL164" s="793">
        <f>(0/100)*AI164</f>
        <v>0</v>
      </c>
      <c r="AM164" s="1138"/>
      <c r="AN164" s="1064">
        <f t="shared" si="56"/>
        <v>0</v>
      </c>
      <c r="AO164" s="1157"/>
      <c r="AP164" s="1064">
        <f t="shared" si="58"/>
        <v>0</v>
      </c>
      <c r="AQ164" s="1157"/>
      <c r="AR164" s="527"/>
      <c r="AS164" s="1056">
        <v>0.25</v>
      </c>
      <c r="AT164" s="1083" t="str">
        <f t="shared" si="130"/>
        <v>Presentación de fichas técnicas de demandas ordinarias laborales  presentadas al Comité de Conciliación</v>
      </c>
      <c r="AU164" s="1142"/>
      <c r="AV164" s="1630">
        <f>(0/48)*AS164</f>
        <v>0</v>
      </c>
      <c r="AW164" s="1142"/>
      <c r="AX164" s="1064">
        <f t="shared" si="60"/>
        <v>0</v>
      </c>
      <c r="AY164" s="1145"/>
      <c r="AZ164" s="1064">
        <f t="shared" si="62"/>
        <v>0</v>
      </c>
      <c r="BA164" s="1145"/>
      <c r="BB164" s="527"/>
      <c r="BC164" s="1056">
        <v>0.25</v>
      </c>
      <c r="BD164" s="1083" t="str">
        <f t="shared" si="133"/>
        <v>Presentación de fichas técnicas de demandas ordinarias laborales  presentadas al Comité de Conciliación</v>
      </c>
      <c r="BE164" s="1142"/>
      <c r="BF164" s="1669">
        <f>(3/69)*BC164</f>
        <v>1.0869565217391304E-2</v>
      </c>
      <c r="BG164" s="1687"/>
      <c r="BH164" s="1056">
        <f t="shared" si="75"/>
        <v>4.3478260869565216E-2</v>
      </c>
      <c r="BI164" s="1056" t="e">
        <f t="shared" si="76"/>
        <v>#DIV/0!</v>
      </c>
      <c r="BJ164" s="1056">
        <f t="shared" si="77"/>
        <v>1.0869565217391304E-2</v>
      </c>
      <c r="BK164" s="1056" t="e">
        <f t="shared" si="78"/>
        <v>#DIV/0!</v>
      </c>
      <c r="BL164" s="1068"/>
      <c r="BM164" s="477">
        <f t="shared" si="64"/>
        <v>0</v>
      </c>
      <c r="BN164" s="1222"/>
      <c r="BO164" s="477">
        <f t="shared" si="66"/>
        <v>0</v>
      </c>
      <c r="BP164" s="1222"/>
      <c r="BQ164" s="477">
        <f t="shared" si="68"/>
        <v>0</v>
      </c>
      <c r="BR164" s="1222"/>
      <c r="BS164" s="477">
        <f t="shared" si="70"/>
        <v>4.3478260869565216E-2</v>
      </c>
      <c r="BT164" s="1235"/>
    </row>
    <row r="165" spans="1:72" s="1627" customFormat="1" ht="51" x14ac:dyDescent="0.2">
      <c r="A165" s="1092">
        <v>11900</v>
      </c>
      <c r="B165" s="1060" t="s">
        <v>349</v>
      </c>
      <c r="C165" s="1068" t="s">
        <v>1209</v>
      </c>
      <c r="D165" s="1059" t="s">
        <v>357</v>
      </c>
      <c r="E165" s="1060" t="s">
        <v>146</v>
      </c>
      <c r="F165" s="1059" t="s">
        <v>439</v>
      </c>
      <c r="G165" s="1060" t="s">
        <v>949</v>
      </c>
      <c r="H165" s="1079" t="s">
        <v>124</v>
      </c>
      <c r="I165" s="463">
        <v>24</v>
      </c>
      <c r="J165" s="1059" t="s">
        <v>929</v>
      </c>
      <c r="K165" s="1097" t="s">
        <v>948</v>
      </c>
      <c r="L165" s="475">
        <f>53164884-3396645</f>
        <v>49768239</v>
      </c>
      <c r="M165" s="476">
        <v>1</v>
      </c>
      <c r="N165" s="1060" t="s">
        <v>46</v>
      </c>
      <c r="O165" s="1060" t="s">
        <v>74</v>
      </c>
      <c r="P165" s="1060" t="s">
        <v>21</v>
      </c>
      <c r="Q165" s="1060" t="s">
        <v>36</v>
      </c>
      <c r="R165" s="1060" t="s">
        <v>229</v>
      </c>
      <c r="S165" s="1060" t="s">
        <v>946</v>
      </c>
      <c r="T165" s="1060" t="s">
        <v>99</v>
      </c>
      <c r="U165" s="464">
        <v>24</v>
      </c>
      <c r="V165" s="1058" t="str">
        <f>+K165</f>
        <v>Realizar el Comité de Conciliación</v>
      </c>
      <c r="W165" s="445">
        <f>+L165</f>
        <v>49768239</v>
      </c>
      <c r="X165" s="1097" t="s">
        <v>114</v>
      </c>
      <c r="Y165" s="463">
        <v>6</v>
      </c>
      <c r="Z165" s="1083" t="str">
        <f t="shared" si="131"/>
        <v>Realizar el Comité de Conciliación</v>
      </c>
      <c r="AA165" s="443">
        <v>13291221</v>
      </c>
      <c r="AB165" s="446">
        <v>3</v>
      </c>
      <c r="AC165" s="475">
        <v>5464169</v>
      </c>
      <c r="AD165" s="1064">
        <f>+(AB165/Y165)</f>
        <v>0.5</v>
      </c>
      <c r="AE165" s="1064">
        <f>+(AC165/AA165)</f>
        <v>0.41111113869824301</v>
      </c>
      <c r="AF165" s="1064">
        <f t="shared" si="54"/>
        <v>0.125</v>
      </c>
      <c r="AG165" s="1064">
        <f t="shared" si="55"/>
        <v>0.10979229142505927</v>
      </c>
      <c r="AH165" s="1060"/>
      <c r="AI165" s="463">
        <v>6</v>
      </c>
      <c r="AJ165" s="1083" t="str">
        <f t="shared" si="132"/>
        <v>Realizar el Comité de Conciliación</v>
      </c>
      <c r="AK165" s="443">
        <v>13291221</v>
      </c>
      <c r="AL165" s="813">
        <f>5</f>
        <v>5</v>
      </c>
      <c r="AM165" s="443">
        <v>13291221</v>
      </c>
      <c r="AN165" s="1064">
        <f>+(AL165/AI165)</f>
        <v>0.83333333333333337</v>
      </c>
      <c r="AO165" s="1064">
        <f>+(AM165/AK165)</f>
        <v>1</v>
      </c>
      <c r="AP165" s="1064">
        <f>+(AL165+AB165)/U165</f>
        <v>0.33333333333333331</v>
      </c>
      <c r="AQ165" s="1064">
        <f>+(AM165+AC165)/W165</f>
        <v>0.3768546039975415</v>
      </c>
      <c r="AR165" s="527"/>
      <c r="AS165" s="463">
        <v>6</v>
      </c>
      <c r="AT165" s="1083" t="str">
        <f t="shared" si="130"/>
        <v>Realizar el Comité de Conciliación</v>
      </c>
      <c r="AU165" s="443">
        <f>13291221-3396645</f>
        <v>9894576</v>
      </c>
      <c r="AV165" s="478">
        <v>0</v>
      </c>
      <c r="AW165" s="448">
        <v>13291221</v>
      </c>
      <c r="AX165" s="1064">
        <f>+(AV165/AS165)</f>
        <v>0</v>
      </c>
      <c r="AY165" s="1064">
        <f>+(AW165/AU165)</f>
        <v>1.3432835323110359</v>
      </c>
      <c r="AZ165" s="1064">
        <f>+(AL165+AB165+AV165)/U165</f>
        <v>0.33333333333333331</v>
      </c>
      <c r="BA165" s="1064">
        <f>+(AM165+AC165+AW165)/W165</f>
        <v>0.6439169165700237</v>
      </c>
      <c r="BB165" s="527"/>
      <c r="BC165" s="463">
        <v>6</v>
      </c>
      <c r="BD165" s="1083" t="str">
        <f t="shared" si="133"/>
        <v>Realizar el Comité de Conciliación</v>
      </c>
      <c r="BE165" s="443">
        <v>13291221</v>
      </c>
      <c r="BF165" s="1067">
        <v>3</v>
      </c>
      <c r="BG165" s="744">
        <v>11519054</v>
      </c>
      <c r="BH165" s="1056">
        <f>+(BF165/BC165)</f>
        <v>0.5</v>
      </c>
      <c r="BI165" s="1056">
        <f>+(BG165/BE165)</f>
        <v>0.86666635066861053</v>
      </c>
      <c r="BJ165" s="1056">
        <f>+(AL165+AB165+AV165+BF165)/U165</f>
        <v>0.45833333333333331</v>
      </c>
      <c r="BK165" s="1056">
        <f>+(AM165+AC165+AW165+BG165)/W165</f>
        <v>0.87537083640833668</v>
      </c>
      <c r="BL165" s="1068"/>
      <c r="BM165" s="477">
        <f t="shared" si="64"/>
        <v>0.5</v>
      </c>
      <c r="BN165" s="477">
        <f t="shared" si="65"/>
        <v>0.41111113869824301</v>
      </c>
      <c r="BO165" s="477">
        <f t="shared" si="66"/>
        <v>0.83333333333333337</v>
      </c>
      <c r="BP165" s="477">
        <f t="shared" si="67"/>
        <v>1</v>
      </c>
      <c r="BQ165" s="477">
        <f t="shared" si="68"/>
        <v>0</v>
      </c>
      <c r="BR165" s="477">
        <f t="shared" si="69"/>
        <v>1.3432835323110359</v>
      </c>
      <c r="BS165" s="477">
        <f t="shared" si="70"/>
        <v>0.5</v>
      </c>
      <c r="BT165" s="828">
        <f t="shared" si="71"/>
        <v>0.86666635066861053</v>
      </c>
    </row>
    <row r="166" spans="1:72" s="1627" customFormat="1" ht="76.5" x14ac:dyDescent="0.2">
      <c r="A166" s="1092">
        <v>11900</v>
      </c>
      <c r="B166" s="1060" t="s">
        <v>349</v>
      </c>
      <c r="C166" s="1068" t="s">
        <v>1209</v>
      </c>
      <c r="D166" s="1059" t="s">
        <v>357</v>
      </c>
      <c r="E166" s="1060" t="s">
        <v>146</v>
      </c>
      <c r="F166" s="1059" t="s">
        <v>373</v>
      </c>
      <c r="G166" s="1060" t="s">
        <v>364</v>
      </c>
      <c r="H166" s="1079" t="s">
        <v>123</v>
      </c>
      <c r="I166" s="1056">
        <v>1</v>
      </c>
      <c r="J166" s="1059" t="s">
        <v>460</v>
      </c>
      <c r="K166" s="1060" t="s">
        <v>368</v>
      </c>
      <c r="L166" s="1152">
        <f>151084884-35443256</f>
        <v>115641628</v>
      </c>
      <c r="M166" s="1153">
        <v>1</v>
      </c>
      <c r="N166" s="1060" t="s">
        <v>46</v>
      </c>
      <c r="O166" s="1060" t="s">
        <v>74</v>
      </c>
      <c r="P166" s="1060" t="s">
        <v>21</v>
      </c>
      <c r="Q166" s="1060" t="s">
        <v>36</v>
      </c>
      <c r="R166" s="1060" t="s">
        <v>229</v>
      </c>
      <c r="S166" s="1060" t="s">
        <v>695</v>
      </c>
      <c r="T166" s="1060" t="s">
        <v>99</v>
      </c>
      <c r="U166" s="444">
        <v>1</v>
      </c>
      <c r="V166" s="1058" t="str">
        <f t="shared" si="72"/>
        <v>Dar respuesta a las reclamaciones administrativas radicadas por las EPS o IPS dentro del término legal</v>
      </c>
      <c r="W166" s="1155">
        <f t="shared" si="73"/>
        <v>115641628</v>
      </c>
      <c r="X166" s="1097" t="s">
        <v>114</v>
      </c>
      <c r="Y166" s="1056">
        <v>0.25</v>
      </c>
      <c r="Z166" s="1083" t="str">
        <f t="shared" si="131"/>
        <v>Dar respuesta a las reclamaciones administrativas radicadas por las EPS o IPS dentro del término legal</v>
      </c>
      <c r="AA166" s="1152">
        <v>37771221</v>
      </c>
      <c r="AB166" s="447">
        <f>65/66*0.25</f>
        <v>0.24621212121212122</v>
      </c>
      <c r="AC166" s="1152">
        <f>8346884</f>
        <v>8346884</v>
      </c>
      <c r="AD166" s="1064">
        <f t="shared" si="52"/>
        <v>0.98484848484848486</v>
      </c>
      <c r="AE166" s="1157">
        <f>+(AC166/AA166)</f>
        <v>0.22098528400763109</v>
      </c>
      <c r="AF166" s="1064">
        <f t="shared" si="54"/>
        <v>0.24621212121212122</v>
      </c>
      <c r="AG166" s="1157">
        <f t="shared" si="55"/>
        <v>7.217888700079525E-2</v>
      </c>
      <c r="AH166" s="1060" t="s">
        <v>914</v>
      </c>
      <c r="AI166" s="1056">
        <v>0.25</v>
      </c>
      <c r="AJ166" s="1083" t="str">
        <f t="shared" si="132"/>
        <v>Dar respuesta a las reclamaciones administrativas radicadas por las EPS o IPS dentro del término legal</v>
      </c>
      <c r="AK166" s="1152">
        <v>37771221</v>
      </c>
      <c r="AL166" s="793">
        <f>(40/41)*AI166</f>
        <v>0.24390243902439024</v>
      </c>
      <c r="AM166" s="1138">
        <v>12240000</v>
      </c>
      <c r="AN166" s="1064">
        <f t="shared" si="56"/>
        <v>0.97560975609756095</v>
      </c>
      <c r="AO166" s="1157">
        <f t="shared" si="57"/>
        <v>0.32405624377353331</v>
      </c>
      <c r="AP166" s="1064">
        <f t="shared" si="58"/>
        <v>0.49011456023651145</v>
      </c>
      <c r="AQ166" s="1157">
        <f t="shared" si="59"/>
        <v>0.17802312502899043</v>
      </c>
      <c r="AR166" s="527"/>
      <c r="AS166" s="1056">
        <v>0.25</v>
      </c>
      <c r="AT166" s="1083" t="str">
        <f t="shared" si="130"/>
        <v>Dar respuesta a las reclamaciones administrativas radicadas por las EPS o IPS dentro del término legal</v>
      </c>
      <c r="AU166" s="1140">
        <f>37771221-17721628</f>
        <v>20049593</v>
      </c>
      <c r="AV166" s="1630">
        <f>(13/13)*AS166</f>
        <v>0.25</v>
      </c>
      <c r="AW166" s="1152">
        <v>12240000</v>
      </c>
      <c r="AX166" s="1064">
        <f t="shared" si="60"/>
        <v>1</v>
      </c>
      <c r="AY166" s="1157">
        <f t="shared" si="61"/>
        <v>0.61048620787464369</v>
      </c>
      <c r="AZ166" s="1064">
        <f t="shared" si="62"/>
        <v>0.74011456023651145</v>
      </c>
      <c r="BA166" s="1157">
        <f t="shared" si="63"/>
        <v>0.28386736305718563</v>
      </c>
      <c r="BB166" s="527"/>
      <c r="BC166" s="1056">
        <v>0.25</v>
      </c>
      <c r="BD166" s="1083" t="str">
        <f t="shared" si="133"/>
        <v>Dar respuesta a las reclamaciones administrativas radicadas por las EPS o IPS dentro del término legal</v>
      </c>
      <c r="BE166" s="1140">
        <f>37771221-17721628</f>
        <v>20049593</v>
      </c>
      <c r="BF166" s="1669">
        <f>(87/99)*AZ166</f>
        <v>0.65040370445026763</v>
      </c>
      <c r="BG166" s="1687">
        <v>12240000</v>
      </c>
      <c r="BH166" s="1056">
        <f t="shared" si="75"/>
        <v>2.6016148178010705</v>
      </c>
      <c r="BI166" s="1148">
        <f t="shared" si="76"/>
        <v>0.61048620787464369</v>
      </c>
      <c r="BJ166" s="1056">
        <f t="shared" si="77"/>
        <v>1.3905182646867791</v>
      </c>
      <c r="BK166" s="1148">
        <f t="shared" si="78"/>
        <v>0.38971160108538078</v>
      </c>
      <c r="BL166" s="1068"/>
      <c r="BM166" s="477">
        <f t="shared" si="64"/>
        <v>0.98484848484848486</v>
      </c>
      <c r="BN166" s="1222">
        <f t="shared" si="65"/>
        <v>0.22098528400763109</v>
      </c>
      <c r="BO166" s="477">
        <f t="shared" si="66"/>
        <v>0.97560975609756095</v>
      </c>
      <c r="BP166" s="1222">
        <f t="shared" si="67"/>
        <v>0.32405624377353331</v>
      </c>
      <c r="BQ166" s="477">
        <f t="shared" si="68"/>
        <v>1</v>
      </c>
      <c r="BR166" s="1222">
        <f t="shared" si="69"/>
        <v>0.61048620787464369</v>
      </c>
      <c r="BS166" s="477">
        <f t="shared" si="70"/>
        <v>2.6016148178010705</v>
      </c>
      <c r="BT166" s="1235">
        <f t="shared" si="71"/>
        <v>0.61048620787464369</v>
      </c>
    </row>
    <row r="167" spans="1:72" s="1627" customFormat="1" ht="102" x14ac:dyDescent="0.2">
      <c r="A167" s="1092">
        <v>11900</v>
      </c>
      <c r="B167" s="1060" t="s">
        <v>349</v>
      </c>
      <c r="C167" s="1068" t="s">
        <v>1209</v>
      </c>
      <c r="D167" s="1059" t="s">
        <v>357</v>
      </c>
      <c r="E167" s="1060" t="s">
        <v>146</v>
      </c>
      <c r="F167" s="1059" t="s">
        <v>435</v>
      </c>
      <c r="G167" s="1060" t="s">
        <v>365</v>
      </c>
      <c r="H167" s="1079" t="s">
        <v>123</v>
      </c>
      <c r="I167" s="1056">
        <v>1</v>
      </c>
      <c r="J167" s="1059" t="s">
        <v>461</v>
      </c>
      <c r="K167" s="1060" t="s">
        <v>369</v>
      </c>
      <c r="L167" s="1152"/>
      <c r="M167" s="1153"/>
      <c r="N167" s="1060" t="s">
        <v>46</v>
      </c>
      <c r="O167" s="1060" t="s">
        <v>74</v>
      </c>
      <c r="P167" s="1060" t="s">
        <v>21</v>
      </c>
      <c r="Q167" s="1060" t="s">
        <v>36</v>
      </c>
      <c r="R167" s="1060" t="s">
        <v>229</v>
      </c>
      <c r="S167" s="1060" t="s">
        <v>696</v>
      </c>
      <c r="T167" s="1060" t="s">
        <v>99</v>
      </c>
      <c r="U167" s="444">
        <v>1</v>
      </c>
      <c r="V167" s="1058" t="str">
        <f t="shared" si="72"/>
        <v>Interponer oportunamente los recursos de Ley contra los actos administrativos de Colpensiones que ordenan la devolución de aportes al extinto FOYSGA, hoy Administradora de los Recursos del Sistema General de Seguridad Social en Salud - ADRES</v>
      </c>
      <c r="W167" s="1155"/>
      <c r="X167" s="1097" t="s">
        <v>114</v>
      </c>
      <c r="Y167" s="1056">
        <v>0.25</v>
      </c>
      <c r="Z167" s="1083" t="str">
        <f t="shared" si="131"/>
        <v>Interponer oportunamente los recursos de Ley contra los actos administrativos de Colpensiones que ordenan la devolución de aportes al extinto FOYSGA, hoy Administradora de los Recursos del Sistema General de Seguridad Social en Salud - ADRES</v>
      </c>
      <c r="AA167" s="1152"/>
      <c r="AB167" s="447">
        <f>162/167*0.25</f>
        <v>0.24251497005988024</v>
      </c>
      <c r="AC167" s="1152"/>
      <c r="AD167" s="1064">
        <f t="shared" si="52"/>
        <v>0.97005988023952094</v>
      </c>
      <c r="AE167" s="1157"/>
      <c r="AF167" s="1064">
        <f t="shared" si="54"/>
        <v>0.24251497005988024</v>
      </c>
      <c r="AG167" s="1157"/>
      <c r="AH167" s="527"/>
      <c r="AI167" s="1056">
        <v>0.25</v>
      </c>
      <c r="AJ167" s="1083" t="str">
        <f t="shared" si="132"/>
        <v>Interponer oportunamente los recursos de Ley contra los actos administrativos de Colpensiones que ordenan la devolución de aportes al extinto FOYSGA, hoy Administradora de los Recursos del Sistema General de Seguridad Social en Salud - ADRES</v>
      </c>
      <c r="AK167" s="1152"/>
      <c r="AL167" s="793">
        <f>(132/132)*AI167</f>
        <v>0.25</v>
      </c>
      <c r="AM167" s="1138"/>
      <c r="AN167" s="1064">
        <f t="shared" si="56"/>
        <v>1</v>
      </c>
      <c r="AO167" s="1157"/>
      <c r="AP167" s="1064">
        <f t="shared" si="58"/>
        <v>0.49251497005988021</v>
      </c>
      <c r="AQ167" s="1157"/>
      <c r="AR167" s="527"/>
      <c r="AS167" s="1056">
        <v>0.25</v>
      </c>
      <c r="AT167" s="1083" t="str">
        <f t="shared" si="130"/>
        <v>Interponer oportunamente los recursos de Ley contra los actos administrativos de Colpensiones que ordenan la devolución de aportes al extinto FOYSGA, hoy Administradora de los Recursos del Sistema General de Seguridad Social en Salud - ADRES</v>
      </c>
      <c r="AU167" s="1141"/>
      <c r="AV167" s="1630">
        <f>(87/87)*AS167</f>
        <v>0.25</v>
      </c>
      <c r="AW167" s="1152"/>
      <c r="AX167" s="1064">
        <f t="shared" si="60"/>
        <v>1</v>
      </c>
      <c r="AY167" s="1157"/>
      <c r="AZ167" s="1064">
        <f t="shared" si="62"/>
        <v>0.74251497005988021</v>
      </c>
      <c r="BA167" s="1157"/>
      <c r="BB167" s="527"/>
      <c r="BC167" s="1056">
        <v>0.25</v>
      </c>
      <c r="BD167" s="1083" t="str">
        <f t="shared" si="133"/>
        <v>Interponer oportunamente los recursos de Ley contra los actos administrativos de Colpensiones que ordenan la devolución de aportes al extinto FOYSGA, hoy Administradora de los Recursos del Sistema General de Seguridad Social en Salud - ADRES</v>
      </c>
      <c r="BE167" s="1141"/>
      <c r="BF167" s="1669">
        <f>(123/123)*AZ167</f>
        <v>0.74251497005988021</v>
      </c>
      <c r="BG167" s="1687"/>
      <c r="BH167" s="1056">
        <f t="shared" si="75"/>
        <v>2.9700598802395208</v>
      </c>
      <c r="BI167" s="1148"/>
      <c r="BJ167" s="1056">
        <f t="shared" si="77"/>
        <v>1.4850299401197604</v>
      </c>
      <c r="BK167" s="1148"/>
      <c r="BL167" s="1068"/>
      <c r="BM167" s="477">
        <f t="shared" si="64"/>
        <v>0.97005988023952094</v>
      </c>
      <c r="BN167" s="1222"/>
      <c r="BO167" s="477">
        <f t="shared" si="66"/>
        <v>1</v>
      </c>
      <c r="BP167" s="1222"/>
      <c r="BQ167" s="477">
        <f t="shared" si="68"/>
        <v>1</v>
      </c>
      <c r="BR167" s="1222"/>
      <c r="BS167" s="477">
        <f t="shared" si="70"/>
        <v>2.9700598802395208</v>
      </c>
      <c r="BT167" s="1235"/>
    </row>
    <row r="168" spans="1:72" s="1627" customFormat="1" ht="51" x14ac:dyDescent="0.2">
      <c r="A168" s="1092">
        <v>11900</v>
      </c>
      <c r="B168" s="1060" t="s">
        <v>349</v>
      </c>
      <c r="C168" s="1068" t="s">
        <v>1209</v>
      </c>
      <c r="D168" s="1059" t="s">
        <v>357</v>
      </c>
      <c r="E168" s="1060" t="s">
        <v>146</v>
      </c>
      <c r="F168" s="1059" t="s">
        <v>443</v>
      </c>
      <c r="G168" s="1060" t="s">
        <v>568</v>
      </c>
      <c r="H168" s="1079" t="s">
        <v>123</v>
      </c>
      <c r="I168" s="1056">
        <v>1</v>
      </c>
      <c r="J168" s="1059" t="s">
        <v>548</v>
      </c>
      <c r="K168" s="1060" t="s">
        <v>697</v>
      </c>
      <c r="L168" s="1152"/>
      <c r="M168" s="1153"/>
      <c r="N168" s="1060" t="s">
        <v>46</v>
      </c>
      <c r="O168" s="1060" t="s">
        <v>74</v>
      </c>
      <c r="P168" s="1060" t="s">
        <v>21</v>
      </c>
      <c r="Q168" s="1060" t="s">
        <v>36</v>
      </c>
      <c r="R168" s="1060" t="s">
        <v>229</v>
      </c>
      <c r="S168" s="1060" t="s">
        <v>698</v>
      </c>
      <c r="T168" s="1060" t="s">
        <v>99</v>
      </c>
      <c r="U168" s="444">
        <v>1</v>
      </c>
      <c r="V168" s="1058" t="str">
        <f t="shared" si="72"/>
        <v xml:space="preserve">Solicitudes de embargos </v>
      </c>
      <c r="W168" s="1155"/>
      <c r="X168" s="1097" t="s">
        <v>114</v>
      </c>
      <c r="Y168" s="1056">
        <v>0.25</v>
      </c>
      <c r="Z168" s="1083" t="str">
        <f t="shared" si="131"/>
        <v xml:space="preserve">Solicitudes de embargos </v>
      </c>
      <c r="AA168" s="1152"/>
      <c r="AB168" s="447">
        <f>72/72*0.25</f>
        <v>0.25</v>
      </c>
      <c r="AC168" s="1152"/>
      <c r="AD168" s="1064">
        <f t="shared" si="52"/>
        <v>1</v>
      </c>
      <c r="AE168" s="1157"/>
      <c r="AF168" s="1064">
        <f t="shared" si="54"/>
        <v>0.25</v>
      </c>
      <c r="AG168" s="1157"/>
      <c r="AH168" s="527"/>
      <c r="AI168" s="1056">
        <v>0.25</v>
      </c>
      <c r="AJ168" s="1083" t="str">
        <f t="shared" si="132"/>
        <v xml:space="preserve">Solicitudes de embargos </v>
      </c>
      <c r="AK168" s="1152"/>
      <c r="AL168" s="793">
        <f>(212/212)*AI168</f>
        <v>0.25</v>
      </c>
      <c r="AM168" s="1138"/>
      <c r="AN168" s="1064">
        <f t="shared" si="56"/>
        <v>1</v>
      </c>
      <c r="AO168" s="1157"/>
      <c r="AP168" s="1064">
        <f t="shared" si="58"/>
        <v>0.5</v>
      </c>
      <c r="AQ168" s="1157"/>
      <c r="AR168" s="527"/>
      <c r="AS168" s="1056">
        <v>0.25</v>
      </c>
      <c r="AT168" s="1083" t="str">
        <f t="shared" si="130"/>
        <v xml:space="preserve">Solicitudes de embargos </v>
      </c>
      <c r="AU168" s="1142"/>
      <c r="AV168" s="1630">
        <f>(128/128)*AS168</f>
        <v>0.25</v>
      </c>
      <c r="AW168" s="1152"/>
      <c r="AX168" s="1064">
        <f t="shared" si="60"/>
        <v>1</v>
      </c>
      <c r="AY168" s="1157"/>
      <c r="AZ168" s="1064">
        <f t="shared" si="62"/>
        <v>0.75</v>
      </c>
      <c r="BA168" s="1157"/>
      <c r="BB168" s="527"/>
      <c r="BC168" s="1056">
        <v>0.25</v>
      </c>
      <c r="BD168" s="1083" t="str">
        <f t="shared" si="133"/>
        <v xml:space="preserve">Solicitudes de embargos </v>
      </c>
      <c r="BE168" s="1142"/>
      <c r="BF168" s="1669">
        <f>(130/122)*AZ168</f>
        <v>0.79918032786885251</v>
      </c>
      <c r="BG168" s="1687"/>
      <c r="BH168" s="1056">
        <f t="shared" si="75"/>
        <v>3.1967213114754101</v>
      </c>
      <c r="BI168" s="1148"/>
      <c r="BJ168" s="1056">
        <f t="shared" si="77"/>
        <v>1.5491803278688525</v>
      </c>
      <c r="BK168" s="1148"/>
      <c r="BL168" s="1068"/>
      <c r="BM168" s="477">
        <f t="shared" si="64"/>
        <v>1</v>
      </c>
      <c r="BN168" s="1222"/>
      <c r="BO168" s="477">
        <f t="shared" si="66"/>
        <v>1</v>
      </c>
      <c r="BP168" s="1222"/>
      <c r="BQ168" s="477">
        <f t="shared" si="68"/>
        <v>1</v>
      </c>
      <c r="BR168" s="1222"/>
      <c r="BS168" s="477">
        <f t="shared" si="70"/>
        <v>3.1967213114754101</v>
      </c>
      <c r="BT168" s="1235"/>
    </row>
    <row r="169" spans="1:72" s="1627" customFormat="1" ht="77.25" customHeight="1" x14ac:dyDescent="0.2">
      <c r="A169" s="1092">
        <v>11900</v>
      </c>
      <c r="B169" s="1060" t="s">
        <v>349</v>
      </c>
      <c r="C169" s="1068" t="s">
        <v>1209</v>
      </c>
      <c r="D169" s="1059" t="s">
        <v>357</v>
      </c>
      <c r="E169" s="1060" t="s">
        <v>146</v>
      </c>
      <c r="F169" s="1059" t="s">
        <v>447</v>
      </c>
      <c r="G169" s="1060" t="s">
        <v>448</v>
      </c>
      <c r="H169" s="1079" t="s">
        <v>123</v>
      </c>
      <c r="I169" s="1056">
        <v>1</v>
      </c>
      <c r="J169" s="1059" t="s">
        <v>463</v>
      </c>
      <c r="K169" s="1060" t="s">
        <v>551</v>
      </c>
      <c r="L169" s="443">
        <f>590922272-199920000</f>
        <v>391002272</v>
      </c>
      <c r="M169" s="444">
        <v>1</v>
      </c>
      <c r="N169" s="1060" t="s">
        <v>46</v>
      </c>
      <c r="O169" s="1060" t="s">
        <v>74</v>
      </c>
      <c r="P169" s="1060" t="s">
        <v>21</v>
      </c>
      <c r="Q169" s="1060" t="s">
        <v>36</v>
      </c>
      <c r="R169" s="1060" t="s">
        <v>229</v>
      </c>
      <c r="S169" s="1060" t="s">
        <v>765</v>
      </c>
      <c r="T169" s="1060" t="s">
        <v>99</v>
      </c>
      <c r="U169" s="444">
        <v>1</v>
      </c>
      <c r="V169" s="1058" t="str">
        <f t="shared" si="72"/>
        <v>Conceptos</v>
      </c>
      <c r="W169" s="445">
        <f t="shared" si="73"/>
        <v>391002272</v>
      </c>
      <c r="X169" s="1097" t="s">
        <v>114</v>
      </c>
      <c r="Y169" s="1056">
        <v>0.25</v>
      </c>
      <c r="Z169" s="1083" t="str">
        <f t="shared" si="131"/>
        <v>Conceptos</v>
      </c>
      <c r="AA169" s="443">
        <f>+W169*Y169</f>
        <v>97750568</v>
      </c>
      <c r="AB169" s="447">
        <f>13/16*0.25</f>
        <v>0.203125</v>
      </c>
      <c r="AC169" s="491">
        <f>10928337+25969417</f>
        <v>36897754</v>
      </c>
      <c r="AD169" s="1064">
        <f t="shared" si="52"/>
        <v>0.8125</v>
      </c>
      <c r="AE169" s="1064">
        <f t="shared" si="53"/>
        <v>0.37746843578443451</v>
      </c>
      <c r="AF169" s="1064">
        <f t="shared" si="54"/>
        <v>0.203125</v>
      </c>
      <c r="AG169" s="1064">
        <f t="shared" si="55"/>
        <v>9.4367108946108627E-2</v>
      </c>
      <c r="AH169" s="527"/>
      <c r="AI169" s="1056">
        <v>0.25</v>
      </c>
      <c r="AJ169" s="1083" t="str">
        <f t="shared" si="132"/>
        <v>Conceptos</v>
      </c>
      <c r="AK169" s="443">
        <f>147730568-49980000</f>
        <v>97750568</v>
      </c>
      <c r="AL169" s="793">
        <f>(17/20)*AI169</f>
        <v>0.21249999999999999</v>
      </c>
      <c r="AM169" s="529">
        <f>13291221+53119263</f>
        <v>66410484</v>
      </c>
      <c r="AN169" s="1064">
        <f t="shared" si="56"/>
        <v>0.85</v>
      </c>
      <c r="AO169" s="1064">
        <f>+(AM169/AK169)</f>
        <v>0.67938719292147742</v>
      </c>
      <c r="AP169" s="1064">
        <f t="shared" si="58"/>
        <v>0.41562500000000002</v>
      </c>
      <c r="AQ169" s="1064">
        <f t="shared" si="59"/>
        <v>0.26421390717647797</v>
      </c>
      <c r="AR169" s="527"/>
      <c r="AS169" s="1056">
        <v>0.25</v>
      </c>
      <c r="AT169" s="1083" t="str">
        <f t="shared" si="130"/>
        <v>Conceptos</v>
      </c>
      <c r="AU169" s="443">
        <f>147730568-49980000</f>
        <v>97750568</v>
      </c>
      <c r="AV169" s="490">
        <f>((17/20)*(25/100))</f>
        <v>0.21249999999999999</v>
      </c>
      <c r="AW169" s="448">
        <v>97410484</v>
      </c>
      <c r="AX169" s="1064">
        <f t="shared" si="60"/>
        <v>0.85</v>
      </c>
      <c r="AY169" s="1064">
        <f t="shared" si="61"/>
        <v>0.99652090001154781</v>
      </c>
      <c r="AZ169" s="1064">
        <f t="shared" si="62"/>
        <v>0.62812500000000004</v>
      </c>
      <c r="BA169" s="1064">
        <f t="shared" si="63"/>
        <v>0.51334413217936492</v>
      </c>
      <c r="BB169" s="858" t="s">
        <v>2018</v>
      </c>
      <c r="BC169" s="1056">
        <v>0.25</v>
      </c>
      <c r="BD169" s="1083" t="str">
        <f t="shared" si="133"/>
        <v>Conceptos</v>
      </c>
      <c r="BE169" s="443">
        <f>147730568-49980000</f>
        <v>97750568</v>
      </c>
      <c r="BF169" s="738">
        <f>((14/16)*(25/100))</f>
        <v>0.21875</v>
      </c>
      <c r="BG169" s="744">
        <v>192406119</v>
      </c>
      <c r="BH169" s="1056">
        <f t="shared" si="75"/>
        <v>0.875</v>
      </c>
      <c r="BI169" s="1056">
        <f t="shared" si="76"/>
        <v>1.9683376059768778</v>
      </c>
      <c r="BJ169" s="1056">
        <f t="shared" si="77"/>
        <v>0.84687500000000004</v>
      </c>
      <c r="BK169" s="1056">
        <f t="shared" si="78"/>
        <v>1.0054285336735844</v>
      </c>
      <c r="BL169" s="1048"/>
      <c r="BM169" s="477">
        <f t="shared" si="64"/>
        <v>0.8125</v>
      </c>
      <c r="BN169" s="477">
        <f t="shared" si="65"/>
        <v>0.37746843578443451</v>
      </c>
      <c r="BO169" s="477">
        <f t="shared" si="66"/>
        <v>0.85</v>
      </c>
      <c r="BP169" s="477">
        <f t="shared" si="67"/>
        <v>0.67938719292147742</v>
      </c>
      <c r="BQ169" s="477">
        <f t="shared" si="68"/>
        <v>0.85</v>
      </c>
      <c r="BR169" s="477">
        <f t="shared" si="69"/>
        <v>0.99652090001154781</v>
      </c>
      <c r="BS169" s="477">
        <f t="shared" si="70"/>
        <v>0.875</v>
      </c>
      <c r="BT169" s="828">
        <f t="shared" si="71"/>
        <v>1.9683376059768778</v>
      </c>
    </row>
    <row r="170" spans="1:72" s="1627" customFormat="1" ht="76.5" x14ac:dyDescent="0.2">
      <c r="A170" s="1092">
        <v>11900</v>
      </c>
      <c r="B170" s="1060" t="s">
        <v>349</v>
      </c>
      <c r="C170" s="1068" t="s">
        <v>1209</v>
      </c>
      <c r="D170" s="1059" t="s">
        <v>357</v>
      </c>
      <c r="E170" s="1060" t="s">
        <v>146</v>
      </c>
      <c r="F170" s="1059" t="s">
        <v>450</v>
      </c>
      <c r="G170" s="1060" t="s">
        <v>449</v>
      </c>
      <c r="H170" s="1079" t="s">
        <v>124</v>
      </c>
      <c r="I170" s="463">
        <v>2</v>
      </c>
      <c r="J170" s="1059" t="s">
        <v>549</v>
      </c>
      <c r="K170" s="1060" t="s">
        <v>699</v>
      </c>
      <c r="L170" s="443">
        <v>0</v>
      </c>
      <c r="M170" s="444">
        <v>1</v>
      </c>
      <c r="N170" s="1060" t="s">
        <v>46</v>
      </c>
      <c r="O170" s="1060" t="s">
        <v>74</v>
      </c>
      <c r="P170" s="1060" t="s">
        <v>21</v>
      </c>
      <c r="Q170" s="1060" t="s">
        <v>36</v>
      </c>
      <c r="R170" s="1060" t="s">
        <v>229</v>
      </c>
      <c r="S170" s="1060" t="s">
        <v>631</v>
      </c>
      <c r="T170" s="1060" t="s">
        <v>99</v>
      </c>
      <c r="U170" s="464">
        <v>2</v>
      </c>
      <c r="V170" s="1058" t="str">
        <f t="shared" si="72"/>
        <v>Informe de identificación de  reclamaciones contenidas en actos administrativos debidamente ejecutoriados y con mora mayor a 180 días</v>
      </c>
      <c r="W170" s="445">
        <f t="shared" si="73"/>
        <v>0</v>
      </c>
      <c r="X170" s="1097" t="s">
        <v>117</v>
      </c>
      <c r="Y170" s="463">
        <v>2</v>
      </c>
      <c r="Z170" s="1083" t="str">
        <f t="shared" si="131"/>
        <v>Informe de identificación de  reclamaciones contenidas en actos administrativos debidamente ejecutoriados y con mora mayor a 180 días</v>
      </c>
      <c r="AA170" s="443">
        <v>0</v>
      </c>
      <c r="AB170" s="446">
        <v>1</v>
      </c>
      <c r="AC170" s="446">
        <v>0</v>
      </c>
      <c r="AD170" s="1064">
        <f t="shared" si="52"/>
        <v>0.5</v>
      </c>
      <c r="AE170" s="1064" t="e">
        <f t="shared" si="53"/>
        <v>#DIV/0!</v>
      </c>
      <c r="AF170" s="1064">
        <f t="shared" si="54"/>
        <v>0.5</v>
      </c>
      <c r="AG170" s="1064" t="e">
        <f t="shared" si="55"/>
        <v>#DIV/0!</v>
      </c>
      <c r="AH170" s="1060"/>
      <c r="AI170" s="463">
        <v>0</v>
      </c>
      <c r="AJ170" s="1083" t="str">
        <f t="shared" si="132"/>
        <v>Informe de identificación de  reclamaciones contenidas en actos administrativos debidamente ejecutoriados y con mora mayor a 180 días</v>
      </c>
      <c r="AK170" s="443">
        <v>0</v>
      </c>
      <c r="AL170" s="700">
        <v>0</v>
      </c>
      <c r="AM170" s="529">
        <v>0</v>
      </c>
      <c r="AN170" s="1064" t="e">
        <f t="shared" si="56"/>
        <v>#DIV/0!</v>
      </c>
      <c r="AO170" s="1064" t="e">
        <f t="shared" si="57"/>
        <v>#DIV/0!</v>
      </c>
      <c r="AP170" s="1064">
        <f t="shared" si="58"/>
        <v>0.5</v>
      </c>
      <c r="AQ170" s="1064" t="e">
        <f t="shared" si="59"/>
        <v>#DIV/0!</v>
      </c>
      <c r="AR170" s="527"/>
      <c r="AS170" s="463">
        <v>0</v>
      </c>
      <c r="AT170" s="1083" t="str">
        <f t="shared" si="130"/>
        <v>Informe de identificación de  reclamaciones contenidas en actos administrativos debidamente ejecutoriados y con mora mayor a 180 días</v>
      </c>
      <c r="AU170" s="443">
        <v>0</v>
      </c>
      <c r="AV170" s="446">
        <v>0</v>
      </c>
      <c r="AW170" s="448">
        <v>0</v>
      </c>
      <c r="AX170" s="1064" t="e">
        <f t="shared" si="60"/>
        <v>#DIV/0!</v>
      </c>
      <c r="AY170" s="1064" t="e">
        <f t="shared" si="61"/>
        <v>#DIV/0!</v>
      </c>
      <c r="AZ170" s="1064">
        <f t="shared" si="62"/>
        <v>0.5</v>
      </c>
      <c r="BA170" s="1064" t="e">
        <f t="shared" si="63"/>
        <v>#DIV/0!</v>
      </c>
      <c r="BB170" s="858"/>
      <c r="BC170" s="463">
        <v>0</v>
      </c>
      <c r="BD170" s="1083" t="str">
        <f t="shared" si="133"/>
        <v>Informe de identificación de  reclamaciones contenidas en actos administrativos debidamente ejecutoriados y con mora mayor a 180 días</v>
      </c>
      <c r="BE170" s="443">
        <v>0</v>
      </c>
      <c r="BF170" s="1067">
        <v>0</v>
      </c>
      <c r="BG170" s="744">
        <v>0</v>
      </c>
      <c r="BH170" s="1056" t="e">
        <f t="shared" si="75"/>
        <v>#DIV/0!</v>
      </c>
      <c r="BI170" s="1056" t="e">
        <f t="shared" si="76"/>
        <v>#DIV/0!</v>
      </c>
      <c r="BJ170" s="1056">
        <f t="shared" si="77"/>
        <v>0.5</v>
      </c>
      <c r="BK170" s="1056" t="e">
        <f t="shared" si="78"/>
        <v>#DIV/0!</v>
      </c>
      <c r="BL170" s="1068" t="s">
        <v>2270</v>
      </c>
      <c r="BM170" s="477">
        <f t="shared" si="64"/>
        <v>0.5</v>
      </c>
      <c r="BN170" s="477" t="str">
        <f t="shared" si="65"/>
        <v>No Prog ni Ejec</v>
      </c>
      <c r="BO170" s="477" t="str">
        <f t="shared" si="66"/>
        <v>No Prog ni Ejec</v>
      </c>
      <c r="BP170" s="477" t="str">
        <f t="shared" si="67"/>
        <v>No Prog ni Ejec</v>
      </c>
      <c r="BQ170" s="477" t="str">
        <f t="shared" si="68"/>
        <v>No Prog ni Ejec</v>
      </c>
      <c r="BR170" s="477" t="str">
        <f t="shared" si="69"/>
        <v>No Prog ni Ejec</v>
      </c>
      <c r="BS170" s="477" t="str">
        <f t="shared" si="70"/>
        <v>No Prog ni Ejec</v>
      </c>
      <c r="BT170" s="828" t="str">
        <f t="shared" si="71"/>
        <v>No Prog ni Ejec</v>
      </c>
    </row>
    <row r="171" spans="1:72" s="1627" customFormat="1" ht="178.5" x14ac:dyDescent="0.2">
      <c r="A171" s="1092">
        <v>11900</v>
      </c>
      <c r="B171" s="1060" t="s">
        <v>349</v>
      </c>
      <c r="C171" s="1068" t="s">
        <v>1209</v>
      </c>
      <c r="D171" s="1059" t="s">
        <v>357</v>
      </c>
      <c r="E171" s="1060" t="s">
        <v>146</v>
      </c>
      <c r="F171" s="1156" t="s">
        <v>450</v>
      </c>
      <c r="G171" s="1151" t="s">
        <v>449</v>
      </c>
      <c r="H171" s="1156" t="s">
        <v>123</v>
      </c>
      <c r="I171" s="1056">
        <v>1</v>
      </c>
      <c r="J171" s="1156" t="s">
        <v>550</v>
      </c>
      <c r="K171" s="1151" t="s">
        <v>451</v>
      </c>
      <c r="L171" s="1152">
        <v>0</v>
      </c>
      <c r="M171" s="444">
        <v>1</v>
      </c>
      <c r="N171" s="1151" t="s">
        <v>46</v>
      </c>
      <c r="O171" s="1151" t="s">
        <v>74</v>
      </c>
      <c r="P171" s="1151" t="s">
        <v>21</v>
      </c>
      <c r="Q171" s="1151" t="s">
        <v>36</v>
      </c>
      <c r="R171" s="1151" t="s">
        <v>229</v>
      </c>
      <c r="S171" s="1060" t="s">
        <v>453</v>
      </c>
      <c r="T171" s="1060" t="s">
        <v>99</v>
      </c>
      <c r="U171" s="444">
        <v>1</v>
      </c>
      <c r="V171" s="1058" t="str">
        <f t="shared" si="72"/>
        <v>Venta de Cartera mayor a &gt;180 días con actos administrativos debidamente ejecutoriados a Central de Inversiones SA -CISA-</v>
      </c>
      <c r="W171" s="445">
        <f t="shared" si="73"/>
        <v>0</v>
      </c>
      <c r="X171" s="1097" t="s">
        <v>117</v>
      </c>
      <c r="Y171" s="1056">
        <v>0.5</v>
      </c>
      <c r="Z171" s="1083" t="str">
        <f t="shared" si="131"/>
        <v>Venta de Cartera mayor a &gt;180 días con actos administrativos debidamente ejecutoriados a Central de Inversiones SA -CISA-</v>
      </c>
      <c r="AA171" s="443">
        <v>0</v>
      </c>
      <c r="AB171" s="446">
        <v>0</v>
      </c>
      <c r="AC171" s="446">
        <v>0</v>
      </c>
      <c r="AD171" s="1064">
        <f t="shared" si="52"/>
        <v>0</v>
      </c>
      <c r="AE171" s="1064" t="e">
        <f>+(AC171/AA171)</f>
        <v>#DIV/0!</v>
      </c>
      <c r="AF171" s="1064">
        <f t="shared" si="54"/>
        <v>0</v>
      </c>
      <c r="AG171" s="1064" t="e">
        <f t="shared" si="55"/>
        <v>#DIV/0!</v>
      </c>
      <c r="AH171" s="1060"/>
      <c r="AI171" s="1056">
        <v>0.5</v>
      </c>
      <c r="AJ171" s="1083" t="str">
        <f t="shared" si="132"/>
        <v>Venta de Cartera mayor a &gt;180 días con actos administrativos debidamente ejecutoriados a Central de Inversiones SA -CISA-</v>
      </c>
      <c r="AK171" s="443">
        <v>0</v>
      </c>
      <c r="AL171" s="701">
        <f>(1086/1135)*AI171</f>
        <v>0.47841409691629955</v>
      </c>
      <c r="AM171" s="529">
        <v>0</v>
      </c>
      <c r="AN171" s="1064">
        <f t="shared" si="56"/>
        <v>0.95682819383259909</v>
      </c>
      <c r="AO171" s="1064" t="e">
        <f t="shared" si="57"/>
        <v>#DIV/0!</v>
      </c>
      <c r="AP171" s="1064">
        <f t="shared" si="58"/>
        <v>0.47841409691629955</v>
      </c>
      <c r="AQ171" s="1064" t="e">
        <f t="shared" si="59"/>
        <v>#DIV/0!</v>
      </c>
      <c r="AR171" s="1071" t="s">
        <v>2316</v>
      </c>
      <c r="AS171" s="1056">
        <v>0</v>
      </c>
      <c r="AT171" s="1083" t="str">
        <f t="shared" si="130"/>
        <v>Venta de Cartera mayor a &gt;180 días con actos administrativos debidamente ejecutoriados a Central de Inversiones SA -CISA-</v>
      </c>
      <c r="AU171" s="443">
        <v>0</v>
      </c>
      <c r="AV171" s="446">
        <v>0</v>
      </c>
      <c r="AW171" s="448">
        <v>0</v>
      </c>
      <c r="AX171" s="1064" t="e">
        <f t="shared" si="60"/>
        <v>#DIV/0!</v>
      </c>
      <c r="AY171" s="1064" t="e">
        <f t="shared" si="61"/>
        <v>#DIV/0!</v>
      </c>
      <c r="AZ171" s="1064">
        <f t="shared" si="62"/>
        <v>0.47841409691629955</v>
      </c>
      <c r="BA171" s="1064" t="e">
        <f t="shared" si="63"/>
        <v>#DIV/0!</v>
      </c>
      <c r="BB171" s="858" t="s">
        <v>2317</v>
      </c>
      <c r="BC171" s="1056">
        <v>0</v>
      </c>
      <c r="BD171" s="1083" t="str">
        <f t="shared" si="133"/>
        <v>Venta de Cartera mayor a &gt;180 días con actos administrativos debidamente ejecutoriados a Central de Inversiones SA -CISA-</v>
      </c>
      <c r="BE171" s="443">
        <v>0</v>
      </c>
      <c r="BF171" s="1669">
        <v>0</v>
      </c>
      <c r="BG171" s="744">
        <v>0</v>
      </c>
      <c r="BH171" s="1056" t="e">
        <f t="shared" si="75"/>
        <v>#DIV/0!</v>
      </c>
      <c r="BI171" s="1056" t="e">
        <f t="shared" si="76"/>
        <v>#DIV/0!</v>
      </c>
      <c r="BJ171" s="1056">
        <f t="shared" si="77"/>
        <v>0.47841409691629955</v>
      </c>
      <c r="BK171" s="1056" t="e">
        <f t="shared" si="78"/>
        <v>#DIV/0!</v>
      </c>
      <c r="BL171" s="1068" t="s">
        <v>2271</v>
      </c>
      <c r="BM171" s="477">
        <f t="shared" si="64"/>
        <v>0</v>
      </c>
      <c r="BN171" s="477" t="str">
        <f t="shared" si="65"/>
        <v>No Prog ni Ejec</v>
      </c>
      <c r="BO171" s="477">
        <f t="shared" si="66"/>
        <v>0.95682819383259909</v>
      </c>
      <c r="BP171" s="477" t="str">
        <f t="shared" si="67"/>
        <v>No Prog ni Ejec</v>
      </c>
      <c r="BQ171" s="477" t="str">
        <f t="shared" si="68"/>
        <v>No Prog ni Ejec</v>
      </c>
      <c r="BR171" s="477" t="str">
        <f t="shared" si="69"/>
        <v>No Prog ni Ejec</v>
      </c>
      <c r="BS171" s="477" t="str">
        <f t="shared" si="70"/>
        <v>No Prog ni Ejec</v>
      </c>
      <c r="BT171" s="828" t="str">
        <f t="shared" si="71"/>
        <v>No Prog ni Ejec</v>
      </c>
    </row>
    <row r="172" spans="1:72" s="1627" customFormat="1" ht="178.5" x14ac:dyDescent="0.2">
      <c r="A172" s="1092">
        <v>11900</v>
      </c>
      <c r="B172" s="1060" t="s">
        <v>349</v>
      </c>
      <c r="C172" s="1068" t="s">
        <v>1209</v>
      </c>
      <c r="D172" s="1059" t="s">
        <v>357</v>
      </c>
      <c r="E172" s="1060" t="s">
        <v>146</v>
      </c>
      <c r="F172" s="1156"/>
      <c r="G172" s="1151"/>
      <c r="H172" s="1156"/>
      <c r="I172" s="1056">
        <v>0.02</v>
      </c>
      <c r="J172" s="1156"/>
      <c r="K172" s="1151"/>
      <c r="L172" s="1152"/>
      <c r="M172" s="444">
        <v>0.04</v>
      </c>
      <c r="N172" s="1151"/>
      <c r="O172" s="1151"/>
      <c r="P172" s="1151"/>
      <c r="Q172" s="1151"/>
      <c r="R172" s="1151"/>
      <c r="S172" s="1060" t="s">
        <v>833</v>
      </c>
      <c r="T172" s="1060" t="s">
        <v>99</v>
      </c>
      <c r="U172" s="444">
        <v>0.04</v>
      </c>
      <c r="V172" s="1058" t="str">
        <f>+K171</f>
        <v>Venta de Cartera mayor a &gt;180 días con actos administrativos debidamente ejecutoriados a Central de Inversiones SA -CISA-</v>
      </c>
      <c r="W172" s="445">
        <f>+L172</f>
        <v>0</v>
      </c>
      <c r="X172" s="1097" t="s">
        <v>117</v>
      </c>
      <c r="Y172" s="1056">
        <v>0.02</v>
      </c>
      <c r="Z172" s="1083" t="str">
        <f t="shared" si="131"/>
        <v>Venta de Cartera mayor a &gt;180 días con actos administrativos debidamente ejecutoriados a Central de Inversiones SA -CISA-</v>
      </c>
      <c r="AA172" s="443">
        <v>0</v>
      </c>
      <c r="AB172" s="447">
        <v>0</v>
      </c>
      <c r="AC172" s="446">
        <v>0</v>
      </c>
      <c r="AD172" s="1064">
        <f t="shared" si="52"/>
        <v>0</v>
      </c>
      <c r="AE172" s="1064" t="e">
        <f>+(AC172/AA172)</f>
        <v>#DIV/0!</v>
      </c>
      <c r="AF172" s="1064">
        <f>+(AB172/U172)</f>
        <v>0</v>
      </c>
      <c r="AG172" s="1064" t="e">
        <f>+(AC172/W172)</f>
        <v>#DIV/0!</v>
      </c>
      <c r="AH172" s="1060" t="s">
        <v>892</v>
      </c>
      <c r="AI172" s="1056">
        <v>0.02</v>
      </c>
      <c r="AJ172" s="1083" t="str">
        <f t="shared" si="132"/>
        <v>Venta de Cartera mayor a &gt;180 días con actos administrativos debidamente ejecutoriados a Central de Inversiones SA -CISA-</v>
      </c>
      <c r="AK172" s="443">
        <v>0</v>
      </c>
      <c r="AL172" s="814">
        <f>61834473/4725851782</f>
        <v>1.3084302227911048E-2</v>
      </c>
      <c r="AM172" s="529">
        <v>0</v>
      </c>
      <c r="AN172" s="1064">
        <f>+(AL172/AI172)</f>
        <v>0.65421511139555244</v>
      </c>
      <c r="AO172" s="1064" t="e">
        <f>+(AM172/AK172)</f>
        <v>#DIV/0!</v>
      </c>
      <c r="AP172" s="1064">
        <f>+(AL172+AB172)/U172</f>
        <v>0.32710755569777622</v>
      </c>
      <c r="AQ172" s="1064" t="e">
        <f>+(AM172+AC172)/W172</f>
        <v>#DIV/0!</v>
      </c>
      <c r="AR172" s="1071" t="s">
        <v>2318</v>
      </c>
      <c r="AS172" s="1056">
        <v>0</v>
      </c>
      <c r="AT172" s="1083" t="str">
        <f t="shared" si="130"/>
        <v>Venta de Cartera mayor a &gt;180 días con actos administrativos debidamente ejecutoriados a Central de Inversiones SA -CISA-</v>
      </c>
      <c r="AU172" s="443">
        <v>0</v>
      </c>
      <c r="AV172" s="446">
        <v>0</v>
      </c>
      <c r="AW172" s="448">
        <v>0</v>
      </c>
      <c r="AX172" s="1064" t="e">
        <f t="shared" si="60"/>
        <v>#DIV/0!</v>
      </c>
      <c r="AY172" s="1064" t="e">
        <f>+(AW172/AU172)</f>
        <v>#DIV/0!</v>
      </c>
      <c r="AZ172" s="1064">
        <f>+(AL172+AB172+AV172)/U172</f>
        <v>0.32710755569777622</v>
      </c>
      <c r="BA172" s="1064" t="e">
        <f>+(AM172+AC172+AW172)/W172</f>
        <v>#DIV/0!</v>
      </c>
      <c r="BB172" s="858" t="s">
        <v>2319</v>
      </c>
      <c r="BC172" s="1056">
        <v>0</v>
      </c>
      <c r="BD172" s="1083" t="str">
        <f t="shared" si="133"/>
        <v>Venta de Cartera mayor a &gt;180 días con actos administrativos debidamente ejecutoriados a Central de Inversiones SA -CISA-</v>
      </c>
      <c r="BE172" s="443">
        <v>0</v>
      </c>
      <c r="BF172" s="1669">
        <v>0</v>
      </c>
      <c r="BG172" s="744">
        <v>0</v>
      </c>
      <c r="BH172" s="1056" t="e">
        <f>+(BF172/BC172)</f>
        <v>#DIV/0!</v>
      </c>
      <c r="BI172" s="1056" t="e">
        <f>+(BG172/BE172)</f>
        <v>#DIV/0!</v>
      </c>
      <c r="BJ172" s="1056">
        <f>+(AL172+AB172+AV172+BF172)/U172</f>
        <v>0.32710755569777622</v>
      </c>
      <c r="BK172" s="1056" t="e">
        <f>+(AM172+AC172+AW172+BG172)/W172</f>
        <v>#DIV/0!</v>
      </c>
      <c r="BL172" s="1068" t="s">
        <v>2272</v>
      </c>
      <c r="BM172" s="477">
        <f>IF(AND(Y172=0,AB172=0),"No Prog ni Ejec",IF(Y172=0,CONCATENATE("No Prog, Ejec=  ",AB172),AB172/Y172))</f>
        <v>0</v>
      </c>
      <c r="BN172" s="477" t="str">
        <f>IF(AND(AA172=0,AC172=0),"No Prog ni Ejec",IF(AA172=0,CONCATENATE("No Prog, Ejec=  ",AC172),AC172/AA172))</f>
        <v>No Prog ni Ejec</v>
      </c>
      <c r="BO172" s="477">
        <f t="shared" si="66"/>
        <v>0.65421511139555244</v>
      </c>
      <c r="BP172" s="477" t="str">
        <f t="shared" si="67"/>
        <v>No Prog ni Ejec</v>
      </c>
      <c r="BQ172" s="477" t="str">
        <f t="shared" si="68"/>
        <v>No Prog ni Ejec</v>
      </c>
      <c r="BR172" s="477" t="str">
        <f>IF(AND(AU172=0,AW172=0),"No Prog ni Ejec",IF(AU172=0,CONCATENATE("No Prog, Ejec=  ",AW172),AW172/AU172))</f>
        <v>No Prog ni Ejec</v>
      </c>
      <c r="BS172" s="477" t="str">
        <f>IF(AND(BC172=0,BF172=0),"No Prog ni Ejec",IF(BC172=0,CONCATENATE("No Prog, Ejec=  ",BF172),BF172/BC172))</f>
        <v>No Prog ni Ejec</v>
      </c>
      <c r="BT172" s="828" t="str">
        <f>IF(AND(BE172=0,BG172=0),"No Prog ni Ejec",IF(BE172=0,CONCATENATE("No Prog, Ejec=  ",BG172),BG172/BE172))</f>
        <v>No Prog ni Ejec</v>
      </c>
    </row>
    <row r="173" spans="1:72" s="1627" customFormat="1" ht="153" x14ac:dyDescent="0.2">
      <c r="A173" s="1092">
        <v>11900</v>
      </c>
      <c r="B173" s="1060" t="s">
        <v>349</v>
      </c>
      <c r="C173" s="1068" t="s">
        <v>1209</v>
      </c>
      <c r="D173" s="1059" t="s">
        <v>357</v>
      </c>
      <c r="E173" s="1060" t="s">
        <v>146</v>
      </c>
      <c r="F173" s="1059" t="s">
        <v>450</v>
      </c>
      <c r="G173" s="1060" t="s">
        <v>449</v>
      </c>
      <c r="H173" s="1079" t="s">
        <v>123</v>
      </c>
      <c r="I173" s="1056">
        <v>1</v>
      </c>
      <c r="J173" s="1059" t="s">
        <v>464</v>
      </c>
      <c r="K173" s="1060" t="s">
        <v>993</v>
      </c>
      <c r="L173" s="443">
        <v>55760808</v>
      </c>
      <c r="M173" s="444">
        <v>1</v>
      </c>
      <c r="N173" s="1060" t="s">
        <v>46</v>
      </c>
      <c r="O173" s="1060" t="s">
        <v>74</v>
      </c>
      <c r="P173" s="1060" t="s">
        <v>21</v>
      </c>
      <c r="Q173" s="1060" t="s">
        <v>36</v>
      </c>
      <c r="R173" s="1060" t="s">
        <v>229</v>
      </c>
      <c r="S173" s="1060" t="s">
        <v>834</v>
      </c>
      <c r="T173" s="1060" t="s">
        <v>99</v>
      </c>
      <c r="U173" s="444">
        <v>1</v>
      </c>
      <c r="V173" s="1058" t="str">
        <f t="shared" si="72"/>
        <v>Actos administrativos mediante los cuales se establecen los fallecidos, incobrables, cancelados y revocados, resultado del proceso de depuración</v>
      </c>
      <c r="W173" s="445">
        <f t="shared" si="73"/>
        <v>55760808</v>
      </c>
      <c r="X173" s="1097" t="s">
        <v>114</v>
      </c>
      <c r="Y173" s="1056">
        <v>0.25</v>
      </c>
      <c r="Z173" s="1083" t="str">
        <f t="shared" si="131"/>
        <v>Actos administrativos mediante los cuales se establecen los fallecidos, incobrables, cancelados y revocados, resultado del proceso de depuración</v>
      </c>
      <c r="AA173" s="443">
        <v>13940202</v>
      </c>
      <c r="AB173" s="447">
        <v>0</v>
      </c>
      <c r="AC173" s="492">
        <v>11771726</v>
      </c>
      <c r="AD173" s="1064">
        <f t="shared" si="52"/>
        <v>0</v>
      </c>
      <c r="AE173" s="1064">
        <f t="shared" si="53"/>
        <v>0.84444443487978149</v>
      </c>
      <c r="AF173" s="1064">
        <f t="shared" si="54"/>
        <v>0</v>
      </c>
      <c r="AG173" s="1064">
        <f t="shared" si="55"/>
        <v>0.21111110871994537</v>
      </c>
      <c r="AH173" s="1060" t="s">
        <v>893</v>
      </c>
      <c r="AI173" s="1056">
        <v>0.25</v>
      </c>
      <c r="AJ173" s="1083" t="str">
        <f t="shared" si="132"/>
        <v>Actos administrativos mediante los cuales se establecen los fallecidos, incobrables, cancelados y revocados, resultado del proceso de depuración</v>
      </c>
      <c r="AK173" s="443">
        <v>13940202</v>
      </c>
      <c r="AL173" s="701">
        <f>(8185/8185)*AI173</f>
        <v>0.25</v>
      </c>
      <c r="AM173" s="529">
        <v>13940202</v>
      </c>
      <c r="AN173" s="1064">
        <f t="shared" si="56"/>
        <v>1</v>
      </c>
      <c r="AO173" s="1064">
        <f t="shared" si="57"/>
        <v>1</v>
      </c>
      <c r="AP173" s="1064">
        <f t="shared" si="58"/>
        <v>0.25</v>
      </c>
      <c r="AQ173" s="1064">
        <f t="shared" si="59"/>
        <v>0.46111110871994537</v>
      </c>
      <c r="AR173" s="1071" t="s">
        <v>1134</v>
      </c>
      <c r="AS173" s="1056">
        <v>0.25</v>
      </c>
      <c r="AT173" s="1083" t="str">
        <f t="shared" si="130"/>
        <v>Actos administrativos mediante los cuales se establecen los fallecidos, incobrables, cancelados y revocados, resultado del proceso de depuración</v>
      </c>
      <c r="AU173" s="443">
        <v>13940202</v>
      </c>
      <c r="AV173" s="446">
        <v>0</v>
      </c>
      <c r="AW173" s="448">
        <v>13940202</v>
      </c>
      <c r="AX173" s="1064">
        <f t="shared" si="60"/>
        <v>0</v>
      </c>
      <c r="AY173" s="1064">
        <f t="shared" si="61"/>
        <v>1</v>
      </c>
      <c r="AZ173" s="1064">
        <f t="shared" si="62"/>
        <v>0.25</v>
      </c>
      <c r="BA173" s="1064">
        <f t="shared" si="63"/>
        <v>0.71111110871994543</v>
      </c>
      <c r="BB173" s="858" t="s">
        <v>2320</v>
      </c>
      <c r="BC173" s="1056">
        <v>0.25</v>
      </c>
      <c r="BD173" s="1083" t="str">
        <f t="shared" si="133"/>
        <v>Actos administrativos mediante los cuales se establecen los fallecidos, incobrables, cancelados y revocados, resultado del proceso de depuración</v>
      </c>
      <c r="BE173" s="443">
        <v>13940202</v>
      </c>
      <c r="BF173" s="1100">
        <f>(552/552)*BC173</f>
        <v>0.25</v>
      </c>
      <c r="BG173" s="744">
        <v>12391289</v>
      </c>
      <c r="BH173" s="1056">
        <f t="shared" si="75"/>
        <v>1</v>
      </c>
      <c r="BI173" s="1056">
        <f t="shared" si="76"/>
        <v>0.88888876933060224</v>
      </c>
      <c r="BJ173" s="1056">
        <f t="shared" si="77"/>
        <v>0.5</v>
      </c>
      <c r="BK173" s="1056">
        <f t="shared" si="78"/>
        <v>0.93333330105259593</v>
      </c>
      <c r="BL173" s="1068" t="s">
        <v>2205</v>
      </c>
      <c r="BM173" s="477">
        <f t="shared" si="64"/>
        <v>0</v>
      </c>
      <c r="BN173" s="477">
        <f t="shared" si="65"/>
        <v>0.84444443487978149</v>
      </c>
      <c r="BO173" s="477">
        <f t="shared" si="66"/>
        <v>1</v>
      </c>
      <c r="BP173" s="477">
        <f t="shared" si="67"/>
        <v>1</v>
      </c>
      <c r="BQ173" s="477">
        <f t="shared" si="68"/>
        <v>0</v>
      </c>
      <c r="BR173" s="477">
        <f t="shared" si="69"/>
        <v>1</v>
      </c>
      <c r="BS173" s="477">
        <f t="shared" si="70"/>
        <v>1</v>
      </c>
      <c r="BT173" s="828">
        <f t="shared" si="71"/>
        <v>0.88888876933060224</v>
      </c>
    </row>
    <row r="174" spans="1:72" s="1627" customFormat="1" ht="51" x14ac:dyDescent="0.2">
      <c r="A174" s="1092">
        <v>12000</v>
      </c>
      <c r="B174" s="1060" t="s">
        <v>30</v>
      </c>
      <c r="C174" s="1068" t="s">
        <v>1209</v>
      </c>
      <c r="D174" s="1059" t="s">
        <v>131</v>
      </c>
      <c r="E174" s="1060" t="s">
        <v>153</v>
      </c>
      <c r="F174" s="1059" t="s">
        <v>132</v>
      </c>
      <c r="G174" s="1060" t="s">
        <v>133</v>
      </c>
      <c r="H174" s="1079" t="s">
        <v>124</v>
      </c>
      <c r="I174" s="1059">
        <v>4</v>
      </c>
      <c r="J174" s="1059" t="s">
        <v>143</v>
      </c>
      <c r="K174" s="1060" t="s">
        <v>24</v>
      </c>
      <c r="L174" s="443">
        <v>0</v>
      </c>
      <c r="M174" s="444">
        <v>1</v>
      </c>
      <c r="N174" s="1060" t="s">
        <v>51</v>
      </c>
      <c r="O174" s="1060" t="s">
        <v>68</v>
      </c>
      <c r="P174" s="1060" t="s">
        <v>21</v>
      </c>
      <c r="Q174" s="1060" t="s">
        <v>36</v>
      </c>
      <c r="R174" s="1060" t="s">
        <v>75</v>
      </c>
      <c r="S174" s="1060" t="s">
        <v>631</v>
      </c>
      <c r="T174" s="1060" t="s">
        <v>98</v>
      </c>
      <c r="U174" s="467">
        <v>4</v>
      </c>
      <c r="V174" s="1058" t="str">
        <f t="shared" si="72"/>
        <v>Reportar el cumplimiento del Plan de Acción de la Dependencia</v>
      </c>
      <c r="W174" s="445">
        <f t="shared" si="73"/>
        <v>0</v>
      </c>
      <c r="X174" s="1097" t="s">
        <v>117</v>
      </c>
      <c r="Y174" s="463">
        <v>1</v>
      </c>
      <c r="Z174" s="1083" t="str">
        <f t="shared" si="131"/>
        <v>Reportar el cumplimiento del Plan de Acción de la Dependencia</v>
      </c>
      <c r="AA174" s="443">
        <v>0</v>
      </c>
      <c r="AB174" s="493">
        <v>1</v>
      </c>
      <c r="AC174" s="443">
        <v>0</v>
      </c>
      <c r="AD174" s="1064">
        <f t="shared" si="52"/>
        <v>1</v>
      </c>
      <c r="AE174" s="1064" t="e">
        <f t="shared" si="53"/>
        <v>#DIV/0!</v>
      </c>
      <c r="AF174" s="1064">
        <f t="shared" si="54"/>
        <v>0.25</v>
      </c>
      <c r="AG174" s="1064" t="e">
        <f t="shared" si="55"/>
        <v>#DIV/0!</v>
      </c>
      <c r="AH174" s="1060" t="s">
        <v>882</v>
      </c>
      <c r="AI174" s="463">
        <v>1</v>
      </c>
      <c r="AJ174" s="1083" t="str">
        <f t="shared" si="132"/>
        <v>Reportar el cumplimiento del Plan de Acción de la Dependencia</v>
      </c>
      <c r="AK174" s="443">
        <v>0</v>
      </c>
      <c r="AL174" s="776">
        <v>1</v>
      </c>
      <c r="AM174" s="735">
        <v>0</v>
      </c>
      <c r="AN174" s="1064">
        <f t="shared" si="56"/>
        <v>1</v>
      </c>
      <c r="AO174" s="1064" t="e">
        <f t="shared" si="57"/>
        <v>#DIV/0!</v>
      </c>
      <c r="AP174" s="1064">
        <f t="shared" si="58"/>
        <v>0.5</v>
      </c>
      <c r="AQ174" s="1064" t="e">
        <f t="shared" si="59"/>
        <v>#DIV/0!</v>
      </c>
      <c r="AR174" s="1068" t="s">
        <v>1042</v>
      </c>
      <c r="AS174" s="463">
        <v>1</v>
      </c>
      <c r="AT174" s="1083" t="str">
        <f t="shared" si="130"/>
        <v>Reportar el cumplimiento del Plan de Acción de la Dependencia</v>
      </c>
      <c r="AU174" s="443">
        <v>0</v>
      </c>
      <c r="AV174" s="825">
        <v>1</v>
      </c>
      <c r="AW174" s="825" t="s">
        <v>1896</v>
      </c>
      <c r="AX174" s="1064">
        <f t="shared" si="60"/>
        <v>1</v>
      </c>
      <c r="AY174" s="1064" t="e">
        <f t="shared" si="61"/>
        <v>#VALUE!</v>
      </c>
      <c r="AZ174" s="1064">
        <f t="shared" si="62"/>
        <v>0.75</v>
      </c>
      <c r="BA174" s="1064" t="e">
        <f t="shared" si="63"/>
        <v>#VALUE!</v>
      </c>
      <c r="BB174" s="1068" t="s">
        <v>1906</v>
      </c>
      <c r="BC174" s="463">
        <v>1</v>
      </c>
      <c r="BD174" s="1083" t="str">
        <f t="shared" si="133"/>
        <v>Reportar el cumplimiento del Plan de Acción de la Dependencia</v>
      </c>
      <c r="BE174" s="443">
        <v>0</v>
      </c>
      <c r="BF174" s="1079">
        <v>1</v>
      </c>
      <c r="BG174" s="1077">
        <v>0</v>
      </c>
      <c r="BH174" s="1056">
        <f t="shared" si="75"/>
        <v>1</v>
      </c>
      <c r="BI174" s="1056" t="e">
        <f t="shared" si="76"/>
        <v>#DIV/0!</v>
      </c>
      <c r="BJ174" s="1056">
        <f t="shared" si="77"/>
        <v>1</v>
      </c>
      <c r="BK174" s="1056" t="e">
        <f t="shared" si="78"/>
        <v>#VALUE!</v>
      </c>
      <c r="BL174" s="1083" t="s">
        <v>2058</v>
      </c>
      <c r="BM174" s="477">
        <f t="shared" si="64"/>
        <v>1</v>
      </c>
      <c r="BN174" s="477" t="str">
        <f t="shared" si="65"/>
        <v>No Prog ni Ejec</v>
      </c>
      <c r="BO174" s="477">
        <f t="shared" si="66"/>
        <v>1</v>
      </c>
      <c r="BP174" s="477" t="str">
        <f t="shared" si="67"/>
        <v>No Prog ni Ejec</v>
      </c>
      <c r="BQ174" s="477">
        <f t="shared" si="68"/>
        <v>1</v>
      </c>
      <c r="BR174" s="477" t="str">
        <f t="shared" si="69"/>
        <v>No Prog, Ejec=   $                                - </v>
      </c>
      <c r="BS174" s="477">
        <f t="shared" si="70"/>
        <v>1</v>
      </c>
      <c r="BT174" s="828" t="str">
        <f t="shared" si="71"/>
        <v>No Prog ni Ejec</v>
      </c>
    </row>
    <row r="175" spans="1:72" s="1627" customFormat="1" ht="89.25" x14ac:dyDescent="0.2">
      <c r="A175" s="1092">
        <v>12000</v>
      </c>
      <c r="B175" s="1060" t="s">
        <v>30</v>
      </c>
      <c r="C175" s="1068" t="s">
        <v>1209</v>
      </c>
      <c r="D175" s="1059" t="s">
        <v>355</v>
      </c>
      <c r="E175" s="1060" t="s">
        <v>256</v>
      </c>
      <c r="F175" s="1059" t="s">
        <v>356</v>
      </c>
      <c r="G175" s="1060" t="s">
        <v>134</v>
      </c>
      <c r="H175" s="1079" t="s">
        <v>124</v>
      </c>
      <c r="I175" s="1059">
        <v>4</v>
      </c>
      <c r="J175" s="1059" t="s">
        <v>539</v>
      </c>
      <c r="K175" s="1060" t="s">
        <v>683</v>
      </c>
      <c r="L175" s="443">
        <v>0</v>
      </c>
      <c r="M175" s="444">
        <v>1</v>
      </c>
      <c r="N175" s="1060" t="s">
        <v>51</v>
      </c>
      <c r="O175" s="1060" t="s">
        <v>68</v>
      </c>
      <c r="P175" s="1060" t="s">
        <v>21</v>
      </c>
      <c r="Q175" s="1060" t="s">
        <v>36</v>
      </c>
      <c r="R175" s="1060" t="s">
        <v>75</v>
      </c>
      <c r="S175" s="1060" t="s">
        <v>628</v>
      </c>
      <c r="T175" s="1060" t="s">
        <v>98</v>
      </c>
      <c r="U175" s="467">
        <v>4</v>
      </c>
      <c r="V175" s="1058" t="str">
        <f t="shared" si="72"/>
        <v xml:space="preserve">Reportar el cumplimiento de la ejecución del Plan de Acción </v>
      </c>
      <c r="W175" s="445">
        <f t="shared" si="73"/>
        <v>0</v>
      </c>
      <c r="X175" s="1097" t="s">
        <v>117</v>
      </c>
      <c r="Y175" s="463">
        <v>1</v>
      </c>
      <c r="Z175" s="1083" t="str">
        <f t="shared" si="131"/>
        <v xml:space="preserve">Reportar el cumplimiento de la ejecución del Plan de Acción </v>
      </c>
      <c r="AA175" s="443">
        <v>0</v>
      </c>
      <c r="AB175" s="493">
        <v>1</v>
      </c>
      <c r="AC175" s="443">
        <v>0</v>
      </c>
      <c r="AD175" s="1064">
        <f>+(AB175/Y175)</f>
        <v>1</v>
      </c>
      <c r="AE175" s="1064" t="e">
        <f t="shared" si="53"/>
        <v>#DIV/0!</v>
      </c>
      <c r="AF175" s="1064">
        <f t="shared" si="54"/>
        <v>0.25</v>
      </c>
      <c r="AG175" s="1064" t="e">
        <f t="shared" si="55"/>
        <v>#DIV/0!</v>
      </c>
      <c r="AH175" s="1060" t="s">
        <v>1009</v>
      </c>
      <c r="AI175" s="463">
        <v>1</v>
      </c>
      <c r="AJ175" s="1083" t="str">
        <f t="shared" si="132"/>
        <v xml:space="preserve">Reportar el cumplimiento de la ejecución del Plan de Acción </v>
      </c>
      <c r="AK175" s="443">
        <v>0</v>
      </c>
      <c r="AL175" s="776">
        <v>1</v>
      </c>
      <c r="AM175" s="735">
        <v>0</v>
      </c>
      <c r="AN175" s="1064">
        <f t="shared" si="56"/>
        <v>1</v>
      </c>
      <c r="AO175" s="1064" t="e">
        <f t="shared" si="57"/>
        <v>#DIV/0!</v>
      </c>
      <c r="AP175" s="1064">
        <f t="shared" si="58"/>
        <v>0.5</v>
      </c>
      <c r="AQ175" s="1064" t="e">
        <f t="shared" si="59"/>
        <v>#DIV/0!</v>
      </c>
      <c r="AR175" s="1068" t="s">
        <v>1043</v>
      </c>
      <c r="AS175" s="463">
        <v>1</v>
      </c>
      <c r="AT175" s="1083" t="str">
        <f t="shared" si="130"/>
        <v xml:space="preserve">Reportar el cumplimiento de la ejecución del Plan de Acción </v>
      </c>
      <c r="AU175" s="443">
        <v>0</v>
      </c>
      <c r="AV175" s="825">
        <v>1</v>
      </c>
      <c r="AW175" s="825"/>
      <c r="AX175" s="1064">
        <f t="shared" si="60"/>
        <v>1</v>
      </c>
      <c r="AY175" s="1064" t="e">
        <f t="shared" si="61"/>
        <v>#DIV/0!</v>
      </c>
      <c r="AZ175" s="1064">
        <f t="shared" si="62"/>
        <v>0.75</v>
      </c>
      <c r="BA175" s="1064" t="e">
        <f t="shared" si="63"/>
        <v>#DIV/0!</v>
      </c>
      <c r="BB175" s="1068" t="s">
        <v>1907</v>
      </c>
      <c r="BC175" s="463">
        <v>1</v>
      </c>
      <c r="BD175" s="1083" t="str">
        <f t="shared" si="133"/>
        <v xml:space="preserve">Reportar el cumplimiento de la ejecución del Plan de Acción </v>
      </c>
      <c r="BE175" s="443">
        <v>0</v>
      </c>
      <c r="BF175" s="1079">
        <v>1</v>
      </c>
      <c r="BG175" s="1077">
        <v>0</v>
      </c>
      <c r="BH175" s="1056">
        <f t="shared" si="75"/>
        <v>1</v>
      </c>
      <c r="BI175" s="1056" t="e">
        <f t="shared" si="76"/>
        <v>#DIV/0!</v>
      </c>
      <c r="BJ175" s="1056">
        <f t="shared" si="77"/>
        <v>1</v>
      </c>
      <c r="BK175" s="1056" t="e">
        <f t="shared" si="78"/>
        <v>#DIV/0!</v>
      </c>
      <c r="BL175" s="1083" t="s">
        <v>2057</v>
      </c>
      <c r="BM175" s="477">
        <f t="shared" si="64"/>
        <v>1</v>
      </c>
      <c r="BN175" s="477" t="str">
        <f t="shared" si="65"/>
        <v>No Prog ni Ejec</v>
      </c>
      <c r="BO175" s="477">
        <f t="shared" si="66"/>
        <v>1</v>
      </c>
      <c r="BP175" s="477" t="str">
        <f t="shared" si="67"/>
        <v>No Prog ni Ejec</v>
      </c>
      <c r="BQ175" s="477">
        <f t="shared" si="68"/>
        <v>1</v>
      </c>
      <c r="BR175" s="477" t="str">
        <f t="shared" si="69"/>
        <v>No Prog ni Ejec</v>
      </c>
      <c r="BS175" s="477">
        <f t="shared" si="70"/>
        <v>1</v>
      </c>
      <c r="BT175" s="828" t="str">
        <f t="shared" si="71"/>
        <v>No Prog ni Ejec</v>
      </c>
    </row>
    <row r="176" spans="1:72" s="1627" customFormat="1" ht="153" x14ac:dyDescent="0.2">
      <c r="A176" s="1092">
        <v>12000</v>
      </c>
      <c r="B176" s="1060" t="s">
        <v>30</v>
      </c>
      <c r="C176" s="1068" t="s">
        <v>1209</v>
      </c>
      <c r="D176" s="1059" t="s">
        <v>355</v>
      </c>
      <c r="E176" s="1060" t="s">
        <v>256</v>
      </c>
      <c r="F176" s="1059" t="s">
        <v>540</v>
      </c>
      <c r="G176" s="1060" t="s">
        <v>136</v>
      </c>
      <c r="H176" s="1079" t="s">
        <v>123</v>
      </c>
      <c r="I176" s="1056">
        <v>1</v>
      </c>
      <c r="J176" s="1059" t="s">
        <v>541</v>
      </c>
      <c r="K176" s="1060" t="s">
        <v>135</v>
      </c>
      <c r="L176" s="443">
        <v>61642068</v>
      </c>
      <c r="M176" s="444">
        <v>1</v>
      </c>
      <c r="N176" s="1060" t="s">
        <v>51</v>
      </c>
      <c r="O176" s="1060" t="s">
        <v>68</v>
      </c>
      <c r="P176" s="1060" t="s">
        <v>21</v>
      </c>
      <c r="Q176" s="1060" t="s">
        <v>36</v>
      </c>
      <c r="R176" s="1060" t="s">
        <v>75</v>
      </c>
      <c r="S176" s="1060" t="s">
        <v>182</v>
      </c>
      <c r="T176" s="1060" t="s">
        <v>99</v>
      </c>
      <c r="U176" s="1056">
        <v>1</v>
      </c>
      <c r="V176" s="1058" t="str">
        <f t="shared" si="72"/>
        <v>Asesorar y apoyar en la implementación de MIPG</v>
      </c>
      <c r="W176" s="445">
        <f t="shared" si="73"/>
        <v>61642068</v>
      </c>
      <c r="X176" s="1097" t="s">
        <v>114</v>
      </c>
      <c r="Y176" s="1056">
        <v>0.25</v>
      </c>
      <c r="Z176" s="1083" t="str">
        <f t="shared" si="131"/>
        <v>Asesorar y apoyar en la implementación de MIPG</v>
      </c>
      <c r="AA176" s="443">
        <v>15410517</v>
      </c>
      <c r="AB176" s="476">
        <f>(AC176/AA176)*0.25</f>
        <v>0.1361111051627924</v>
      </c>
      <c r="AC176" s="443">
        <f>3253331+5136839</f>
        <v>8390170</v>
      </c>
      <c r="AD176" s="1064">
        <f t="shared" si="52"/>
        <v>0.5444444206511696</v>
      </c>
      <c r="AE176" s="1064">
        <f t="shared" si="53"/>
        <v>0.5444444206511696</v>
      </c>
      <c r="AF176" s="1064">
        <f t="shared" si="54"/>
        <v>0.1361111051627924</v>
      </c>
      <c r="AG176" s="1064">
        <f t="shared" si="55"/>
        <v>0.1361111051627924</v>
      </c>
      <c r="AH176" s="1060" t="s">
        <v>1010</v>
      </c>
      <c r="AI176" s="1056">
        <v>0.25</v>
      </c>
      <c r="AJ176" s="1083" t="str">
        <f t="shared" si="132"/>
        <v>Asesorar y apoyar en la implementación de MIPG</v>
      </c>
      <c r="AK176" s="443">
        <v>15410517</v>
      </c>
      <c r="AL176" s="745">
        <f>(AM176/AK176)*AI176</f>
        <v>0.25</v>
      </c>
      <c r="AM176" s="735">
        <f>5136839*3</f>
        <v>15410517</v>
      </c>
      <c r="AN176" s="1064">
        <f t="shared" si="56"/>
        <v>1</v>
      </c>
      <c r="AO176" s="1064">
        <f t="shared" si="57"/>
        <v>1</v>
      </c>
      <c r="AP176" s="1064">
        <f t="shared" si="58"/>
        <v>0.3861111051627924</v>
      </c>
      <c r="AQ176" s="1064">
        <f t="shared" si="59"/>
        <v>0.3861111051627924</v>
      </c>
      <c r="AR176" s="1068" t="s">
        <v>1044</v>
      </c>
      <c r="AS176" s="1056">
        <v>0.25</v>
      </c>
      <c r="AT176" s="1083" t="str">
        <f t="shared" si="130"/>
        <v>Asesorar y apoyar en la implementación de MIPG</v>
      </c>
      <c r="AU176" s="443">
        <v>15410517</v>
      </c>
      <c r="AV176" s="803">
        <v>0.25</v>
      </c>
      <c r="AW176" s="1632">
        <v>15410517</v>
      </c>
      <c r="AX176" s="1064">
        <f t="shared" si="60"/>
        <v>1</v>
      </c>
      <c r="AY176" s="1064">
        <f t="shared" si="61"/>
        <v>1</v>
      </c>
      <c r="AZ176" s="1064">
        <f t="shared" si="62"/>
        <v>0.63611110516279235</v>
      </c>
      <c r="BA176" s="1064">
        <f t="shared" si="63"/>
        <v>0.63611110516279235</v>
      </c>
      <c r="BB176" s="1068" t="s">
        <v>1908</v>
      </c>
      <c r="BC176" s="1056">
        <v>0.25</v>
      </c>
      <c r="BD176" s="1083" t="str">
        <f t="shared" si="133"/>
        <v>Asesorar y apoyar en la implementación de MIPG</v>
      </c>
      <c r="BE176" s="443">
        <v>15410517</v>
      </c>
      <c r="BF176" s="1088">
        <f>+(BG176/AU176)*AS176</f>
        <v>4.4444436873856991E-2</v>
      </c>
      <c r="BG176" s="1077">
        <v>2739647</v>
      </c>
      <c r="BH176" s="1056">
        <f t="shared" si="75"/>
        <v>0.17777774749542796</v>
      </c>
      <c r="BI176" s="1056">
        <f t="shared" si="76"/>
        <v>0.17777774749542796</v>
      </c>
      <c r="BJ176" s="1056">
        <f t="shared" si="77"/>
        <v>0.68055554203664936</v>
      </c>
      <c r="BK176" s="1056">
        <f t="shared" si="78"/>
        <v>0.68055554203664936</v>
      </c>
      <c r="BL176" s="1099" t="s">
        <v>2292</v>
      </c>
      <c r="BM176" s="494">
        <f t="shared" si="64"/>
        <v>0.5444444206511696</v>
      </c>
      <c r="BN176" s="477">
        <f t="shared" si="65"/>
        <v>0.5444444206511696</v>
      </c>
      <c r="BO176" s="494">
        <f t="shared" si="66"/>
        <v>1</v>
      </c>
      <c r="BP176" s="477">
        <f t="shared" si="67"/>
        <v>1</v>
      </c>
      <c r="BQ176" s="494">
        <f t="shared" si="68"/>
        <v>1</v>
      </c>
      <c r="BR176" s="477">
        <f t="shared" si="69"/>
        <v>1</v>
      </c>
      <c r="BS176" s="494">
        <f t="shared" si="70"/>
        <v>0.17777774749542796</v>
      </c>
      <c r="BT176" s="828">
        <f t="shared" si="71"/>
        <v>0.17777774749542796</v>
      </c>
    </row>
    <row r="177" spans="1:72" s="1627" customFormat="1" ht="89.25" x14ac:dyDescent="0.2">
      <c r="A177" s="1092">
        <v>12000</v>
      </c>
      <c r="B177" s="1060" t="s">
        <v>30</v>
      </c>
      <c r="C177" s="1068" t="s">
        <v>1209</v>
      </c>
      <c r="D177" s="1059" t="s">
        <v>355</v>
      </c>
      <c r="E177" s="1060" t="s">
        <v>256</v>
      </c>
      <c r="F177" s="1059" t="s">
        <v>542</v>
      </c>
      <c r="G177" s="1060" t="s">
        <v>139</v>
      </c>
      <c r="H177" s="1079" t="s">
        <v>124</v>
      </c>
      <c r="I177" s="1059">
        <v>1</v>
      </c>
      <c r="J177" s="1059" t="s">
        <v>543</v>
      </c>
      <c r="K177" s="1060" t="s">
        <v>138</v>
      </c>
      <c r="L177" s="443">
        <v>0</v>
      </c>
      <c r="M177" s="444">
        <v>1</v>
      </c>
      <c r="N177" s="1060" t="s">
        <v>48</v>
      </c>
      <c r="O177" s="1060" t="s">
        <v>62</v>
      </c>
      <c r="P177" s="1060" t="s">
        <v>21</v>
      </c>
      <c r="Q177" s="1060" t="s">
        <v>23</v>
      </c>
      <c r="R177" s="1060" t="s">
        <v>75</v>
      </c>
      <c r="S177" s="1060" t="s">
        <v>628</v>
      </c>
      <c r="T177" s="1060" t="s">
        <v>98</v>
      </c>
      <c r="U177" s="467">
        <v>1</v>
      </c>
      <c r="V177" s="1058" t="str">
        <f t="shared" si="72"/>
        <v>Elaboración del Informe de Rendición de Cuentas al Congreso de la República 2017-2018</v>
      </c>
      <c r="W177" s="445">
        <f t="shared" si="73"/>
        <v>0</v>
      </c>
      <c r="X177" s="1097" t="s">
        <v>117</v>
      </c>
      <c r="Y177" s="463">
        <v>0</v>
      </c>
      <c r="Z177" s="1083" t="str">
        <f t="shared" si="131"/>
        <v>Elaboración del Informe de Rendición de Cuentas al Congreso de la República 2017-2018</v>
      </c>
      <c r="AA177" s="443">
        <v>0</v>
      </c>
      <c r="AB177" s="493">
        <v>0</v>
      </c>
      <c r="AC177" s="443">
        <v>0</v>
      </c>
      <c r="AD177" s="1064" t="e">
        <f t="shared" ref="AD177:AD187" si="134">+(AB177/Y177)</f>
        <v>#DIV/0!</v>
      </c>
      <c r="AE177" s="1064" t="e">
        <f>+(AC177/AA177)</f>
        <v>#DIV/0!</v>
      </c>
      <c r="AF177" s="1064">
        <f>+(AB177/U177)</f>
        <v>0</v>
      </c>
      <c r="AG177" s="1064" t="e">
        <f>+(AC177/W177)</f>
        <v>#DIV/0!</v>
      </c>
      <c r="AH177" s="1060" t="s">
        <v>1011</v>
      </c>
      <c r="AI177" s="463">
        <v>0</v>
      </c>
      <c r="AJ177" s="1083" t="str">
        <f t="shared" si="132"/>
        <v>Elaboración del Informe de Rendición de Cuentas al Congreso de la República 2017-2018</v>
      </c>
      <c r="AK177" s="443">
        <v>0</v>
      </c>
      <c r="AL177" s="1089">
        <v>0</v>
      </c>
      <c r="AM177" s="529">
        <v>0</v>
      </c>
      <c r="AN177" s="1064" t="e">
        <f t="shared" ref="AN177:AN188" si="135">+(AL177/AI177)</f>
        <v>#DIV/0!</v>
      </c>
      <c r="AO177" s="1064" t="e">
        <f>+(AM177/AK177)</f>
        <v>#DIV/0!</v>
      </c>
      <c r="AP177" s="1064">
        <f t="shared" ref="AP177:AP188" si="136">+(AL177+AB177)/U177</f>
        <v>0</v>
      </c>
      <c r="AQ177" s="1064" t="e">
        <f>+(AM177+AC177)/W177</f>
        <v>#DIV/0!</v>
      </c>
      <c r="AR177" s="526" t="s">
        <v>1157</v>
      </c>
      <c r="AS177" s="463">
        <v>1</v>
      </c>
      <c r="AT177" s="1083" t="str">
        <f t="shared" si="130"/>
        <v>Elaboración del Informe de Rendición de Cuentas al Congreso de la República 2017-2018</v>
      </c>
      <c r="AU177" s="443">
        <v>0</v>
      </c>
      <c r="AV177" s="825">
        <v>1</v>
      </c>
      <c r="AW177" s="1632">
        <v>0</v>
      </c>
      <c r="AX177" s="1064">
        <f>+(AV177/AS177)</f>
        <v>1</v>
      </c>
      <c r="AY177" s="1064" t="e">
        <f>+(AW177/AU177)</f>
        <v>#DIV/0!</v>
      </c>
      <c r="AZ177" s="1064">
        <f>+(AL177+AB177+AV177)/U177</f>
        <v>1</v>
      </c>
      <c r="BA177" s="1064" t="e">
        <f>+(AM177+AC177+AW177)/W177</f>
        <v>#DIV/0!</v>
      </c>
      <c r="BB177" s="1068" t="s">
        <v>1913</v>
      </c>
      <c r="BC177" s="463">
        <v>0</v>
      </c>
      <c r="BD177" s="1083" t="str">
        <f t="shared" si="133"/>
        <v>Elaboración del Informe de Rendición de Cuentas al Congreso de la República 2017-2018</v>
      </c>
      <c r="BE177" s="443">
        <v>0</v>
      </c>
      <c r="BF177" s="1079">
        <v>0</v>
      </c>
      <c r="BG177" s="1077">
        <v>0</v>
      </c>
      <c r="BH177" s="1056" t="e">
        <f t="shared" si="75"/>
        <v>#DIV/0!</v>
      </c>
      <c r="BI177" s="1056" t="e">
        <f t="shared" si="76"/>
        <v>#DIV/0!</v>
      </c>
      <c r="BJ177" s="1056">
        <f t="shared" si="77"/>
        <v>1</v>
      </c>
      <c r="BK177" s="1056" t="e">
        <f t="shared" si="78"/>
        <v>#DIV/0!</v>
      </c>
      <c r="BL177" s="1083"/>
      <c r="BM177" s="477" t="str">
        <f t="shared" ref="BM177:BM187" si="137">IF(AND(Y177=0,AB177=0),"No Prog ni Ejec",IF(Y177=0,CONCATENATE("No Prog, Ejec=  ",AB177),AB177/Y177))</f>
        <v>No Prog ni Ejec</v>
      </c>
      <c r="BN177" s="477" t="str">
        <f t="shared" ref="BN177:BN187" si="138">IF(AND(AA177=0,AC177=0),"No Prog ni Ejec",IF(AA177=0,CONCATENATE("No Prog, Ejec=  ",AC177),AC177/AA177))</f>
        <v>No Prog ni Ejec</v>
      </c>
      <c r="BO177" s="477" t="str">
        <f t="shared" ref="BO177:BO187" si="139">IF(AND(AI177=0,AL177=0),"No Prog ni Ejec",IF(AI177=0,CONCATENATE("No Prog, Ejec=  ",AL177),AL177/AI177))</f>
        <v>No Prog ni Ejec</v>
      </c>
      <c r="BP177" s="477" t="str">
        <f t="shared" ref="BP177:BP187" si="140">IF(AND(AK177=0,AM177=0),"No Prog ni Ejec",IF(AK177=0,CONCATENATE("No Prog, Ejec=  ",AM177),AM177/AK177))</f>
        <v>No Prog ni Ejec</v>
      </c>
      <c r="BQ177" s="477">
        <f t="shared" ref="BQ177:BQ187" si="141">IF(AND(AS177=0,AV177=0),"No Prog ni Ejec",IF(AS177=0,CONCATENATE("No Prog, Ejec=  ",AV177),AV177/AS177))</f>
        <v>1</v>
      </c>
      <c r="BR177" s="477" t="str">
        <f t="shared" ref="BR177:BR187" si="142">IF(AND(AU177=0,AW177=0),"No Prog ni Ejec",IF(AU177=0,CONCATENATE("No Prog, Ejec=  ",AW177),AW177/AU177))</f>
        <v>No Prog ni Ejec</v>
      </c>
      <c r="BS177" s="477" t="str">
        <f t="shared" ref="BS177:BS187" si="143">IF(AND(BC177=0,BF177=0),"No Prog ni Ejec",IF(BC177=0,CONCATENATE("No Prog, Ejec=  ",BF177),BF177/BC177))</f>
        <v>No Prog ni Ejec</v>
      </c>
      <c r="BT177" s="828" t="str">
        <f t="shared" ref="BT177:BT187" si="144">IF(AND(BE177=0,BG177=0),"No Prog ni Ejec",IF(BE177=0,CONCATENATE("No Prog, Ejec=  ",BG177),BG177/BE177))</f>
        <v>No Prog ni Ejec</v>
      </c>
    </row>
    <row r="178" spans="1:72" s="1627" customFormat="1" ht="89.25" x14ac:dyDescent="0.2">
      <c r="A178" s="1092">
        <v>11700</v>
      </c>
      <c r="B178" s="1060" t="s">
        <v>29</v>
      </c>
      <c r="C178" s="1068" t="s">
        <v>1209</v>
      </c>
      <c r="D178" s="1059" t="s">
        <v>328</v>
      </c>
      <c r="E178" s="1060" t="s">
        <v>256</v>
      </c>
      <c r="F178" s="1059" t="s">
        <v>669</v>
      </c>
      <c r="G178" s="1060" t="s">
        <v>671</v>
      </c>
      <c r="H178" s="1079" t="s">
        <v>123</v>
      </c>
      <c r="I178" s="1056">
        <v>1</v>
      </c>
      <c r="J178" s="1059" t="s">
        <v>668</v>
      </c>
      <c r="K178" s="1060" t="s">
        <v>472</v>
      </c>
      <c r="L178" s="443">
        <v>17000000</v>
      </c>
      <c r="M178" s="1056">
        <v>1</v>
      </c>
      <c r="N178" s="1060" t="s">
        <v>45</v>
      </c>
      <c r="O178" s="1060" t="s">
        <v>54</v>
      </c>
      <c r="P178" s="1060" t="s">
        <v>37</v>
      </c>
      <c r="Q178" s="1060" t="s">
        <v>38</v>
      </c>
      <c r="R178" s="1060" t="s">
        <v>218</v>
      </c>
      <c r="S178" s="1060" t="s">
        <v>379</v>
      </c>
      <c r="T178" s="1060" t="s">
        <v>104</v>
      </c>
      <c r="U178" s="1056">
        <v>1</v>
      </c>
      <c r="V178" s="1058" t="str">
        <f t="shared" ref="V178:V187" si="145">+K178</f>
        <v xml:space="preserve">Realizar el estudio de seguridad, visita domiciliaria y verificación de la información de la Hoja de Vida y antecedentes financieros de los funcionarios de la entidad. </v>
      </c>
      <c r="W178" s="445">
        <f t="shared" ref="W178:W187" si="146">+L178</f>
        <v>17000000</v>
      </c>
      <c r="X178" s="1097" t="s">
        <v>114</v>
      </c>
      <c r="Y178" s="1056">
        <v>0.25</v>
      </c>
      <c r="Z178" s="1083" t="str">
        <f t="shared" si="131"/>
        <v xml:space="preserve">Realizar el estudio de seguridad, visita domiciliaria y verificación de la información de la Hoja de Vida y antecedentes financieros de los funcionarios de la entidad. </v>
      </c>
      <c r="AA178" s="443">
        <v>4250000</v>
      </c>
      <c r="AB178" s="1088">
        <f>+AC178/W178</f>
        <v>7.8399999999999997E-2</v>
      </c>
      <c r="AC178" s="1077">
        <v>1332800</v>
      </c>
      <c r="AD178" s="1064">
        <f t="shared" si="134"/>
        <v>0.31359999999999999</v>
      </c>
      <c r="AE178" s="1056">
        <f t="shared" ref="AE178:AE187" si="147">+(AC178/AA178)</f>
        <v>0.31359999999999999</v>
      </c>
      <c r="AF178" s="1056">
        <f t="shared" ref="AF178:AF187" si="148">+(AB178/U178)</f>
        <v>7.8399999999999997E-2</v>
      </c>
      <c r="AG178" s="1056">
        <f t="shared" ref="AG178:AG187" si="149">+(AC178/W178)</f>
        <v>7.8399999999999997E-2</v>
      </c>
      <c r="AH178" s="1060" t="s">
        <v>895</v>
      </c>
      <c r="AI178" s="1056">
        <v>0.25</v>
      </c>
      <c r="AJ178" s="1083" t="str">
        <f t="shared" si="132"/>
        <v xml:space="preserve">Realizar el estudio de seguridad, visita domiciliaria y verificación de la información de la Hoja de Vida y antecedentes financieros de los funcionarios de la entidad. </v>
      </c>
      <c r="AK178" s="443">
        <v>4250000</v>
      </c>
      <c r="AL178" s="701">
        <v>0</v>
      </c>
      <c r="AM178" s="702">
        <v>0</v>
      </c>
      <c r="AN178" s="1056">
        <f t="shared" si="135"/>
        <v>0</v>
      </c>
      <c r="AO178" s="1056">
        <f>+(AM178/AK178)</f>
        <v>0</v>
      </c>
      <c r="AP178" s="1056">
        <f t="shared" si="136"/>
        <v>7.8399999999999997E-2</v>
      </c>
      <c r="AQ178" s="1056">
        <f>+(AM178+AC178)/W178</f>
        <v>7.8399999999999997E-2</v>
      </c>
      <c r="AR178" s="1071" t="s">
        <v>1055</v>
      </c>
      <c r="AS178" s="1056">
        <v>0.25</v>
      </c>
      <c r="AT178" s="1083" t="str">
        <f t="shared" si="130"/>
        <v xml:space="preserve">Realizar el estudio de seguridad, visita domiciliaria y verificación de la información de la Hoja de Vida y antecedentes financieros de los funcionarios de la entidad. </v>
      </c>
      <c r="AU178" s="443">
        <v>4250000</v>
      </c>
      <c r="AV178" s="1095">
        <f>(AW178/AU178)*AS178</f>
        <v>7.0477411764705886E-2</v>
      </c>
      <c r="AW178" s="1077">
        <v>1198116</v>
      </c>
      <c r="AX178" s="1056">
        <f t="shared" ref="AX178:AX187" si="150">+(AV178/AS178)</f>
        <v>0.28190964705882354</v>
      </c>
      <c r="AY178" s="1056">
        <f>+(AW178/AU178)</f>
        <v>0.28190964705882354</v>
      </c>
      <c r="AZ178" s="1056">
        <f t="shared" ref="AZ178:AZ187" si="151">+(AL178+AB178+AV178)/U178</f>
        <v>0.14887741176470587</v>
      </c>
      <c r="BA178" s="470">
        <f>+(AM178+AC178+AW178)/W178</f>
        <v>0.14887741176470587</v>
      </c>
      <c r="BB178" s="1048"/>
      <c r="BC178" s="1056">
        <v>0.25</v>
      </c>
      <c r="BD178" s="1083" t="str">
        <f t="shared" si="133"/>
        <v xml:space="preserve">Realizar el estudio de seguridad, visita domiciliaria y verificación de la información de la Hoja de Vida y antecedentes financieros de los funcionarios de la entidad. </v>
      </c>
      <c r="BE178" s="443">
        <v>4250000</v>
      </c>
      <c r="BF178" s="1088">
        <f>+BG178/BE178</f>
        <v>0.112764</v>
      </c>
      <c r="BG178" s="1077">
        <v>479247</v>
      </c>
      <c r="BH178" s="1056">
        <f t="shared" ref="BH178:BH187" si="152">+(BF178/BC178)</f>
        <v>0.45105600000000001</v>
      </c>
      <c r="BI178" s="1056">
        <f>+(BG178/BE178)</f>
        <v>0.112764</v>
      </c>
      <c r="BJ178" s="1056">
        <f t="shared" ref="BJ178:BJ187" si="153">+(AL178+AB178+AV178+BF178)/U178</f>
        <v>0.2616414117647059</v>
      </c>
      <c r="BK178" s="1056">
        <f>+(AM178+AC178+AW178+BG178)/W178</f>
        <v>0.17706841176470589</v>
      </c>
      <c r="BL178" s="1083"/>
      <c r="BM178" s="477">
        <f t="shared" si="137"/>
        <v>0.31359999999999999</v>
      </c>
      <c r="BN178" s="477">
        <f t="shared" si="138"/>
        <v>0.31359999999999999</v>
      </c>
      <c r="BO178" s="477">
        <f t="shared" si="139"/>
        <v>0</v>
      </c>
      <c r="BP178" s="477">
        <f t="shared" si="140"/>
        <v>0</v>
      </c>
      <c r="BQ178" s="477">
        <f t="shared" si="141"/>
        <v>0.28190964705882354</v>
      </c>
      <c r="BR178" s="477">
        <f t="shared" si="142"/>
        <v>0.28190964705882354</v>
      </c>
      <c r="BS178" s="477">
        <f t="shared" si="143"/>
        <v>0.45105600000000001</v>
      </c>
      <c r="BT178" s="828">
        <f t="shared" si="144"/>
        <v>0.112764</v>
      </c>
    </row>
    <row r="179" spans="1:72" s="1627" customFormat="1" ht="51" customHeight="1" x14ac:dyDescent="0.2">
      <c r="A179" s="1092">
        <v>11900</v>
      </c>
      <c r="B179" s="1060" t="s">
        <v>349</v>
      </c>
      <c r="C179" s="1068" t="s">
        <v>1209</v>
      </c>
      <c r="D179" s="1059" t="s">
        <v>357</v>
      </c>
      <c r="E179" s="1060" t="s">
        <v>146</v>
      </c>
      <c r="F179" s="1156" t="s">
        <v>692</v>
      </c>
      <c r="G179" s="1151" t="s">
        <v>838</v>
      </c>
      <c r="H179" s="1156" t="s">
        <v>123</v>
      </c>
      <c r="I179" s="1056">
        <v>1</v>
      </c>
      <c r="J179" s="1156" t="s">
        <v>693</v>
      </c>
      <c r="K179" s="1151" t="s">
        <v>836</v>
      </c>
      <c r="L179" s="1165">
        <v>17720000</v>
      </c>
      <c r="M179" s="476">
        <v>1</v>
      </c>
      <c r="N179" s="1151" t="s">
        <v>46</v>
      </c>
      <c r="O179" s="1151" t="s">
        <v>74</v>
      </c>
      <c r="P179" s="1151" t="s">
        <v>21</v>
      </c>
      <c r="Q179" s="1151" t="s">
        <v>36</v>
      </c>
      <c r="R179" s="1151" t="s">
        <v>229</v>
      </c>
      <c r="S179" s="1060" t="s">
        <v>703</v>
      </c>
      <c r="T179" s="1060" t="s">
        <v>99</v>
      </c>
      <c r="U179" s="444">
        <v>1</v>
      </c>
      <c r="V179" s="1154" t="str">
        <f t="shared" si="145"/>
        <v xml:space="preserve">
Expedición actos administrativos iniciales ordenando el cobro.</v>
      </c>
      <c r="W179" s="1262">
        <f t="shared" si="146"/>
        <v>17720000</v>
      </c>
      <c r="X179" s="493" t="s">
        <v>114</v>
      </c>
      <c r="Y179" s="1056">
        <v>0.1</v>
      </c>
      <c r="Z179" s="1217" t="str">
        <f t="shared" si="131"/>
        <v xml:space="preserve">
Expedición actos administrativos iniciales ordenando el cobro.</v>
      </c>
      <c r="AA179" s="1152">
        <v>0</v>
      </c>
      <c r="AB179" s="447">
        <f>673/4000</f>
        <v>0.16825000000000001</v>
      </c>
      <c r="AC179" s="1232">
        <v>0</v>
      </c>
      <c r="AD179" s="823">
        <f>+(AB179/Y179)</f>
        <v>1.6825000000000001</v>
      </c>
      <c r="AE179" s="1148" t="e">
        <f>+(AC179/AA179)</f>
        <v>#DIV/0!</v>
      </c>
      <c r="AF179" s="488">
        <f>+(AB179/U179)</f>
        <v>0.16825000000000001</v>
      </c>
      <c r="AG179" s="1148">
        <f>+(AC179/W179)</f>
        <v>0</v>
      </c>
      <c r="AH179" s="1218" t="s">
        <v>994</v>
      </c>
      <c r="AI179" s="1056">
        <v>0.3</v>
      </c>
      <c r="AJ179" s="1149" t="str">
        <f t="shared" si="132"/>
        <v xml:space="preserve">
Expedición actos administrativos iniciales ordenando el cobro.</v>
      </c>
      <c r="AK179" s="1152">
        <v>0</v>
      </c>
      <c r="AL179" s="701">
        <f>(1261/4000)</f>
        <v>0.31524999999999997</v>
      </c>
      <c r="AM179" s="1138">
        <v>0</v>
      </c>
      <c r="AN179" s="488">
        <f t="shared" si="135"/>
        <v>1.0508333333333333</v>
      </c>
      <c r="AO179" s="1148" t="e">
        <f>+(AM179/AK179)</f>
        <v>#DIV/0!</v>
      </c>
      <c r="AP179" s="488">
        <f t="shared" si="136"/>
        <v>0.48349999999999999</v>
      </c>
      <c r="AQ179" s="1148">
        <f>+(AM179+AC179/W179)</f>
        <v>0</v>
      </c>
      <c r="AR179" s="1169" t="s">
        <v>1158</v>
      </c>
      <c r="AS179" s="1056">
        <v>0.3</v>
      </c>
      <c r="AT179" s="1149" t="str">
        <f t="shared" si="130"/>
        <v xml:space="preserve">
Expedición actos administrativos iniciales ordenando el cobro.</v>
      </c>
      <c r="AU179" s="1152">
        <v>0</v>
      </c>
      <c r="AV179" s="490">
        <f>(1206/4000)</f>
        <v>0.30149999999999999</v>
      </c>
      <c r="AW179" s="1146">
        <v>0</v>
      </c>
      <c r="AX179" s="1056">
        <f t="shared" si="150"/>
        <v>1.0050000000000001</v>
      </c>
      <c r="AY179" s="1148" t="e">
        <f>+(AW179/AU179)</f>
        <v>#DIV/0!</v>
      </c>
      <c r="AZ179" s="1056">
        <f t="shared" si="151"/>
        <v>0.78499999999999992</v>
      </c>
      <c r="BA179" s="1148">
        <f t="shared" ref="BA179:BA187" si="154">+(AM179+AC179+AW179)/W179</f>
        <v>0</v>
      </c>
      <c r="BB179" s="1134" t="s">
        <v>2017</v>
      </c>
      <c r="BC179" s="1056">
        <v>0.3</v>
      </c>
      <c r="BD179" s="1159" t="str">
        <f t="shared" si="133"/>
        <v xml:space="preserve">
Expedición actos administrativos iniciales ordenando el cobro.</v>
      </c>
      <c r="BE179" s="1165">
        <v>17720000</v>
      </c>
      <c r="BF179" s="1100">
        <f>1514/4000</f>
        <v>0.3785</v>
      </c>
      <c r="BG179" s="1687">
        <v>11961000</v>
      </c>
      <c r="BH179" s="1056">
        <f t="shared" si="152"/>
        <v>1.2616666666666667</v>
      </c>
      <c r="BI179" s="1148">
        <f>+(BG179/BE179)</f>
        <v>0.67500000000000004</v>
      </c>
      <c r="BJ179" s="1056">
        <f t="shared" si="153"/>
        <v>1.1635</v>
      </c>
      <c r="BK179" s="1148">
        <f t="shared" ref="BK179:BK187" si="155">+(AM179+AC179+AW179+BG179)/W179</f>
        <v>0.67500000000000004</v>
      </c>
      <c r="BL179" s="1068" t="s">
        <v>2206</v>
      </c>
      <c r="BM179" s="477">
        <f t="shared" si="137"/>
        <v>1.6825000000000001</v>
      </c>
      <c r="BN179" s="1222" t="str">
        <f t="shared" si="138"/>
        <v>No Prog ni Ejec</v>
      </c>
      <c r="BO179" s="477">
        <f t="shared" si="139"/>
        <v>1.0508333333333333</v>
      </c>
      <c r="BP179" s="1222" t="str">
        <f t="shared" si="140"/>
        <v>No Prog ni Ejec</v>
      </c>
      <c r="BQ179" s="477">
        <f t="shared" si="141"/>
        <v>1.0050000000000001</v>
      </c>
      <c r="BR179" s="1222" t="str">
        <f t="shared" si="142"/>
        <v>No Prog ni Ejec</v>
      </c>
      <c r="BS179" s="477">
        <f t="shared" si="143"/>
        <v>1.2616666666666667</v>
      </c>
      <c r="BT179" s="1235">
        <f t="shared" si="144"/>
        <v>0.67500000000000004</v>
      </c>
    </row>
    <row r="180" spans="1:72" s="1627" customFormat="1" ht="102" customHeight="1" x14ac:dyDescent="0.2">
      <c r="A180" s="1092">
        <v>11900</v>
      </c>
      <c r="B180" s="1060" t="s">
        <v>349</v>
      </c>
      <c r="C180" s="1068" t="s">
        <v>1209</v>
      </c>
      <c r="D180" s="1059" t="s">
        <v>357</v>
      </c>
      <c r="E180" s="1060" t="s">
        <v>146</v>
      </c>
      <c r="F180" s="1156"/>
      <c r="G180" s="1151"/>
      <c r="H180" s="1156"/>
      <c r="I180" s="1083" t="s">
        <v>875</v>
      </c>
      <c r="J180" s="1156"/>
      <c r="K180" s="1151"/>
      <c r="L180" s="1165"/>
      <c r="M180" s="1083" t="str">
        <f>+I180</f>
        <v>Pendiente definir de acuerdo al comportamiento del primer trimestre del 2018</v>
      </c>
      <c r="N180" s="1151"/>
      <c r="O180" s="1151"/>
      <c r="P180" s="1151"/>
      <c r="Q180" s="1151"/>
      <c r="R180" s="1151"/>
      <c r="S180" s="1060" t="s">
        <v>840</v>
      </c>
      <c r="T180" s="1060" t="s">
        <v>99</v>
      </c>
      <c r="U180" s="1083" t="str">
        <f>+M180</f>
        <v>Pendiente definir de acuerdo al comportamiento del primer trimestre del 2018</v>
      </c>
      <c r="V180" s="1154"/>
      <c r="W180" s="1262"/>
      <c r="X180" s="493" t="s">
        <v>114</v>
      </c>
      <c r="Y180" s="1056" t="s">
        <v>792</v>
      </c>
      <c r="Z180" s="1218"/>
      <c r="AA180" s="1152"/>
      <c r="AB180" s="446" t="s">
        <v>792</v>
      </c>
      <c r="AC180" s="1232"/>
      <c r="AD180" s="823" t="e">
        <f>+(AB180/Y180)</f>
        <v>#VALUE!</v>
      </c>
      <c r="AE180" s="1148"/>
      <c r="AF180" s="488" t="e">
        <f>+(AB180/U180)</f>
        <v>#VALUE!</v>
      </c>
      <c r="AG180" s="1148"/>
      <c r="AH180" s="1218"/>
      <c r="AI180" s="1093" t="s">
        <v>792</v>
      </c>
      <c r="AJ180" s="1150"/>
      <c r="AK180" s="1152"/>
      <c r="AL180" s="1056" t="s">
        <v>792</v>
      </c>
      <c r="AM180" s="1138"/>
      <c r="AN180" s="488" t="e">
        <f t="shared" si="135"/>
        <v>#VALUE!</v>
      </c>
      <c r="AO180" s="1148"/>
      <c r="AP180" s="488" t="e">
        <f t="shared" si="136"/>
        <v>#VALUE!</v>
      </c>
      <c r="AQ180" s="1148"/>
      <c r="AR180" s="1169"/>
      <c r="AS180" s="1083" t="s">
        <v>875</v>
      </c>
      <c r="AT180" s="1150"/>
      <c r="AU180" s="1152"/>
      <c r="AV180" s="446" t="s">
        <v>792</v>
      </c>
      <c r="AW180" s="1147"/>
      <c r="AX180" s="1056" t="e">
        <f>+(AV180/AS180)</f>
        <v>#VALUE!</v>
      </c>
      <c r="AY180" s="1148"/>
      <c r="AZ180" s="1056" t="e">
        <f>+(AL180+AB180+AV180)/U180</f>
        <v>#VALUE!</v>
      </c>
      <c r="BA180" s="1148"/>
      <c r="BB180" s="1135"/>
      <c r="BC180" s="1083" t="str">
        <f>+U180</f>
        <v>Pendiente definir de acuerdo al comportamiento del primer trimestre del 2018</v>
      </c>
      <c r="BD180" s="1151"/>
      <c r="BE180" s="1165"/>
      <c r="BF180" s="1067" t="s">
        <v>2204</v>
      </c>
      <c r="BG180" s="1687"/>
      <c r="BH180" s="1056" t="e">
        <f>+(BF180/BC180)</f>
        <v>#VALUE!</v>
      </c>
      <c r="BI180" s="1148"/>
      <c r="BJ180" s="1056" t="e">
        <f>+(AL180+AB180+AV180+BF180)/U180</f>
        <v>#VALUE!</v>
      </c>
      <c r="BK180" s="1148"/>
      <c r="BL180" s="1068"/>
      <c r="BM180" s="477" t="e">
        <f t="shared" si="137"/>
        <v>#VALUE!</v>
      </c>
      <c r="BN180" s="1222"/>
      <c r="BO180" s="477" t="e">
        <f>IF(AND(AI180=0,AL180=0),"No Prog ni Ejec",IF(AI180=0,CONCATENATE("No Prog, Ejec=  ",AL180),AL179/AI180))</f>
        <v>#VALUE!</v>
      </c>
      <c r="BP180" s="1222"/>
      <c r="BQ180" s="477" t="e">
        <f t="shared" si="141"/>
        <v>#VALUE!</v>
      </c>
      <c r="BR180" s="1222"/>
      <c r="BS180" s="477" t="e">
        <f t="shared" si="143"/>
        <v>#VALUE!</v>
      </c>
      <c r="BT180" s="1235"/>
    </row>
    <row r="181" spans="1:72" s="1627" customFormat="1" ht="395.25" customHeight="1" x14ac:dyDescent="0.2">
      <c r="A181" s="1092">
        <v>11900</v>
      </c>
      <c r="B181" s="1060" t="s">
        <v>349</v>
      </c>
      <c r="C181" s="1068" t="s">
        <v>1209</v>
      </c>
      <c r="D181" s="1059" t="s">
        <v>357</v>
      </c>
      <c r="E181" s="1060" t="s">
        <v>146</v>
      </c>
      <c r="F181" s="1156" t="s">
        <v>719</v>
      </c>
      <c r="G181" s="1151" t="s">
        <v>704</v>
      </c>
      <c r="H181" s="1156" t="s">
        <v>123</v>
      </c>
      <c r="I181" s="1056">
        <v>1</v>
      </c>
      <c r="J181" s="1156" t="s">
        <v>720</v>
      </c>
      <c r="K181" s="1151" t="s">
        <v>764</v>
      </c>
      <c r="L181" s="1152">
        <v>0</v>
      </c>
      <c r="M181" s="444">
        <v>1</v>
      </c>
      <c r="N181" s="1151" t="s">
        <v>46</v>
      </c>
      <c r="O181" s="1151" t="s">
        <v>74</v>
      </c>
      <c r="P181" s="1151" t="s">
        <v>21</v>
      </c>
      <c r="Q181" s="1151" t="s">
        <v>36</v>
      </c>
      <c r="R181" s="1151" t="s">
        <v>229</v>
      </c>
      <c r="S181" s="1060" t="s">
        <v>706</v>
      </c>
      <c r="T181" s="1060" t="s">
        <v>99</v>
      </c>
      <c r="U181" s="444">
        <v>1</v>
      </c>
      <c r="V181" s="1154" t="str">
        <f>+K181</f>
        <v>Adelantar proceso coactivo a partir de la  ejecutoria del acto administrativo que ordenó el cobro.</v>
      </c>
      <c r="W181" s="1155">
        <f t="shared" si="146"/>
        <v>0</v>
      </c>
      <c r="X181" s="1156" t="s">
        <v>117</v>
      </c>
      <c r="Y181" s="1056">
        <v>0</v>
      </c>
      <c r="Z181" s="1217" t="str">
        <f>+V181</f>
        <v>Adelantar proceso coactivo a partir de la  ejecutoria del acto administrativo que ordenó el cobro.</v>
      </c>
      <c r="AA181" s="1152">
        <v>0</v>
      </c>
      <c r="AB181" s="478">
        <v>0</v>
      </c>
      <c r="AC181" s="1232">
        <v>0</v>
      </c>
      <c r="AD181" s="1064" t="e">
        <f t="shared" si="134"/>
        <v>#DIV/0!</v>
      </c>
      <c r="AE181" s="1148" t="e">
        <f t="shared" si="147"/>
        <v>#DIV/0!</v>
      </c>
      <c r="AF181" s="1056">
        <f t="shared" si="148"/>
        <v>0</v>
      </c>
      <c r="AG181" s="1148" t="e">
        <f t="shared" si="149"/>
        <v>#DIV/0!</v>
      </c>
      <c r="AH181" s="1060" t="s">
        <v>995</v>
      </c>
      <c r="AI181" s="1056">
        <v>0</v>
      </c>
      <c r="AJ181" s="1149" t="str">
        <f>+V181</f>
        <v>Adelantar proceso coactivo a partir de la  ejecutoria del acto administrativo que ordenó el cobro.</v>
      </c>
      <c r="AK181" s="443">
        <v>0</v>
      </c>
      <c r="AL181" s="815">
        <f>0/60</f>
        <v>0</v>
      </c>
      <c r="AM181" s="1138">
        <v>0</v>
      </c>
      <c r="AN181" s="1056" t="e">
        <f t="shared" si="135"/>
        <v>#DIV/0!</v>
      </c>
      <c r="AO181" s="1148" t="e">
        <f>+(AM181/AK181)</f>
        <v>#DIV/0!</v>
      </c>
      <c r="AP181" s="1056">
        <f t="shared" si="136"/>
        <v>0</v>
      </c>
      <c r="AQ181" s="1148" t="e">
        <f>+(AM181+AC181)/W181</f>
        <v>#DIV/0!</v>
      </c>
      <c r="AR181" s="1169" t="s">
        <v>1159</v>
      </c>
      <c r="AS181" s="1056">
        <v>0.25</v>
      </c>
      <c r="AT181" s="1149" t="str">
        <f>+V181</f>
        <v>Adelantar proceso coactivo a partir de la  ejecutoria del acto administrativo que ordenó el cobro.</v>
      </c>
      <c r="AU181" s="1152">
        <v>0</v>
      </c>
      <c r="AV181" s="825">
        <v>0</v>
      </c>
      <c r="AW181" s="1626">
        <v>0</v>
      </c>
      <c r="AX181" s="1056">
        <f t="shared" si="150"/>
        <v>0</v>
      </c>
      <c r="AY181" s="1148" t="e">
        <f t="shared" ref="AY181:AY187" si="156">+(AW181/AU181)</f>
        <v>#DIV/0!</v>
      </c>
      <c r="AZ181" s="1056">
        <f t="shared" si="151"/>
        <v>0</v>
      </c>
      <c r="BA181" s="1148" t="e">
        <f t="shared" si="154"/>
        <v>#DIV/0!</v>
      </c>
      <c r="BB181" s="1048"/>
      <c r="BC181" s="1056">
        <v>0.75</v>
      </c>
      <c r="BD181" s="1149" t="str">
        <f>+V181</f>
        <v>Adelantar proceso coactivo a partir de la  ejecutoria del acto administrativo que ordenó el cobro.</v>
      </c>
      <c r="BE181" s="1152">
        <v>0</v>
      </c>
      <c r="BF181" s="1067">
        <v>0</v>
      </c>
      <c r="BG181" s="1687">
        <v>0</v>
      </c>
      <c r="BH181" s="1056">
        <f t="shared" si="152"/>
        <v>0</v>
      </c>
      <c r="BI181" s="1148" t="e">
        <f>+(BG181/BE181)</f>
        <v>#DIV/0!</v>
      </c>
      <c r="BJ181" s="1056">
        <f t="shared" si="153"/>
        <v>0</v>
      </c>
      <c r="BK181" s="1148" t="e">
        <f t="shared" si="155"/>
        <v>#DIV/0!</v>
      </c>
      <c r="BL181" s="1068" t="s">
        <v>2273</v>
      </c>
      <c r="BM181" s="477" t="str">
        <f t="shared" si="137"/>
        <v>No Prog ni Ejec</v>
      </c>
      <c r="BN181" s="1222" t="str">
        <f t="shared" si="138"/>
        <v>No Prog ni Ejec</v>
      </c>
      <c r="BO181" s="477" t="str">
        <f t="shared" si="139"/>
        <v>No Prog ni Ejec</v>
      </c>
      <c r="BP181" s="1222" t="str">
        <f t="shared" si="140"/>
        <v>No Prog ni Ejec</v>
      </c>
      <c r="BQ181" s="477">
        <f t="shared" si="141"/>
        <v>0</v>
      </c>
      <c r="BR181" s="1222" t="str">
        <f t="shared" si="142"/>
        <v>No Prog ni Ejec</v>
      </c>
      <c r="BS181" s="477">
        <f t="shared" si="143"/>
        <v>0</v>
      </c>
      <c r="BT181" s="1235" t="str">
        <f t="shared" si="144"/>
        <v>No Prog ni Ejec</v>
      </c>
    </row>
    <row r="182" spans="1:72" s="1627" customFormat="1" ht="102" customHeight="1" x14ac:dyDescent="0.2">
      <c r="A182" s="1092">
        <v>11900</v>
      </c>
      <c r="B182" s="1060" t="s">
        <v>349</v>
      </c>
      <c r="C182" s="1068" t="s">
        <v>1209</v>
      </c>
      <c r="D182" s="1059" t="s">
        <v>357</v>
      </c>
      <c r="E182" s="1060" t="s">
        <v>146</v>
      </c>
      <c r="F182" s="1156"/>
      <c r="G182" s="1151"/>
      <c r="H182" s="1156"/>
      <c r="I182" s="1083" t="s">
        <v>875</v>
      </c>
      <c r="J182" s="1156"/>
      <c r="K182" s="1151"/>
      <c r="L182" s="1152"/>
      <c r="M182" s="1083" t="str">
        <f>+I182</f>
        <v>Pendiente definir de acuerdo al comportamiento del primer trimestre del 2018</v>
      </c>
      <c r="N182" s="1151"/>
      <c r="O182" s="1151"/>
      <c r="P182" s="1151"/>
      <c r="Q182" s="1151"/>
      <c r="R182" s="1151"/>
      <c r="S182" s="1060" t="s">
        <v>839</v>
      </c>
      <c r="T182" s="1060" t="s">
        <v>99</v>
      </c>
      <c r="U182" s="1083" t="str">
        <f>+I182</f>
        <v>Pendiente definir de acuerdo al comportamiento del primer trimestre del 2018</v>
      </c>
      <c r="V182" s="1154"/>
      <c r="W182" s="1155"/>
      <c r="X182" s="1156"/>
      <c r="Y182" s="1056" t="s">
        <v>792</v>
      </c>
      <c r="Z182" s="1218"/>
      <c r="AA182" s="1152"/>
      <c r="AB182" s="446" t="s">
        <v>792</v>
      </c>
      <c r="AC182" s="1232"/>
      <c r="AD182" s="1064" t="e">
        <f>+(AB182/Y182)</f>
        <v>#VALUE!</v>
      </c>
      <c r="AE182" s="1148"/>
      <c r="AF182" s="1056" t="e">
        <f>+(AB182/U182)</f>
        <v>#VALUE!</v>
      </c>
      <c r="AG182" s="1148"/>
      <c r="AH182" s="1060"/>
      <c r="AI182" s="1093" t="s">
        <v>792</v>
      </c>
      <c r="AJ182" s="1150"/>
      <c r="AK182" s="443"/>
      <c r="AL182" s="1056" t="s">
        <v>792</v>
      </c>
      <c r="AM182" s="1138"/>
      <c r="AN182" s="1056" t="e">
        <f t="shared" si="135"/>
        <v>#VALUE!</v>
      </c>
      <c r="AO182" s="1148"/>
      <c r="AP182" s="1056" t="e">
        <f t="shared" si="136"/>
        <v>#VALUE!</v>
      </c>
      <c r="AQ182" s="1148"/>
      <c r="AR182" s="1169"/>
      <c r="AS182" s="1099" t="str">
        <f>+I182</f>
        <v>Pendiente definir de acuerdo al comportamiento del primer trimestre del 2018</v>
      </c>
      <c r="AT182" s="1149"/>
      <c r="AU182" s="1152"/>
      <c r="AV182" s="825" t="s">
        <v>792</v>
      </c>
      <c r="AW182" s="1626">
        <v>0</v>
      </c>
      <c r="AX182" s="1056" t="e">
        <f>+(AV182/AS182)</f>
        <v>#VALUE!</v>
      </c>
      <c r="AY182" s="1148"/>
      <c r="AZ182" s="1056" t="e">
        <f>+(AL182+AB182+AV182)/U182</f>
        <v>#VALUE!</v>
      </c>
      <c r="BA182" s="1148"/>
      <c r="BB182" s="1048"/>
      <c r="BC182" s="1083" t="str">
        <f>+I182</f>
        <v>Pendiente definir de acuerdo al comportamiento del primer trimestre del 2018</v>
      </c>
      <c r="BD182" s="1149"/>
      <c r="BE182" s="1152"/>
      <c r="BF182" s="1067" t="s">
        <v>792</v>
      </c>
      <c r="BG182" s="1687"/>
      <c r="BH182" s="1056" t="e">
        <f>+(BF182/BC182)</f>
        <v>#VALUE!</v>
      </c>
      <c r="BI182" s="1148"/>
      <c r="BJ182" s="1056" t="e">
        <f>+(AL182+AB182+AV182+BF182)/U182</f>
        <v>#VALUE!</v>
      </c>
      <c r="BK182" s="1148"/>
      <c r="BL182" s="1068" t="s">
        <v>2274</v>
      </c>
      <c r="BM182" s="477" t="str">
        <f>IF(AND(AA181=0,AC181=0),"No Prog ni Ejec",IF(AA181=0,CONCATENATE("No Prog, Ejec=  ",AC181),AC181/AA181))</f>
        <v>No Prog ni Ejec</v>
      </c>
      <c r="BN182" s="1222"/>
      <c r="BO182" s="477" t="str">
        <f>IF(AND(AK181=0,AM181=0),"No Prog ni Ejec",IF(AK181=0,CONCATENATE("No Prog, Ejec=  ",AM181),AM181/AK181))</f>
        <v>No Prog ni Ejec</v>
      </c>
      <c r="BP182" s="1222"/>
      <c r="BQ182" s="477" t="e">
        <f>IF(AND(AS182=0,AV182=0),"No Prog ni Ejec",IF(AS182=0,CONCATENATE("No Prog, Ejec=  ",AV182),AV182/AS182))</f>
        <v>#VALUE!</v>
      </c>
      <c r="BR182" s="1222"/>
      <c r="BS182" s="477" t="e">
        <f>IF(AND(BC182=0,BF182=0),"No Prog ni Ejec",IF(BC182=0,CONCATENATE("No Prog, Ejec=  ",BF182),BF182/BC182))</f>
        <v>#VALUE!</v>
      </c>
      <c r="BT182" s="1235"/>
    </row>
    <row r="183" spans="1:72" s="1627" customFormat="1" ht="191.25" customHeight="1" x14ac:dyDescent="0.2">
      <c r="A183" s="1092">
        <v>11900</v>
      </c>
      <c r="B183" s="1060" t="s">
        <v>349</v>
      </c>
      <c r="C183" s="1068" t="s">
        <v>1209</v>
      </c>
      <c r="D183" s="1059" t="s">
        <v>357</v>
      </c>
      <c r="E183" s="1060" t="s">
        <v>146</v>
      </c>
      <c r="F183" s="1059" t="s">
        <v>701</v>
      </c>
      <c r="G183" s="1151" t="s">
        <v>712</v>
      </c>
      <c r="H183" s="1079" t="s">
        <v>123</v>
      </c>
      <c r="I183" s="1056">
        <v>1</v>
      </c>
      <c r="J183" s="1059" t="s">
        <v>707</v>
      </c>
      <c r="K183" s="1060" t="s">
        <v>468</v>
      </c>
      <c r="L183" s="475">
        <v>150000000</v>
      </c>
      <c r="M183" s="444">
        <v>1</v>
      </c>
      <c r="N183" s="1060" t="s">
        <v>46</v>
      </c>
      <c r="O183" s="1060" t="s">
        <v>74</v>
      </c>
      <c r="P183" s="1060" t="s">
        <v>21</v>
      </c>
      <c r="Q183" s="1060" t="s">
        <v>36</v>
      </c>
      <c r="R183" s="1060" t="s">
        <v>229</v>
      </c>
      <c r="S183" s="1060" t="s">
        <v>182</v>
      </c>
      <c r="T183" s="1060" t="s">
        <v>99</v>
      </c>
      <c r="U183" s="444">
        <v>1</v>
      </c>
      <c r="V183" s="1058" t="str">
        <f t="shared" si="145"/>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W183" s="824">
        <f t="shared" si="146"/>
        <v>150000000</v>
      </c>
      <c r="X183" s="1097" t="s">
        <v>114</v>
      </c>
      <c r="Y183" s="1056">
        <v>0.25</v>
      </c>
      <c r="Z183" s="1083" t="str">
        <f t="shared" ref="Z183:Z229" si="157">+V183</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A183" s="475">
        <f>+W183*Y183</f>
        <v>37500000</v>
      </c>
      <c r="AB183" s="446">
        <v>0</v>
      </c>
      <c r="AC183" s="446">
        <v>0</v>
      </c>
      <c r="AD183" s="1064">
        <f t="shared" si="134"/>
        <v>0</v>
      </c>
      <c r="AE183" s="1056">
        <f t="shared" si="147"/>
        <v>0</v>
      </c>
      <c r="AF183" s="1056">
        <f t="shared" si="148"/>
        <v>0</v>
      </c>
      <c r="AG183" s="1056">
        <f t="shared" si="149"/>
        <v>0</v>
      </c>
      <c r="AH183" s="1060" t="s">
        <v>915</v>
      </c>
      <c r="AI183" s="1056">
        <v>0.25</v>
      </c>
      <c r="AJ183" s="1083" t="str">
        <f t="shared" ref="AJ183:AJ301" si="158">+V183</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K183" s="443">
        <v>37500000</v>
      </c>
      <c r="AL183" s="793" t="e">
        <f>(0/0)*AI183</f>
        <v>#DIV/0!</v>
      </c>
      <c r="AM183" s="702">
        <v>0</v>
      </c>
      <c r="AN183" s="1056" t="e">
        <f t="shared" si="135"/>
        <v>#DIV/0!</v>
      </c>
      <c r="AO183" s="1056">
        <f t="shared" ref="AO183:AO188" si="159">+(AM183/AK183)</f>
        <v>0</v>
      </c>
      <c r="AP183" s="1056" t="e">
        <f t="shared" si="136"/>
        <v>#DIV/0!</v>
      </c>
      <c r="AQ183" s="1056">
        <f t="shared" ref="AQ183:AQ188" si="160">+(AM183+AC183)/W183</f>
        <v>0</v>
      </c>
      <c r="AR183" s="1083"/>
      <c r="AS183" s="1056">
        <v>0.25</v>
      </c>
      <c r="AT183" s="1083" t="str">
        <f t="shared" ref="AT183:AT301" si="161">+V183</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U183" s="443">
        <v>37500000</v>
      </c>
      <c r="AV183" s="801">
        <f>+AW183/W183</f>
        <v>0</v>
      </c>
      <c r="AW183" s="1633">
        <v>0</v>
      </c>
      <c r="AX183" s="1056">
        <f t="shared" si="150"/>
        <v>0</v>
      </c>
      <c r="AY183" s="1056">
        <f t="shared" si="156"/>
        <v>0</v>
      </c>
      <c r="AZ183" s="1056" t="e">
        <f t="shared" si="151"/>
        <v>#DIV/0!</v>
      </c>
      <c r="BA183" s="1056">
        <f t="shared" si="154"/>
        <v>0</v>
      </c>
      <c r="BB183" s="1048"/>
      <c r="BC183" s="1056">
        <v>0.25</v>
      </c>
      <c r="BD183" s="1083" t="str">
        <f t="shared" ref="BD183:BD301" si="162">+V183</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E183" s="443">
        <v>37500000</v>
      </c>
      <c r="BF183" s="1088">
        <f>55780680/150000000</f>
        <v>0.37187120000000001</v>
      </c>
      <c r="BG183" s="1673">
        <v>55780680</v>
      </c>
      <c r="BH183" s="1056">
        <f t="shared" si="152"/>
        <v>1.4874848000000001</v>
      </c>
      <c r="BI183" s="1056">
        <f t="shared" ref="BI183:BI188" si="163">+(BG183/BE183)</f>
        <v>1.4874848000000001</v>
      </c>
      <c r="BJ183" s="1056" t="e">
        <f t="shared" si="153"/>
        <v>#DIV/0!</v>
      </c>
      <c r="BK183" s="1056">
        <f t="shared" si="155"/>
        <v>0.37187120000000001</v>
      </c>
      <c r="BL183" s="1048"/>
      <c r="BM183" s="477">
        <f t="shared" si="137"/>
        <v>0</v>
      </c>
      <c r="BN183" s="477">
        <f t="shared" si="138"/>
        <v>0</v>
      </c>
      <c r="BO183" s="477" t="e">
        <f t="shared" si="139"/>
        <v>#DIV/0!</v>
      </c>
      <c r="BP183" s="477">
        <f t="shared" si="140"/>
        <v>0</v>
      </c>
      <c r="BQ183" s="477">
        <f t="shared" si="141"/>
        <v>0</v>
      </c>
      <c r="BR183" s="477">
        <f t="shared" si="142"/>
        <v>0</v>
      </c>
      <c r="BS183" s="477">
        <f t="shared" si="143"/>
        <v>1.4874848000000001</v>
      </c>
      <c r="BT183" s="828">
        <f t="shared" si="144"/>
        <v>1.4874848000000001</v>
      </c>
    </row>
    <row r="184" spans="1:72" s="1627" customFormat="1" ht="90" customHeight="1" x14ac:dyDescent="0.2">
      <c r="A184" s="1092">
        <v>11900</v>
      </c>
      <c r="B184" s="1060" t="s">
        <v>349</v>
      </c>
      <c r="C184" s="1068" t="s">
        <v>1209</v>
      </c>
      <c r="D184" s="1059" t="s">
        <v>357</v>
      </c>
      <c r="E184" s="1060" t="s">
        <v>146</v>
      </c>
      <c r="F184" s="1059" t="s">
        <v>701</v>
      </c>
      <c r="G184" s="1151"/>
      <c r="H184" s="1079" t="s">
        <v>123</v>
      </c>
      <c r="I184" s="1056">
        <v>1</v>
      </c>
      <c r="J184" s="1059" t="s">
        <v>930</v>
      </c>
      <c r="K184" s="1060" t="s">
        <v>996</v>
      </c>
      <c r="L184" s="475">
        <f>1647456+61050000</f>
        <v>62697456</v>
      </c>
      <c r="M184" s="444">
        <v>1</v>
      </c>
      <c r="N184" s="1060" t="s">
        <v>46</v>
      </c>
      <c r="O184" s="1060" t="s">
        <v>74</v>
      </c>
      <c r="P184" s="1060" t="s">
        <v>21</v>
      </c>
      <c r="Q184" s="1060" t="s">
        <v>36</v>
      </c>
      <c r="R184" s="1060" t="s">
        <v>229</v>
      </c>
      <c r="S184" s="1060" t="s">
        <v>947</v>
      </c>
      <c r="T184" s="1060" t="s">
        <v>99</v>
      </c>
      <c r="U184" s="444">
        <v>1</v>
      </c>
      <c r="V184" s="1058" t="str">
        <f>+K184</f>
        <v>Otros gastos asociados a la representación judicial</v>
      </c>
      <c r="W184" s="824">
        <f>+L184</f>
        <v>62697456</v>
      </c>
      <c r="X184" s="1097" t="s">
        <v>114</v>
      </c>
      <c r="Y184" s="1056">
        <v>0.25</v>
      </c>
      <c r="Z184" s="1083" t="str">
        <f t="shared" si="157"/>
        <v>Otros gastos asociados a la representación judicial</v>
      </c>
      <c r="AA184" s="475">
        <f>+W184*Y184</f>
        <v>15674364</v>
      </c>
      <c r="AB184" s="447">
        <f>+(AC184/AA184)*25%</f>
        <v>0.18489723091794985</v>
      </c>
      <c r="AC184" s="448">
        <v>11592586</v>
      </c>
      <c r="AD184" s="1064">
        <f>+(AB184/Y184)</f>
        <v>0.7395889236717994</v>
      </c>
      <c r="AE184" s="1056">
        <f>+(AC184/AA184)</f>
        <v>0.7395889236717994</v>
      </c>
      <c r="AF184" s="1056">
        <f>+(AB184/U184)</f>
        <v>0.18489723091794985</v>
      </c>
      <c r="AG184" s="1056">
        <f>+(AC184/W184)</f>
        <v>0.18489723091794985</v>
      </c>
      <c r="AH184" s="1060"/>
      <c r="AI184" s="1056">
        <v>0.25</v>
      </c>
      <c r="AJ184" s="1083" t="str">
        <f t="shared" si="158"/>
        <v>Otros gastos asociados a la representación judicial</v>
      </c>
      <c r="AK184" s="443">
        <f>+W184*AI184</f>
        <v>15674364</v>
      </c>
      <c r="AL184" s="447">
        <f>+(AM184/AK184)*AI184</f>
        <v>5.9140230506322299E-2</v>
      </c>
      <c r="AM184" s="448">
        <v>3707942</v>
      </c>
      <c r="AN184" s="1056">
        <f t="shared" si="135"/>
        <v>0.23656092202528919</v>
      </c>
      <c r="AO184" s="1056">
        <f t="shared" si="159"/>
        <v>0.23656092202528919</v>
      </c>
      <c r="AP184" s="1056">
        <f t="shared" si="136"/>
        <v>0.24403746142427216</v>
      </c>
      <c r="AQ184" s="1056">
        <f t="shared" si="160"/>
        <v>0.24403746142427216</v>
      </c>
      <c r="AR184" s="1083"/>
      <c r="AS184" s="1056">
        <v>0.25</v>
      </c>
      <c r="AT184" s="1083" t="str">
        <f t="shared" si="161"/>
        <v>Otros gastos asociados a la representación judicial</v>
      </c>
      <c r="AU184" s="443">
        <v>15674364</v>
      </c>
      <c r="AV184" s="1631">
        <f>+AW184/W184</f>
        <v>8.5305470767426353E-2</v>
      </c>
      <c r="AW184" s="1626">
        <v>5348436</v>
      </c>
      <c r="AX184" s="1056">
        <f>+(AV184/AS184)</f>
        <v>0.34122188306970541</v>
      </c>
      <c r="AY184" s="1056">
        <f>+(AW184/AU184)</f>
        <v>0.34122188306970541</v>
      </c>
      <c r="AZ184" s="1056">
        <f>+(AL184+AB184+AV184)/U184</f>
        <v>0.32934293219169852</v>
      </c>
      <c r="BA184" s="1056">
        <f>+(AM184+AC184+AW184)/W184</f>
        <v>0.32934293219169852</v>
      </c>
      <c r="BB184" s="1048"/>
      <c r="BC184" s="1056">
        <v>0.25</v>
      </c>
      <c r="BD184" s="1083" t="str">
        <f t="shared" si="162"/>
        <v>Otros gastos asociados a la representación judicial</v>
      </c>
      <c r="BE184" s="443">
        <v>15674364</v>
      </c>
      <c r="BF184" s="1688">
        <f>+BG184/W184</f>
        <v>0.16941427416129931</v>
      </c>
      <c r="BG184" s="1673">
        <v>10621844</v>
      </c>
      <c r="BH184" s="1056">
        <f>+(BF184/BC184)</f>
        <v>0.67765709664519724</v>
      </c>
      <c r="BI184" s="1056">
        <f t="shared" si="163"/>
        <v>0.67765709664519724</v>
      </c>
      <c r="BJ184" s="1056">
        <f>+(AL184+AB184+AV184+BF184)/U184</f>
        <v>0.49875720635299781</v>
      </c>
      <c r="BK184" s="1056">
        <f>+(AM184+AC184+AW184+BG184)/W184</f>
        <v>0.49875720635299781</v>
      </c>
      <c r="BL184" s="1048"/>
      <c r="BM184" s="477">
        <f>IF(AND(Y184=0,AB184=0),"No Prog ni Ejec",IF(Y184=0,CONCATENATE("No Prog, Ejec=  ",AB184),AB184/Y184))</f>
        <v>0.7395889236717994</v>
      </c>
      <c r="BN184" s="477">
        <f>IF(AND(AA184=0,AC184=0),"No Prog ni Ejec",IF(AA184=0,CONCATENATE("No Prog, Ejec=  ",AC184),AC184/AA184))</f>
        <v>0.7395889236717994</v>
      </c>
      <c r="BO184" s="477">
        <f>IF(AND(AI184=0,AL184=0),"No Prog ni Ejec",IF(AI184=0,CONCATENATE("No Prog, Ejec=  ",AL184),AL184/AI184))</f>
        <v>0.23656092202528919</v>
      </c>
      <c r="BP184" s="477">
        <f>IF(AND(AK184=0,AM184=0),"No Prog ni Ejec",IF(AK184=0,CONCATENATE("No Prog, Ejec=  ",AM184),AM184/AK184))</f>
        <v>0.23656092202528919</v>
      </c>
      <c r="BQ184" s="477">
        <f>IF(AND(AS184=0,AV184=0),"No Prog ni Ejec",IF(AS184=0,CONCATENATE("No Prog, Ejec=  ",AV184),AV184/AS184))</f>
        <v>0.34122188306970541</v>
      </c>
      <c r="BR184" s="477">
        <f>IF(AND(AU184=0,AW184=0),"No Prog ni Ejec",IF(AU184=0,CONCATENATE("No Prog, Ejec=  ",AW184),AW184/AU184))</f>
        <v>0.34122188306970541</v>
      </c>
      <c r="BS184" s="477">
        <f>IF(AND(BC184=0,BF184=0),"No Prog ni Ejec",IF(BC184=0,CONCATENATE("No Prog, Ejec=  ",BF184),BF184/BC184))</f>
        <v>0.67765709664519724</v>
      </c>
      <c r="BT184" s="828">
        <f>IF(AND(BE184=0,BG184=0),"No Prog ni Ejec",IF(BE184=0,CONCATENATE("No Prog, Ejec=  ",BG184),BG184/BE184))</f>
        <v>0.67765709664519724</v>
      </c>
    </row>
    <row r="185" spans="1:72" s="1627" customFormat="1" ht="153" customHeight="1" x14ac:dyDescent="0.2">
      <c r="A185" s="1092">
        <v>11900</v>
      </c>
      <c r="B185" s="1060" t="s">
        <v>349</v>
      </c>
      <c r="C185" s="1068" t="s">
        <v>1209</v>
      </c>
      <c r="D185" s="1059" t="s">
        <v>357</v>
      </c>
      <c r="E185" s="1060" t="s">
        <v>146</v>
      </c>
      <c r="F185" s="1059" t="s">
        <v>701</v>
      </c>
      <c r="G185" s="1151"/>
      <c r="H185" s="1079" t="s">
        <v>123</v>
      </c>
      <c r="I185" s="1056">
        <v>1</v>
      </c>
      <c r="J185" s="1059" t="s">
        <v>951</v>
      </c>
      <c r="K185" s="1060" t="s">
        <v>931</v>
      </c>
      <c r="L185" s="475">
        <v>199920000</v>
      </c>
      <c r="M185" s="444">
        <v>1</v>
      </c>
      <c r="N185" s="1060" t="s">
        <v>46</v>
      </c>
      <c r="O185" s="1060" t="s">
        <v>74</v>
      </c>
      <c r="P185" s="1060" t="s">
        <v>21</v>
      </c>
      <c r="Q185" s="1060" t="s">
        <v>36</v>
      </c>
      <c r="R185" s="1060" t="s">
        <v>229</v>
      </c>
      <c r="S185" s="1060" t="s">
        <v>182</v>
      </c>
      <c r="T185" s="1060" t="s">
        <v>99</v>
      </c>
      <c r="U185" s="444">
        <v>1</v>
      </c>
      <c r="V185" s="1058" t="str">
        <f>+K185</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W185" s="824">
        <f>+L185</f>
        <v>199920000</v>
      </c>
      <c r="X185" s="1097" t="s">
        <v>114</v>
      </c>
      <c r="Y185" s="1056">
        <f>+AA185/W185</f>
        <v>0.29761904761904762</v>
      </c>
      <c r="Z185" s="1083" t="str">
        <f t="shared" si="157"/>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AA185" s="475">
        <v>59500000</v>
      </c>
      <c r="AB185" s="447">
        <f>+(AC185/AA185)*30%</f>
        <v>0.3</v>
      </c>
      <c r="AC185" s="448">
        <v>59500000</v>
      </c>
      <c r="AD185" s="1064">
        <f>+(AB185/Y185)</f>
        <v>1.008</v>
      </c>
      <c r="AE185" s="1056">
        <f>+(AC185/AA185)</f>
        <v>1</v>
      </c>
      <c r="AF185" s="1056">
        <f>+(AB185/U185)</f>
        <v>0.3</v>
      </c>
      <c r="AG185" s="1056">
        <f>+(AC185/W185)</f>
        <v>0.29761904761904762</v>
      </c>
      <c r="AH185" s="1060"/>
      <c r="AI185" s="1056">
        <v>0</v>
      </c>
      <c r="AJ185" s="1083" t="str">
        <f t="shared" si="158"/>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AK185" s="443">
        <v>0</v>
      </c>
      <c r="AL185" s="700" t="e">
        <f>+(AM185/AK185)*AI185</f>
        <v>#DIV/0!</v>
      </c>
      <c r="AM185" s="702">
        <v>0</v>
      </c>
      <c r="AN185" s="1056" t="e">
        <f t="shared" si="135"/>
        <v>#DIV/0!</v>
      </c>
      <c r="AO185" s="1056" t="e">
        <f t="shared" si="159"/>
        <v>#DIV/0!</v>
      </c>
      <c r="AP185" s="1056" t="e">
        <f t="shared" si="136"/>
        <v>#DIV/0!</v>
      </c>
      <c r="AQ185" s="1056">
        <f t="shared" si="160"/>
        <v>0.29761904761904762</v>
      </c>
      <c r="AR185" s="1083"/>
      <c r="AS185" s="1056">
        <f>+AU185/W185</f>
        <v>0.29761904761904762</v>
      </c>
      <c r="AT185" s="1083" t="str">
        <f t="shared" si="161"/>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AU185" s="443">
        <f>59500000</f>
        <v>59500000</v>
      </c>
      <c r="AV185" s="1634">
        <v>0</v>
      </c>
      <c r="AW185" s="1626">
        <v>0</v>
      </c>
      <c r="AX185" s="1056">
        <f>+(AV185/AS185)</f>
        <v>0</v>
      </c>
      <c r="AY185" s="1056">
        <f>+(AW185/AU185)</f>
        <v>0</v>
      </c>
      <c r="AZ185" s="1056" t="e">
        <f>+(AL185+AB185+AV185)/U185</f>
        <v>#DIV/0!</v>
      </c>
      <c r="BA185" s="1056">
        <f>+(AM185+AC185+AW185)/W185</f>
        <v>0.29761904761904762</v>
      </c>
      <c r="BB185" s="1048"/>
      <c r="BC185" s="1056">
        <v>0.4</v>
      </c>
      <c r="BD185" s="1083" t="str">
        <f t="shared" si="162"/>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BE185" s="443">
        <f>21420000+59500000</f>
        <v>80920000</v>
      </c>
      <c r="BF185" s="1669">
        <v>0</v>
      </c>
      <c r="BG185" s="744">
        <v>0</v>
      </c>
      <c r="BH185" s="1056">
        <f>+(BF185/BC185)</f>
        <v>0</v>
      </c>
      <c r="BI185" s="1056">
        <f t="shared" si="163"/>
        <v>0</v>
      </c>
      <c r="BJ185" s="1056" t="e">
        <f>+(AL185+AB185+AV185+BF185)/U185</f>
        <v>#DIV/0!</v>
      </c>
      <c r="BK185" s="1056">
        <f>+(AM185+AC185+AW185+BG185)/W185</f>
        <v>0.29761904761904762</v>
      </c>
      <c r="BL185" s="1048" t="s">
        <v>2210</v>
      </c>
      <c r="BM185" s="477">
        <f>IF(AND(Y185=0,AB185=0),"No Prog ni Ejec",IF(Y185=0,CONCATENATE("No Prog, Ejec=  ",AB185),AB185/Y185))</f>
        <v>1.008</v>
      </c>
      <c r="BN185" s="477">
        <f>IF(AND(AA185=0,AC185=0),"No Prog ni Ejec",IF(AA185=0,CONCATENATE("No Prog, Ejec=  ",AC185),AC185/AA185))</f>
        <v>1</v>
      </c>
      <c r="BO185" s="477" t="e">
        <f>IF(AND(AI185=0,AL185=0),"No Prog ni Ejec",IF(AI185=0,CONCATENATE("No Prog, Ejec=  ",AL185),AL185/AI185))</f>
        <v>#DIV/0!</v>
      </c>
      <c r="BP185" s="477" t="str">
        <f>IF(AND(AK185=0,AM185=0),"No Prog ni Ejec",IF(AK185=0,CONCATENATE("No Prog, Ejec=  ",AM185),AM185/AK185))</f>
        <v>No Prog ni Ejec</v>
      </c>
      <c r="BQ185" s="477">
        <f>IF(AND(AS185=0,AV185=0),"No Prog ni Ejec",IF(AS185=0,CONCATENATE("No Prog, Ejec=  ",AV185),AV185/AS185))</f>
        <v>0</v>
      </c>
      <c r="BR185" s="477">
        <f>IF(AND(AU185=0,AW185=0),"No Prog ni Ejec",IF(AU185=0,CONCATENATE("No Prog, Ejec=  ",AW185),AW185/AU185))</f>
        <v>0</v>
      </c>
      <c r="BS185" s="477">
        <f>IF(AND(BC185=0,BF185=0),"No Prog ni Ejec",IF(BC185=0,CONCATENATE("No Prog, Ejec=  ",BF185),BF185/BC185))</f>
        <v>0</v>
      </c>
      <c r="BT185" s="828">
        <f>IF(AND(BE185=0,BG185=0),"No Prog ni Ejec",IF(BE185=0,CONCATENATE("No Prog, Ejec=  ",BG185),BG185/BE185))</f>
        <v>0</v>
      </c>
    </row>
    <row r="186" spans="1:72" s="1627" customFormat="1" ht="178.5" customHeight="1" x14ac:dyDescent="0.2">
      <c r="A186" s="1092">
        <v>11900</v>
      </c>
      <c r="B186" s="1060" t="s">
        <v>349</v>
      </c>
      <c r="C186" s="1068" t="s">
        <v>1209</v>
      </c>
      <c r="D186" s="1059" t="s">
        <v>357</v>
      </c>
      <c r="E186" s="1060" t="s">
        <v>146</v>
      </c>
      <c r="F186" s="1059" t="s">
        <v>721</v>
      </c>
      <c r="G186" s="1060" t="s">
        <v>709</v>
      </c>
      <c r="H186" s="1079" t="s">
        <v>123</v>
      </c>
      <c r="I186" s="1056">
        <v>1</v>
      </c>
      <c r="J186" s="1059" t="s">
        <v>708</v>
      </c>
      <c r="K186" s="1060" t="s">
        <v>374</v>
      </c>
      <c r="L186" s="443">
        <v>144328579</v>
      </c>
      <c r="M186" s="444">
        <v>1</v>
      </c>
      <c r="N186" s="1060" t="s">
        <v>46</v>
      </c>
      <c r="O186" s="1060" t="s">
        <v>74</v>
      </c>
      <c r="P186" s="1060" t="s">
        <v>21</v>
      </c>
      <c r="Q186" s="1060" t="s">
        <v>36</v>
      </c>
      <c r="R186" s="1060" t="s">
        <v>229</v>
      </c>
      <c r="S186" s="1060" t="s">
        <v>182</v>
      </c>
      <c r="T186" s="1060" t="s">
        <v>99</v>
      </c>
      <c r="U186" s="444">
        <v>1</v>
      </c>
      <c r="V186" s="1058" t="str">
        <f t="shared" si="145"/>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W186" s="445">
        <f t="shared" si="146"/>
        <v>144328579</v>
      </c>
      <c r="X186" s="1097" t="s">
        <v>114</v>
      </c>
      <c r="Y186" s="1056">
        <v>0.25</v>
      </c>
      <c r="Z186" s="1083" t="str">
        <f t="shared" si="157"/>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A186" s="443">
        <f>+W186*Y186</f>
        <v>36082144.75</v>
      </c>
      <c r="AB186" s="446">
        <v>0</v>
      </c>
      <c r="AC186" s="448">
        <v>0</v>
      </c>
      <c r="AD186" s="1064">
        <f t="shared" si="134"/>
        <v>0</v>
      </c>
      <c r="AE186" s="1056">
        <f t="shared" si="147"/>
        <v>0</v>
      </c>
      <c r="AF186" s="1056">
        <f t="shared" si="148"/>
        <v>0</v>
      </c>
      <c r="AG186" s="1056">
        <f t="shared" si="149"/>
        <v>0</v>
      </c>
      <c r="AH186" s="1060"/>
      <c r="AI186" s="1056">
        <v>0.25</v>
      </c>
      <c r="AJ186" s="1083" t="str">
        <f t="shared" si="158"/>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K186" s="443">
        <v>36082144.75</v>
      </c>
      <c r="AL186" s="793" t="e">
        <f>(0/0)*AI186</f>
        <v>#DIV/0!</v>
      </c>
      <c r="AM186" s="702">
        <v>0</v>
      </c>
      <c r="AN186" s="1056" t="e">
        <f t="shared" si="135"/>
        <v>#DIV/0!</v>
      </c>
      <c r="AO186" s="1056">
        <f t="shared" si="159"/>
        <v>0</v>
      </c>
      <c r="AP186" s="1056" t="e">
        <f t="shared" si="136"/>
        <v>#DIV/0!</v>
      </c>
      <c r="AQ186" s="1056">
        <f t="shared" si="160"/>
        <v>0</v>
      </c>
      <c r="AR186" s="1083"/>
      <c r="AS186" s="1056">
        <v>0.25</v>
      </c>
      <c r="AT186" s="1083" t="str">
        <f t="shared" si="161"/>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U186" s="443">
        <v>36082144.75</v>
      </c>
      <c r="AV186" s="1634">
        <v>0</v>
      </c>
      <c r="AW186" s="1626">
        <v>0</v>
      </c>
      <c r="AX186" s="1056">
        <f t="shared" si="150"/>
        <v>0</v>
      </c>
      <c r="AY186" s="1056">
        <f t="shared" si="156"/>
        <v>0</v>
      </c>
      <c r="AZ186" s="1056" t="e">
        <f t="shared" si="151"/>
        <v>#DIV/0!</v>
      </c>
      <c r="BA186" s="1056">
        <f t="shared" si="154"/>
        <v>0</v>
      </c>
      <c r="BB186" s="1048"/>
      <c r="BC186" s="1056">
        <v>0.25</v>
      </c>
      <c r="BD186" s="1083" t="str">
        <f t="shared" si="162"/>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E186" s="443">
        <v>36082144.75</v>
      </c>
      <c r="BF186" s="1669">
        <f>+(BG186/BE186)*BC186</f>
        <v>0.21512957825213536</v>
      </c>
      <c r="BG186" s="744">
        <v>31049346.329999998</v>
      </c>
      <c r="BH186" s="1056">
        <f t="shared" si="152"/>
        <v>0.86051831300854142</v>
      </c>
      <c r="BI186" s="1056">
        <f t="shared" si="163"/>
        <v>0.86051831300854142</v>
      </c>
      <c r="BJ186" s="1056" t="e">
        <f t="shared" si="153"/>
        <v>#DIV/0!</v>
      </c>
      <c r="BK186" s="1056">
        <f t="shared" si="155"/>
        <v>0.21512957825213536</v>
      </c>
      <c r="BL186" s="1048"/>
      <c r="BM186" s="477">
        <f t="shared" si="137"/>
        <v>0</v>
      </c>
      <c r="BN186" s="477">
        <f t="shared" si="138"/>
        <v>0</v>
      </c>
      <c r="BO186" s="477" t="e">
        <f t="shared" si="139"/>
        <v>#DIV/0!</v>
      </c>
      <c r="BP186" s="477">
        <f t="shared" si="140"/>
        <v>0</v>
      </c>
      <c r="BQ186" s="477">
        <f t="shared" si="141"/>
        <v>0</v>
      </c>
      <c r="BR186" s="477">
        <f t="shared" si="142"/>
        <v>0</v>
      </c>
      <c r="BS186" s="477">
        <f t="shared" si="143"/>
        <v>0.86051831300854142</v>
      </c>
      <c r="BT186" s="828">
        <f t="shared" si="144"/>
        <v>0.86051831300854142</v>
      </c>
    </row>
    <row r="187" spans="1:72" s="1627" customFormat="1" ht="102" x14ac:dyDescent="0.2">
      <c r="A187" s="1092">
        <v>11900</v>
      </c>
      <c r="B187" s="1060" t="s">
        <v>349</v>
      </c>
      <c r="C187" s="1068" t="s">
        <v>1209</v>
      </c>
      <c r="D187" s="1059" t="s">
        <v>357</v>
      </c>
      <c r="E187" s="1060" t="s">
        <v>146</v>
      </c>
      <c r="F187" s="1059" t="s">
        <v>710</v>
      </c>
      <c r="G187" s="1060" t="s">
        <v>713</v>
      </c>
      <c r="H187" s="1079" t="s">
        <v>123</v>
      </c>
      <c r="I187" s="1056">
        <v>1</v>
      </c>
      <c r="J187" s="1059" t="s">
        <v>711</v>
      </c>
      <c r="K187" s="1060" t="s">
        <v>375</v>
      </c>
      <c r="L187" s="443">
        <v>163716856</v>
      </c>
      <c r="M187" s="444">
        <v>1</v>
      </c>
      <c r="N187" s="1060" t="s">
        <v>46</v>
      </c>
      <c r="O187" s="1060" t="s">
        <v>74</v>
      </c>
      <c r="P187" s="1060" t="s">
        <v>21</v>
      </c>
      <c r="Q187" s="1060" t="s">
        <v>36</v>
      </c>
      <c r="R187" s="1060" t="s">
        <v>229</v>
      </c>
      <c r="S187" s="1060" t="s">
        <v>714</v>
      </c>
      <c r="T187" s="1060" t="s">
        <v>99</v>
      </c>
      <c r="U187" s="444">
        <v>1</v>
      </c>
      <c r="V187" s="1058" t="str">
        <f t="shared" si="145"/>
        <v>Ejercer la representación judicial en los procesos penales en que sea parte la Administradora de los Recursos del Sistema General de Seguridad Social en Salud – Administradora de los Recursos del Sistema General de Seguridad Social en Salud - ADRES.</v>
      </c>
      <c r="W187" s="445">
        <f t="shared" si="146"/>
        <v>163716856</v>
      </c>
      <c r="X187" s="1097" t="s">
        <v>114</v>
      </c>
      <c r="Y187" s="1056">
        <v>0.25</v>
      </c>
      <c r="Z187" s="1083" t="str">
        <f t="shared" si="157"/>
        <v>Ejercer la representación judicial en los procesos penales en que sea parte la Administradora de los Recursos del Sistema General de Seguridad Social en Salud – Administradora de los Recursos del Sistema General de Seguridad Social en Salud - ADRES.</v>
      </c>
      <c r="AA187" s="443">
        <f>+Y187*W187</f>
        <v>40929214</v>
      </c>
      <c r="AB187" s="447">
        <f>19/19*0.25</f>
        <v>0.25</v>
      </c>
      <c r="AC187" s="448">
        <v>18286302</v>
      </c>
      <c r="AD187" s="1064">
        <f t="shared" si="134"/>
        <v>1</v>
      </c>
      <c r="AE187" s="1056">
        <f t="shared" si="147"/>
        <v>0.44677872387190237</v>
      </c>
      <c r="AF187" s="1056">
        <f t="shared" si="148"/>
        <v>0.25</v>
      </c>
      <c r="AG187" s="1056">
        <f t="shared" si="149"/>
        <v>0.11169468096797559</v>
      </c>
      <c r="AH187" s="1060"/>
      <c r="AI187" s="1056">
        <v>0.25</v>
      </c>
      <c r="AJ187" s="1083" t="str">
        <f t="shared" si="158"/>
        <v>Ejercer la representación judicial en los procesos penales en que sea parte la Administradora de los Recursos del Sistema General de Seguridad Social en Salud – Administradora de los Recursos del Sistema General de Seguridad Social en Salud - ADRES.</v>
      </c>
      <c r="AK187" s="443">
        <v>40929214</v>
      </c>
      <c r="AL187" s="793">
        <f>(17/53)*AI186</f>
        <v>8.0188679245283015E-2</v>
      </c>
      <c r="AM187" s="529">
        <v>54572288</v>
      </c>
      <c r="AN187" s="1056">
        <f t="shared" si="135"/>
        <v>0.32075471698113206</v>
      </c>
      <c r="AO187" s="1056">
        <f t="shared" si="159"/>
        <v>1.3333333984864699</v>
      </c>
      <c r="AP187" s="1056">
        <f t="shared" si="136"/>
        <v>0.330188679245283</v>
      </c>
      <c r="AQ187" s="1056">
        <f t="shared" si="160"/>
        <v>0.44502803058959306</v>
      </c>
      <c r="AR187" s="1083"/>
      <c r="AS187" s="1056">
        <v>0.25</v>
      </c>
      <c r="AT187" s="1083" t="str">
        <f t="shared" si="161"/>
        <v>Ejercer la representación judicial en los procesos penales en que sea parte la Administradora de los Recursos del Sistema General de Seguridad Social en Salud – Administradora de los Recursos del Sistema General de Seguridad Social en Salud - ADRES.</v>
      </c>
      <c r="AU187" s="443">
        <v>40929214</v>
      </c>
      <c r="AV187" s="1631">
        <f>(16/56)*AS186</f>
        <v>7.1428571428571425E-2</v>
      </c>
      <c r="AW187" s="1626">
        <v>40929216</v>
      </c>
      <c r="AX187" s="1056">
        <f t="shared" si="150"/>
        <v>0.2857142857142857</v>
      </c>
      <c r="AY187" s="1056">
        <f t="shared" si="156"/>
        <v>1.0000000488648524</v>
      </c>
      <c r="AZ187" s="1056">
        <f t="shared" si="151"/>
        <v>0.40161725067385445</v>
      </c>
      <c r="BA187" s="1056">
        <f t="shared" si="154"/>
        <v>0.6950280428058061</v>
      </c>
      <c r="BB187" s="1048"/>
      <c r="BC187" s="1056">
        <v>0.25</v>
      </c>
      <c r="BD187" s="1083" t="str">
        <f t="shared" si="162"/>
        <v>Ejercer la representación judicial en los procesos penales en que sea parte la Administradora de los Recursos del Sistema General de Seguridad Social en Salud – Administradora de los Recursos del Sistema General de Seguridad Social en Salud - ADRES.</v>
      </c>
      <c r="BE187" s="443">
        <v>40929214</v>
      </c>
      <c r="BF187" s="1088">
        <f>(30/55)*BC187</f>
        <v>0.13636363636363635</v>
      </c>
      <c r="BG187" s="744">
        <v>40929216</v>
      </c>
      <c r="BH187" s="1056">
        <f t="shared" si="152"/>
        <v>0.54545454545454541</v>
      </c>
      <c r="BI187" s="1056">
        <f t="shared" si="163"/>
        <v>1.0000000488648524</v>
      </c>
      <c r="BJ187" s="1056">
        <f t="shared" si="153"/>
        <v>0.53798088703749081</v>
      </c>
      <c r="BK187" s="1056">
        <f t="shared" si="155"/>
        <v>0.94502805502201925</v>
      </c>
      <c r="BL187" s="1048"/>
      <c r="BM187" s="477">
        <f t="shared" si="137"/>
        <v>1</v>
      </c>
      <c r="BN187" s="477">
        <f t="shared" si="138"/>
        <v>0.44677872387190237</v>
      </c>
      <c r="BO187" s="477">
        <f t="shared" si="139"/>
        <v>0.32075471698113206</v>
      </c>
      <c r="BP187" s="477">
        <f t="shared" si="140"/>
        <v>1.3333333984864699</v>
      </c>
      <c r="BQ187" s="477">
        <f t="shared" si="141"/>
        <v>0.2857142857142857</v>
      </c>
      <c r="BR187" s="477">
        <f t="shared" si="142"/>
        <v>1.0000000488648524</v>
      </c>
      <c r="BS187" s="477">
        <f t="shared" si="143"/>
        <v>0.54545454545454541</v>
      </c>
      <c r="BT187" s="828">
        <f t="shared" si="144"/>
        <v>1.0000000488648524</v>
      </c>
    </row>
    <row r="188" spans="1:72" s="1627" customFormat="1" ht="89.25" x14ac:dyDescent="0.2">
      <c r="A188" s="1092">
        <v>11700</v>
      </c>
      <c r="B188" s="1060" t="s">
        <v>29</v>
      </c>
      <c r="C188" s="1068" t="s">
        <v>1209</v>
      </c>
      <c r="D188" s="1059" t="s">
        <v>328</v>
      </c>
      <c r="E188" s="1060" t="s">
        <v>256</v>
      </c>
      <c r="F188" s="1059" t="s">
        <v>916</v>
      </c>
      <c r="G188" s="1060" t="s">
        <v>917</v>
      </c>
      <c r="H188" s="1079" t="s">
        <v>123</v>
      </c>
      <c r="I188" s="1056">
        <v>1</v>
      </c>
      <c r="J188" s="1059" t="s">
        <v>918</v>
      </c>
      <c r="K188" s="1060" t="s">
        <v>919</v>
      </c>
      <c r="L188" s="443">
        <f>59500000+238000000-119000000</f>
        <v>178500000</v>
      </c>
      <c r="M188" s="1056">
        <v>1</v>
      </c>
      <c r="N188" s="1060" t="s">
        <v>46</v>
      </c>
      <c r="O188" s="1060" t="s">
        <v>68</v>
      </c>
      <c r="P188" s="1060" t="s">
        <v>37</v>
      </c>
      <c r="Q188" s="1060" t="s">
        <v>38</v>
      </c>
      <c r="R188" s="1060" t="s">
        <v>217</v>
      </c>
      <c r="S188" s="1060" t="s">
        <v>379</v>
      </c>
      <c r="T188" s="1060" t="s">
        <v>104</v>
      </c>
      <c r="U188" s="1056">
        <v>1</v>
      </c>
      <c r="V188" s="1058" t="str">
        <f>+K188</f>
        <v>Asesoría Jurídica y acompañamiento para la entidad en relación a las actuaciones administrativas</v>
      </c>
      <c r="W188" s="445">
        <f>+L188</f>
        <v>178500000</v>
      </c>
      <c r="X188" s="1097" t="s">
        <v>114</v>
      </c>
      <c r="Y188" s="1056">
        <v>0.2</v>
      </c>
      <c r="Z188" s="1083" t="str">
        <f t="shared" si="157"/>
        <v>Asesoría Jurídica y acompañamiento para la entidad en relación a las actuaciones administrativas</v>
      </c>
      <c r="AA188" s="443">
        <v>59500000</v>
      </c>
      <c r="AB188" s="1088">
        <f>(AC188/AA188)*20%</f>
        <v>0.2</v>
      </c>
      <c r="AC188" s="1077">
        <v>59500000</v>
      </c>
      <c r="AD188" s="1064">
        <f>+(AB188/Y188)</f>
        <v>1</v>
      </c>
      <c r="AE188" s="1056">
        <f>+(AC188/AA188)</f>
        <v>1</v>
      </c>
      <c r="AF188" s="1056">
        <f>+(AB188/U188)</f>
        <v>0.2</v>
      </c>
      <c r="AG188" s="1056">
        <f>+(AC188/W188)</f>
        <v>0.33333333333333331</v>
      </c>
      <c r="AH188" s="1097"/>
      <c r="AI188" s="1056">
        <v>0.8</v>
      </c>
      <c r="AJ188" s="1083" t="str">
        <f t="shared" si="158"/>
        <v>Asesoría Jurídica y acompañamiento para la entidad en relación a las actuaciones administrativas</v>
      </c>
      <c r="AK188" s="443">
        <f>238000000-119000000</f>
        <v>119000000</v>
      </c>
      <c r="AL188" s="478">
        <f>+(AM188/AK188)*AI188</f>
        <v>0.8</v>
      </c>
      <c r="AM188" s="448">
        <v>119000000</v>
      </c>
      <c r="AN188" s="1056">
        <f t="shared" si="135"/>
        <v>1</v>
      </c>
      <c r="AO188" s="1056">
        <f t="shared" si="159"/>
        <v>1</v>
      </c>
      <c r="AP188" s="1056">
        <f t="shared" si="136"/>
        <v>1</v>
      </c>
      <c r="AQ188" s="1056">
        <f t="shared" si="160"/>
        <v>1</v>
      </c>
      <c r="AR188" s="1099" t="s">
        <v>1132</v>
      </c>
      <c r="AS188" s="1056">
        <v>0</v>
      </c>
      <c r="AT188" s="1083" t="str">
        <f t="shared" si="161"/>
        <v>Asesoría Jurídica y acompañamiento para la entidad en relación a las actuaciones administrativas</v>
      </c>
      <c r="AU188" s="443">
        <v>0</v>
      </c>
      <c r="AV188" s="1634">
        <v>0</v>
      </c>
      <c r="AW188" s="739">
        <v>0</v>
      </c>
      <c r="AX188" s="1056" t="e">
        <f>+(AV188/AS188)</f>
        <v>#DIV/0!</v>
      </c>
      <c r="AY188" s="1056" t="e">
        <f>+(AW188/AU188)</f>
        <v>#DIV/0!</v>
      </c>
      <c r="AZ188" s="1056">
        <f>+(AL188+AB188+AV188)/U188</f>
        <v>1</v>
      </c>
      <c r="BA188" s="1056">
        <f>+(AM188+AC188+AW188)/W188</f>
        <v>1</v>
      </c>
      <c r="BB188" s="1048"/>
      <c r="BC188" s="1056">
        <v>0</v>
      </c>
      <c r="BD188" s="1083" t="str">
        <f t="shared" si="162"/>
        <v>Asesoría Jurídica y acompañamiento para la entidad en relación a las actuaciones administrativas</v>
      </c>
      <c r="BE188" s="443">
        <v>0</v>
      </c>
      <c r="BF188" s="1079">
        <v>0</v>
      </c>
      <c r="BG188" s="1077">
        <v>0</v>
      </c>
      <c r="BH188" s="1056" t="e">
        <f>+(BF188/BC188)</f>
        <v>#DIV/0!</v>
      </c>
      <c r="BI188" s="1056" t="e">
        <f t="shared" si="163"/>
        <v>#DIV/0!</v>
      </c>
      <c r="BJ188" s="1056">
        <f>+(AL188+AB188+AV188+BF188)/U188</f>
        <v>1</v>
      </c>
      <c r="BK188" s="1056">
        <f>+(AM188+AC188+AW188+BG188)/W188</f>
        <v>1</v>
      </c>
      <c r="BL188" s="1083"/>
      <c r="BM188" s="477">
        <f>IF(AND(Y188=0,AB188=0),"No Prog ni Ejec",IF(Y188=0,CONCATENATE("No Prog, Ejec=  ",AB188),AB188/Y188))</f>
        <v>1</v>
      </c>
      <c r="BN188" s="477">
        <f>IF(AND(AA188=0,AC188=0),"No Prog ni Ejec",IF(AA188=0,CONCATENATE("No Prog, Ejec=  ",AC188),AC188/AA188))</f>
        <v>1</v>
      </c>
      <c r="BO188" s="477">
        <f>IF(AND(AI188=0,AL188=0),"No Prog ni Ejec",IF(AI188=0,CONCATENATE("No Prog, Ejec=  ",AL188),AL188/AI188))</f>
        <v>1</v>
      </c>
      <c r="BP188" s="477">
        <f>IF(AND(AK188=0,AM188=0),"No Prog ni Ejec",IF(AK188=0,CONCATENATE("No Prog, Ejec=  ",AM188),AM188/AK188))</f>
        <v>1</v>
      </c>
      <c r="BQ188" s="477" t="str">
        <f>IF(AND(AS188=0,AV188=0),"No Prog ni Ejec",IF(AS188=0,CONCATENATE("No Prog, Ejec=  ",AV188),AV188/AS188))</f>
        <v>No Prog ni Ejec</v>
      </c>
      <c r="BR188" s="477" t="str">
        <f>IF(AND(AU188=0,AW188=0),"No Prog ni Ejec",IF(AU188=0,CONCATENATE("No Prog, Ejec=  ",AW188),AW188/AU188))</f>
        <v>No Prog ni Ejec</v>
      </c>
      <c r="BS188" s="477" t="str">
        <f>IF(AND(BC188=0,BF188=0),"No Prog ni Ejec",IF(BC188=0,CONCATENATE("No Prog, Ejec=  ",BF188),BF188/BC188))</f>
        <v>No Prog ni Ejec</v>
      </c>
      <c r="BT188" s="828" t="str">
        <f>IF(AND(BE188=0,BG188=0),"No Prog ni Ejec",IF(BE188=0,CONCATENATE("No Prog, Ejec=  ",BG188),BG188/BE188))</f>
        <v>No Prog ni Ejec</v>
      </c>
    </row>
    <row r="189" spans="1:72" s="1627" customFormat="1" ht="63.75" x14ac:dyDescent="0.2">
      <c r="A189" s="1092">
        <v>11400</v>
      </c>
      <c r="B189" s="1060" t="s">
        <v>26</v>
      </c>
      <c r="C189" s="1068" t="s">
        <v>1209</v>
      </c>
      <c r="D189" s="1059" t="s">
        <v>242</v>
      </c>
      <c r="E189" s="1060" t="s">
        <v>144</v>
      </c>
      <c r="F189" s="1059" t="s">
        <v>939</v>
      </c>
      <c r="G189" s="1060" t="s">
        <v>940</v>
      </c>
      <c r="H189" s="1079" t="s">
        <v>123</v>
      </c>
      <c r="I189" s="1056">
        <v>1</v>
      </c>
      <c r="J189" s="1059" t="s">
        <v>941</v>
      </c>
      <c r="K189" s="1060" t="s">
        <v>942</v>
      </c>
      <c r="L189" s="475">
        <f>31009020+23256765</f>
        <v>54265785</v>
      </c>
      <c r="M189" s="488">
        <v>1</v>
      </c>
      <c r="N189" s="1060" t="s">
        <v>46</v>
      </c>
      <c r="O189" s="1060" t="s">
        <v>68</v>
      </c>
      <c r="P189" s="1060" t="s">
        <v>34</v>
      </c>
      <c r="Q189" s="1060" t="s">
        <v>36</v>
      </c>
      <c r="R189" s="1060" t="s">
        <v>225</v>
      </c>
      <c r="S189" s="1060" t="s">
        <v>943</v>
      </c>
      <c r="T189" s="1060" t="s">
        <v>99</v>
      </c>
      <c r="U189" s="478">
        <v>1</v>
      </c>
      <c r="V189" s="493" t="str">
        <f>+K189</f>
        <v>Cierre convenio con Cafesalud</v>
      </c>
      <c r="W189" s="516">
        <f>+L189</f>
        <v>54265785</v>
      </c>
      <c r="X189" s="1097" t="s">
        <v>114</v>
      </c>
      <c r="Y189" s="488">
        <v>0.43</v>
      </c>
      <c r="Z189" s="493" t="str">
        <f t="shared" si="157"/>
        <v>Cierre convenio con Cafesalud</v>
      </c>
      <c r="AA189" s="475">
        <f>+W189*Y189</f>
        <v>23334287.550000001</v>
      </c>
      <c r="AB189" s="476">
        <f>(AC189/AA189)*43%</f>
        <v>0.42857142857142855</v>
      </c>
      <c r="AC189" s="475">
        <v>23256765</v>
      </c>
      <c r="AD189" s="1064">
        <f>+(AB189/Y189)</f>
        <v>0.99667774086378735</v>
      </c>
      <c r="AE189" s="1064">
        <f t="shared" ref="AE189:AE229" si="164">+(AC189/AA189)</f>
        <v>0.99667774086378735</v>
      </c>
      <c r="AF189" s="1064">
        <f t="shared" ref="AF189:AF229" si="165">+(AB189/U189)</f>
        <v>0.42857142857142855</v>
      </c>
      <c r="AG189" s="1064">
        <f t="shared" ref="AG189:AG229" si="166">+(AC189/W189)</f>
        <v>0.42857142857142855</v>
      </c>
      <c r="AH189" s="1097"/>
      <c r="AI189" s="488">
        <v>0.56999999999999995</v>
      </c>
      <c r="AJ189" s="493" t="str">
        <f t="shared" si="158"/>
        <v>Cierre convenio con Cafesalud</v>
      </c>
      <c r="AK189" s="475">
        <f>+W189*AI189</f>
        <v>30931497.449999996</v>
      </c>
      <c r="AL189" s="447">
        <v>0</v>
      </c>
      <c r="AM189" s="448">
        <v>0</v>
      </c>
      <c r="AN189" s="1064">
        <f t="shared" ref="AN189:AN251" si="167">+(AL189/AI189)</f>
        <v>0</v>
      </c>
      <c r="AO189" s="1064">
        <f t="shared" ref="AO189:AO229" si="168">+(AM189/AK189)</f>
        <v>0</v>
      </c>
      <c r="AP189" s="1064">
        <f t="shared" ref="AP189:AP229" si="169">+(AL189+AB189)/U189</f>
        <v>0.42857142857142855</v>
      </c>
      <c r="AQ189" s="1064">
        <f t="shared" ref="AQ189:AQ229" si="170">+(AM189+AC189)/W189</f>
        <v>0.42857142857142855</v>
      </c>
      <c r="AR189" s="1068" t="s">
        <v>1173</v>
      </c>
      <c r="AS189" s="488">
        <v>0</v>
      </c>
      <c r="AT189" s="493" t="str">
        <f t="shared" si="161"/>
        <v>Cierre convenio con Cafesalud</v>
      </c>
      <c r="AU189" s="475">
        <v>0</v>
      </c>
      <c r="AV189" s="476">
        <f>+AW189/W189</f>
        <v>0.5714285714285714</v>
      </c>
      <c r="AW189" s="739">
        <v>31009020</v>
      </c>
      <c r="AX189" s="1064" t="e">
        <f t="shared" ref="AX189:AX251" si="171">+(AV189/AS189)</f>
        <v>#DIV/0!</v>
      </c>
      <c r="AY189" s="1064" t="e">
        <f t="shared" ref="AY189:AY229" si="172">+(AW189/AU189)</f>
        <v>#DIV/0!</v>
      </c>
      <c r="AZ189" s="1064">
        <f t="shared" ref="AZ189:AZ229" si="173">+(AL189+AB189+AV189)/U189</f>
        <v>1</v>
      </c>
      <c r="BA189" s="1064">
        <f t="shared" ref="BA189:BA229" si="174">+(AM189+AC189+AW189)/W189</f>
        <v>1</v>
      </c>
      <c r="BB189" s="1068" t="s">
        <v>1988</v>
      </c>
      <c r="BC189" s="488">
        <v>0</v>
      </c>
      <c r="BD189" s="493" t="str">
        <f t="shared" si="162"/>
        <v>Cierre convenio con Cafesalud</v>
      </c>
      <c r="BE189" s="475">
        <v>0</v>
      </c>
      <c r="BF189" s="1088">
        <v>0</v>
      </c>
      <c r="BG189" s="1077">
        <v>0</v>
      </c>
      <c r="BH189" s="1056" t="e">
        <f t="shared" ref="BH189:BH251" si="175">+(BF189/BC189)</f>
        <v>#DIV/0!</v>
      </c>
      <c r="BI189" s="1056" t="e">
        <f t="shared" ref="BI189:BI229" si="176">+(BG189/BE189)</f>
        <v>#DIV/0!</v>
      </c>
      <c r="BJ189" s="1056">
        <f t="shared" ref="BJ189:BJ229" si="177">+(AL189+AB189+AV189+BF189)/U189</f>
        <v>1</v>
      </c>
      <c r="BK189" s="1056">
        <f t="shared" ref="BK189:BK229" si="178">+(AM189+AC189+AW189+BG189)/W189</f>
        <v>1</v>
      </c>
      <c r="BL189" s="1083"/>
      <c r="BM189" s="477">
        <f t="shared" ref="BM189:BM229" si="179">IF(AND(Y189=0,AB189=0),"No Prog ni Ejec",IF(Y189=0,CONCATENATE("No Prog, Ejec=  ",AB189),AB189/Y189))</f>
        <v>0.99667774086378735</v>
      </c>
      <c r="BN189" s="477">
        <f t="shared" ref="BN189:BN229" si="180">IF(AND(AA189=0,AC189=0),"No Prog ni Ejec",IF(AA189=0,CONCATENATE("No Prog, Ejec=  ",AC189),AC189/AA189))</f>
        <v>0.99667774086378735</v>
      </c>
      <c r="BO189" s="477">
        <f t="shared" ref="BO189:BO229" si="181">IF(AND(AI189=0,AL189=0),"No Prog ni Ejec",IF(AI189=0,CONCATENATE("No Prog, Ejec=  ",AL189),AL189/AI189))</f>
        <v>0</v>
      </c>
      <c r="BP189" s="477">
        <f t="shared" ref="BP189:BP229" si="182">IF(AND(AK189=0,AM189=0),"No Prog ni Ejec",IF(AK189=0,CONCATENATE("No Prog, Ejec=  ",AM189),AM189/AK189))</f>
        <v>0</v>
      </c>
      <c r="BQ189" s="477" t="str">
        <f t="shared" ref="BQ189:BQ229" si="183">IF(AND(AS189=0,AV189=0),"No Prog ni Ejec",IF(AS189=0,CONCATENATE("No Prog, Ejec=  ",AV189),AV189/AS189))</f>
        <v>No Prog, Ejec=  0,571428571428571</v>
      </c>
      <c r="BR189" s="477" t="str">
        <f t="shared" ref="BR189:BR229" si="184">IF(AND(AU189=0,AW189=0),"No Prog ni Ejec",IF(AU189=0,CONCATENATE("No Prog, Ejec=  ",AW189),AW189/AU189))</f>
        <v>No Prog, Ejec=  31009020</v>
      </c>
      <c r="BS189" s="477" t="str">
        <f t="shared" ref="BS189:BS229" si="185">IF(AND(BC189=0,BF189=0),"No Prog ni Ejec",IF(BC189=0,CONCATENATE("No Prog, Ejec=  ",BF189),BF189/BC189))</f>
        <v>No Prog ni Ejec</v>
      </c>
      <c r="BT189" s="828" t="str">
        <f t="shared" ref="BT189:BT229" si="186">IF(AND(BE189=0,BG189=0),"No Prog ni Ejec",IF(BE189=0,CONCATENATE("No Prog, Ejec=  ",BG189),BG189/BE189))</f>
        <v>No Prog ni Ejec</v>
      </c>
    </row>
    <row r="190" spans="1:72" s="958" customFormat="1" ht="89.25" x14ac:dyDescent="0.2">
      <c r="A190" s="1091">
        <v>12000</v>
      </c>
      <c r="B190" s="1068" t="s">
        <v>831</v>
      </c>
      <c r="C190" s="1068" t="s">
        <v>1340</v>
      </c>
      <c r="D190" s="1085" t="s">
        <v>355</v>
      </c>
      <c r="E190" s="1068" t="s">
        <v>256</v>
      </c>
      <c r="F190" s="1085" t="s">
        <v>1341</v>
      </c>
      <c r="G190" s="1060" t="s">
        <v>1342</v>
      </c>
      <c r="H190" s="1089" t="s">
        <v>124</v>
      </c>
      <c r="I190" s="1085">
        <v>1</v>
      </c>
      <c r="J190" s="1085" t="s">
        <v>1343</v>
      </c>
      <c r="K190" s="1068" t="s">
        <v>1344</v>
      </c>
      <c r="L190" s="529">
        <v>0</v>
      </c>
      <c r="M190" s="1078">
        <v>1</v>
      </c>
      <c r="N190" s="1068" t="s">
        <v>51</v>
      </c>
      <c r="O190" s="1068" t="s">
        <v>56</v>
      </c>
      <c r="P190" s="1068" t="s">
        <v>37</v>
      </c>
      <c r="Q190" s="1068" t="s">
        <v>39</v>
      </c>
      <c r="R190" s="1068" t="s">
        <v>210</v>
      </c>
      <c r="S190" s="1068" t="s">
        <v>1345</v>
      </c>
      <c r="T190" s="1068" t="s">
        <v>92</v>
      </c>
      <c r="U190" s="737">
        <v>1</v>
      </c>
      <c r="V190" s="1071" t="str">
        <f t="shared" ref="V190:W205" si="187">+K190</f>
        <v>Estructurar de manera colaborativa la política de Administración de Riesgos de ADRES.</v>
      </c>
      <c r="W190" s="699">
        <f t="shared" si="187"/>
        <v>0</v>
      </c>
      <c r="X190" s="1086" t="s">
        <v>117</v>
      </c>
      <c r="Y190" s="1090">
        <v>1</v>
      </c>
      <c r="Z190" s="1072" t="str">
        <f t="shared" si="157"/>
        <v>Estructurar de manera colaborativa la política de Administración de Riesgos de ADRES.</v>
      </c>
      <c r="AA190" s="529">
        <v>0</v>
      </c>
      <c r="AB190" s="825">
        <v>1</v>
      </c>
      <c r="AC190" s="1626">
        <v>0</v>
      </c>
      <c r="AD190" s="1069">
        <f t="shared" ref="AD190:AD252" si="188">+(AB190/Y190)</f>
        <v>1</v>
      </c>
      <c r="AE190" s="1069" t="e">
        <f t="shared" si="164"/>
        <v>#DIV/0!</v>
      </c>
      <c r="AF190" s="1069">
        <f t="shared" si="165"/>
        <v>1</v>
      </c>
      <c r="AG190" s="1069" t="e">
        <f t="shared" si="166"/>
        <v>#DIV/0!</v>
      </c>
      <c r="AH190" s="1048" t="s">
        <v>2321</v>
      </c>
      <c r="AI190" s="1090">
        <v>0</v>
      </c>
      <c r="AJ190" s="1072" t="str">
        <f t="shared" si="158"/>
        <v>Estructurar de manera colaborativa la política de Administración de Riesgos de ADRES.</v>
      </c>
      <c r="AK190" s="529">
        <v>0</v>
      </c>
      <c r="AL190" s="700"/>
      <c r="AM190" s="702"/>
      <c r="AN190" s="1069" t="e">
        <f t="shared" si="167"/>
        <v>#DIV/0!</v>
      </c>
      <c r="AO190" s="1069" t="e">
        <f t="shared" si="168"/>
        <v>#DIV/0!</v>
      </c>
      <c r="AP190" s="1069">
        <f t="shared" si="169"/>
        <v>1</v>
      </c>
      <c r="AQ190" s="1069" t="e">
        <f t="shared" si="170"/>
        <v>#DIV/0!</v>
      </c>
      <c r="AR190" s="845"/>
      <c r="AS190" s="1090">
        <v>0</v>
      </c>
      <c r="AT190" s="1072" t="str">
        <f t="shared" si="161"/>
        <v>Estructurar de manera colaborativa la política de Administración de Riesgos de ADRES.</v>
      </c>
      <c r="AU190" s="529">
        <v>0</v>
      </c>
      <c r="AV190" s="825">
        <v>0</v>
      </c>
      <c r="AW190" s="739">
        <v>0</v>
      </c>
      <c r="AX190" s="1069" t="e">
        <f t="shared" si="171"/>
        <v>#DIV/0!</v>
      </c>
      <c r="AY190" s="1069" t="e">
        <f t="shared" si="172"/>
        <v>#DIV/0!</v>
      </c>
      <c r="AZ190" s="1069">
        <f t="shared" si="173"/>
        <v>1</v>
      </c>
      <c r="BA190" s="1069" t="e">
        <f t="shared" si="174"/>
        <v>#DIV/0!</v>
      </c>
      <c r="BB190" s="1068"/>
      <c r="BC190" s="1090">
        <v>0</v>
      </c>
      <c r="BD190" s="1072" t="str">
        <f t="shared" si="162"/>
        <v>Estructurar de manera colaborativa la política de Administración de Riesgos de ADRES.</v>
      </c>
      <c r="BE190" s="529">
        <v>0</v>
      </c>
      <c r="BF190" s="1089">
        <v>0</v>
      </c>
      <c r="BG190" s="1054">
        <v>0</v>
      </c>
      <c r="BH190" s="1075" t="e">
        <f t="shared" si="175"/>
        <v>#DIV/0!</v>
      </c>
      <c r="BI190" s="1075" t="e">
        <f t="shared" si="176"/>
        <v>#DIV/0!</v>
      </c>
      <c r="BJ190" s="1075">
        <f t="shared" si="177"/>
        <v>1</v>
      </c>
      <c r="BK190" s="1075" t="e">
        <f t="shared" si="178"/>
        <v>#DIV/0!</v>
      </c>
      <c r="BL190" s="1072"/>
      <c r="BM190" s="708">
        <f t="shared" si="179"/>
        <v>1</v>
      </c>
      <c r="BN190" s="708" t="str">
        <f t="shared" si="180"/>
        <v>No Prog ni Ejec</v>
      </c>
      <c r="BO190" s="708" t="str">
        <f t="shared" si="181"/>
        <v>No Prog ni Ejec</v>
      </c>
      <c r="BP190" s="708" t="str">
        <f t="shared" si="182"/>
        <v>No Prog ni Ejec</v>
      </c>
      <c r="BQ190" s="708" t="str">
        <f t="shared" si="183"/>
        <v>No Prog ni Ejec</v>
      </c>
      <c r="BR190" s="708" t="str">
        <f t="shared" si="184"/>
        <v>No Prog ni Ejec</v>
      </c>
      <c r="BS190" s="708" t="str">
        <f t="shared" si="185"/>
        <v>No Prog ni Ejec</v>
      </c>
      <c r="BT190" s="829" t="str">
        <f t="shared" si="186"/>
        <v>No Prog ni Ejec</v>
      </c>
    </row>
    <row r="191" spans="1:72" s="958" customFormat="1" ht="89.25" x14ac:dyDescent="0.2">
      <c r="A191" s="1091">
        <v>12000</v>
      </c>
      <c r="B191" s="1068" t="s">
        <v>831</v>
      </c>
      <c r="C191" s="1068" t="s">
        <v>1340</v>
      </c>
      <c r="D191" s="1085" t="s">
        <v>355</v>
      </c>
      <c r="E191" s="1068" t="s">
        <v>256</v>
      </c>
      <c r="F191" s="1085" t="s">
        <v>1346</v>
      </c>
      <c r="G191" s="1068" t="s">
        <v>1347</v>
      </c>
      <c r="H191" s="1089" t="s">
        <v>124</v>
      </c>
      <c r="I191" s="1085">
        <v>1</v>
      </c>
      <c r="J191" s="1085" t="s">
        <v>1348</v>
      </c>
      <c r="K191" s="1068" t="s">
        <v>1349</v>
      </c>
      <c r="L191" s="529">
        <v>0</v>
      </c>
      <c r="M191" s="1078">
        <v>1</v>
      </c>
      <c r="N191" s="1068" t="s">
        <v>51</v>
      </c>
      <c r="O191" s="1068" t="s">
        <v>56</v>
      </c>
      <c r="P191" s="1068" t="s">
        <v>37</v>
      </c>
      <c r="Q191" s="1068" t="s">
        <v>39</v>
      </c>
      <c r="R191" s="1068" t="s">
        <v>210</v>
      </c>
      <c r="S191" s="1068" t="s">
        <v>1350</v>
      </c>
      <c r="T191" s="1068" t="s">
        <v>92</v>
      </c>
      <c r="U191" s="737">
        <v>1</v>
      </c>
      <c r="V191" s="1071" t="str">
        <f t="shared" si="187"/>
        <v>Adoptar por parte de ADRES a través de acto administrativo Política de Administración de Riesgos.</v>
      </c>
      <c r="W191" s="699">
        <f t="shared" si="187"/>
        <v>0</v>
      </c>
      <c r="X191" s="1086" t="s">
        <v>117</v>
      </c>
      <c r="Y191" s="1090">
        <v>0</v>
      </c>
      <c r="Z191" s="1072" t="str">
        <f t="shared" si="157"/>
        <v>Adoptar por parte de ADRES a través de acto administrativo Política de Administración de Riesgos.</v>
      </c>
      <c r="AA191" s="529">
        <v>0</v>
      </c>
      <c r="AB191" s="776"/>
      <c r="AC191" s="529"/>
      <c r="AD191" s="1069" t="e">
        <f t="shared" si="188"/>
        <v>#DIV/0!</v>
      </c>
      <c r="AE191" s="1069" t="e">
        <f t="shared" si="164"/>
        <v>#DIV/0!</v>
      </c>
      <c r="AF191" s="1069">
        <f t="shared" si="165"/>
        <v>0</v>
      </c>
      <c r="AG191" s="1069" t="e">
        <f t="shared" si="166"/>
        <v>#DIV/0!</v>
      </c>
      <c r="AH191" s="1068"/>
      <c r="AI191" s="1090">
        <v>1</v>
      </c>
      <c r="AJ191" s="1072" t="str">
        <f t="shared" si="158"/>
        <v>Adoptar por parte de ADRES a través de acto administrativo Política de Administración de Riesgos.</v>
      </c>
      <c r="AK191" s="529">
        <v>0</v>
      </c>
      <c r="AL191" s="825">
        <v>1</v>
      </c>
      <c r="AM191" s="1626">
        <v>0</v>
      </c>
      <c r="AN191" s="1069">
        <f t="shared" si="167"/>
        <v>1</v>
      </c>
      <c r="AO191" s="1069" t="e">
        <f t="shared" si="168"/>
        <v>#DIV/0!</v>
      </c>
      <c r="AP191" s="1069">
        <f t="shared" si="169"/>
        <v>1</v>
      </c>
      <c r="AQ191" s="1069" t="e">
        <f t="shared" si="170"/>
        <v>#DIV/0!</v>
      </c>
      <c r="AR191" s="1068" t="s">
        <v>1915</v>
      </c>
      <c r="AS191" s="1090">
        <v>0</v>
      </c>
      <c r="AT191" s="1072" t="str">
        <f t="shared" si="161"/>
        <v>Adoptar por parte de ADRES a través de acto administrativo Política de Administración de Riesgos.</v>
      </c>
      <c r="AU191" s="529">
        <v>0</v>
      </c>
      <c r="AV191" s="825">
        <v>0</v>
      </c>
      <c r="AW191" s="739">
        <v>0</v>
      </c>
      <c r="AX191" s="1069" t="e">
        <f t="shared" si="171"/>
        <v>#DIV/0!</v>
      </c>
      <c r="AY191" s="1069" t="e">
        <f t="shared" si="172"/>
        <v>#DIV/0!</v>
      </c>
      <c r="AZ191" s="1069">
        <f t="shared" si="173"/>
        <v>1</v>
      </c>
      <c r="BA191" s="1069" t="e">
        <f t="shared" si="174"/>
        <v>#DIV/0!</v>
      </c>
      <c r="BB191" s="1068"/>
      <c r="BC191" s="1090">
        <v>0</v>
      </c>
      <c r="BD191" s="1072" t="str">
        <f t="shared" si="162"/>
        <v>Adoptar por parte de ADRES a través de acto administrativo Política de Administración de Riesgos.</v>
      </c>
      <c r="BE191" s="529">
        <v>0</v>
      </c>
      <c r="BF191" s="1089">
        <v>0</v>
      </c>
      <c r="BG191" s="1054">
        <v>0</v>
      </c>
      <c r="BH191" s="1075" t="e">
        <f t="shared" si="175"/>
        <v>#DIV/0!</v>
      </c>
      <c r="BI191" s="1075" t="e">
        <f t="shared" si="176"/>
        <v>#DIV/0!</v>
      </c>
      <c r="BJ191" s="1075">
        <f t="shared" si="177"/>
        <v>1</v>
      </c>
      <c r="BK191" s="1075" t="e">
        <f t="shared" si="178"/>
        <v>#DIV/0!</v>
      </c>
      <c r="BL191" s="1072"/>
      <c r="BM191" s="708" t="str">
        <f t="shared" si="179"/>
        <v>No Prog ni Ejec</v>
      </c>
      <c r="BN191" s="708" t="str">
        <f t="shared" si="180"/>
        <v>No Prog ni Ejec</v>
      </c>
      <c r="BO191" s="708">
        <f t="shared" si="181"/>
        <v>1</v>
      </c>
      <c r="BP191" s="708" t="str">
        <f t="shared" si="182"/>
        <v>No Prog ni Ejec</v>
      </c>
      <c r="BQ191" s="708" t="str">
        <f t="shared" si="183"/>
        <v>No Prog ni Ejec</v>
      </c>
      <c r="BR191" s="708" t="str">
        <f t="shared" si="184"/>
        <v>No Prog ni Ejec</v>
      </c>
      <c r="BS191" s="708" t="str">
        <f t="shared" si="185"/>
        <v>No Prog ni Ejec</v>
      </c>
      <c r="BT191" s="829" t="str">
        <f t="shared" si="186"/>
        <v>No Prog ni Ejec</v>
      </c>
    </row>
    <row r="192" spans="1:72" s="958" customFormat="1" ht="89.25" x14ac:dyDescent="0.2">
      <c r="A192" s="1091">
        <v>12000</v>
      </c>
      <c r="B192" s="1068" t="s">
        <v>831</v>
      </c>
      <c r="C192" s="1068" t="s">
        <v>1340</v>
      </c>
      <c r="D192" s="1085" t="s">
        <v>355</v>
      </c>
      <c r="E192" s="1068" t="s">
        <v>256</v>
      </c>
      <c r="F192" s="1085" t="s">
        <v>1351</v>
      </c>
      <c r="G192" s="1068" t="s">
        <v>1352</v>
      </c>
      <c r="H192" s="1089" t="s">
        <v>124</v>
      </c>
      <c r="I192" s="1085">
        <v>1</v>
      </c>
      <c r="J192" s="1085" t="s">
        <v>1353</v>
      </c>
      <c r="K192" s="1068" t="s">
        <v>1354</v>
      </c>
      <c r="L192" s="529">
        <v>0</v>
      </c>
      <c r="M192" s="1078">
        <v>1</v>
      </c>
      <c r="N192" s="1068" t="s">
        <v>51</v>
      </c>
      <c r="O192" s="1068" t="s">
        <v>56</v>
      </c>
      <c r="P192" s="1068" t="s">
        <v>37</v>
      </c>
      <c r="Q192" s="1068" t="s">
        <v>39</v>
      </c>
      <c r="R192" s="1068" t="s">
        <v>210</v>
      </c>
      <c r="S192" s="1068" t="s">
        <v>1355</v>
      </c>
      <c r="T192" s="1068" t="s">
        <v>92</v>
      </c>
      <c r="U192" s="737">
        <v>1</v>
      </c>
      <c r="V192" s="1071" t="str">
        <f t="shared" si="187"/>
        <v>Socializar la política de administración de riesgos a los funcionarios y contratistas.</v>
      </c>
      <c r="W192" s="699">
        <f t="shared" si="187"/>
        <v>0</v>
      </c>
      <c r="X192" s="1086" t="s">
        <v>117</v>
      </c>
      <c r="Y192" s="1090">
        <v>0</v>
      </c>
      <c r="Z192" s="1072" t="str">
        <f t="shared" si="157"/>
        <v>Socializar la política de administración de riesgos a los funcionarios y contratistas.</v>
      </c>
      <c r="AA192" s="529">
        <v>0</v>
      </c>
      <c r="AB192" s="776"/>
      <c r="AC192" s="529"/>
      <c r="AD192" s="1069" t="e">
        <f t="shared" si="188"/>
        <v>#DIV/0!</v>
      </c>
      <c r="AE192" s="1069" t="e">
        <f t="shared" si="164"/>
        <v>#DIV/0!</v>
      </c>
      <c r="AF192" s="1069">
        <f t="shared" si="165"/>
        <v>0</v>
      </c>
      <c r="AG192" s="1069" t="e">
        <f t="shared" si="166"/>
        <v>#DIV/0!</v>
      </c>
      <c r="AH192" s="1068"/>
      <c r="AI192" s="1090">
        <v>1</v>
      </c>
      <c r="AJ192" s="1072" t="str">
        <f t="shared" si="158"/>
        <v>Socializar la política de administración de riesgos a los funcionarios y contratistas.</v>
      </c>
      <c r="AK192" s="529">
        <v>0</v>
      </c>
      <c r="AL192" s="825">
        <v>0</v>
      </c>
      <c r="AM192" s="1626">
        <v>0</v>
      </c>
      <c r="AN192" s="1069">
        <f t="shared" si="167"/>
        <v>0</v>
      </c>
      <c r="AO192" s="1069" t="e">
        <f t="shared" si="168"/>
        <v>#DIV/0!</v>
      </c>
      <c r="AP192" s="1069">
        <f t="shared" si="169"/>
        <v>0</v>
      </c>
      <c r="AQ192" s="1069" t="e">
        <f t="shared" si="170"/>
        <v>#DIV/0!</v>
      </c>
      <c r="AR192" s="1068"/>
      <c r="AS192" s="1090">
        <v>0</v>
      </c>
      <c r="AT192" s="1072" t="str">
        <f t="shared" si="161"/>
        <v>Socializar la política de administración de riesgos a los funcionarios y contratistas.</v>
      </c>
      <c r="AU192" s="529">
        <v>0</v>
      </c>
      <c r="AV192" s="825">
        <v>1</v>
      </c>
      <c r="AW192" s="739">
        <v>0</v>
      </c>
      <c r="AX192" s="1069" t="e">
        <f t="shared" si="171"/>
        <v>#DIV/0!</v>
      </c>
      <c r="AY192" s="1069" t="e">
        <f t="shared" si="172"/>
        <v>#DIV/0!</v>
      </c>
      <c r="AZ192" s="1069">
        <f t="shared" si="173"/>
        <v>1</v>
      </c>
      <c r="BA192" s="1069" t="e">
        <f t="shared" si="174"/>
        <v>#DIV/0!</v>
      </c>
      <c r="BB192" s="1048" t="s">
        <v>1909</v>
      </c>
      <c r="BC192" s="1090">
        <v>0</v>
      </c>
      <c r="BD192" s="1072" t="str">
        <f t="shared" si="162"/>
        <v>Socializar la política de administración de riesgos a los funcionarios y contratistas.</v>
      </c>
      <c r="BE192" s="529">
        <v>0</v>
      </c>
      <c r="BF192" s="1089">
        <v>0</v>
      </c>
      <c r="BG192" s="1054">
        <v>0</v>
      </c>
      <c r="BH192" s="1075" t="e">
        <f t="shared" si="175"/>
        <v>#DIV/0!</v>
      </c>
      <c r="BI192" s="1075" t="e">
        <f t="shared" si="176"/>
        <v>#DIV/0!</v>
      </c>
      <c r="BJ192" s="1075">
        <f t="shared" si="177"/>
        <v>1</v>
      </c>
      <c r="BK192" s="1075" t="e">
        <f t="shared" si="178"/>
        <v>#DIV/0!</v>
      </c>
      <c r="BL192" s="1072"/>
      <c r="BM192" s="708" t="str">
        <f t="shared" si="179"/>
        <v>No Prog ni Ejec</v>
      </c>
      <c r="BN192" s="708" t="str">
        <f t="shared" si="180"/>
        <v>No Prog ni Ejec</v>
      </c>
      <c r="BO192" s="708">
        <f t="shared" si="181"/>
        <v>0</v>
      </c>
      <c r="BP192" s="708" t="str">
        <f t="shared" si="182"/>
        <v>No Prog ni Ejec</v>
      </c>
      <c r="BQ192" s="708" t="str">
        <f t="shared" si="183"/>
        <v>No Prog, Ejec=  1</v>
      </c>
      <c r="BR192" s="708" t="str">
        <f t="shared" si="184"/>
        <v>No Prog ni Ejec</v>
      </c>
      <c r="BS192" s="708" t="str">
        <f t="shared" si="185"/>
        <v>No Prog ni Ejec</v>
      </c>
      <c r="BT192" s="829" t="str">
        <f t="shared" si="186"/>
        <v>No Prog ni Ejec</v>
      </c>
    </row>
    <row r="193" spans="1:72" s="958" customFormat="1" ht="89.25" x14ac:dyDescent="0.2">
      <c r="A193" s="1091">
        <v>12000</v>
      </c>
      <c r="B193" s="1068" t="s">
        <v>831</v>
      </c>
      <c r="C193" s="1068" t="s">
        <v>1340</v>
      </c>
      <c r="D193" s="1085" t="s">
        <v>355</v>
      </c>
      <c r="E193" s="1068" t="s">
        <v>256</v>
      </c>
      <c r="F193" s="1085" t="s">
        <v>1356</v>
      </c>
      <c r="G193" s="1068" t="s">
        <v>1357</v>
      </c>
      <c r="H193" s="1089" t="s">
        <v>124</v>
      </c>
      <c r="I193" s="1085">
        <v>1</v>
      </c>
      <c r="J193" s="1085" t="s">
        <v>1358</v>
      </c>
      <c r="K193" s="1068" t="s">
        <v>1359</v>
      </c>
      <c r="L193" s="529">
        <v>0</v>
      </c>
      <c r="M193" s="1078">
        <v>1</v>
      </c>
      <c r="N193" s="1068" t="s">
        <v>51</v>
      </c>
      <c r="O193" s="1068" t="s">
        <v>56</v>
      </c>
      <c r="P193" s="1068" t="s">
        <v>37</v>
      </c>
      <c r="Q193" s="1068" t="s">
        <v>39</v>
      </c>
      <c r="R193" s="1068" t="s">
        <v>210</v>
      </c>
      <c r="S193" s="1068" t="s">
        <v>1360</v>
      </c>
      <c r="T193" s="1068" t="s">
        <v>92</v>
      </c>
      <c r="U193" s="737">
        <v>1</v>
      </c>
      <c r="V193" s="1071" t="str">
        <f t="shared" si="187"/>
        <v>Socializar la política de administración de riesgos a la ciudadanía y partes interesadas a través de su publicación en la página web.</v>
      </c>
      <c r="W193" s="699">
        <f t="shared" si="187"/>
        <v>0</v>
      </c>
      <c r="X193" s="1086" t="s">
        <v>117</v>
      </c>
      <c r="Y193" s="1090">
        <v>0</v>
      </c>
      <c r="Z193" s="1072" t="str">
        <f t="shared" si="157"/>
        <v>Socializar la política de administración de riesgos a la ciudadanía y partes interesadas a través de su publicación en la página web.</v>
      </c>
      <c r="AA193" s="529">
        <v>0</v>
      </c>
      <c r="AB193" s="776"/>
      <c r="AC193" s="529"/>
      <c r="AD193" s="1069" t="e">
        <f t="shared" si="188"/>
        <v>#DIV/0!</v>
      </c>
      <c r="AE193" s="1069" t="e">
        <f t="shared" si="164"/>
        <v>#DIV/0!</v>
      </c>
      <c r="AF193" s="1069">
        <f t="shared" si="165"/>
        <v>0</v>
      </c>
      <c r="AG193" s="1069" t="e">
        <f t="shared" si="166"/>
        <v>#DIV/0!</v>
      </c>
      <c r="AH193" s="1068"/>
      <c r="AI193" s="1090">
        <v>1</v>
      </c>
      <c r="AJ193" s="1072" t="str">
        <f t="shared" si="158"/>
        <v>Socializar la política de administración de riesgos a la ciudadanía y partes interesadas a través de su publicación en la página web.</v>
      </c>
      <c r="AK193" s="529">
        <v>0</v>
      </c>
      <c r="AL193" s="825">
        <v>1</v>
      </c>
      <c r="AM193" s="1626">
        <v>0</v>
      </c>
      <c r="AN193" s="1069">
        <f t="shared" si="167"/>
        <v>1</v>
      </c>
      <c r="AO193" s="1069" t="e">
        <f t="shared" si="168"/>
        <v>#DIV/0!</v>
      </c>
      <c r="AP193" s="1069">
        <f t="shared" si="169"/>
        <v>1</v>
      </c>
      <c r="AQ193" s="1069" t="e">
        <f t="shared" si="170"/>
        <v>#DIV/0!</v>
      </c>
      <c r="AR193" s="1068" t="s">
        <v>2322</v>
      </c>
      <c r="AS193" s="1090">
        <v>0</v>
      </c>
      <c r="AT193" s="1072" t="str">
        <f t="shared" si="161"/>
        <v>Socializar la política de administración de riesgos a la ciudadanía y partes interesadas a través de su publicación en la página web.</v>
      </c>
      <c r="AU193" s="529">
        <v>0</v>
      </c>
      <c r="AV193" s="825">
        <v>0</v>
      </c>
      <c r="AW193" s="739">
        <v>0</v>
      </c>
      <c r="AX193" s="1069" t="e">
        <f t="shared" si="171"/>
        <v>#DIV/0!</v>
      </c>
      <c r="AY193" s="1069" t="e">
        <f t="shared" si="172"/>
        <v>#DIV/0!</v>
      </c>
      <c r="AZ193" s="1069">
        <f t="shared" si="173"/>
        <v>1</v>
      </c>
      <c r="BA193" s="1069" t="e">
        <f t="shared" si="174"/>
        <v>#DIV/0!</v>
      </c>
      <c r="BB193" s="1068"/>
      <c r="BC193" s="1090">
        <v>0</v>
      </c>
      <c r="BD193" s="1072" t="str">
        <f t="shared" si="162"/>
        <v>Socializar la política de administración de riesgos a la ciudadanía y partes interesadas a través de su publicación en la página web.</v>
      </c>
      <c r="BE193" s="529">
        <v>0</v>
      </c>
      <c r="BF193" s="1089">
        <v>0</v>
      </c>
      <c r="BG193" s="1054">
        <v>0</v>
      </c>
      <c r="BH193" s="1075" t="e">
        <f t="shared" si="175"/>
        <v>#DIV/0!</v>
      </c>
      <c r="BI193" s="1075" t="e">
        <f t="shared" si="176"/>
        <v>#DIV/0!</v>
      </c>
      <c r="BJ193" s="1075">
        <f t="shared" si="177"/>
        <v>1</v>
      </c>
      <c r="BK193" s="1075" t="e">
        <f t="shared" si="178"/>
        <v>#DIV/0!</v>
      </c>
      <c r="BL193" s="1072"/>
      <c r="BM193" s="708" t="str">
        <f t="shared" si="179"/>
        <v>No Prog ni Ejec</v>
      </c>
      <c r="BN193" s="708" t="str">
        <f t="shared" si="180"/>
        <v>No Prog ni Ejec</v>
      </c>
      <c r="BO193" s="708">
        <f t="shared" si="181"/>
        <v>1</v>
      </c>
      <c r="BP193" s="708" t="str">
        <f t="shared" si="182"/>
        <v>No Prog ni Ejec</v>
      </c>
      <c r="BQ193" s="708" t="str">
        <f t="shared" si="183"/>
        <v>No Prog ni Ejec</v>
      </c>
      <c r="BR193" s="708" t="str">
        <f t="shared" si="184"/>
        <v>No Prog ni Ejec</v>
      </c>
      <c r="BS193" s="708" t="str">
        <f t="shared" si="185"/>
        <v>No Prog ni Ejec</v>
      </c>
      <c r="BT193" s="829" t="str">
        <f t="shared" si="186"/>
        <v>No Prog ni Ejec</v>
      </c>
    </row>
    <row r="194" spans="1:72" s="958" customFormat="1" ht="89.25" x14ac:dyDescent="0.2">
      <c r="A194" s="1091">
        <v>12000</v>
      </c>
      <c r="B194" s="1068" t="s">
        <v>831</v>
      </c>
      <c r="C194" s="1068" t="s">
        <v>1340</v>
      </c>
      <c r="D194" s="1085" t="s">
        <v>355</v>
      </c>
      <c r="E194" s="1068" t="s">
        <v>256</v>
      </c>
      <c r="F194" s="1085" t="s">
        <v>1361</v>
      </c>
      <c r="G194" s="1068" t="s">
        <v>1362</v>
      </c>
      <c r="H194" s="1089" t="s">
        <v>124</v>
      </c>
      <c r="I194" s="1085">
        <v>1</v>
      </c>
      <c r="J194" s="1085" t="s">
        <v>1363</v>
      </c>
      <c r="K194" s="1068" t="s">
        <v>1364</v>
      </c>
      <c r="L194" s="529">
        <v>0</v>
      </c>
      <c r="M194" s="1078">
        <v>1</v>
      </c>
      <c r="N194" s="1068" t="s">
        <v>51</v>
      </c>
      <c r="O194" s="1068" t="s">
        <v>56</v>
      </c>
      <c r="P194" s="1068" t="s">
        <v>37</v>
      </c>
      <c r="Q194" s="1068" t="s">
        <v>39</v>
      </c>
      <c r="R194" s="1068" t="s">
        <v>210</v>
      </c>
      <c r="S194" s="1068" t="s">
        <v>1365</v>
      </c>
      <c r="T194" s="1068" t="s">
        <v>92</v>
      </c>
      <c r="U194" s="737">
        <v>1</v>
      </c>
      <c r="V194" s="1071" t="str">
        <f t="shared" si="187"/>
        <v>Estructurar metodología interna de Administración de Riesgos (manual), según corresponda</v>
      </c>
      <c r="W194" s="699">
        <f t="shared" si="187"/>
        <v>0</v>
      </c>
      <c r="X194" s="1086" t="s">
        <v>117</v>
      </c>
      <c r="Y194" s="1090">
        <v>0</v>
      </c>
      <c r="Z194" s="1072" t="str">
        <f t="shared" si="157"/>
        <v>Estructurar metodología interna de Administración de Riesgos (manual), según corresponda</v>
      </c>
      <c r="AA194" s="529">
        <v>0</v>
      </c>
      <c r="AB194" s="776"/>
      <c r="AC194" s="529"/>
      <c r="AD194" s="1069" t="e">
        <f t="shared" si="188"/>
        <v>#DIV/0!</v>
      </c>
      <c r="AE194" s="1069" t="e">
        <f t="shared" si="164"/>
        <v>#DIV/0!</v>
      </c>
      <c r="AF194" s="1069">
        <f t="shared" si="165"/>
        <v>0</v>
      </c>
      <c r="AG194" s="1069" t="e">
        <f t="shared" si="166"/>
        <v>#DIV/0!</v>
      </c>
      <c r="AH194" s="1068"/>
      <c r="AI194" s="1090">
        <v>1</v>
      </c>
      <c r="AJ194" s="1072" t="str">
        <f t="shared" si="158"/>
        <v>Estructurar metodología interna de Administración de Riesgos (manual), según corresponda</v>
      </c>
      <c r="AK194" s="529">
        <v>0</v>
      </c>
      <c r="AL194" s="825">
        <v>1</v>
      </c>
      <c r="AM194" s="1626">
        <v>0</v>
      </c>
      <c r="AN194" s="1069">
        <f t="shared" si="167"/>
        <v>1</v>
      </c>
      <c r="AO194" s="1069" t="e">
        <f t="shared" si="168"/>
        <v>#DIV/0!</v>
      </c>
      <c r="AP194" s="1069">
        <f t="shared" si="169"/>
        <v>1</v>
      </c>
      <c r="AQ194" s="1069" t="e">
        <f t="shared" si="170"/>
        <v>#DIV/0!</v>
      </c>
      <c r="AR194" s="1068" t="s">
        <v>1916</v>
      </c>
      <c r="AS194" s="1090">
        <v>0</v>
      </c>
      <c r="AT194" s="1072" t="str">
        <f t="shared" si="161"/>
        <v>Estructurar metodología interna de Administración de Riesgos (manual), según corresponda</v>
      </c>
      <c r="AU194" s="529">
        <v>0</v>
      </c>
      <c r="AV194" s="803">
        <v>0</v>
      </c>
      <c r="AW194" s="739">
        <v>0</v>
      </c>
      <c r="AX194" s="1069" t="e">
        <f t="shared" si="171"/>
        <v>#DIV/0!</v>
      </c>
      <c r="AY194" s="1069" t="e">
        <f t="shared" si="172"/>
        <v>#DIV/0!</v>
      </c>
      <c r="AZ194" s="1069">
        <f t="shared" si="173"/>
        <v>1</v>
      </c>
      <c r="BA194" s="1069" t="e">
        <f t="shared" si="174"/>
        <v>#DIV/0!</v>
      </c>
      <c r="BB194" s="1068"/>
      <c r="BC194" s="1090">
        <v>0</v>
      </c>
      <c r="BD194" s="1072" t="str">
        <f t="shared" si="162"/>
        <v>Estructurar metodología interna de Administración de Riesgos (manual), según corresponda</v>
      </c>
      <c r="BE194" s="529">
        <v>0</v>
      </c>
      <c r="BF194" s="1089">
        <v>0</v>
      </c>
      <c r="BG194" s="1054">
        <v>0</v>
      </c>
      <c r="BH194" s="1075" t="e">
        <f t="shared" si="175"/>
        <v>#DIV/0!</v>
      </c>
      <c r="BI194" s="1075" t="e">
        <f t="shared" si="176"/>
        <v>#DIV/0!</v>
      </c>
      <c r="BJ194" s="1075">
        <f t="shared" si="177"/>
        <v>1</v>
      </c>
      <c r="BK194" s="1075" t="e">
        <f t="shared" si="178"/>
        <v>#DIV/0!</v>
      </c>
      <c r="BL194" s="1072"/>
      <c r="BM194" s="708" t="str">
        <f t="shared" si="179"/>
        <v>No Prog ni Ejec</v>
      </c>
      <c r="BN194" s="708" t="str">
        <f t="shared" si="180"/>
        <v>No Prog ni Ejec</v>
      </c>
      <c r="BO194" s="708">
        <f t="shared" si="181"/>
        <v>1</v>
      </c>
      <c r="BP194" s="708" t="str">
        <f t="shared" si="182"/>
        <v>No Prog ni Ejec</v>
      </c>
      <c r="BQ194" s="708" t="str">
        <f t="shared" si="183"/>
        <v>No Prog ni Ejec</v>
      </c>
      <c r="BR194" s="708" t="str">
        <f t="shared" si="184"/>
        <v>No Prog ni Ejec</v>
      </c>
      <c r="BS194" s="708" t="str">
        <f t="shared" si="185"/>
        <v>No Prog ni Ejec</v>
      </c>
      <c r="BT194" s="829" t="str">
        <f t="shared" si="186"/>
        <v>No Prog ni Ejec</v>
      </c>
    </row>
    <row r="195" spans="1:72" s="958" customFormat="1" ht="89.25" x14ac:dyDescent="0.2">
      <c r="A195" s="1091">
        <v>12000</v>
      </c>
      <c r="B195" s="1068" t="s">
        <v>831</v>
      </c>
      <c r="C195" s="1068" t="s">
        <v>1340</v>
      </c>
      <c r="D195" s="1085" t="s">
        <v>355</v>
      </c>
      <c r="E195" s="1068" t="s">
        <v>256</v>
      </c>
      <c r="F195" s="1085" t="s">
        <v>1366</v>
      </c>
      <c r="G195" s="1068" t="s">
        <v>1367</v>
      </c>
      <c r="H195" s="1089" t="s">
        <v>123</v>
      </c>
      <c r="I195" s="1075">
        <v>1</v>
      </c>
      <c r="J195" s="1085" t="s">
        <v>1368</v>
      </c>
      <c r="K195" s="1068" t="s">
        <v>1369</v>
      </c>
      <c r="L195" s="529">
        <v>0</v>
      </c>
      <c r="M195" s="1078">
        <v>1</v>
      </c>
      <c r="N195" s="1068" t="s">
        <v>51</v>
      </c>
      <c r="O195" s="1068" t="s">
        <v>56</v>
      </c>
      <c r="P195" s="1068" t="s">
        <v>37</v>
      </c>
      <c r="Q195" s="1068" t="s">
        <v>39</v>
      </c>
      <c r="R195" s="1068" t="s">
        <v>210</v>
      </c>
      <c r="S195" s="1068" t="s">
        <v>1370</v>
      </c>
      <c r="T195" s="1068" t="s">
        <v>92</v>
      </c>
      <c r="U195" s="741">
        <v>1</v>
      </c>
      <c r="V195" s="1071" t="str">
        <f t="shared" si="187"/>
        <v>Socializar documentos internos de Administración de riesgos a Servidores y Contratistas</v>
      </c>
      <c r="W195" s="699">
        <f t="shared" si="187"/>
        <v>0</v>
      </c>
      <c r="X195" s="1086" t="s">
        <v>117</v>
      </c>
      <c r="Y195" s="741">
        <v>0</v>
      </c>
      <c r="Z195" s="1072" t="str">
        <f t="shared" si="157"/>
        <v>Socializar documentos internos de Administración de riesgos a Servidores y Contratistas</v>
      </c>
      <c r="AA195" s="529">
        <v>0</v>
      </c>
      <c r="AB195" s="776"/>
      <c r="AC195" s="529"/>
      <c r="AD195" s="1069" t="e">
        <f t="shared" si="188"/>
        <v>#DIV/0!</v>
      </c>
      <c r="AE195" s="1069" t="e">
        <f t="shared" si="164"/>
        <v>#DIV/0!</v>
      </c>
      <c r="AF195" s="1069">
        <f t="shared" si="165"/>
        <v>0</v>
      </c>
      <c r="AG195" s="1069" t="e">
        <f t="shared" si="166"/>
        <v>#DIV/0!</v>
      </c>
      <c r="AH195" s="1068"/>
      <c r="AI195" s="741">
        <v>1</v>
      </c>
      <c r="AJ195" s="1072" t="str">
        <f t="shared" si="158"/>
        <v>Socializar documentos internos de Administración de riesgos a Servidores y Contratistas</v>
      </c>
      <c r="AK195" s="529">
        <v>0</v>
      </c>
      <c r="AL195" s="803">
        <v>0</v>
      </c>
      <c r="AM195" s="1626">
        <v>0</v>
      </c>
      <c r="AN195" s="1069">
        <f t="shared" si="167"/>
        <v>0</v>
      </c>
      <c r="AO195" s="1069" t="e">
        <f t="shared" si="168"/>
        <v>#DIV/0!</v>
      </c>
      <c r="AP195" s="1069">
        <f t="shared" si="169"/>
        <v>0</v>
      </c>
      <c r="AQ195" s="1069" t="e">
        <f t="shared" si="170"/>
        <v>#DIV/0!</v>
      </c>
      <c r="AR195" s="845"/>
      <c r="AS195" s="1078">
        <v>0</v>
      </c>
      <c r="AT195" s="1072" t="str">
        <f t="shared" si="161"/>
        <v>Socializar documentos internos de Administración de riesgos a Servidores y Contratistas</v>
      </c>
      <c r="AU195" s="529">
        <v>0</v>
      </c>
      <c r="AV195" s="803">
        <f>10/10</f>
        <v>1</v>
      </c>
      <c r="AW195" s="739">
        <v>0</v>
      </c>
      <c r="AX195" s="1069" t="e">
        <f t="shared" si="171"/>
        <v>#DIV/0!</v>
      </c>
      <c r="AY195" s="1069" t="e">
        <f t="shared" si="172"/>
        <v>#DIV/0!</v>
      </c>
      <c r="AZ195" s="1069">
        <f t="shared" si="173"/>
        <v>1</v>
      </c>
      <c r="BA195" s="1069" t="e">
        <f t="shared" si="174"/>
        <v>#DIV/0!</v>
      </c>
      <c r="BB195" s="1068" t="s">
        <v>1910</v>
      </c>
      <c r="BC195" s="1078">
        <v>0</v>
      </c>
      <c r="BD195" s="1072" t="str">
        <f t="shared" si="162"/>
        <v>Socializar documentos internos de Administración de riesgos a Servidores y Contratistas</v>
      </c>
      <c r="BE195" s="529">
        <v>0</v>
      </c>
      <c r="BF195" s="943">
        <v>0</v>
      </c>
      <c r="BG195" s="1054">
        <v>0</v>
      </c>
      <c r="BH195" s="1075" t="e">
        <f t="shared" si="175"/>
        <v>#DIV/0!</v>
      </c>
      <c r="BI195" s="1075" t="e">
        <f t="shared" si="176"/>
        <v>#DIV/0!</v>
      </c>
      <c r="BJ195" s="1075">
        <f t="shared" si="177"/>
        <v>1</v>
      </c>
      <c r="BK195" s="1075" t="e">
        <f t="shared" si="178"/>
        <v>#DIV/0!</v>
      </c>
      <c r="BL195" s="1072"/>
      <c r="BM195" s="708" t="str">
        <f t="shared" si="179"/>
        <v>No Prog ni Ejec</v>
      </c>
      <c r="BN195" s="708" t="str">
        <f t="shared" si="180"/>
        <v>No Prog ni Ejec</v>
      </c>
      <c r="BO195" s="708">
        <f t="shared" si="181"/>
        <v>0</v>
      </c>
      <c r="BP195" s="708" t="str">
        <f t="shared" si="182"/>
        <v>No Prog ni Ejec</v>
      </c>
      <c r="BQ195" s="708" t="str">
        <f t="shared" si="183"/>
        <v>No Prog, Ejec=  1</v>
      </c>
      <c r="BR195" s="708" t="str">
        <f t="shared" si="184"/>
        <v>No Prog ni Ejec</v>
      </c>
      <c r="BS195" s="708" t="str">
        <f t="shared" si="185"/>
        <v>No Prog ni Ejec</v>
      </c>
      <c r="BT195" s="829" t="str">
        <f t="shared" si="186"/>
        <v>No Prog ni Ejec</v>
      </c>
    </row>
    <row r="196" spans="1:72" s="958" customFormat="1" ht="89.25" x14ac:dyDescent="0.2">
      <c r="A196" s="1091">
        <v>12000</v>
      </c>
      <c r="B196" s="1068" t="s">
        <v>831</v>
      </c>
      <c r="C196" s="1068" t="s">
        <v>1340</v>
      </c>
      <c r="D196" s="1085" t="s">
        <v>355</v>
      </c>
      <c r="E196" s="1068" t="s">
        <v>256</v>
      </c>
      <c r="F196" s="1085" t="s">
        <v>1371</v>
      </c>
      <c r="G196" s="1068" t="s">
        <v>1372</v>
      </c>
      <c r="H196" s="1089" t="s">
        <v>124</v>
      </c>
      <c r="I196" s="1085">
        <v>1</v>
      </c>
      <c r="J196" s="1085" t="s">
        <v>1373</v>
      </c>
      <c r="K196" s="1068" t="s">
        <v>1374</v>
      </c>
      <c r="L196" s="529">
        <v>0</v>
      </c>
      <c r="M196" s="1078">
        <v>1</v>
      </c>
      <c r="N196" s="1068" t="s">
        <v>51</v>
      </c>
      <c r="O196" s="1068" t="s">
        <v>56</v>
      </c>
      <c r="P196" s="1068" t="s">
        <v>37</v>
      </c>
      <c r="Q196" s="1068" t="s">
        <v>39</v>
      </c>
      <c r="R196" s="1068" t="s">
        <v>210</v>
      </c>
      <c r="S196" s="1068" t="s">
        <v>1375</v>
      </c>
      <c r="T196" s="1068" t="s">
        <v>92</v>
      </c>
      <c r="U196" s="737">
        <v>1</v>
      </c>
      <c r="V196" s="1071" t="str">
        <f t="shared" si="187"/>
        <v>Construir mapa de riesgos de corrupción de acuerdo con la Guía de Administración de Riesgos de procesos misionales.</v>
      </c>
      <c r="W196" s="699">
        <f t="shared" si="187"/>
        <v>0</v>
      </c>
      <c r="X196" s="1086" t="s">
        <v>117</v>
      </c>
      <c r="Y196" s="1090">
        <v>0</v>
      </c>
      <c r="Z196" s="1072" t="str">
        <f t="shared" si="157"/>
        <v>Construir mapa de riesgos de corrupción de acuerdo con la Guía de Administración de Riesgos de procesos misionales.</v>
      </c>
      <c r="AA196" s="529">
        <v>0</v>
      </c>
      <c r="AB196" s="776"/>
      <c r="AC196" s="529"/>
      <c r="AD196" s="1069" t="e">
        <f t="shared" si="188"/>
        <v>#DIV/0!</v>
      </c>
      <c r="AE196" s="1069" t="e">
        <f t="shared" si="164"/>
        <v>#DIV/0!</v>
      </c>
      <c r="AF196" s="1069">
        <f t="shared" si="165"/>
        <v>0</v>
      </c>
      <c r="AG196" s="1069" t="e">
        <f t="shared" si="166"/>
        <v>#DIV/0!</v>
      </c>
      <c r="AH196" s="1068"/>
      <c r="AI196" s="1090">
        <v>1</v>
      </c>
      <c r="AJ196" s="1072" t="str">
        <f t="shared" si="158"/>
        <v>Construir mapa de riesgos de corrupción de acuerdo con la Guía de Administración de Riesgos de procesos misionales.</v>
      </c>
      <c r="AK196" s="529">
        <v>0</v>
      </c>
      <c r="AL196" s="825">
        <v>1</v>
      </c>
      <c r="AM196" s="1626">
        <v>0</v>
      </c>
      <c r="AN196" s="1069">
        <f t="shared" si="167"/>
        <v>1</v>
      </c>
      <c r="AO196" s="1069" t="e">
        <f t="shared" si="168"/>
        <v>#DIV/0!</v>
      </c>
      <c r="AP196" s="1069">
        <f t="shared" si="169"/>
        <v>1</v>
      </c>
      <c r="AQ196" s="1069" t="e">
        <f t="shared" si="170"/>
        <v>#DIV/0!</v>
      </c>
      <c r="AR196" s="1068" t="s">
        <v>2323</v>
      </c>
      <c r="AS196" s="1090">
        <v>0</v>
      </c>
      <c r="AT196" s="1072" t="str">
        <f t="shared" si="161"/>
        <v>Construir mapa de riesgos de corrupción de acuerdo con la Guía de Administración de Riesgos de procesos misionales.</v>
      </c>
      <c r="AU196" s="529">
        <v>0</v>
      </c>
      <c r="AV196" s="825">
        <v>0</v>
      </c>
      <c r="AW196" s="739">
        <v>0</v>
      </c>
      <c r="AX196" s="1069" t="e">
        <f t="shared" si="171"/>
        <v>#DIV/0!</v>
      </c>
      <c r="AY196" s="1069" t="e">
        <f t="shared" si="172"/>
        <v>#DIV/0!</v>
      </c>
      <c r="AZ196" s="1069">
        <f t="shared" si="173"/>
        <v>1</v>
      </c>
      <c r="BA196" s="1069" t="e">
        <f t="shared" si="174"/>
        <v>#DIV/0!</v>
      </c>
      <c r="BB196" s="1068"/>
      <c r="BC196" s="1090">
        <v>0</v>
      </c>
      <c r="BD196" s="1072" t="str">
        <f t="shared" si="162"/>
        <v>Construir mapa de riesgos de corrupción de acuerdo con la Guía de Administración de Riesgos de procesos misionales.</v>
      </c>
      <c r="BE196" s="529">
        <v>0</v>
      </c>
      <c r="BF196" s="1089">
        <v>0</v>
      </c>
      <c r="BG196" s="1054">
        <v>0</v>
      </c>
      <c r="BH196" s="1075" t="e">
        <f t="shared" si="175"/>
        <v>#DIV/0!</v>
      </c>
      <c r="BI196" s="1075" t="e">
        <f t="shared" si="176"/>
        <v>#DIV/0!</v>
      </c>
      <c r="BJ196" s="1075">
        <f t="shared" si="177"/>
        <v>1</v>
      </c>
      <c r="BK196" s="1075" t="e">
        <f t="shared" si="178"/>
        <v>#DIV/0!</v>
      </c>
      <c r="BL196" s="1072"/>
      <c r="BM196" s="708" t="str">
        <f t="shared" si="179"/>
        <v>No Prog ni Ejec</v>
      </c>
      <c r="BN196" s="708" t="str">
        <f t="shared" si="180"/>
        <v>No Prog ni Ejec</v>
      </c>
      <c r="BO196" s="708">
        <f t="shared" si="181"/>
        <v>1</v>
      </c>
      <c r="BP196" s="708" t="str">
        <f t="shared" si="182"/>
        <v>No Prog ni Ejec</v>
      </c>
      <c r="BQ196" s="708" t="str">
        <f t="shared" si="183"/>
        <v>No Prog ni Ejec</v>
      </c>
      <c r="BR196" s="708" t="str">
        <f t="shared" si="184"/>
        <v>No Prog ni Ejec</v>
      </c>
      <c r="BS196" s="708" t="str">
        <f t="shared" si="185"/>
        <v>No Prog ni Ejec</v>
      </c>
      <c r="BT196" s="829" t="str">
        <f t="shared" si="186"/>
        <v>No Prog ni Ejec</v>
      </c>
    </row>
    <row r="197" spans="1:72" s="958" customFormat="1" ht="89.25" x14ac:dyDescent="0.2">
      <c r="A197" s="1091">
        <v>12000</v>
      </c>
      <c r="B197" s="1068" t="s">
        <v>831</v>
      </c>
      <c r="C197" s="1068" t="s">
        <v>1340</v>
      </c>
      <c r="D197" s="1085" t="s">
        <v>355</v>
      </c>
      <c r="E197" s="1068" t="s">
        <v>256</v>
      </c>
      <c r="F197" s="1085" t="s">
        <v>1376</v>
      </c>
      <c r="G197" s="1068" t="s">
        <v>1377</v>
      </c>
      <c r="H197" s="1089" t="s">
        <v>124</v>
      </c>
      <c r="I197" s="1085">
        <v>1</v>
      </c>
      <c r="J197" s="1085" t="s">
        <v>1378</v>
      </c>
      <c r="K197" s="1068" t="s">
        <v>1379</v>
      </c>
      <c r="L197" s="529">
        <v>0</v>
      </c>
      <c r="M197" s="1078">
        <v>1</v>
      </c>
      <c r="N197" s="1068" t="s">
        <v>51</v>
      </c>
      <c r="O197" s="1068" t="s">
        <v>56</v>
      </c>
      <c r="P197" s="1068" t="s">
        <v>37</v>
      </c>
      <c r="Q197" s="1068" t="s">
        <v>39</v>
      </c>
      <c r="R197" s="1068" t="s">
        <v>210</v>
      </c>
      <c r="S197" s="1068" t="s">
        <v>1380</v>
      </c>
      <c r="T197" s="1068" t="s">
        <v>92</v>
      </c>
      <c r="U197" s="737">
        <v>1</v>
      </c>
      <c r="V197" s="1071" t="str">
        <f t="shared" si="187"/>
        <v xml:space="preserve">Construir mapa de riesgos de corrupción de acuerdo con la Guía de Administración de Riesgos de procesos de apoyo y evaluación. </v>
      </c>
      <c r="W197" s="699">
        <f t="shared" si="187"/>
        <v>0</v>
      </c>
      <c r="X197" s="1086" t="s">
        <v>117</v>
      </c>
      <c r="Y197" s="1090">
        <v>0</v>
      </c>
      <c r="Z197" s="1072" t="str">
        <f t="shared" si="157"/>
        <v xml:space="preserve">Construir mapa de riesgos de corrupción de acuerdo con la Guía de Administración de Riesgos de procesos de apoyo y evaluación. </v>
      </c>
      <c r="AA197" s="529">
        <v>0</v>
      </c>
      <c r="AB197" s="776"/>
      <c r="AC197" s="529"/>
      <c r="AD197" s="1069" t="e">
        <f t="shared" si="188"/>
        <v>#DIV/0!</v>
      </c>
      <c r="AE197" s="1069" t="e">
        <f t="shared" si="164"/>
        <v>#DIV/0!</v>
      </c>
      <c r="AF197" s="1069">
        <f t="shared" si="165"/>
        <v>0</v>
      </c>
      <c r="AG197" s="1069" t="e">
        <f t="shared" si="166"/>
        <v>#DIV/0!</v>
      </c>
      <c r="AH197" s="1068"/>
      <c r="AI197" s="1090">
        <v>0</v>
      </c>
      <c r="AJ197" s="1072" t="str">
        <f t="shared" si="158"/>
        <v xml:space="preserve">Construir mapa de riesgos de corrupción de acuerdo con la Guía de Administración de Riesgos de procesos de apoyo y evaluación. </v>
      </c>
      <c r="AK197" s="529">
        <v>0</v>
      </c>
      <c r="AL197" s="825">
        <v>1</v>
      </c>
      <c r="AM197" s="1626">
        <v>0</v>
      </c>
      <c r="AN197" s="1069" t="e">
        <f t="shared" si="167"/>
        <v>#DIV/0!</v>
      </c>
      <c r="AO197" s="1069" t="e">
        <f t="shared" si="168"/>
        <v>#DIV/0!</v>
      </c>
      <c r="AP197" s="1069">
        <f t="shared" si="169"/>
        <v>1</v>
      </c>
      <c r="AQ197" s="1069" t="e">
        <f t="shared" si="170"/>
        <v>#DIV/0!</v>
      </c>
      <c r="AR197" s="1068" t="s">
        <v>1923</v>
      </c>
      <c r="AS197" s="1090">
        <v>1</v>
      </c>
      <c r="AT197" s="1072" t="str">
        <f t="shared" si="161"/>
        <v xml:space="preserve">Construir mapa de riesgos de corrupción de acuerdo con la Guía de Administración de Riesgos de procesos de apoyo y evaluación. </v>
      </c>
      <c r="AU197" s="529">
        <v>0</v>
      </c>
      <c r="AV197" s="825">
        <v>0</v>
      </c>
      <c r="AW197" s="739">
        <v>0</v>
      </c>
      <c r="AX197" s="1069">
        <f t="shared" si="171"/>
        <v>0</v>
      </c>
      <c r="AY197" s="1069" t="e">
        <f t="shared" si="172"/>
        <v>#DIV/0!</v>
      </c>
      <c r="AZ197" s="1069">
        <f t="shared" si="173"/>
        <v>1</v>
      </c>
      <c r="BA197" s="1069" t="e">
        <f t="shared" si="174"/>
        <v>#DIV/0!</v>
      </c>
      <c r="BB197" s="1068"/>
      <c r="BC197" s="1090">
        <v>0</v>
      </c>
      <c r="BD197" s="1072" t="str">
        <f t="shared" si="162"/>
        <v xml:space="preserve">Construir mapa de riesgos de corrupción de acuerdo con la Guía de Administración de Riesgos de procesos de apoyo y evaluación. </v>
      </c>
      <c r="BE197" s="529">
        <v>0</v>
      </c>
      <c r="BF197" s="1089">
        <v>0</v>
      </c>
      <c r="BG197" s="1054">
        <v>0</v>
      </c>
      <c r="BH197" s="1075" t="e">
        <f t="shared" si="175"/>
        <v>#DIV/0!</v>
      </c>
      <c r="BI197" s="1075" t="e">
        <f t="shared" si="176"/>
        <v>#DIV/0!</v>
      </c>
      <c r="BJ197" s="1075">
        <f t="shared" si="177"/>
        <v>1</v>
      </c>
      <c r="BK197" s="1075" t="e">
        <f t="shared" si="178"/>
        <v>#DIV/0!</v>
      </c>
      <c r="BL197" s="1072"/>
      <c r="BM197" s="708" t="str">
        <f t="shared" si="179"/>
        <v>No Prog ni Ejec</v>
      </c>
      <c r="BN197" s="708" t="str">
        <f t="shared" si="180"/>
        <v>No Prog ni Ejec</v>
      </c>
      <c r="BO197" s="708" t="str">
        <f t="shared" si="181"/>
        <v>No Prog, Ejec=  1</v>
      </c>
      <c r="BP197" s="708" t="str">
        <f t="shared" si="182"/>
        <v>No Prog ni Ejec</v>
      </c>
      <c r="BQ197" s="708">
        <f t="shared" si="183"/>
        <v>0</v>
      </c>
      <c r="BR197" s="708" t="str">
        <f t="shared" si="184"/>
        <v>No Prog ni Ejec</v>
      </c>
      <c r="BS197" s="708" t="str">
        <f t="shared" si="185"/>
        <v>No Prog ni Ejec</v>
      </c>
      <c r="BT197" s="829" t="str">
        <f t="shared" si="186"/>
        <v>No Prog ni Ejec</v>
      </c>
    </row>
    <row r="198" spans="1:72" s="958" customFormat="1" ht="89.25" x14ac:dyDescent="0.2">
      <c r="A198" s="1091">
        <v>12000</v>
      </c>
      <c r="B198" s="1068" t="s">
        <v>831</v>
      </c>
      <c r="C198" s="1068" t="s">
        <v>1340</v>
      </c>
      <c r="D198" s="1085" t="s">
        <v>355</v>
      </c>
      <c r="E198" s="1068" t="s">
        <v>256</v>
      </c>
      <c r="F198" s="1085" t="s">
        <v>1381</v>
      </c>
      <c r="G198" s="1068" t="s">
        <v>1382</v>
      </c>
      <c r="H198" s="1089" t="s">
        <v>124</v>
      </c>
      <c r="I198" s="1085">
        <v>1</v>
      </c>
      <c r="J198" s="1085" t="s">
        <v>1383</v>
      </c>
      <c r="K198" s="1068" t="s">
        <v>1384</v>
      </c>
      <c r="L198" s="529">
        <v>0</v>
      </c>
      <c r="M198" s="1078">
        <v>1</v>
      </c>
      <c r="N198" s="1068" t="s">
        <v>51</v>
      </c>
      <c r="O198" s="1068" t="s">
        <v>56</v>
      </c>
      <c r="P198" s="1068" t="s">
        <v>37</v>
      </c>
      <c r="Q198" s="1068" t="s">
        <v>39</v>
      </c>
      <c r="R198" s="1068" t="s">
        <v>210</v>
      </c>
      <c r="S198" s="1068" t="s">
        <v>1385</v>
      </c>
      <c r="T198" s="1068" t="s">
        <v>92</v>
      </c>
      <c r="U198" s="737">
        <v>1</v>
      </c>
      <c r="V198" s="1071" t="str">
        <f t="shared" si="187"/>
        <v>Consolidación de mapa de riesgos de corrupción, aprobado y publicado en página web de la Entidad.</v>
      </c>
      <c r="W198" s="699">
        <f t="shared" si="187"/>
        <v>0</v>
      </c>
      <c r="X198" s="1086" t="s">
        <v>117</v>
      </c>
      <c r="Y198" s="1090">
        <v>0</v>
      </c>
      <c r="Z198" s="1072" t="str">
        <f t="shared" si="157"/>
        <v>Consolidación de mapa de riesgos de corrupción, aprobado y publicado en página web de la Entidad.</v>
      </c>
      <c r="AA198" s="529">
        <v>0</v>
      </c>
      <c r="AB198" s="776"/>
      <c r="AC198" s="529"/>
      <c r="AD198" s="1069" t="e">
        <f t="shared" si="188"/>
        <v>#DIV/0!</v>
      </c>
      <c r="AE198" s="1069" t="e">
        <f t="shared" si="164"/>
        <v>#DIV/0!</v>
      </c>
      <c r="AF198" s="1069">
        <f t="shared" si="165"/>
        <v>0</v>
      </c>
      <c r="AG198" s="1069" t="e">
        <f t="shared" si="166"/>
        <v>#DIV/0!</v>
      </c>
      <c r="AH198" s="1068"/>
      <c r="AI198" s="1090">
        <v>0</v>
      </c>
      <c r="AJ198" s="1072" t="str">
        <f t="shared" si="158"/>
        <v>Consolidación de mapa de riesgos de corrupción, aprobado y publicado en página web de la Entidad.</v>
      </c>
      <c r="AK198" s="529">
        <v>0</v>
      </c>
      <c r="AL198" s="700"/>
      <c r="AM198" s="702"/>
      <c r="AN198" s="1069" t="e">
        <f t="shared" si="167"/>
        <v>#DIV/0!</v>
      </c>
      <c r="AO198" s="1069" t="e">
        <f t="shared" si="168"/>
        <v>#DIV/0!</v>
      </c>
      <c r="AP198" s="1069">
        <f t="shared" si="169"/>
        <v>0</v>
      </c>
      <c r="AQ198" s="1069" t="e">
        <f t="shared" si="170"/>
        <v>#DIV/0!</v>
      </c>
      <c r="AR198" s="845"/>
      <c r="AS198" s="1090">
        <v>1</v>
      </c>
      <c r="AT198" s="1072" t="str">
        <f t="shared" si="161"/>
        <v>Consolidación de mapa de riesgos de corrupción, aprobado y publicado en página web de la Entidad.</v>
      </c>
      <c r="AU198" s="529">
        <v>0</v>
      </c>
      <c r="AV198" s="825">
        <v>1</v>
      </c>
      <c r="AW198" s="739">
        <v>0</v>
      </c>
      <c r="AX198" s="1069">
        <f t="shared" si="171"/>
        <v>1</v>
      </c>
      <c r="AY198" s="1069" t="e">
        <f t="shared" si="172"/>
        <v>#DIV/0!</v>
      </c>
      <c r="AZ198" s="1069">
        <f t="shared" si="173"/>
        <v>1</v>
      </c>
      <c r="BA198" s="1069" t="e">
        <f t="shared" si="174"/>
        <v>#DIV/0!</v>
      </c>
      <c r="BB198" s="1068" t="s">
        <v>1911</v>
      </c>
      <c r="BC198" s="1090">
        <v>0</v>
      </c>
      <c r="BD198" s="1072" t="str">
        <f t="shared" si="162"/>
        <v>Consolidación de mapa de riesgos de corrupción, aprobado y publicado en página web de la Entidad.</v>
      </c>
      <c r="BE198" s="529">
        <v>0</v>
      </c>
      <c r="BF198" s="1089">
        <v>0</v>
      </c>
      <c r="BG198" s="1054">
        <v>0</v>
      </c>
      <c r="BH198" s="1075" t="e">
        <f t="shared" si="175"/>
        <v>#DIV/0!</v>
      </c>
      <c r="BI198" s="1075" t="e">
        <f t="shared" si="176"/>
        <v>#DIV/0!</v>
      </c>
      <c r="BJ198" s="1075">
        <f t="shared" si="177"/>
        <v>1</v>
      </c>
      <c r="BK198" s="1075" t="e">
        <f t="shared" si="178"/>
        <v>#DIV/0!</v>
      </c>
      <c r="BL198" s="1072"/>
      <c r="BM198" s="708" t="str">
        <f t="shared" si="179"/>
        <v>No Prog ni Ejec</v>
      </c>
      <c r="BN198" s="708" t="str">
        <f t="shared" si="180"/>
        <v>No Prog ni Ejec</v>
      </c>
      <c r="BO198" s="708" t="str">
        <f t="shared" si="181"/>
        <v>No Prog ni Ejec</v>
      </c>
      <c r="BP198" s="708" t="str">
        <f t="shared" si="182"/>
        <v>No Prog ni Ejec</v>
      </c>
      <c r="BQ198" s="708">
        <f t="shared" si="183"/>
        <v>1</v>
      </c>
      <c r="BR198" s="708" t="str">
        <f t="shared" si="184"/>
        <v>No Prog ni Ejec</v>
      </c>
      <c r="BS198" s="708" t="str">
        <f t="shared" si="185"/>
        <v>No Prog ni Ejec</v>
      </c>
      <c r="BT198" s="829" t="str">
        <f t="shared" si="186"/>
        <v>No Prog ni Ejec</v>
      </c>
    </row>
    <row r="199" spans="1:72" s="958" customFormat="1" ht="89.25" x14ac:dyDescent="0.2">
      <c r="A199" s="1091">
        <v>12000</v>
      </c>
      <c r="B199" s="1068" t="s">
        <v>831</v>
      </c>
      <c r="C199" s="1068" t="s">
        <v>1340</v>
      </c>
      <c r="D199" s="1085" t="s">
        <v>355</v>
      </c>
      <c r="E199" s="1068" t="s">
        <v>256</v>
      </c>
      <c r="F199" s="1085" t="s">
        <v>1386</v>
      </c>
      <c r="G199" s="1068" t="s">
        <v>1387</v>
      </c>
      <c r="H199" s="1089" t="s">
        <v>124</v>
      </c>
      <c r="I199" s="1085">
        <v>1</v>
      </c>
      <c r="J199" s="1085" t="s">
        <v>1388</v>
      </c>
      <c r="K199" s="1068" t="s">
        <v>1389</v>
      </c>
      <c r="L199" s="529">
        <v>0</v>
      </c>
      <c r="M199" s="1078">
        <v>1</v>
      </c>
      <c r="N199" s="1068" t="s">
        <v>51</v>
      </c>
      <c r="O199" s="1068" t="s">
        <v>56</v>
      </c>
      <c r="P199" s="1068" t="s">
        <v>37</v>
      </c>
      <c r="Q199" s="1068" t="s">
        <v>39</v>
      </c>
      <c r="R199" s="1068" t="s">
        <v>210</v>
      </c>
      <c r="S199" s="1068" t="s">
        <v>1390</v>
      </c>
      <c r="T199" s="1068" t="s">
        <v>92</v>
      </c>
      <c r="U199" s="737">
        <v>1</v>
      </c>
      <c r="V199" s="1071" t="str">
        <f t="shared" si="187"/>
        <v>Socializar mapa de riesgos para así recopilar, consolidar y analizar propuestas, consideraciones u observaciones al Mapa de Riesgos de Corrupción y ajustar en caso de ser necesario.</v>
      </c>
      <c r="W199" s="699">
        <f t="shared" si="187"/>
        <v>0</v>
      </c>
      <c r="X199" s="1086" t="s">
        <v>117</v>
      </c>
      <c r="Y199" s="1090">
        <v>0</v>
      </c>
      <c r="Z199" s="1072" t="str">
        <f t="shared" si="157"/>
        <v>Socializar mapa de riesgos para así recopilar, consolidar y analizar propuestas, consideraciones u observaciones al Mapa de Riesgos de Corrupción y ajustar en caso de ser necesario.</v>
      </c>
      <c r="AA199" s="529">
        <v>0</v>
      </c>
      <c r="AB199" s="776"/>
      <c r="AC199" s="529"/>
      <c r="AD199" s="1069" t="e">
        <f t="shared" si="188"/>
        <v>#DIV/0!</v>
      </c>
      <c r="AE199" s="1069" t="e">
        <f t="shared" si="164"/>
        <v>#DIV/0!</v>
      </c>
      <c r="AF199" s="1069">
        <f t="shared" si="165"/>
        <v>0</v>
      </c>
      <c r="AG199" s="1069" t="e">
        <f t="shared" si="166"/>
        <v>#DIV/0!</v>
      </c>
      <c r="AH199" s="1068"/>
      <c r="AI199" s="1090">
        <v>1</v>
      </c>
      <c r="AJ199" s="1072" t="str">
        <f t="shared" si="158"/>
        <v>Socializar mapa de riesgos para así recopilar, consolidar y analizar propuestas, consideraciones u observaciones al Mapa de Riesgos de Corrupción y ajustar en caso de ser necesario.</v>
      </c>
      <c r="AK199" s="529">
        <v>0</v>
      </c>
      <c r="AL199" s="825">
        <v>1</v>
      </c>
      <c r="AM199" s="1626">
        <v>0</v>
      </c>
      <c r="AN199" s="1069">
        <f t="shared" si="167"/>
        <v>1</v>
      </c>
      <c r="AO199" s="1069" t="e">
        <f t="shared" si="168"/>
        <v>#DIV/0!</v>
      </c>
      <c r="AP199" s="1069">
        <f t="shared" si="169"/>
        <v>1</v>
      </c>
      <c r="AQ199" s="1069" t="e">
        <f t="shared" si="170"/>
        <v>#DIV/0!</v>
      </c>
      <c r="AR199" s="1068" t="s">
        <v>2324</v>
      </c>
      <c r="AS199" s="1090">
        <v>0</v>
      </c>
      <c r="AT199" s="1072" t="str">
        <f t="shared" si="161"/>
        <v>Socializar mapa de riesgos para así recopilar, consolidar y analizar propuestas, consideraciones u observaciones al Mapa de Riesgos de Corrupción y ajustar en caso de ser necesario.</v>
      </c>
      <c r="AU199" s="529">
        <v>0</v>
      </c>
      <c r="AV199" s="825">
        <v>0</v>
      </c>
      <c r="AW199" s="739">
        <v>0</v>
      </c>
      <c r="AX199" s="1069" t="e">
        <f t="shared" si="171"/>
        <v>#DIV/0!</v>
      </c>
      <c r="AY199" s="1069" t="e">
        <f t="shared" si="172"/>
        <v>#DIV/0!</v>
      </c>
      <c r="AZ199" s="1069">
        <f t="shared" si="173"/>
        <v>1</v>
      </c>
      <c r="BA199" s="1069" t="e">
        <f t="shared" si="174"/>
        <v>#DIV/0!</v>
      </c>
      <c r="BB199" s="1068"/>
      <c r="BC199" s="1090">
        <v>0</v>
      </c>
      <c r="BD199" s="1072" t="str">
        <f t="shared" si="162"/>
        <v>Socializar mapa de riesgos para así recopilar, consolidar y analizar propuestas, consideraciones u observaciones al Mapa de Riesgos de Corrupción y ajustar en caso de ser necesario.</v>
      </c>
      <c r="BE199" s="529">
        <v>0</v>
      </c>
      <c r="BF199" s="1089">
        <v>0</v>
      </c>
      <c r="BG199" s="1054">
        <v>0</v>
      </c>
      <c r="BH199" s="1075" t="e">
        <f t="shared" si="175"/>
        <v>#DIV/0!</v>
      </c>
      <c r="BI199" s="1075" t="e">
        <f t="shared" si="176"/>
        <v>#DIV/0!</v>
      </c>
      <c r="BJ199" s="1075">
        <f t="shared" si="177"/>
        <v>1</v>
      </c>
      <c r="BK199" s="1075" t="e">
        <f t="shared" si="178"/>
        <v>#DIV/0!</v>
      </c>
      <c r="BL199" s="1072"/>
      <c r="BM199" s="708" t="str">
        <f t="shared" si="179"/>
        <v>No Prog ni Ejec</v>
      </c>
      <c r="BN199" s="708" t="str">
        <f t="shared" si="180"/>
        <v>No Prog ni Ejec</v>
      </c>
      <c r="BO199" s="708">
        <f t="shared" si="181"/>
        <v>1</v>
      </c>
      <c r="BP199" s="708" t="str">
        <f t="shared" si="182"/>
        <v>No Prog ni Ejec</v>
      </c>
      <c r="BQ199" s="708" t="str">
        <f t="shared" si="183"/>
        <v>No Prog ni Ejec</v>
      </c>
      <c r="BR199" s="708" t="str">
        <f t="shared" si="184"/>
        <v>No Prog ni Ejec</v>
      </c>
      <c r="BS199" s="708" t="str">
        <f t="shared" si="185"/>
        <v>No Prog ni Ejec</v>
      </c>
      <c r="BT199" s="829" t="str">
        <f t="shared" si="186"/>
        <v>No Prog ni Ejec</v>
      </c>
    </row>
    <row r="200" spans="1:72" s="958" customFormat="1" ht="89.25" x14ac:dyDescent="0.2">
      <c r="A200" s="1091">
        <v>12000</v>
      </c>
      <c r="B200" s="1068" t="s">
        <v>831</v>
      </c>
      <c r="C200" s="1068" t="s">
        <v>1340</v>
      </c>
      <c r="D200" s="1085" t="s">
        <v>355</v>
      </c>
      <c r="E200" s="1068" t="s">
        <v>256</v>
      </c>
      <c r="F200" s="1085" t="s">
        <v>1391</v>
      </c>
      <c r="G200" s="1068" t="s">
        <v>1392</v>
      </c>
      <c r="H200" s="1089" t="s">
        <v>124</v>
      </c>
      <c r="I200" s="1085">
        <v>1</v>
      </c>
      <c r="J200" s="1085" t="s">
        <v>1393</v>
      </c>
      <c r="K200" s="1068" t="s">
        <v>1394</v>
      </c>
      <c r="L200" s="529">
        <v>0</v>
      </c>
      <c r="M200" s="1078">
        <v>1</v>
      </c>
      <c r="N200" s="1068" t="s">
        <v>51</v>
      </c>
      <c r="O200" s="1068" t="s">
        <v>56</v>
      </c>
      <c r="P200" s="1068" t="s">
        <v>37</v>
      </c>
      <c r="Q200" s="1068" t="s">
        <v>39</v>
      </c>
      <c r="R200" s="1068" t="s">
        <v>210</v>
      </c>
      <c r="S200" s="1068" t="s">
        <v>1395</v>
      </c>
      <c r="T200" s="1068" t="s">
        <v>92</v>
      </c>
      <c r="U200" s="737">
        <v>1</v>
      </c>
      <c r="V200" s="1071" t="str">
        <f t="shared" si="187"/>
        <v>Armonizar mapa de riesgos de corrupción, con la plataforma estratégica aprobada en ADRES y con el modelo de operación de la entidad</v>
      </c>
      <c r="W200" s="699">
        <f t="shared" si="187"/>
        <v>0</v>
      </c>
      <c r="X200" s="1086" t="s">
        <v>117</v>
      </c>
      <c r="Y200" s="1090">
        <v>0</v>
      </c>
      <c r="Z200" s="1072" t="str">
        <f t="shared" si="157"/>
        <v>Armonizar mapa de riesgos de corrupción, con la plataforma estratégica aprobada en ADRES y con el modelo de operación de la entidad</v>
      </c>
      <c r="AA200" s="529">
        <v>0</v>
      </c>
      <c r="AB200" s="776"/>
      <c r="AC200" s="529"/>
      <c r="AD200" s="1069" t="e">
        <f t="shared" si="188"/>
        <v>#DIV/0!</v>
      </c>
      <c r="AE200" s="1069" t="e">
        <f t="shared" si="164"/>
        <v>#DIV/0!</v>
      </c>
      <c r="AF200" s="1069">
        <f t="shared" si="165"/>
        <v>0</v>
      </c>
      <c r="AG200" s="1069" t="e">
        <f t="shared" si="166"/>
        <v>#DIV/0!</v>
      </c>
      <c r="AH200" s="1068"/>
      <c r="AI200" s="1090">
        <v>1</v>
      </c>
      <c r="AJ200" s="1072" t="str">
        <f t="shared" si="158"/>
        <v>Armonizar mapa de riesgos de corrupción, con la plataforma estratégica aprobada en ADRES y con el modelo de operación de la entidad</v>
      </c>
      <c r="AK200" s="529">
        <v>0</v>
      </c>
      <c r="AL200" s="825">
        <v>1</v>
      </c>
      <c r="AM200" s="1626">
        <v>0</v>
      </c>
      <c r="AN200" s="1069">
        <f t="shared" si="167"/>
        <v>1</v>
      </c>
      <c r="AO200" s="1069" t="e">
        <f t="shared" si="168"/>
        <v>#DIV/0!</v>
      </c>
      <c r="AP200" s="1069">
        <f t="shared" si="169"/>
        <v>1</v>
      </c>
      <c r="AQ200" s="1069" t="e">
        <f t="shared" si="170"/>
        <v>#DIV/0!</v>
      </c>
      <c r="AR200" s="1068" t="s">
        <v>1917</v>
      </c>
      <c r="AS200" s="1090">
        <v>0</v>
      </c>
      <c r="AT200" s="1072" t="str">
        <f t="shared" si="161"/>
        <v>Armonizar mapa de riesgos de corrupción, con la plataforma estratégica aprobada en ADRES y con el modelo de operación de la entidad</v>
      </c>
      <c r="AU200" s="529">
        <v>0</v>
      </c>
      <c r="AV200" s="825">
        <v>0</v>
      </c>
      <c r="AW200" s="739">
        <v>0</v>
      </c>
      <c r="AX200" s="1069" t="e">
        <f t="shared" si="171"/>
        <v>#DIV/0!</v>
      </c>
      <c r="AY200" s="1069" t="e">
        <f t="shared" si="172"/>
        <v>#DIV/0!</v>
      </c>
      <c r="AZ200" s="1069">
        <f t="shared" si="173"/>
        <v>1</v>
      </c>
      <c r="BA200" s="1069" t="e">
        <f t="shared" si="174"/>
        <v>#DIV/0!</v>
      </c>
      <c r="BB200" s="1068"/>
      <c r="BC200" s="1090">
        <v>0</v>
      </c>
      <c r="BD200" s="1072" t="str">
        <f t="shared" si="162"/>
        <v>Armonizar mapa de riesgos de corrupción, con la plataforma estratégica aprobada en ADRES y con el modelo de operación de la entidad</v>
      </c>
      <c r="BE200" s="529">
        <v>0</v>
      </c>
      <c r="BF200" s="1089">
        <v>0</v>
      </c>
      <c r="BG200" s="1054">
        <v>0</v>
      </c>
      <c r="BH200" s="1075" t="e">
        <f t="shared" si="175"/>
        <v>#DIV/0!</v>
      </c>
      <c r="BI200" s="1075" t="e">
        <f t="shared" si="176"/>
        <v>#DIV/0!</v>
      </c>
      <c r="BJ200" s="1075">
        <f t="shared" si="177"/>
        <v>1</v>
      </c>
      <c r="BK200" s="1075" t="e">
        <f t="shared" si="178"/>
        <v>#DIV/0!</v>
      </c>
      <c r="BL200" s="1072"/>
      <c r="BM200" s="708" t="str">
        <f t="shared" si="179"/>
        <v>No Prog ni Ejec</v>
      </c>
      <c r="BN200" s="708" t="str">
        <f t="shared" si="180"/>
        <v>No Prog ni Ejec</v>
      </c>
      <c r="BO200" s="708">
        <f t="shared" si="181"/>
        <v>1</v>
      </c>
      <c r="BP200" s="708" t="str">
        <f t="shared" si="182"/>
        <v>No Prog ni Ejec</v>
      </c>
      <c r="BQ200" s="708" t="str">
        <f t="shared" si="183"/>
        <v>No Prog ni Ejec</v>
      </c>
      <c r="BR200" s="708" t="str">
        <f t="shared" si="184"/>
        <v>No Prog ni Ejec</v>
      </c>
      <c r="BS200" s="708" t="str">
        <f t="shared" si="185"/>
        <v>No Prog ni Ejec</v>
      </c>
      <c r="BT200" s="829" t="str">
        <f t="shared" si="186"/>
        <v>No Prog ni Ejec</v>
      </c>
    </row>
    <row r="201" spans="1:72" s="958" customFormat="1" ht="89.25" x14ac:dyDescent="0.2">
      <c r="A201" s="1091">
        <v>12000</v>
      </c>
      <c r="B201" s="1068" t="s">
        <v>831</v>
      </c>
      <c r="C201" s="1068" t="s">
        <v>1340</v>
      </c>
      <c r="D201" s="1085" t="s">
        <v>355</v>
      </c>
      <c r="E201" s="1068" t="s">
        <v>256</v>
      </c>
      <c r="F201" s="1085" t="s">
        <v>1396</v>
      </c>
      <c r="G201" s="1068" t="s">
        <v>1397</v>
      </c>
      <c r="H201" s="1089" t="s">
        <v>124</v>
      </c>
      <c r="I201" s="1085">
        <v>1</v>
      </c>
      <c r="J201" s="1085" t="s">
        <v>1398</v>
      </c>
      <c r="K201" s="1068" t="s">
        <v>1399</v>
      </c>
      <c r="L201" s="529">
        <v>0</v>
      </c>
      <c r="M201" s="1078">
        <v>1</v>
      </c>
      <c r="N201" s="1068" t="s">
        <v>51</v>
      </c>
      <c r="O201" s="1068" t="s">
        <v>56</v>
      </c>
      <c r="P201" s="1068" t="s">
        <v>37</v>
      </c>
      <c r="Q201" s="1068" t="s">
        <v>39</v>
      </c>
      <c r="R201" s="1068" t="s">
        <v>210</v>
      </c>
      <c r="S201" s="1068" t="s">
        <v>1400</v>
      </c>
      <c r="T201" s="1068" t="s">
        <v>92</v>
      </c>
      <c r="U201" s="737">
        <v>1</v>
      </c>
      <c r="V201" s="1071" t="str">
        <f t="shared" si="187"/>
        <v>Socializar mapa de riesgos de corrupción a los funcionarios y contratistas</v>
      </c>
      <c r="W201" s="699">
        <f t="shared" si="187"/>
        <v>0</v>
      </c>
      <c r="X201" s="1086" t="s">
        <v>117</v>
      </c>
      <c r="Y201" s="1090">
        <v>0</v>
      </c>
      <c r="Z201" s="1072" t="str">
        <f t="shared" si="157"/>
        <v>Socializar mapa de riesgos de corrupción a los funcionarios y contratistas</v>
      </c>
      <c r="AA201" s="529">
        <v>0</v>
      </c>
      <c r="AB201" s="776"/>
      <c r="AC201" s="529"/>
      <c r="AD201" s="1069" t="e">
        <f t="shared" si="188"/>
        <v>#DIV/0!</v>
      </c>
      <c r="AE201" s="1069" t="e">
        <f t="shared" si="164"/>
        <v>#DIV/0!</v>
      </c>
      <c r="AF201" s="1069">
        <f t="shared" si="165"/>
        <v>0</v>
      </c>
      <c r="AG201" s="1069" t="e">
        <f t="shared" si="166"/>
        <v>#DIV/0!</v>
      </c>
      <c r="AH201" s="1068"/>
      <c r="AI201" s="1090">
        <v>1</v>
      </c>
      <c r="AJ201" s="1072" t="str">
        <f t="shared" si="158"/>
        <v>Socializar mapa de riesgos de corrupción a los funcionarios y contratistas</v>
      </c>
      <c r="AK201" s="529">
        <v>0</v>
      </c>
      <c r="AL201" s="825">
        <v>1</v>
      </c>
      <c r="AM201" s="1626">
        <v>0</v>
      </c>
      <c r="AN201" s="1069">
        <f t="shared" si="167"/>
        <v>1</v>
      </c>
      <c r="AO201" s="1069" t="e">
        <f t="shared" si="168"/>
        <v>#DIV/0!</v>
      </c>
      <c r="AP201" s="1069">
        <f t="shared" si="169"/>
        <v>1</v>
      </c>
      <c r="AQ201" s="1069" t="e">
        <f t="shared" si="170"/>
        <v>#DIV/0!</v>
      </c>
      <c r="AR201" s="1068" t="s">
        <v>1918</v>
      </c>
      <c r="AS201" s="1090">
        <v>0</v>
      </c>
      <c r="AT201" s="1072" t="str">
        <f t="shared" si="161"/>
        <v>Socializar mapa de riesgos de corrupción a los funcionarios y contratistas</v>
      </c>
      <c r="AU201" s="529">
        <v>0</v>
      </c>
      <c r="AV201" s="825">
        <v>0</v>
      </c>
      <c r="AW201" s="739">
        <v>0</v>
      </c>
      <c r="AX201" s="1069" t="e">
        <f t="shared" si="171"/>
        <v>#DIV/0!</v>
      </c>
      <c r="AY201" s="1069" t="e">
        <f t="shared" si="172"/>
        <v>#DIV/0!</v>
      </c>
      <c r="AZ201" s="1069">
        <f t="shared" si="173"/>
        <v>1</v>
      </c>
      <c r="BA201" s="1069" t="e">
        <f t="shared" si="174"/>
        <v>#DIV/0!</v>
      </c>
      <c r="BB201" s="1068"/>
      <c r="BC201" s="1090">
        <v>0</v>
      </c>
      <c r="BD201" s="1072" t="str">
        <f t="shared" si="162"/>
        <v>Socializar mapa de riesgos de corrupción a los funcionarios y contratistas</v>
      </c>
      <c r="BE201" s="529">
        <v>0</v>
      </c>
      <c r="BF201" s="1089">
        <v>0</v>
      </c>
      <c r="BG201" s="1054">
        <v>0</v>
      </c>
      <c r="BH201" s="1075" t="e">
        <f t="shared" si="175"/>
        <v>#DIV/0!</v>
      </c>
      <c r="BI201" s="1075" t="e">
        <f t="shared" si="176"/>
        <v>#DIV/0!</v>
      </c>
      <c r="BJ201" s="1075">
        <f t="shared" si="177"/>
        <v>1</v>
      </c>
      <c r="BK201" s="1075" t="e">
        <f t="shared" si="178"/>
        <v>#DIV/0!</v>
      </c>
      <c r="BL201" s="1072"/>
      <c r="BM201" s="708" t="str">
        <f t="shared" si="179"/>
        <v>No Prog ni Ejec</v>
      </c>
      <c r="BN201" s="708" t="str">
        <f t="shared" si="180"/>
        <v>No Prog ni Ejec</v>
      </c>
      <c r="BO201" s="708">
        <f t="shared" si="181"/>
        <v>1</v>
      </c>
      <c r="BP201" s="708" t="str">
        <f t="shared" si="182"/>
        <v>No Prog ni Ejec</v>
      </c>
      <c r="BQ201" s="708" t="str">
        <f t="shared" si="183"/>
        <v>No Prog ni Ejec</v>
      </c>
      <c r="BR201" s="708" t="str">
        <f t="shared" si="184"/>
        <v>No Prog ni Ejec</v>
      </c>
      <c r="BS201" s="708" t="str">
        <f t="shared" si="185"/>
        <v>No Prog ni Ejec</v>
      </c>
      <c r="BT201" s="829" t="str">
        <f t="shared" si="186"/>
        <v>No Prog ni Ejec</v>
      </c>
    </row>
    <row r="202" spans="1:72" s="958" customFormat="1" ht="89.25" x14ac:dyDescent="0.2">
      <c r="A202" s="1091">
        <v>12000</v>
      </c>
      <c r="B202" s="1068" t="s">
        <v>831</v>
      </c>
      <c r="C202" s="1068" t="s">
        <v>1340</v>
      </c>
      <c r="D202" s="1085" t="s">
        <v>355</v>
      </c>
      <c r="E202" s="1068" t="s">
        <v>256</v>
      </c>
      <c r="F202" s="1085" t="s">
        <v>1401</v>
      </c>
      <c r="G202" s="1068" t="s">
        <v>1402</v>
      </c>
      <c r="H202" s="1089" t="s">
        <v>124</v>
      </c>
      <c r="I202" s="1085">
        <v>1</v>
      </c>
      <c r="J202" s="1085" t="s">
        <v>1403</v>
      </c>
      <c r="K202" s="1068" t="s">
        <v>1404</v>
      </c>
      <c r="L202" s="529">
        <v>0</v>
      </c>
      <c r="M202" s="1078">
        <v>1</v>
      </c>
      <c r="N202" s="1068" t="s">
        <v>51</v>
      </c>
      <c r="O202" s="1068" t="s">
        <v>56</v>
      </c>
      <c r="P202" s="1068" t="s">
        <v>37</v>
      </c>
      <c r="Q202" s="1068" t="s">
        <v>39</v>
      </c>
      <c r="R202" s="1068" t="s">
        <v>210</v>
      </c>
      <c r="S202" s="1068" t="s">
        <v>1405</v>
      </c>
      <c r="T202" s="1068" t="s">
        <v>92</v>
      </c>
      <c r="U202" s="737">
        <v>1</v>
      </c>
      <c r="V202" s="1071" t="str">
        <f t="shared" si="187"/>
        <v>Socializar mapa de riesgos de corrupción a usuarios y partes interesadas a través de su publicación en la página web.</v>
      </c>
      <c r="W202" s="699">
        <f t="shared" si="187"/>
        <v>0</v>
      </c>
      <c r="X202" s="1086" t="s">
        <v>117</v>
      </c>
      <c r="Y202" s="1090">
        <v>0</v>
      </c>
      <c r="Z202" s="1072" t="str">
        <f t="shared" si="157"/>
        <v>Socializar mapa de riesgos de corrupción a usuarios y partes interesadas a través de su publicación en la página web.</v>
      </c>
      <c r="AA202" s="529">
        <v>0</v>
      </c>
      <c r="AB202" s="776"/>
      <c r="AC202" s="529"/>
      <c r="AD202" s="1069" t="e">
        <f t="shared" si="188"/>
        <v>#DIV/0!</v>
      </c>
      <c r="AE202" s="1069" t="e">
        <f t="shared" si="164"/>
        <v>#DIV/0!</v>
      </c>
      <c r="AF202" s="1069">
        <f t="shared" si="165"/>
        <v>0</v>
      </c>
      <c r="AG202" s="1069" t="e">
        <f t="shared" si="166"/>
        <v>#DIV/0!</v>
      </c>
      <c r="AH202" s="1068"/>
      <c r="AI202" s="1090">
        <v>1</v>
      </c>
      <c r="AJ202" s="1072" t="str">
        <f t="shared" si="158"/>
        <v>Socializar mapa de riesgos de corrupción a usuarios y partes interesadas a través de su publicación en la página web.</v>
      </c>
      <c r="AK202" s="529">
        <v>0</v>
      </c>
      <c r="AL202" s="825">
        <v>1</v>
      </c>
      <c r="AM202" s="1626">
        <v>0</v>
      </c>
      <c r="AN202" s="1069">
        <f t="shared" si="167"/>
        <v>1</v>
      </c>
      <c r="AO202" s="1069" t="e">
        <f t="shared" si="168"/>
        <v>#DIV/0!</v>
      </c>
      <c r="AP202" s="1069">
        <f t="shared" si="169"/>
        <v>1</v>
      </c>
      <c r="AQ202" s="1069" t="e">
        <f t="shared" si="170"/>
        <v>#DIV/0!</v>
      </c>
      <c r="AR202" s="1068" t="s">
        <v>1919</v>
      </c>
      <c r="AS202" s="1090">
        <v>0</v>
      </c>
      <c r="AT202" s="1072" t="str">
        <f t="shared" si="161"/>
        <v>Socializar mapa de riesgos de corrupción a usuarios y partes interesadas a través de su publicación en la página web.</v>
      </c>
      <c r="AU202" s="529">
        <v>0</v>
      </c>
      <c r="AV202" s="825">
        <v>0</v>
      </c>
      <c r="AW202" s="739">
        <v>0</v>
      </c>
      <c r="AX202" s="1069" t="e">
        <f t="shared" si="171"/>
        <v>#DIV/0!</v>
      </c>
      <c r="AY202" s="1069" t="e">
        <f t="shared" si="172"/>
        <v>#DIV/0!</v>
      </c>
      <c r="AZ202" s="1069">
        <f t="shared" si="173"/>
        <v>1</v>
      </c>
      <c r="BA202" s="1069" t="e">
        <f t="shared" si="174"/>
        <v>#DIV/0!</v>
      </c>
      <c r="BB202" s="1068"/>
      <c r="BC202" s="1090">
        <v>0</v>
      </c>
      <c r="BD202" s="1072" t="str">
        <f t="shared" si="162"/>
        <v>Socializar mapa de riesgos de corrupción a usuarios y partes interesadas a través de su publicación en la página web.</v>
      </c>
      <c r="BE202" s="529">
        <v>0</v>
      </c>
      <c r="BF202" s="1089">
        <v>0</v>
      </c>
      <c r="BG202" s="1054">
        <v>0</v>
      </c>
      <c r="BH202" s="1075" t="e">
        <f t="shared" si="175"/>
        <v>#DIV/0!</v>
      </c>
      <c r="BI202" s="1075" t="e">
        <f t="shared" si="176"/>
        <v>#DIV/0!</v>
      </c>
      <c r="BJ202" s="1075">
        <f t="shared" si="177"/>
        <v>1</v>
      </c>
      <c r="BK202" s="1075" t="e">
        <f t="shared" si="178"/>
        <v>#DIV/0!</v>
      </c>
      <c r="BL202" s="1072"/>
      <c r="BM202" s="708" t="str">
        <f t="shared" si="179"/>
        <v>No Prog ni Ejec</v>
      </c>
      <c r="BN202" s="708" t="str">
        <f t="shared" si="180"/>
        <v>No Prog ni Ejec</v>
      </c>
      <c r="BO202" s="708">
        <f t="shared" si="181"/>
        <v>1</v>
      </c>
      <c r="BP202" s="708" t="str">
        <f t="shared" si="182"/>
        <v>No Prog ni Ejec</v>
      </c>
      <c r="BQ202" s="708" t="str">
        <f t="shared" si="183"/>
        <v>No Prog ni Ejec</v>
      </c>
      <c r="BR202" s="708" t="str">
        <f t="shared" si="184"/>
        <v>No Prog ni Ejec</v>
      </c>
      <c r="BS202" s="708" t="str">
        <f t="shared" si="185"/>
        <v>No Prog ni Ejec</v>
      </c>
      <c r="BT202" s="829" t="str">
        <f t="shared" si="186"/>
        <v>No Prog ni Ejec</v>
      </c>
    </row>
    <row r="203" spans="1:72" s="958" customFormat="1" ht="89.25" x14ac:dyDescent="0.2">
      <c r="A203" s="1091">
        <v>12000</v>
      </c>
      <c r="B203" s="1068" t="s">
        <v>831</v>
      </c>
      <c r="C203" s="1068" t="s">
        <v>1340</v>
      </c>
      <c r="D203" s="1085" t="s">
        <v>355</v>
      </c>
      <c r="E203" s="1068" t="s">
        <v>256</v>
      </c>
      <c r="F203" s="1085" t="s">
        <v>1406</v>
      </c>
      <c r="G203" s="1068" t="s">
        <v>1407</v>
      </c>
      <c r="H203" s="1089" t="s">
        <v>124</v>
      </c>
      <c r="I203" s="1085">
        <v>2</v>
      </c>
      <c r="J203" s="1085" t="s">
        <v>1408</v>
      </c>
      <c r="K203" s="1068" t="s">
        <v>1409</v>
      </c>
      <c r="L203" s="529">
        <v>0</v>
      </c>
      <c r="M203" s="1078">
        <v>1</v>
      </c>
      <c r="N203" s="1068" t="s">
        <v>51</v>
      </c>
      <c r="O203" s="1068" t="s">
        <v>56</v>
      </c>
      <c r="P203" s="1068" t="s">
        <v>37</v>
      </c>
      <c r="Q203" s="1068" t="s">
        <v>39</v>
      </c>
      <c r="R203" s="1068" t="s">
        <v>210</v>
      </c>
      <c r="S203" s="1068" t="s">
        <v>1410</v>
      </c>
      <c r="T203" s="1068" t="s">
        <v>92</v>
      </c>
      <c r="U203" s="737">
        <v>2</v>
      </c>
      <c r="V203" s="1071" t="str">
        <f t="shared" si="187"/>
        <v>Socializar ajustes y actualizaciones a mapa de riesgos de corrupción cada vez que se realicen cambios.</v>
      </c>
      <c r="W203" s="699">
        <f t="shared" si="187"/>
        <v>0</v>
      </c>
      <c r="X203" s="1086" t="s">
        <v>117</v>
      </c>
      <c r="Y203" s="1090">
        <v>0</v>
      </c>
      <c r="Z203" s="1072" t="str">
        <f t="shared" si="157"/>
        <v>Socializar ajustes y actualizaciones a mapa de riesgos de corrupción cada vez que se realicen cambios.</v>
      </c>
      <c r="AA203" s="529">
        <v>0</v>
      </c>
      <c r="AB203" s="776"/>
      <c r="AC203" s="529"/>
      <c r="AD203" s="1069" t="e">
        <f t="shared" si="188"/>
        <v>#DIV/0!</v>
      </c>
      <c r="AE203" s="1069" t="e">
        <f t="shared" si="164"/>
        <v>#DIV/0!</v>
      </c>
      <c r="AF203" s="1069">
        <f t="shared" si="165"/>
        <v>0</v>
      </c>
      <c r="AG203" s="1069" t="e">
        <f t="shared" si="166"/>
        <v>#DIV/0!</v>
      </c>
      <c r="AH203" s="1068"/>
      <c r="AI203" s="1090">
        <v>0</v>
      </c>
      <c r="AJ203" s="1072" t="str">
        <f t="shared" si="158"/>
        <v>Socializar ajustes y actualizaciones a mapa de riesgos de corrupción cada vez que se realicen cambios.</v>
      </c>
      <c r="AK203" s="529">
        <v>0</v>
      </c>
      <c r="AL203" s="825">
        <v>0</v>
      </c>
      <c r="AM203" s="1626">
        <v>0</v>
      </c>
      <c r="AN203" s="1069" t="e">
        <f t="shared" si="167"/>
        <v>#DIV/0!</v>
      </c>
      <c r="AO203" s="1069" t="e">
        <f t="shared" si="168"/>
        <v>#DIV/0!</v>
      </c>
      <c r="AP203" s="1069">
        <f t="shared" si="169"/>
        <v>0</v>
      </c>
      <c r="AQ203" s="1069" t="e">
        <f t="shared" si="170"/>
        <v>#DIV/0!</v>
      </c>
      <c r="AR203" s="1068" t="s">
        <v>1920</v>
      </c>
      <c r="AS203" s="1090">
        <v>1</v>
      </c>
      <c r="AT203" s="1072" t="str">
        <f t="shared" si="161"/>
        <v>Socializar ajustes y actualizaciones a mapa de riesgos de corrupción cada vez que se realicen cambios.</v>
      </c>
      <c r="AU203" s="529">
        <v>0</v>
      </c>
      <c r="AV203" s="825">
        <v>0</v>
      </c>
      <c r="AW203" s="739">
        <v>0</v>
      </c>
      <c r="AX203" s="1069">
        <f t="shared" si="171"/>
        <v>0</v>
      </c>
      <c r="AY203" s="1069" t="e">
        <f t="shared" si="172"/>
        <v>#DIV/0!</v>
      </c>
      <c r="AZ203" s="1069">
        <f t="shared" si="173"/>
        <v>0</v>
      </c>
      <c r="BA203" s="1069" t="e">
        <f t="shared" si="174"/>
        <v>#DIV/0!</v>
      </c>
      <c r="BB203" s="1068" t="s">
        <v>1920</v>
      </c>
      <c r="BC203" s="1090">
        <v>1</v>
      </c>
      <c r="BD203" s="1072" t="str">
        <f t="shared" si="162"/>
        <v>Socializar ajustes y actualizaciones a mapa de riesgos de corrupción cada vez que se realicen cambios.</v>
      </c>
      <c r="BE203" s="529">
        <v>0</v>
      </c>
      <c r="BF203" s="1089">
        <v>1</v>
      </c>
      <c r="BG203" s="1054">
        <v>0</v>
      </c>
      <c r="BH203" s="1075">
        <f t="shared" si="175"/>
        <v>1</v>
      </c>
      <c r="BI203" s="1075" t="e">
        <f t="shared" si="176"/>
        <v>#DIV/0!</v>
      </c>
      <c r="BJ203" s="1075">
        <f t="shared" si="177"/>
        <v>0.5</v>
      </c>
      <c r="BK203" s="1075" t="e">
        <f t="shared" si="178"/>
        <v>#DIV/0!</v>
      </c>
      <c r="BL203" s="1053" t="s">
        <v>2275</v>
      </c>
      <c r="BM203" s="708" t="str">
        <f t="shared" si="179"/>
        <v>No Prog ni Ejec</v>
      </c>
      <c r="BN203" s="708" t="str">
        <f t="shared" si="180"/>
        <v>No Prog ni Ejec</v>
      </c>
      <c r="BO203" s="708" t="str">
        <f t="shared" si="181"/>
        <v>No Prog ni Ejec</v>
      </c>
      <c r="BP203" s="708" t="str">
        <f t="shared" si="182"/>
        <v>No Prog ni Ejec</v>
      </c>
      <c r="BQ203" s="708">
        <f t="shared" si="183"/>
        <v>0</v>
      </c>
      <c r="BR203" s="708" t="str">
        <f t="shared" si="184"/>
        <v>No Prog ni Ejec</v>
      </c>
      <c r="BS203" s="708">
        <f t="shared" si="185"/>
        <v>1</v>
      </c>
      <c r="BT203" s="829" t="str">
        <f t="shared" si="186"/>
        <v>No Prog ni Ejec</v>
      </c>
    </row>
    <row r="204" spans="1:72" s="958" customFormat="1" ht="89.25" x14ac:dyDescent="0.2">
      <c r="A204" s="1091">
        <v>12000</v>
      </c>
      <c r="B204" s="1068" t="s">
        <v>831</v>
      </c>
      <c r="C204" s="1068" t="s">
        <v>1340</v>
      </c>
      <c r="D204" s="1085" t="s">
        <v>355</v>
      </c>
      <c r="E204" s="1068" t="s">
        <v>256</v>
      </c>
      <c r="F204" s="1085" t="s">
        <v>1411</v>
      </c>
      <c r="G204" s="1068" t="s">
        <v>1412</v>
      </c>
      <c r="H204" s="1089" t="s">
        <v>124</v>
      </c>
      <c r="I204" s="1085">
        <v>2</v>
      </c>
      <c r="J204" s="1085" t="s">
        <v>1413</v>
      </c>
      <c r="K204" s="1068" t="s">
        <v>1414</v>
      </c>
      <c r="L204" s="529">
        <v>0</v>
      </c>
      <c r="M204" s="1078">
        <v>1</v>
      </c>
      <c r="N204" s="1068" t="s">
        <v>51</v>
      </c>
      <c r="O204" s="1068" t="s">
        <v>56</v>
      </c>
      <c r="P204" s="1068" t="s">
        <v>37</v>
      </c>
      <c r="Q204" s="1068" t="s">
        <v>39</v>
      </c>
      <c r="R204" s="1068" t="s">
        <v>210</v>
      </c>
      <c r="S204" s="1068" t="s">
        <v>1415</v>
      </c>
      <c r="T204" s="1068" t="s">
        <v>92</v>
      </c>
      <c r="U204" s="737">
        <v>2</v>
      </c>
      <c r="V204" s="1071" t="str">
        <f t="shared" si="187"/>
        <v>Monitorear y revisar periódicamente los riesgos de corrupción del proceso a cargo, verificando el cumplimiento del Plan de Acción para mitigarlos o la identificación de nuevos riesgos de corrupción, a través de reuniones de Autocontrol.</v>
      </c>
      <c r="W204" s="699">
        <f t="shared" si="187"/>
        <v>0</v>
      </c>
      <c r="X204" s="1086" t="s">
        <v>117</v>
      </c>
      <c r="Y204" s="1090">
        <v>0</v>
      </c>
      <c r="Z204" s="1072" t="str">
        <f t="shared" si="157"/>
        <v>Monitorear y revisar periódicamente los riesgos de corrupción del proceso a cargo, verificando el cumplimiento del Plan de Acción para mitigarlos o la identificación de nuevos riesgos de corrupción, a través de reuniones de Autocontrol.</v>
      </c>
      <c r="AA204" s="529">
        <v>0</v>
      </c>
      <c r="AB204" s="776"/>
      <c r="AC204" s="529"/>
      <c r="AD204" s="1069" t="e">
        <f t="shared" si="188"/>
        <v>#DIV/0!</v>
      </c>
      <c r="AE204" s="1069" t="e">
        <f t="shared" si="164"/>
        <v>#DIV/0!</v>
      </c>
      <c r="AF204" s="1069">
        <f t="shared" si="165"/>
        <v>0</v>
      </c>
      <c r="AG204" s="1069" t="e">
        <f t="shared" si="166"/>
        <v>#DIV/0!</v>
      </c>
      <c r="AH204" s="1068"/>
      <c r="AI204" s="1090">
        <v>0</v>
      </c>
      <c r="AJ204" s="1072" t="str">
        <f t="shared" si="158"/>
        <v>Monitorear y revisar periódicamente los riesgos de corrupción del proceso a cargo, verificando el cumplimiento del Plan de Acción para mitigarlos o la identificación de nuevos riesgos de corrupción, a través de reuniones de Autocontrol.</v>
      </c>
      <c r="AK204" s="529">
        <v>0</v>
      </c>
      <c r="AL204" s="700"/>
      <c r="AM204" s="700"/>
      <c r="AN204" s="1069" t="e">
        <f t="shared" si="167"/>
        <v>#DIV/0!</v>
      </c>
      <c r="AO204" s="1069" t="e">
        <f t="shared" si="168"/>
        <v>#DIV/0!</v>
      </c>
      <c r="AP204" s="1069">
        <f t="shared" si="169"/>
        <v>0</v>
      </c>
      <c r="AQ204" s="1069" t="e">
        <f t="shared" si="170"/>
        <v>#DIV/0!</v>
      </c>
      <c r="AR204" s="845"/>
      <c r="AS204" s="1090">
        <v>1</v>
      </c>
      <c r="AT204" s="1072" t="str">
        <f t="shared" si="161"/>
        <v>Monitorear y revisar periódicamente los riesgos de corrupción del proceso a cargo, verificando el cumplimiento del Plan de Acción para mitigarlos o la identificación de nuevos riesgos de corrupción, a través de reuniones de Autocontrol.</v>
      </c>
      <c r="AU204" s="529">
        <v>0</v>
      </c>
      <c r="AV204" s="825">
        <v>1</v>
      </c>
      <c r="AW204" s="739">
        <v>0</v>
      </c>
      <c r="AX204" s="1069">
        <f t="shared" si="171"/>
        <v>1</v>
      </c>
      <c r="AY204" s="1069" t="e">
        <f t="shared" si="172"/>
        <v>#DIV/0!</v>
      </c>
      <c r="AZ204" s="1069">
        <f t="shared" si="173"/>
        <v>0.5</v>
      </c>
      <c r="BA204" s="1069" t="e">
        <f t="shared" si="174"/>
        <v>#DIV/0!</v>
      </c>
      <c r="BB204" s="1068" t="s">
        <v>1912</v>
      </c>
      <c r="BC204" s="1090">
        <v>1</v>
      </c>
      <c r="BD204" s="1072" t="str">
        <f t="shared" si="162"/>
        <v>Monitorear y revisar periódicamente los riesgos de corrupción del proceso a cargo, verificando el cumplimiento del Plan de Acción para mitigarlos o la identificación de nuevos riesgos de corrupción, a través de reuniones de Autocontrol.</v>
      </c>
      <c r="BE204" s="529">
        <v>0</v>
      </c>
      <c r="BF204" s="1067">
        <v>1</v>
      </c>
      <c r="BG204" s="744">
        <v>0</v>
      </c>
      <c r="BH204" s="1075">
        <f t="shared" si="175"/>
        <v>1</v>
      </c>
      <c r="BI204" s="1075" t="e">
        <f t="shared" si="176"/>
        <v>#DIV/0!</v>
      </c>
      <c r="BJ204" s="1075">
        <f t="shared" si="177"/>
        <v>1</v>
      </c>
      <c r="BK204" s="1075" t="e">
        <f t="shared" si="178"/>
        <v>#DIV/0!</v>
      </c>
      <c r="BL204" s="1068" t="s">
        <v>2059</v>
      </c>
      <c r="BM204" s="708" t="str">
        <f t="shared" si="179"/>
        <v>No Prog ni Ejec</v>
      </c>
      <c r="BN204" s="708" t="str">
        <f t="shared" si="180"/>
        <v>No Prog ni Ejec</v>
      </c>
      <c r="BO204" s="708" t="str">
        <f t="shared" si="181"/>
        <v>No Prog ni Ejec</v>
      </c>
      <c r="BP204" s="708" t="str">
        <f t="shared" si="182"/>
        <v>No Prog ni Ejec</v>
      </c>
      <c r="BQ204" s="708">
        <f t="shared" si="183"/>
        <v>1</v>
      </c>
      <c r="BR204" s="708" t="str">
        <f t="shared" si="184"/>
        <v>No Prog ni Ejec</v>
      </c>
      <c r="BS204" s="708">
        <f t="shared" si="185"/>
        <v>1</v>
      </c>
      <c r="BT204" s="829" t="str">
        <f t="shared" si="186"/>
        <v>No Prog ni Ejec</v>
      </c>
    </row>
    <row r="205" spans="1:72" s="958" customFormat="1" ht="89.25" x14ac:dyDescent="0.2">
      <c r="A205" s="1091">
        <v>12000</v>
      </c>
      <c r="B205" s="1068" t="s">
        <v>831</v>
      </c>
      <c r="C205" s="1068" t="s">
        <v>1340</v>
      </c>
      <c r="D205" s="1085" t="s">
        <v>355</v>
      </c>
      <c r="E205" s="1068" t="s">
        <v>256</v>
      </c>
      <c r="F205" s="1085" t="s">
        <v>1416</v>
      </c>
      <c r="G205" s="1068" t="s">
        <v>1417</v>
      </c>
      <c r="H205" s="1089" t="s">
        <v>124</v>
      </c>
      <c r="I205" s="1085">
        <v>2</v>
      </c>
      <c r="J205" s="1085" t="s">
        <v>1418</v>
      </c>
      <c r="K205" s="1068" t="s">
        <v>1419</v>
      </c>
      <c r="L205" s="529">
        <v>0</v>
      </c>
      <c r="M205" s="1078">
        <v>1</v>
      </c>
      <c r="N205" s="1068" t="s">
        <v>51</v>
      </c>
      <c r="O205" s="1068" t="s">
        <v>56</v>
      </c>
      <c r="P205" s="1068" t="s">
        <v>37</v>
      </c>
      <c r="Q205" s="1068" t="s">
        <v>39</v>
      </c>
      <c r="R205" s="1068" t="s">
        <v>210</v>
      </c>
      <c r="S205" s="1068" t="s">
        <v>1420</v>
      </c>
      <c r="T205" s="1068" t="s">
        <v>92</v>
      </c>
      <c r="U205" s="1085">
        <v>2</v>
      </c>
      <c r="V205" s="1071" t="str">
        <f t="shared" si="187"/>
        <v>Ajustar mapa de riesgos de corrupción de ser necesario y solicitar cambios (remitir a Oficina Asesora de Planeación)</v>
      </c>
      <c r="W205" s="699">
        <f t="shared" si="187"/>
        <v>0</v>
      </c>
      <c r="X205" s="1086" t="s">
        <v>117</v>
      </c>
      <c r="Y205" s="1090">
        <v>0</v>
      </c>
      <c r="Z205" s="1072" t="str">
        <f t="shared" si="157"/>
        <v>Ajustar mapa de riesgos de corrupción de ser necesario y solicitar cambios (remitir a Oficina Asesora de Planeación)</v>
      </c>
      <c r="AA205" s="529">
        <v>0</v>
      </c>
      <c r="AB205" s="776"/>
      <c r="AC205" s="529"/>
      <c r="AD205" s="1069" t="e">
        <f t="shared" si="188"/>
        <v>#DIV/0!</v>
      </c>
      <c r="AE205" s="1069" t="e">
        <f t="shared" si="164"/>
        <v>#DIV/0!</v>
      </c>
      <c r="AF205" s="1069">
        <f t="shared" si="165"/>
        <v>0</v>
      </c>
      <c r="AG205" s="1069" t="e">
        <f t="shared" si="166"/>
        <v>#DIV/0!</v>
      </c>
      <c r="AH205" s="1068"/>
      <c r="AI205" s="1090">
        <v>0</v>
      </c>
      <c r="AJ205" s="1072" t="str">
        <f t="shared" si="158"/>
        <v>Ajustar mapa de riesgos de corrupción de ser necesario y solicitar cambios (remitir a Oficina Asesora de Planeación)</v>
      </c>
      <c r="AK205" s="529">
        <v>0</v>
      </c>
      <c r="AL205" s="700"/>
      <c r="AM205" s="700"/>
      <c r="AN205" s="1069" t="e">
        <f t="shared" si="167"/>
        <v>#DIV/0!</v>
      </c>
      <c r="AO205" s="1069" t="e">
        <f t="shared" si="168"/>
        <v>#DIV/0!</v>
      </c>
      <c r="AP205" s="1069">
        <f t="shared" si="169"/>
        <v>0</v>
      </c>
      <c r="AQ205" s="1069" t="e">
        <f t="shared" si="170"/>
        <v>#DIV/0!</v>
      </c>
      <c r="AR205" s="845"/>
      <c r="AS205" s="1090">
        <v>1</v>
      </c>
      <c r="AT205" s="1072" t="str">
        <f t="shared" si="161"/>
        <v>Ajustar mapa de riesgos de corrupción de ser necesario y solicitar cambios (remitir a Oficina Asesora de Planeación)</v>
      </c>
      <c r="AU205" s="529">
        <v>0</v>
      </c>
      <c r="AV205" s="825">
        <v>0</v>
      </c>
      <c r="AW205" s="739">
        <v>0</v>
      </c>
      <c r="AX205" s="1069">
        <f t="shared" si="171"/>
        <v>0</v>
      </c>
      <c r="AY205" s="1069" t="e">
        <f t="shared" si="172"/>
        <v>#DIV/0!</v>
      </c>
      <c r="AZ205" s="1069">
        <f t="shared" si="173"/>
        <v>0</v>
      </c>
      <c r="BA205" s="1069" t="e">
        <f t="shared" si="174"/>
        <v>#DIV/0!</v>
      </c>
      <c r="BB205" s="1068" t="s">
        <v>1948</v>
      </c>
      <c r="BC205" s="1090">
        <v>1</v>
      </c>
      <c r="BD205" s="1072" t="str">
        <f t="shared" si="162"/>
        <v>Ajustar mapa de riesgos de corrupción de ser necesario y solicitar cambios (remitir a Oficina Asesora de Planeación)</v>
      </c>
      <c r="BE205" s="529">
        <v>0</v>
      </c>
      <c r="BF205" s="1067">
        <v>0</v>
      </c>
      <c r="BG205" s="744">
        <v>0</v>
      </c>
      <c r="BH205" s="1075">
        <f t="shared" si="175"/>
        <v>0</v>
      </c>
      <c r="BI205" s="1075" t="e">
        <f t="shared" si="176"/>
        <v>#DIV/0!</v>
      </c>
      <c r="BJ205" s="1075">
        <f t="shared" si="177"/>
        <v>0</v>
      </c>
      <c r="BK205" s="1075" t="e">
        <f t="shared" si="178"/>
        <v>#DIV/0!</v>
      </c>
      <c r="BL205" s="1068" t="s">
        <v>2060</v>
      </c>
      <c r="BM205" s="708" t="str">
        <f t="shared" si="179"/>
        <v>No Prog ni Ejec</v>
      </c>
      <c r="BN205" s="708" t="str">
        <f t="shared" si="180"/>
        <v>No Prog ni Ejec</v>
      </c>
      <c r="BO205" s="708" t="str">
        <f t="shared" si="181"/>
        <v>No Prog ni Ejec</v>
      </c>
      <c r="BP205" s="708" t="str">
        <f t="shared" si="182"/>
        <v>No Prog ni Ejec</v>
      </c>
      <c r="BQ205" s="708">
        <f t="shared" si="183"/>
        <v>0</v>
      </c>
      <c r="BR205" s="708" t="str">
        <f t="shared" si="184"/>
        <v>No Prog ni Ejec</v>
      </c>
      <c r="BS205" s="708">
        <f t="shared" si="185"/>
        <v>0</v>
      </c>
      <c r="BT205" s="829" t="str">
        <f t="shared" si="186"/>
        <v>No Prog ni Ejec</v>
      </c>
    </row>
    <row r="206" spans="1:72" s="958" customFormat="1" ht="127.5" x14ac:dyDescent="0.2">
      <c r="A206" s="1091">
        <v>12000</v>
      </c>
      <c r="B206" s="1068" t="s">
        <v>1421</v>
      </c>
      <c r="C206" s="1068" t="s">
        <v>1340</v>
      </c>
      <c r="D206" s="1085" t="s">
        <v>355</v>
      </c>
      <c r="E206" s="1068" t="s">
        <v>256</v>
      </c>
      <c r="F206" s="1085" t="s">
        <v>1422</v>
      </c>
      <c r="G206" s="1068" t="s">
        <v>1423</v>
      </c>
      <c r="H206" s="1089" t="s">
        <v>123</v>
      </c>
      <c r="I206" s="1075">
        <v>1</v>
      </c>
      <c r="J206" s="1085" t="s">
        <v>1424</v>
      </c>
      <c r="K206" s="1068" t="s">
        <v>1425</v>
      </c>
      <c r="L206" s="529">
        <v>0</v>
      </c>
      <c r="M206" s="1078">
        <v>1</v>
      </c>
      <c r="N206" s="1068" t="s">
        <v>51</v>
      </c>
      <c r="O206" s="1068" t="s">
        <v>56</v>
      </c>
      <c r="P206" s="1068" t="s">
        <v>37</v>
      </c>
      <c r="Q206" s="1068" t="s">
        <v>39</v>
      </c>
      <c r="R206" s="1068" t="s">
        <v>210</v>
      </c>
      <c r="S206" s="1068" t="s">
        <v>1426</v>
      </c>
      <c r="T206" s="1068" t="s">
        <v>92</v>
      </c>
      <c r="U206" s="1078">
        <v>1</v>
      </c>
      <c r="V206" s="1071" t="str">
        <f t="shared" ref="V206:W221" si="189">+K206</f>
        <v>Adelantar acciones que permitan prevenir apariencia de legalidad a activos provenientes de actividades delictivas o para la canalización de recursos hacia la realización de actividades terroristas en ADRES</v>
      </c>
      <c r="W206" s="699">
        <f t="shared" si="189"/>
        <v>0</v>
      </c>
      <c r="X206" s="1086" t="s">
        <v>117</v>
      </c>
      <c r="Y206" s="1078">
        <v>0</v>
      </c>
      <c r="Z206" s="1072" t="str">
        <f t="shared" si="157"/>
        <v>Adelantar acciones que permitan prevenir apariencia de legalidad a activos provenientes de actividades delictivas o para la canalización de recursos hacia la realización de actividades terroristas en ADRES</v>
      </c>
      <c r="AA206" s="529">
        <v>0</v>
      </c>
      <c r="AB206" s="776"/>
      <c r="AC206" s="529"/>
      <c r="AD206" s="1069" t="e">
        <f t="shared" si="188"/>
        <v>#DIV/0!</v>
      </c>
      <c r="AE206" s="1069" t="e">
        <f t="shared" si="164"/>
        <v>#DIV/0!</v>
      </c>
      <c r="AF206" s="1069">
        <f t="shared" si="165"/>
        <v>0</v>
      </c>
      <c r="AG206" s="1069" t="e">
        <f t="shared" si="166"/>
        <v>#DIV/0!</v>
      </c>
      <c r="AH206" s="1068"/>
      <c r="AI206" s="1078">
        <v>0</v>
      </c>
      <c r="AJ206" s="1072" t="str">
        <f t="shared" si="158"/>
        <v>Adelantar acciones que permitan prevenir apariencia de legalidad a activos provenientes de actividades delictivas o para la canalización de recursos hacia la realización de actividades terroristas en ADRES</v>
      </c>
      <c r="AK206" s="529">
        <v>0</v>
      </c>
      <c r="AL206" s="700"/>
      <c r="AM206" s="700"/>
      <c r="AN206" s="1069" t="e">
        <f t="shared" si="167"/>
        <v>#DIV/0!</v>
      </c>
      <c r="AO206" s="1069" t="e">
        <f t="shared" si="168"/>
        <v>#DIV/0!</v>
      </c>
      <c r="AP206" s="1069">
        <f t="shared" si="169"/>
        <v>0</v>
      </c>
      <c r="AQ206" s="1069" t="e">
        <f t="shared" si="170"/>
        <v>#DIV/0!</v>
      </c>
      <c r="AR206" s="845"/>
      <c r="AS206" s="1078">
        <v>0.4</v>
      </c>
      <c r="AT206" s="1072" t="str">
        <f t="shared" si="161"/>
        <v>Adelantar acciones que permitan prevenir apariencia de legalidad a activos provenientes de actividades delictivas o para la canalización de recursos hacia la realización de actividades terroristas en ADRES</v>
      </c>
      <c r="AU206" s="529">
        <v>0</v>
      </c>
      <c r="AV206" s="1634">
        <f>(2/2)*AS206</f>
        <v>0.4</v>
      </c>
      <c r="AW206" s="739">
        <v>0</v>
      </c>
      <c r="AX206" s="1069">
        <f t="shared" si="171"/>
        <v>1</v>
      </c>
      <c r="AY206" s="1069" t="e">
        <f t="shared" si="172"/>
        <v>#DIV/0!</v>
      </c>
      <c r="AZ206" s="1069">
        <f t="shared" si="173"/>
        <v>0.4</v>
      </c>
      <c r="BA206" s="1069" t="e">
        <f t="shared" si="174"/>
        <v>#DIV/0!</v>
      </c>
      <c r="BB206" s="1068" t="s">
        <v>1947</v>
      </c>
      <c r="BC206" s="1078">
        <v>0.6</v>
      </c>
      <c r="BD206" s="1072" t="str">
        <f t="shared" si="162"/>
        <v>Adelantar acciones que permitan prevenir apariencia de legalidad a activos provenientes de actividades delictivas o para la canalización de recursos hacia la realización de actividades terroristas en ADRES</v>
      </c>
      <c r="BE206" s="529">
        <v>0</v>
      </c>
      <c r="BF206" s="1669">
        <f>(1/1)*BC206</f>
        <v>0.6</v>
      </c>
      <c r="BG206" s="744">
        <v>0</v>
      </c>
      <c r="BH206" s="1075">
        <f t="shared" si="175"/>
        <v>1</v>
      </c>
      <c r="BI206" s="1075" t="e">
        <f t="shared" si="176"/>
        <v>#DIV/0!</v>
      </c>
      <c r="BJ206" s="1075">
        <f t="shared" si="177"/>
        <v>1</v>
      </c>
      <c r="BK206" s="1075" t="e">
        <f t="shared" si="178"/>
        <v>#DIV/0!</v>
      </c>
      <c r="BL206" s="1068" t="s">
        <v>2061</v>
      </c>
      <c r="BM206" s="708" t="str">
        <f t="shared" si="179"/>
        <v>No Prog ni Ejec</v>
      </c>
      <c r="BN206" s="708" t="str">
        <f t="shared" si="180"/>
        <v>No Prog ni Ejec</v>
      </c>
      <c r="BO206" s="708" t="str">
        <f t="shared" si="181"/>
        <v>No Prog ni Ejec</v>
      </c>
      <c r="BP206" s="708" t="str">
        <f t="shared" si="182"/>
        <v>No Prog ni Ejec</v>
      </c>
      <c r="BQ206" s="708">
        <f t="shared" si="183"/>
        <v>1</v>
      </c>
      <c r="BR206" s="708" t="str">
        <f t="shared" si="184"/>
        <v>No Prog ni Ejec</v>
      </c>
      <c r="BS206" s="708">
        <f t="shared" si="185"/>
        <v>1</v>
      </c>
      <c r="BT206" s="829" t="str">
        <f t="shared" si="186"/>
        <v>No Prog ni Ejec</v>
      </c>
    </row>
    <row r="207" spans="1:72" s="958" customFormat="1" ht="89.25" customHeight="1" x14ac:dyDescent="0.2">
      <c r="A207" s="1092">
        <v>11700</v>
      </c>
      <c r="B207" s="1060" t="s">
        <v>29</v>
      </c>
      <c r="C207" s="1068" t="s">
        <v>1340</v>
      </c>
      <c r="D207" s="1059" t="s">
        <v>328</v>
      </c>
      <c r="E207" s="1060" t="s">
        <v>256</v>
      </c>
      <c r="F207" s="1059" t="s">
        <v>1427</v>
      </c>
      <c r="G207" s="1068" t="s">
        <v>1412</v>
      </c>
      <c r="H207" s="1089" t="s">
        <v>124</v>
      </c>
      <c r="I207" s="1085">
        <v>2</v>
      </c>
      <c r="J207" s="1085" t="s">
        <v>1428</v>
      </c>
      <c r="K207" s="1068" t="s">
        <v>1414</v>
      </c>
      <c r="L207" s="529">
        <v>0</v>
      </c>
      <c r="M207" s="1078">
        <v>1</v>
      </c>
      <c r="N207" s="1068" t="s">
        <v>51</v>
      </c>
      <c r="O207" s="1068" t="s">
        <v>56</v>
      </c>
      <c r="P207" s="1068" t="s">
        <v>37</v>
      </c>
      <c r="Q207" s="1068" t="s">
        <v>39</v>
      </c>
      <c r="R207" s="1068" t="s">
        <v>210</v>
      </c>
      <c r="S207" s="1060" t="s">
        <v>1415</v>
      </c>
      <c r="T207" s="1068" t="s">
        <v>92</v>
      </c>
      <c r="U207" s="737">
        <v>2</v>
      </c>
      <c r="V207" s="1071" t="str">
        <f t="shared" si="189"/>
        <v>Monitorear y revisar periódicamente los riesgos de corrupción del proceso a cargo, verificando el cumplimiento del Plan de Acción para mitigarlos o la identificación de nuevos riesgos de corrupción, a través de reuniones de Autocontrol.</v>
      </c>
      <c r="W207" s="699">
        <f t="shared" si="189"/>
        <v>0</v>
      </c>
      <c r="X207" s="1086" t="s">
        <v>117</v>
      </c>
      <c r="Y207" s="1090">
        <v>0</v>
      </c>
      <c r="Z207" s="1072" t="str">
        <f t="shared" si="157"/>
        <v>Monitorear y revisar periódicamente los riesgos de corrupción del proceso a cargo, verificando el cumplimiento del Plan de Acción para mitigarlos o la identificación de nuevos riesgos de corrupción, a través de reuniones de Autocontrol.</v>
      </c>
      <c r="AA207" s="529">
        <v>0</v>
      </c>
      <c r="AB207" s="776"/>
      <c r="AC207" s="529"/>
      <c r="AD207" s="1069" t="e">
        <f t="shared" si="188"/>
        <v>#DIV/0!</v>
      </c>
      <c r="AE207" s="1069" t="e">
        <f t="shared" si="164"/>
        <v>#DIV/0!</v>
      </c>
      <c r="AF207" s="1069">
        <f t="shared" si="165"/>
        <v>0</v>
      </c>
      <c r="AG207" s="1069" t="e">
        <f t="shared" si="166"/>
        <v>#DIV/0!</v>
      </c>
      <c r="AH207" s="1068"/>
      <c r="AI207" s="1090">
        <v>0</v>
      </c>
      <c r="AJ207" s="1072" t="str">
        <f t="shared" si="158"/>
        <v>Monitorear y revisar periódicamente los riesgos de corrupción del proceso a cargo, verificando el cumplimiento del Plan de Acción para mitigarlos o la identificación de nuevos riesgos de corrupción, a través de reuniones de Autocontrol.</v>
      </c>
      <c r="AK207" s="529">
        <v>0</v>
      </c>
      <c r="AL207" s="700"/>
      <c r="AM207" s="700"/>
      <c r="AN207" s="1069" t="e">
        <f t="shared" si="167"/>
        <v>#DIV/0!</v>
      </c>
      <c r="AO207" s="1069" t="e">
        <f t="shared" si="168"/>
        <v>#DIV/0!</v>
      </c>
      <c r="AP207" s="1069">
        <f t="shared" si="169"/>
        <v>0</v>
      </c>
      <c r="AQ207" s="1069" t="e">
        <f t="shared" si="170"/>
        <v>#DIV/0!</v>
      </c>
      <c r="AR207" s="845"/>
      <c r="AS207" s="1090">
        <v>1</v>
      </c>
      <c r="AT207" s="1072" t="str">
        <f t="shared" si="161"/>
        <v>Monitorear y revisar periódicamente los riesgos de corrupción del proceso a cargo, verificando el cumplimiento del Plan de Acción para mitigarlos o la identificación de nuevos riesgos de corrupción, a través de reuniones de Autocontrol.</v>
      </c>
      <c r="AU207" s="529">
        <v>0</v>
      </c>
      <c r="AV207" s="700">
        <v>0</v>
      </c>
      <c r="AW207" s="739">
        <v>0</v>
      </c>
      <c r="AX207" s="1069">
        <f t="shared" si="171"/>
        <v>0</v>
      </c>
      <c r="AY207" s="1069" t="e">
        <f t="shared" si="172"/>
        <v>#DIV/0!</v>
      </c>
      <c r="AZ207" s="1069">
        <f t="shared" si="173"/>
        <v>0</v>
      </c>
      <c r="BA207" s="1069" t="e">
        <f t="shared" si="174"/>
        <v>#DIV/0!</v>
      </c>
      <c r="BB207" s="845"/>
      <c r="BC207" s="1090">
        <v>1</v>
      </c>
      <c r="BD207" s="1072" t="str">
        <f t="shared" si="162"/>
        <v>Monitorear y revisar periódicamente los riesgos de corrupción del proceso a cargo, verificando el cumplimiento del Plan de Acción para mitigarlos o la identificación de nuevos riesgos de corrupción, a través de reuniones de Autocontrol.</v>
      </c>
      <c r="BE207" s="529">
        <v>0</v>
      </c>
      <c r="BF207" s="1067">
        <v>1</v>
      </c>
      <c r="BG207" s="744">
        <v>0</v>
      </c>
      <c r="BH207" s="1075">
        <f t="shared" si="175"/>
        <v>1</v>
      </c>
      <c r="BI207" s="1075" t="e">
        <f t="shared" si="176"/>
        <v>#DIV/0!</v>
      </c>
      <c r="BJ207" s="1075">
        <f t="shared" si="177"/>
        <v>0.5</v>
      </c>
      <c r="BK207" s="1075" t="e">
        <f t="shared" si="178"/>
        <v>#DIV/0!</v>
      </c>
      <c r="BL207" s="1053" t="s">
        <v>2082</v>
      </c>
      <c r="BM207" s="708" t="str">
        <f t="shared" si="179"/>
        <v>No Prog ni Ejec</v>
      </c>
      <c r="BN207" s="708" t="str">
        <f t="shared" si="180"/>
        <v>No Prog ni Ejec</v>
      </c>
      <c r="BO207" s="708" t="str">
        <f t="shared" si="181"/>
        <v>No Prog ni Ejec</v>
      </c>
      <c r="BP207" s="708" t="str">
        <f t="shared" si="182"/>
        <v>No Prog ni Ejec</v>
      </c>
      <c r="BQ207" s="708">
        <f t="shared" si="183"/>
        <v>0</v>
      </c>
      <c r="BR207" s="708" t="str">
        <f t="shared" si="184"/>
        <v>No Prog ni Ejec</v>
      </c>
      <c r="BS207" s="708">
        <f t="shared" si="185"/>
        <v>1</v>
      </c>
      <c r="BT207" s="829" t="str">
        <f t="shared" si="186"/>
        <v>No Prog ni Ejec</v>
      </c>
    </row>
    <row r="208" spans="1:72" s="958" customFormat="1" ht="89.25" x14ac:dyDescent="0.2">
      <c r="A208" s="1092">
        <v>11700</v>
      </c>
      <c r="B208" s="1060" t="s">
        <v>29</v>
      </c>
      <c r="C208" s="1068" t="s">
        <v>1340</v>
      </c>
      <c r="D208" s="1059" t="s">
        <v>328</v>
      </c>
      <c r="E208" s="1060" t="s">
        <v>256</v>
      </c>
      <c r="F208" s="1059" t="s">
        <v>1429</v>
      </c>
      <c r="G208" s="1068" t="s">
        <v>1417</v>
      </c>
      <c r="H208" s="1089" t="s">
        <v>124</v>
      </c>
      <c r="I208" s="1085">
        <v>2</v>
      </c>
      <c r="J208" s="1085" t="s">
        <v>1430</v>
      </c>
      <c r="K208" s="1068" t="s">
        <v>1419</v>
      </c>
      <c r="L208" s="529">
        <v>0</v>
      </c>
      <c r="M208" s="1078">
        <v>1</v>
      </c>
      <c r="N208" s="1068" t="s">
        <v>51</v>
      </c>
      <c r="O208" s="1068" t="s">
        <v>56</v>
      </c>
      <c r="P208" s="1068" t="s">
        <v>37</v>
      </c>
      <c r="Q208" s="1068" t="s">
        <v>39</v>
      </c>
      <c r="R208" s="1068" t="s">
        <v>210</v>
      </c>
      <c r="S208" s="1060" t="s">
        <v>1420</v>
      </c>
      <c r="T208" s="1068" t="s">
        <v>92</v>
      </c>
      <c r="U208" s="737">
        <v>2</v>
      </c>
      <c r="V208" s="1071" t="str">
        <f t="shared" si="189"/>
        <v>Ajustar mapa de riesgos de corrupción de ser necesario y solicitar cambios (remitir a Oficina Asesora de Planeación)</v>
      </c>
      <c r="W208" s="699">
        <f t="shared" si="189"/>
        <v>0</v>
      </c>
      <c r="X208" s="1086" t="s">
        <v>117</v>
      </c>
      <c r="Y208" s="1090">
        <v>0</v>
      </c>
      <c r="Z208" s="1072" t="str">
        <f t="shared" si="157"/>
        <v>Ajustar mapa de riesgos de corrupción de ser necesario y solicitar cambios (remitir a Oficina Asesora de Planeación)</v>
      </c>
      <c r="AA208" s="529">
        <v>0</v>
      </c>
      <c r="AB208" s="776"/>
      <c r="AC208" s="529"/>
      <c r="AD208" s="1069" t="e">
        <f t="shared" si="188"/>
        <v>#DIV/0!</v>
      </c>
      <c r="AE208" s="1069" t="e">
        <f t="shared" si="164"/>
        <v>#DIV/0!</v>
      </c>
      <c r="AF208" s="1069">
        <f t="shared" si="165"/>
        <v>0</v>
      </c>
      <c r="AG208" s="1069" t="e">
        <f t="shared" si="166"/>
        <v>#DIV/0!</v>
      </c>
      <c r="AH208" s="1068"/>
      <c r="AI208" s="1090">
        <v>0</v>
      </c>
      <c r="AJ208" s="1072" t="str">
        <f t="shared" si="158"/>
        <v>Ajustar mapa de riesgos de corrupción de ser necesario y solicitar cambios (remitir a Oficina Asesora de Planeación)</v>
      </c>
      <c r="AK208" s="529">
        <v>0</v>
      </c>
      <c r="AL208" s="700"/>
      <c r="AM208" s="700"/>
      <c r="AN208" s="1069" t="e">
        <f t="shared" si="167"/>
        <v>#DIV/0!</v>
      </c>
      <c r="AO208" s="1069" t="e">
        <f t="shared" si="168"/>
        <v>#DIV/0!</v>
      </c>
      <c r="AP208" s="1069">
        <f t="shared" si="169"/>
        <v>0</v>
      </c>
      <c r="AQ208" s="1069" t="e">
        <f t="shared" si="170"/>
        <v>#DIV/0!</v>
      </c>
      <c r="AR208" s="845"/>
      <c r="AS208" s="1090">
        <v>1</v>
      </c>
      <c r="AT208" s="1072" t="str">
        <f t="shared" si="161"/>
        <v>Ajustar mapa de riesgos de corrupción de ser necesario y solicitar cambios (remitir a Oficina Asesora de Planeación)</v>
      </c>
      <c r="AU208" s="529">
        <v>0</v>
      </c>
      <c r="AV208" s="700">
        <v>0</v>
      </c>
      <c r="AW208" s="739">
        <v>0</v>
      </c>
      <c r="AX208" s="1069">
        <f t="shared" si="171"/>
        <v>0</v>
      </c>
      <c r="AY208" s="1069" t="e">
        <f t="shared" si="172"/>
        <v>#DIV/0!</v>
      </c>
      <c r="AZ208" s="1069">
        <f t="shared" si="173"/>
        <v>0</v>
      </c>
      <c r="BA208" s="1069" t="e">
        <f t="shared" si="174"/>
        <v>#DIV/0!</v>
      </c>
      <c r="BB208" s="845"/>
      <c r="BC208" s="1090">
        <v>1</v>
      </c>
      <c r="BD208" s="1072" t="str">
        <f t="shared" si="162"/>
        <v>Ajustar mapa de riesgos de corrupción de ser necesario y solicitar cambios (remitir a Oficina Asesora de Planeación)</v>
      </c>
      <c r="BE208" s="529">
        <v>0</v>
      </c>
      <c r="BF208" s="1067">
        <v>0</v>
      </c>
      <c r="BG208" s="744">
        <v>0</v>
      </c>
      <c r="BH208" s="1075">
        <f t="shared" si="175"/>
        <v>0</v>
      </c>
      <c r="BI208" s="1075" t="e">
        <f t="shared" si="176"/>
        <v>#DIV/0!</v>
      </c>
      <c r="BJ208" s="1075">
        <f t="shared" si="177"/>
        <v>0</v>
      </c>
      <c r="BK208" s="1075" t="e">
        <f t="shared" si="178"/>
        <v>#DIV/0!</v>
      </c>
      <c r="BL208" s="1072" t="s">
        <v>2083</v>
      </c>
      <c r="BM208" s="708" t="str">
        <f t="shared" si="179"/>
        <v>No Prog ni Ejec</v>
      </c>
      <c r="BN208" s="708" t="str">
        <f t="shared" si="180"/>
        <v>No Prog ni Ejec</v>
      </c>
      <c r="BO208" s="708" t="str">
        <f t="shared" si="181"/>
        <v>No Prog ni Ejec</v>
      </c>
      <c r="BP208" s="708" t="str">
        <f t="shared" si="182"/>
        <v>No Prog ni Ejec</v>
      </c>
      <c r="BQ208" s="708">
        <f t="shared" si="183"/>
        <v>0</v>
      </c>
      <c r="BR208" s="708" t="str">
        <f t="shared" si="184"/>
        <v>No Prog ni Ejec</v>
      </c>
      <c r="BS208" s="708">
        <f t="shared" si="185"/>
        <v>0</v>
      </c>
      <c r="BT208" s="829" t="str">
        <f t="shared" si="186"/>
        <v>No Prog ni Ejec</v>
      </c>
    </row>
    <row r="209" spans="1:72" s="958" customFormat="1" ht="89.25" customHeight="1" x14ac:dyDescent="0.2">
      <c r="A209" s="1092">
        <v>11300</v>
      </c>
      <c r="B209" s="1060" t="s">
        <v>4</v>
      </c>
      <c r="C209" s="1068" t="s">
        <v>1340</v>
      </c>
      <c r="D209" s="1059" t="s">
        <v>157</v>
      </c>
      <c r="E209" s="1060" t="s">
        <v>256</v>
      </c>
      <c r="F209" s="1059" t="s">
        <v>1431</v>
      </c>
      <c r="G209" s="1068" t="s">
        <v>1412</v>
      </c>
      <c r="H209" s="1089" t="s">
        <v>124</v>
      </c>
      <c r="I209" s="1085">
        <v>2</v>
      </c>
      <c r="J209" s="1059" t="s">
        <v>1432</v>
      </c>
      <c r="K209" s="1068" t="s">
        <v>1414</v>
      </c>
      <c r="L209" s="529">
        <v>0</v>
      </c>
      <c r="M209" s="1078">
        <v>1</v>
      </c>
      <c r="N209" s="1068" t="s">
        <v>51</v>
      </c>
      <c r="O209" s="1068" t="s">
        <v>56</v>
      </c>
      <c r="P209" s="1068" t="s">
        <v>37</v>
      </c>
      <c r="Q209" s="1068" t="s">
        <v>39</v>
      </c>
      <c r="R209" s="1068" t="s">
        <v>210</v>
      </c>
      <c r="S209" s="1068" t="s">
        <v>1415</v>
      </c>
      <c r="T209" s="1068" t="s">
        <v>92</v>
      </c>
      <c r="U209" s="737">
        <v>2</v>
      </c>
      <c r="V209" s="1071" t="str">
        <f t="shared" si="189"/>
        <v>Monitorear y revisar periódicamente los riesgos de corrupción del proceso a cargo, verificando el cumplimiento del Plan de Acción para mitigarlos o la identificación de nuevos riesgos de corrupción, a través de reuniones de Autocontrol.</v>
      </c>
      <c r="W209" s="699">
        <f t="shared" si="189"/>
        <v>0</v>
      </c>
      <c r="X209" s="1086" t="s">
        <v>117</v>
      </c>
      <c r="Y209" s="1090">
        <v>0</v>
      </c>
      <c r="Z209" s="1072" t="str">
        <f t="shared" si="157"/>
        <v>Monitorear y revisar periódicamente los riesgos de corrupción del proceso a cargo, verificando el cumplimiento del Plan de Acción para mitigarlos o la identificación de nuevos riesgos de corrupción, a través de reuniones de Autocontrol.</v>
      </c>
      <c r="AA209" s="529">
        <v>0</v>
      </c>
      <c r="AB209" s="776"/>
      <c r="AC209" s="529"/>
      <c r="AD209" s="1069" t="e">
        <f t="shared" si="188"/>
        <v>#DIV/0!</v>
      </c>
      <c r="AE209" s="1069" t="e">
        <f t="shared" si="164"/>
        <v>#DIV/0!</v>
      </c>
      <c r="AF209" s="1069">
        <f t="shared" si="165"/>
        <v>0</v>
      </c>
      <c r="AG209" s="1069" t="e">
        <f t="shared" si="166"/>
        <v>#DIV/0!</v>
      </c>
      <c r="AH209" s="1068"/>
      <c r="AI209" s="1090">
        <v>0</v>
      </c>
      <c r="AJ209" s="1072" t="str">
        <f t="shared" si="158"/>
        <v>Monitorear y revisar periódicamente los riesgos de corrupción del proceso a cargo, verificando el cumplimiento del Plan de Acción para mitigarlos o la identificación de nuevos riesgos de corrupción, a través de reuniones de Autocontrol.</v>
      </c>
      <c r="AK209" s="529">
        <v>0</v>
      </c>
      <c r="AL209" s="700"/>
      <c r="AM209" s="700"/>
      <c r="AN209" s="1069" t="e">
        <f t="shared" si="167"/>
        <v>#DIV/0!</v>
      </c>
      <c r="AO209" s="1069" t="e">
        <f t="shared" si="168"/>
        <v>#DIV/0!</v>
      </c>
      <c r="AP209" s="1069">
        <f t="shared" si="169"/>
        <v>0</v>
      </c>
      <c r="AQ209" s="1069" t="e">
        <f t="shared" si="170"/>
        <v>#DIV/0!</v>
      </c>
      <c r="AR209" s="845"/>
      <c r="AS209" s="1090">
        <v>1</v>
      </c>
      <c r="AT209" s="1072" t="str">
        <f t="shared" si="161"/>
        <v>Monitorear y revisar periódicamente los riesgos de corrupción del proceso a cargo, verificando el cumplimiento del Plan de Acción para mitigarlos o la identificación de nuevos riesgos de corrupción, a través de reuniones de Autocontrol.</v>
      </c>
      <c r="AU209" s="529">
        <v>0</v>
      </c>
      <c r="AV209" s="700">
        <v>1</v>
      </c>
      <c r="AW209" s="739">
        <v>0</v>
      </c>
      <c r="AX209" s="1069">
        <f t="shared" si="171"/>
        <v>1</v>
      </c>
      <c r="AY209" s="1069" t="e">
        <f t="shared" si="172"/>
        <v>#DIV/0!</v>
      </c>
      <c r="AZ209" s="1069">
        <f t="shared" si="173"/>
        <v>0.5</v>
      </c>
      <c r="BA209" s="1069" t="e">
        <f t="shared" si="174"/>
        <v>#DIV/0!</v>
      </c>
      <c r="BB209" s="1068" t="s">
        <v>2325</v>
      </c>
      <c r="BC209" s="1090">
        <v>1</v>
      </c>
      <c r="BD209" s="1072" t="str">
        <f t="shared" si="162"/>
        <v>Monitorear y revisar periódicamente los riesgos de corrupción del proceso a cargo, verificando el cumplimiento del Plan de Acción para mitigarlos o la identificación de nuevos riesgos de corrupción, a través de reuniones de Autocontrol.</v>
      </c>
      <c r="BE209" s="529">
        <v>0</v>
      </c>
      <c r="BF209" s="1067">
        <v>1</v>
      </c>
      <c r="BG209" s="744">
        <v>0</v>
      </c>
      <c r="BH209" s="1075">
        <f t="shared" si="175"/>
        <v>1</v>
      </c>
      <c r="BI209" s="1075" t="e">
        <f t="shared" si="176"/>
        <v>#DIV/0!</v>
      </c>
      <c r="BJ209" s="1075">
        <f t="shared" si="177"/>
        <v>1</v>
      </c>
      <c r="BK209" s="1075" t="e">
        <f t="shared" si="178"/>
        <v>#DIV/0!</v>
      </c>
      <c r="BL209" s="1068" t="s">
        <v>2084</v>
      </c>
      <c r="BM209" s="708" t="str">
        <f t="shared" si="179"/>
        <v>No Prog ni Ejec</v>
      </c>
      <c r="BN209" s="708" t="str">
        <f t="shared" si="180"/>
        <v>No Prog ni Ejec</v>
      </c>
      <c r="BO209" s="708" t="str">
        <f t="shared" si="181"/>
        <v>No Prog ni Ejec</v>
      </c>
      <c r="BP209" s="708" t="str">
        <f t="shared" si="182"/>
        <v>No Prog ni Ejec</v>
      </c>
      <c r="BQ209" s="708">
        <f t="shared" si="183"/>
        <v>1</v>
      </c>
      <c r="BR209" s="708" t="str">
        <f t="shared" si="184"/>
        <v>No Prog ni Ejec</v>
      </c>
      <c r="BS209" s="708">
        <f t="shared" si="185"/>
        <v>1</v>
      </c>
      <c r="BT209" s="829" t="str">
        <f t="shared" si="186"/>
        <v>No Prog ni Ejec</v>
      </c>
    </row>
    <row r="210" spans="1:72" s="958" customFormat="1" ht="89.25" x14ac:dyDescent="0.2">
      <c r="A210" s="1092">
        <v>11300</v>
      </c>
      <c r="B210" s="1060" t="s">
        <v>4</v>
      </c>
      <c r="C210" s="1068" t="s">
        <v>1340</v>
      </c>
      <c r="D210" s="1059" t="s">
        <v>157</v>
      </c>
      <c r="E210" s="1060" t="s">
        <v>256</v>
      </c>
      <c r="F210" s="1059" t="s">
        <v>1433</v>
      </c>
      <c r="G210" s="1068" t="s">
        <v>1417</v>
      </c>
      <c r="H210" s="1089" t="s">
        <v>124</v>
      </c>
      <c r="I210" s="1085">
        <v>2</v>
      </c>
      <c r="J210" s="1059" t="s">
        <v>1434</v>
      </c>
      <c r="K210" s="1068" t="s">
        <v>1419</v>
      </c>
      <c r="L210" s="529">
        <v>0</v>
      </c>
      <c r="M210" s="1078">
        <v>1</v>
      </c>
      <c r="N210" s="1068" t="s">
        <v>51</v>
      </c>
      <c r="O210" s="1068" t="s">
        <v>56</v>
      </c>
      <c r="P210" s="1068" t="s">
        <v>37</v>
      </c>
      <c r="Q210" s="1068" t="s">
        <v>39</v>
      </c>
      <c r="R210" s="1068" t="s">
        <v>210</v>
      </c>
      <c r="S210" s="1068" t="s">
        <v>1420</v>
      </c>
      <c r="T210" s="1068" t="s">
        <v>92</v>
      </c>
      <c r="U210" s="737">
        <v>2</v>
      </c>
      <c r="V210" s="1071" t="str">
        <f t="shared" si="189"/>
        <v>Ajustar mapa de riesgos de corrupción de ser necesario y solicitar cambios (remitir a Oficina Asesora de Planeación)</v>
      </c>
      <c r="W210" s="699">
        <f t="shared" si="189"/>
        <v>0</v>
      </c>
      <c r="X210" s="1086" t="s">
        <v>117</v>
      </c>
      <c r="Y210" s="1090">
        <v>0</v>
      </c>
      <c r="Z210" s="1072" t="str">
        <f t="shared" si="157"/>
        <v>Ajustar mapa de riesgos de corrupción de ser necesario y solicitar cambios (remitir a Oficina Asesora de Planeación)</v>
      </c>
      <c r="AA210" s="529">
        <v>0</v>
      </c>
      <c r="AB210" s="776"/>
      <c r="AC210" s="529"/>
      <c r="AD210" s="1069" t="e">
        <f t="shared" si="188"/>
        <v>#DIV/0!</v>
      </c>
      <c r="AE210" s="1069" t="e">
        <f t="shared" si="164"/>
        <v>#DIV/0!</v>
      </c>
      <c r="AF210" s="1069">
        <f t="shared" si="165"/>
        <v>0</v>
      </c>
      <c r="AG210" s="1069" t="e">
        <f t="shared" si="166"/>
        <v>#DIV/0!</v>
      </c>
      <c r="AH210" s="1068"/>
      <c r="AI210" s="1090">
        <v>0</v>
      </c>
      <c r="AJ210" s="1072" t="str">
        <f t="shared" si="158"/>
        <v>Ajustar mapa de riesgos de corrupción de ser necesario y solicitar cambios (remitir a Oficina Asesora de Planeación)</v>
      </c>
      <c r="AK210" s="529">
        <v>0</v>
      </c>
      <c r="AL210" s="700"/>
      <c r="AM210" s="700"/>
      <c r="AN210" s="1069" t="e">
        <f t="shared" si="167"/>
        <v>#DIV/0!</v>
      </c>
      <c r="AO210" s="1069" t="e">
        <f t="shared" si="168"/>
        <v>#DIV/0!</v>
      </c>
      <c r="AP210" s="1069">
        <f t="shared" si="169"/>
        <v>0</v>
      </c>
      <c r="AQ210" s="1069" t="e">
        <f t="shared" si="170"/>
        <v>#DIV/0!</v>
      </c>
      <c r="AR210" s="845"/>
      <c r="AS210" s="1090">
        <v>1</v>
      </c>
      <c r="AT210" s="1072" t="str">
        <f t="shared" si="161"/>
        <v>Ajustar mapa de riesgos de corrupción de ser necesario y solicitar cambios (remitir a Oficina Asesora de Planeación)</v>
      </c>
      <c r="AU210" s="529">
        <v>0</v>
      </c>
      <c r="AV210" s="734">
        <v>0</v>
      </c>
      <c r="AW210" s="739">
        <v>0</v>
      </c>
      <c r="AX210" s="1069">
        <f t="shared" si="171"/>
        <v>0</v>
      </c>
      <c r="AY210" s="1069" t="e">
        <f t="shared" si="172"/>
        <v>#DIV/0!</v>
      </c>
      <c r="AZ210" s="1069">
        <f t="shared" si="173"/>
        <v>0</v>
      </c>
      <c r="BA210" s="1069" t="e">
        <f t="shared" si="174"/>
        <v>#DIV/0!</v>
      </c>
      <c r="BB210" s="1068" t="s">
        <v>2326</v>
      </c>
      <c r="BC210" s="1090">
        <v>1</v>
      </c>
      <c r="BD210" s="1072" t="str">
        <f t="shared" si="162"/>
        <v>Ajustar mapa de riesgos de corrupción de ser necesario y solicitar cambios (remitir a Oficina Asesora de Planeación)</v>
      </c>
      <c r="BE210" s="529">
        <v>0</v>
      </c>
      <c r="BF210" s="1067">
        <v>2</v>
      </c>
      <c r="BG210" s="744">
        <v>0</v>
      </c>
      <c r="BH210" s="1075">
        <f t="shared" si="175"/>
        <v>2</v>
      </c>
      <c r="BI210" s="1075" t="e">
        <f t="shared" si="176"/>
        <v>#DIV/0!</v>
      </c>
      <c r="BJ210" s="1075">
        <f t="shared" si="177"/>
        <v>1</v>
      </c>
      <c r="BK210" s="1075" t="e">
        <f t="shared" si="178"/>
        <v>#DIV/0!</v>
      </c>
      <c r="BL210" s="1068" t="s">
        <v>2112</v>
      </c>
      <c r="BM210" s="708" t="str">
        <f t="shared" si="179"/>
        <v>No Prog ni Ejec</v>
      </c>
      <c r="BN210" s="708" t="str">
        <f t="shared" si="180"/>
        <v>No Prog ni Ejec</v>
      </c>
      <c r="BO210" s="708" t="str">
        <f t="shared" si="181"/>
        <v>No Prog ni Ejec</v>
      </c>
      <c r="BP210" s="708" t="str">
        <f t="shared" si="182"/>
        <v>No Prog ni Ejec</v>
      </c>
      <c r="BQ210" s="708">
        <f t="shared" si="183"/>
        <v>0</v>
      </c>
      <c r="BR210" s="708" t="str">
        <f t="shared" si="184"/>
        <v>No Prog ni Ejec</v>
      </c>
      <c r="BS210" s="708">
        <f t="shared" si="185"/>
        <v>2</v>
      </c>
      <c r="BT210" s="829" t="str">
        <f t="shared" si="186"/>
        <v>No Prog ni Ejec</v>
      </c>
    </row>
    <row r="211" spans="1:72" s="958" customFormat="1" ht="330" customHeight="1" x14ac:dyDescent="0.2">
      <c r="A211" s="1092">
        <v>11600</v>
      </c>
      <c r="B211" s="1068" t="s">
        <v>6</v>
      </c>
      <c r="C211" s="1068" t="s">
        <v>1340</v>
      </c>
      <c r="D211" s="1059" t="s">
        <v>267</v>
      </c>
      <c r="E211" s="1060" t="s">
        <v>256</v>
      </c>
      <c r="F211" s="1059" t="s">
        <v>1435</v>
      </c>
      <c r="G211" s="1068" t="s">
        <v>1412</v>
      </c>
      <c r="H211" s="1089" t="s">
        <v>124</v>
      </c>
      <c r="I211" s="1085">
        <v>2</v>
      </c>
      <c r="J211" s="1085" t="s">
        <v>1436</v>
      </c>
      <c r="K211" s="1068" t="s">
        <v>1414</v>
      </c>
      <c r="L211" s="529">
        <v>0</v>
      </c>
      <c r="M211" s="1078">
        <v>1</v>
      </c>
      <c r="N211" s="1068" t="s">
        <v>51</v>
      </c>
      <c r="O211" s="1068" t="s">
        <v>56</v>
      </c>
      <c r="P211" s="1068" t="s">
        <v>37</v>
      </c>
      <c r="Q211" s="1068" t="s">
        <v>39</v>
      </c>
      <c r="R211" s="1068" t="s">
        <v>210</v>
      </c>
      <c r="S211" s="1068" t="s">
        <v>1415</v>
      </c>
      <c r="T211" s="1068" t="s">
        <v>92</v>
      </c>
      <c r="U211" s="737">
        <v>2</v>
      </c>
      <c r="V211" s="1071" t="str">
        <f t="shared" si="189"/>
        <v>Monitorear y revisar periódicamente los riesgos de corrupción del proceso a cargo, verificando el cumplimiento del Plan de Acción para mitigarlos o la identificación de nuevos riesgos de corrupción, a través de reuniones de Autocontrol.</v>
      </c>
      <c r="W211" s="699">
        <f t="shared" si="189"/>
        <v>0</v>
      </c>
      <c r="X211" s="1086" t="s">
        <v>117</v>
      </c>
      <c r="Y211" s="1090">
        <v>0</v>
      </c>
      <c r="Z211" s="1072" t="str">
        <f t="shared" si="157"/>
        <v>Monitorear y revisar periódicamente los riesgos de corrupción del proceso a cargo, verificando el cumplimiento del Plan de Acción para mitigarlos o la identificación de nuevos riesgos de corrupción, a través de reuniones de Autocontrol.</v>
      </c>
      <c r="AA211" s="529">
        <v>0</v>
      </c>
      <c r="AB211" s="776"/>
      <c r="AC211" s="529"/>
      <c r="AD211" s="1069" t="e">
        <f t="shared" si="188"/>
        <v>#DIV/0!</v>
      </c>
      <c r="AE211" s="1069" t="e">
        <f t="shared" si="164"/>
        <v>#DIV/0!</v>
      </c>
      <c r="AF211" s="1069">
        <f t="shared" si="165"/>
        <v>0</v>
      </c>
      <c r="AG211" s="1069" t="e">
        <f t="shared" si="166"/>
        <v>#DIV/0!</v>
      </c>
      <c r="AH211" s="1068"/>
      <c r="AI211" s="1090">
        <v>0</v>
      </c>
      <c r="AJ211" s="1072" t="str">
        <f t="shared" si="158"/>
        <v>Monitorear y revisar periódicamente los riesgos de corrupción del proceso a cargo, verificando el cumplimiento del Plan de Acción para mitigarlos o la identificación de nuevos riesgos de corrupción, a través de reuniones de Autocontrol.</v>
      </c>
      <c r="AK211" s="529">
        <v>0</v>
      </c>
      <c r="AL211" s="700"/>
      <c r="AM211" s="700"/>
      <c r="AN211" s="1069" t="e">
        <f t="shared" si="167"/>
        <v>#DIV/0!</v>
      </c>
      <c r="AO211" s="1069" t="e">
        <f t="shared" si="168"/>
        <v>#DIV/0!</v>
      </c>
      <c r="AP211" s="1069">
        <f t="shared" si="169"/>
        <v>0</v>
      </c>
      <c r="AQ211" s="1069" t="e">
        <f t="shared" si="170"/>
        <v>#DIV/0!</v>
      </c>
      <c r="AR211" s="845"/>
      <c r="AS211" s="1090">
        <v>1</v>
      </c>
      <c r="AT211" s="1072" t="str">
        <f t="shared" si="161"/>
        <v>Monitorear y revisar periódicamente los riesgos de corrupción del proceso a cargo, verificando el cumplimiento del Plan de Acción para mitigarlos o la identificación de nuevos riesgos de corrupción, a través de reuniones de Autocontrol.</v>
      </c>
      <c r="AU211" s="529">
        <v>0</v>
      </c>
      <c r="AV211" s="700">
        <v>0</v>
      </c>
      <c r="AW211" s="739">
        <v>0</v>
      </c>
      <c r="AX211" s="1069">
        <f t="shared" si="171"/>
        <v>0</v>
      </c>
      <c r="AY211" s="1069" t="e">
        <f t="shared" si="172"/>
        <v>#DIV/0!</v>
      </c>
      <c r="AZ211" s="1069">
        <f t="shared" si="173"/>
        <v>0</v>
      </c>
      <c r="BA211" s="1069" t="e">
        <f t="shared" si="174"/>
        <v>#DIV/0!</v>
      </c>
      <c r="BB211" s="1068" t="s">
        <v>1999</v>
      </c>
      <c r="BC211" s="1090">
        <v>1</v>
      </c>
      <c r="BD211" s="1072" t="str">
        <f t="shared" si="162"/>
        <v>Monitorear y revisar periódicamente los riesgos de corrupción del proceso a cargo, verificando el cumplimiento del Plan de Acción para mitigarlos o la identificación de nuevos riesgos de corrupción, a través de reuniones de Autocontrol.</v>
      </c>
      <c r="BE211" s="529">
        <v>0</v>
      </c>
      <c r="BF211" s="1067">
        <v>1</v>
      </c>
      <c r="BG211" s="744">
        <v>0</v>
      </c>
      <c r="BH211" s="1075">
        <f t="shared" si="175"/>
        <v>1</v>
      </c>
      <c r="BI211" s="1075" t="e">
        <f t="shared" si="176"/>
        <v>#DIV/0!</v>
      </c>
      <c r="BJ211" s="1075">
        <f t="shared" si="177"/>
        <v>0.5</v>
      </c>
      <c r="BK211" s="1075" t="e">
        <f t="shared" si="178"/>
        <v>#DIV/0!</v>
      </c>
      <c r="BL211" s="1068" t="s">
        <v>2086</v>
      </c>
      <c r="BM211" s="708" t="str">
        <f t="shared" si="179"/>
        <v>No Prog ni Ejec</v>
      </c>
      <c r="BN211" s="708" t="str">
        <f t="shared" si="180"/>
        <v>No Prog ni Ejec</v>
      </c>
      <c r="BO211" s="708" t="str">
        <f t="shared" si="181"/>
        <v>No Prog ni Ejec</v>
      </c>
      <c r="BP211" s="708" t="str">
        <f t="shared" si="182"/>
        <v>No Prog ni Ejec</v>
      </c>
      <c r="BQ211" s="708">
        <f t="shared" si="183"/>
        <v>0</v>
      </c>
      <c r="BR211" s="708" t="str">
        <f t="shared" si="184"/>
        <v>No Prog ni Ejec</v>
      </c>
      <c r="BS211" s="708">
        <f t="shared" si="185"/>
        <v>1</v>
      </c>
      <c r="BT211" s="829" t="str">
        <f t="shared" si="186"/>
        <v>No Prog ni Ejec</v>
      </c>
    </row>
    <row r="212" spans="1:72" s="958" customFormat="1" ht="178.5" x14ac:dyDescent="0.2">
      <c r="A212" s="1092">
        <v>11600</v>
      </c>
      <c r="B212" s="1068" t="s">
        <v>6</v>
      </c>
      <c r="C212" s="1068" t="s">
        <v>1340</v>
      </c>
      <c r="D212" s="1059" t="s">
        <v>267</v>
      </c>
      <c r="E212" s="1060" t="s">
        <v>256</v>
      </c>
      <c r="F212" s="1059" t="s">
        <v>1437</v>
      </c>
      <c r="G212" s="1068" t="s">
        <v>1417</v>
      </c>
      <c r="H212" s="1089" t="s">
        <v>124</v>
      </c>
      <c r="I212" s="1085">
        <v>2</v>
      </c>
      <c r="J212" s="1085" t="s">
        <v>1438</v>
      </c>
      <c r="K212" s="1068" t="s">
        <v>1419</v>
      </c>
      <c r="L212" s="529">
        <v>0</v>
      </c>
      <c r="M212" s="1078">
        <v>1</v>
      </c>
      <c r="N212" s="1068" t="s">
        <v>51</v>
      </c>
      <c r="O212" s="1068" t="s">
        <v>56</v>
      </c>
      <c r="P212" s="1068" t="s">
        <v>37</v>
      </c>
      <c r="Q212" s="1068" t="s">
        <v>39</v>
      </c>
      <c r="R212" s="1068" t="s">
        <v>210</v>
      </c>
      <c r="S212" s="1068" t="s">
        <v>1420</v>
      </c>
      <c r="T212" s="1068" t="s">
        <v>92</v>
      </c>
      <c r="U212" s="737">
        <v>2</v>
      </c>
      <c r="V212" s="1071" t="str">
        <f t="shared" si="189"/>
        <v>Ajustar mapa de riesgos de corrupción de ser necesario y solicitar cambios (remitir a Oficina Asesora de Planeación)</v>
      </c>
      <c r="W212" s="699">
        <f t="shared" si="189"/>
        <v>0</v>
      </c>
      <c r="X212" s="1086" t="s">
        <v>117</v>
      </c>
      <c r="Y212" s="1090">
        <v>0</v>
      </c>
      <c r="Z212" s="1072" t="str">
        <f t="shared" si="157"/>
        <v>Ajustar mapa de riesgos de corrupción de ser necesario y solicitar cambios (remitir a Oficina Asesora de Planeación)</v>
      </c>
      <c r="AA212" s="529">
        <v>0</v>
      </c>
      <c r="AB212" s="776"/>
      <c r="AC212" s="529"/>
      <c r="AD212" s="1069" t="e">
        <f t="shared" si="188"/>
        <v>#DIV/0!</v>
      </c>
      <c r="AE212" s="1069" t="e">
        <f t="shared" si="164"/>
        <v>#DIV/0!</v>
      </c>
      <c r="AF212" s="1069">
        <f t="shared" si="165"/>
        <v>0</v>
      </c>
      <c r="AG212" s="1069" t="e">
        <f t="shared" si="166"/>
        <v>#DIV/0!</v>
      </c>
      <c r="AH212" s="1068"/>
      <c r="AI212" s="1090">
        <v>0</v>
      </c>
      <c r="AJ212" s="1072" t="str">
        <f t="shared" si="158"/>
        <v>Ajustar mapa de riesgos de corrupción de ser necesario y solicitar cambios (remitir a Oficina Asesora de Planeación)</v>
      </c>
      <c r="AK212" s="529">
        <v>0</v>
      </c>
      <c r="AL212" s="700"/>
      <c r="AM212" s="700"/>
      <c r="AN212" s="1069" t="e">
        <f t="shared" si="167"/>
        <v>#DIV/0!</v>
      </c>
      <c r="AO212" s="1069" t="e">
        <f t="shared" si="168"/>
        <v>#DIV/0!</v>
      </c>
      <c r="AP212" s="1069">
        <f t="shared" si="169"/>
        <v>0</v>
      </c>
      <c r="AQ212" s="1069" t="e">
        <f t="shared" si="170"/>
        <v>#DIV/0!</v>
      </c>
      <c r="AR212" s="845"/>
      <c r="AS212" s="1090">
        <v>1</v>
      </c>
      <c r="AT212" s="1072" t="str">
        <f t="shared" si="161"/>
        <v>Ajustar mapa de riesgos de corrupción de ser necesario y solicitar cambios (remitir a Oficina Asesora de Planeación)</v>
      </c>
      <c r="AU212" s="529">
        <v>0</v>
      </c>
      <c r="AV212" s="700">
        <v>0</v>
      </c>
      <c r="AW212" s="739">
        <v>0</v>
      </c>
      <c r="AX212" s="1069">
        <f t="shared" si="171"/>
        <v>0</v>
      </c>
      <c r="AY212" s="1069" t="e">
        <f t="shared" si="172"/>
        <v>#DIV/0!</v>
      </c>
      <c r="AZ212" s="1069">
        <f t="shared" si="173"/>
        <v>0</v>
      </c>
      <c r="BA212" s="1069" t="e">
        <f t="shared" si="174"/>
        <v>#DIV/0!</v>
      </c>
      <c r="BB212" s="1068" t="s">
        <v>2000</v>
      </c>
      <c r="BC212" s="1090">
        <v>1</v>
      </c>
      <c r="BD212" s="1072" t="str">
        <f t="shared" si="162"/>
        <v>Ajustar mapa de riesgos de corrupción de ser necesario y solicitar cambios (remitir a Oficina Asesora de Planeación)</v>
      </c>
      <c r="BE212" s="529">
        <v>0</v>
      </c>
      <c r="BF212" s="1067">
        <v>1</v>
      </c>
      <c r="BG212" s="744">
        <v>0</v>
      </c>
      <c r="BH212" s="1075">
        <f t="shared" si="175"/>
        <v>1</v>
      </c>
      <c r="BI212" s="1075" t="e">
        <f t="shared" si="176"/>
        <v>#DIV/0!</v>
      </c>
      <c r="BJ212" s="1075">
        <f t="shared" si="177"/>
        <v>0.5</v>
      </c>
      <c r="BK212" s="1075" t="e">
        <f t="shared" si="178"/>
        <v>#DIV/0!</v>
      </c>
      <c r="BL212" s="1068" t="s">
        <v>2087</v>
      </c>
      <c r="BM212" s="708" t="str">
        <f t="shared" si="179"/>
        <v>No Prog ni Ejec</v>
      </c>
      <c r="BN212" s="708" t="str">
        <f t="shared" si="180"/>
        <v>No Prog ni Ejec</v>
      </c>
      <c r="BO212" s="708" t="str">
        <f t="shared" si="181"/>
        <v>No Prog ni Ejec</v>
      </c>
      <c r="BP212" s="708" t="str">
        <f t="shared" si="182"/>
        <v>No Prog ni Ejec</v>
      </c>
      <c r="BQ212" s="708">
        <f t="shared" si="183"/>
        <v>0</v>
      </c>
      <c r="BR212" s="708" t="str">
        <f t="shared" si="184"/>
        <v>No Prog ni Ejec</v>
      </c>
      <c r="BS212" s="708">
        <f t="shared" si="185"/>
        <v>1</v>
      </c>
      <c r="BT212" s="829" t="str">
        <f t="shared" si="186"/>
        <v>No Prog ni Ejec</v>
      </c>
    </row>
    <row r="213" spans="1:72" s="958" customFormat="1" ht="89.25" customHeight="1" x14ac:dyDescent="0.2">
      <c r="A213" s="1091">
        <v>11400</v>
      </c>
      <c r="B213" s="1068" t="s">
        <v>26</v>
      </c>
      <c r="C213" s="1068" t="s">
        <v>1340</v>
      </c>
      <c r="D213" s="1059" t="s">
        <v>184</v>
      </c>
      <c r="E213" s="1060" t="s">
        <v>256</v>
      </c>
      <c r="F213" s="1059" t="s">
        <v>1439</v>
      </c>
      <c r="G213" s="1068" t="s">
        <v>1412</v>
      </c>
      <c r="H213" s="1089" t="s">
        <v>124</v>
      </c>
      <c r="I213" s="1085">
        <v>2</v>
      </c>
      <c r="J213" s="1085" t="s">
        <v>1440</v>
      </c>
      <c r="K213" s="1068" t="s">
        <v>1414</v>
      </c>
      <c r="L213" s="529">
        <v>0</v>
      </c>
      <c r="M213" s="1078">
        <v>1</v>
      </c>
      <c r="N213" s="1068" t="s">
        <v>51</v>
      </c>
      <c r="O213" s="1068" t="s">
        <v>56</v>
      </c>
      <c r="P213" s="1068" t="s">
        <v>37</v>
      </c>
      <c r="Q213" s="1068" t="s">
        <v>39</v>
      </c>
      <c r="R213" s="1068" t="s">
        <v>210</v>
      </c>
      <c r="S213" s="1068" t="s">
        <v>1415</v>
      </c>
      <c r="T213" s="1068" t="s">
        <v>92</v>
      </c>
      <c r="U213" s="737">
        <v>2</v>
      </c>
      <c r="V213" s="1071" t="str">
        <f t="shared" si="189"/>
        <v>Monitorear y revisar periódicamente los riesgos de corrupción del proceso a cargo, verificando el cumplimiento del Plan de Acción para mitigarlos o la identificación de nuevos riesgos de corrupción, a través de reuniones de Autocontrol.</v>
      </c>
      <c r="W213" s="699">
        <f t="shared" si="189"/>
        <v>0</v>
      </c>
      <c r="X213" s="1086" t="s">
        <v>117</v>
      </c>
      <c r="Y213" s="1090">
        <v>0</v>
      </c>
      <c r="Z213" s="1072" t="str">
        <f t="shared" si="157"/>
        <v>Monitorear y revisar periódicamente los riesgos de corrupción del proceso a cargo, verificando el cumplimiento del Plan de Acción para mitigarlos o la identificación de nuevos riesgos de corrupción, a través de reuniones de Autocontrol.</v>
      </c>
      <c r="AA213" s="529">
        <v>0</v>
      </c>
      <c r="AB213" s="776"/>
      <c r="AC213" s="529"/>
      <c r="AD213" s="1069" t="e">
        <f t="shared" si="188"/>
        <v>#DIV/0!</v>
      </c>
      <c r="AE213" s="1069" t="e">
        <f t="shared" si="164"/>
        <v>#DIV/0!</v>
      </c>
      <c r="AF213" s="1069">
        <f t="shared" si="165"/>
        <v>0</v>
      </c>
      <c r="AG213" s="1069" t="e">
        <f t="shared" si="166"/>
        <v>#DIV/0!</v>
      </c>
      <c r="AH213" s="1068"/>
      <c r="AI213" s="1090">
        <v>0</v>
      </c>
      <c r="AJ213" s="1072" t="str">
        <f t="shared" si="158"/>
        <v>Monitorear y revisar periódicamente los riesgos de corrupción del proceso a cargo, verificando el cumplimiento del Plan de Acción para mitigarlos o la identificación de nuevos riesgos de corrupción, a través de reuniones de Autocontrol.</v>
      </c>
      <c r="AK213" s="529">
        <v>0</v>
      </c>
      <c r="AL213" s="700"/>
      <c r="AM213" s="700"/>
      <c r="AN213" s="1069" t="e">
        <f t="shared" si="167"/>
        <v>#DIV/0!</v>
      </c>
      <c r="AO213" s="1069" t="e">
        <f t="shared" si="168"/>
        <v>#DIV/0!</v>
      </c>
      <c r="AP213" s="1069">
        <f t="shared" si="169"/>
        <v>0</v>
      </c>
      <c r="AQ213" s="1069" t="e">
        <f t="shared" si="170"/>
        <v>#DIV/0!</v>
      </c>
      <c r="AR213" s="845"/>
      <c r="AS213" s="1090">
        <v>1</v>
      </c>
      <c r="AT213" s="1072" t="str">
        <f t="shared" si="161"/>
        <v>Monitorear y revisar periódicamente los riesgos de corrupción del proceso a cargo, verificando el cumplimiento del Plan de Acción para mitigarlos o la identificación de nuevos riesgos de corrupción, a través de reuniones de Autocontrol.</v>
      </c>
      <c r="AU213" s="529">
        <v>0</v>
      </c>
      <c r="AV213" s="700">
        <v>0</v>
      </c>
      <c r="AW213" s="739">
        <v>0</v>
      </c>
      <c r="AX213" s="1069">
        <f t="shared" si="171"/>
        <v>0</v>
      </c>
      <c r="AY213" s="1069" t="e">
        <f t="shared" si="172"/>
        <v>#DIV/0!</v>
      </c>
      <c r="AZ213" s="1069">
        <f t="shared" si="173"/>
        <v>0</v>
      </c>
      <c r="BA213" s="1069" t="e">
        <f t="shared" si="174"/>
        <v>#DIV/0!</v>
      </c>
      <c r="BB213" s="845"/>
      <c r="BC213" s="1090">
        <v>1</v>
      </c>
      <c r="BD213" s="1072" t="str">
        <f t="shared" si="162"/>
        <v>Monitorear y revisar periódicamente los riesgos de corrupción del proceso a cargo, verificando el cumplimiento del Plan de Acción para mitigarlos o la identificación de nuevos riesgos de corrupción, a través de reuniones de Autocontrol.</v>
      </c>
      <c r="BE213" s="529">
        <v>0</v>
      </c>
      <c r="BF213" s="1089">
        <v>1</v>
      </c>
      <c r="BG213" s="1054">
        <v>0</v>
      </c>
      <c r="BH213" s="1075">
        <f t="shared" si="175"/>
        <v>1</v>
      </c>
      <c r="BI213" s="1075" t="e">
        <f t="shared" si="176"/>
        <v>#DIV/0!</v>
      </c>
      <c r="BJ213" s="1075">
        <f t="shared" si="177"/>
        <v>0.5</v>
      </c>
      <c r="BK213" s="1075" t="e">
        <f t="shared" si="178"/>
        <v>#DIV/0!</v>
      </c>
      <c r="BL213" s="1072" t="s">
        <v>2232</v>
      </c>
      <c r="BM213" s="708" t="str">
        <f t="shared" si="179"/>
        <v>No Prog ni Ejec</v>
      </c>
      <c r="BN213" s="708" t="str">
        <f t="shared" si="180"/>
        <v>No Prog ni Ejec</v>
      </c>
      <c r="BO213" s="708" t="str">
        <f t="shared" si="181"/>
        <v>No Prog ni Ejec</v>
      </c>
      <c r="BP213" s="708" t="str">
        <f t="shared" si="182"/>
        <v>No Prog ni Ejec</v>
      </c>
      <c r="BQ213" s="708">
        <f t="shared" si="183"/>
        <v>0</v>
      </c>
      <c r="BR213" s="708" t="str">
        <f t="shared" si="184"/>
        <v>No Prog ni Ejec</v>
      </c>
      <c r="BS213" s="708">
        <f t="shared" si="185"/>
        <v>1</v>
      </c>
      <c r="BT213" s="829" t="str">
        <f t="shared" si="186"/>
        <v>No Prog ni Ejec</v>
      </c>
    </row>
    <row r="214" spans="1:72" s="958" customFormat="1" ht="89.25" x14ac:dyDescent="0.2">
      <c r="A214" s="1091">
        <v>11400</v>
      </c>
      <c r="B214" s="1068" t="s">
        <v>26</v>
      </c>
      <c r="C214" s="1068" t="s">
        <v>1340</v>
      </c>
      <c r="D214" s="1059" t="s">
        <v>184</v>
      </c>
      <c r="E214" s="1060" t="s">
        <v>256</v>
      </c>
      <c r="F214" s="1059" t="s">
        <v>1441</v>
      </c>
      <c r="G214" s="1068" t="s">
        <v>1417</v>
      </c>
      <c r="H214" s="1089" t="s">
        <v>124</v>
      </c>
      <c r="I214" s="1085">
        <v>2</v>
      </c>
      <c r="J214" s="1085" t="s">
        <v>1442</v>
      </c>
      <c r="K214" s="1068" t="s">
        <v>1419</v>
      </c>
      <c r="L214" s="529">
        <v>0</v>
      </c>
      <c r="M214" s="1078">
        <v>1</v>
      </c>
      <c r="N214" s="1068" t="s">
        <v>51</v>
      </c>
      <c r="O214" s="1068" t="s">
        <v>56</v>
      </c>
      <c r="P214" s="1068" t="s">
        <v>37</v>
      </c>
      <c r="Q214" s="1068" t="s">
        <v>39</v>
      </c>
      <c r="R214" s="1068" t="s">
        <v>210</v>
      </c>
      <c r="S214" s="1068" t="s">
        <v>1420</v>
      </c>
      <c r="T214" s="1068" t="s">
        <v>92</v>
      </c>
      <c r="U214" s="1085">
        <v>2</v>
      </c>
      <c r="V214" s="1071" t="str">
        <f t="shared" si="189"/>
        <v>Ajustar mapa de riesgos de corrupción de ser necesario y solicitar cambios (remitir a Oficina Asesora de Planeación)</v>
      </c>
      <c r="W214" s="699">
        <f t="shared" si="189"/>
        <v>0</v>
      </c>
      <c r="X214" s="1086" t="s">
        <v>117</v>
      </c>
      <c r="Y214" s="1090">
        <v>0</v>
      </c>
      <c r="Z214" s="1072" t="str">
        <f t="shared" si="157"/>
        <v>Ajustar mapa de riesgos de corrupción de ser necesario y solicitar cambios (remitir a Oficina Asesora de Planeación)</v>
      </c>
      <c r="AA214" s="529">
        <v>0</v>
      </c>
      <c r="AB214" s="776"/>
      <c r="AC214" s="529"/>
      <c r="AD214" s="1069" t="e">
        <f t="shared" si="188"/>
        <v>#DIV/0!</v>
      </c>
      <c r="AE214" s="1069" t="e">
        <f t="shared" si="164"/>
        <v>#DIV/0!</v>
      </c>
      <c r="AF214" s="1069">
        <f t="shared" si="165"/>
        <v>0</v>
      </c>
      <c r="AG214" s="1069" t="e">
        <f t="shared" si="166"/>
        <v>#DIV/0!</v>
      </c>
      <c r="AH214" s="1068"/>
      <c r="AI214" s="1090">
        <v>0</v>
      </c>
      <c r="AJ214" s="1072" t="str">
        <f t="shared" si="158"/>
        <v>Ajustar mapa de riesgos de corrupción de ser necesario y solicitar cambios (remitir a Oficina Asesora de Planeación)</v>
      </c>
      <c r="AK214" s="529">
        <v>0</v>
      </c>
      <c r="AL214" s="700"/>
      <c r="AM214" s="700"/>
      <c r="AN214" s="1069" t="e">
        <f t="shared" si="167"/>
        <v>#DIV/0!</v>
      </c>
      <c r="AO214" s="1069" t="e">
        <f t="shared" si="168"/>
        <v>#DIV/0!</v>
      </c>
      <c r="AP214" s="1069">
        <f t="shared" si="169"/>
        <v>0</v>
      </c>
      <c r="AQ214" s="1069" t="e">
        <f t="shared" si="170"/>
        <v>#DIV/0!</v>
      </c>
      <c r="AR214" s="845"/>
      <c r="AS214" s="1090">
        <v>1</v>
      </c>
      <c r="AT214" s="1072" t="str">
        <f t="shared" si="161"/>
        <v>Ajustar mapa de riesgos de corrupción de ser necesario y solicitar cambios (remitir a Oficina Asesora de Planeación)</v>
      </c>
      <c r="AU214" s="529">
        <v>0</v>
      </c>
      <c r="AV214" s="700">
        <v>0</v>
      </c>
      <c r="AW214" s="739">
        <v>0</v>
      </c>
      <c r="AX214" s="1069">
        <f t="shared" si="171"/>
        <v>0</v>
      </c>
      <c r="AY214" s="1069" t="e">
        <f t="shared" si="172"/>
        <v>#DIV/0!</v>
      </c>
      <c r="AZ214" s="1069">
        <f t="shared" si="173"/>
        <v>0</v>
      </c>
      <c r="BA214" s="1069" t="e">
        <f t="shared" si="174"/>
        <v>#DIV/0!</v>
      </c>
      <c r="BB214" s="1068" t="s">
        <v>2327</v>
      </c>
      <c r="BC214" s="1090">
        <v>1</v>
      </c>
      <c r="BD214" s="1072" t="str">
        <f t="shared" si="162"/>
        <v>Ajustar mapa de riesgos de corrupción de ser necesario y solicitar cambios (remitir a Oficina Asesora de Planeación)</v>
      </c>
      <c r="BE214" s="529">
        <v>0</v>
      </c>
      <c r="BF214" s="1089">
        <v>1</v>
      </c>
      <c r="BG214" s="1054">
        <v>0</v>
      </c>
      <c r="BH214" s="1075">
        <f t="shared" si="175"/>
        <v>1</v>
      </c>
      <c r="BI214" s="1075" t="e">
        <f t="shared" si="176"/>
        <v>#DIV/0!</v>
      </c>
      <c r="BJ214" s="1075">
        <f t="shared" si="177"/>
        <v>0.5</v>
      </c>
      <c r="BK214" s="1075" t="e">
        <f t="shared" si="178"/>
        <v>#DIV/0!</v>
      </c>
      <c r="BL214" s="1099"/>
      <c r="BM214" s="708" t="str">
        <f t="shared" si="179"/>
        <v>No Prog ni Ejec</v>
      </c>
      <c r="BN214" s="708" t="str">
        <f t="shared" si="180"/>
        <v>No Prog ni Ejec</v>
      </c>
      <c r="BO214" s="708" t="str">
        <f t="shared" si="181"/>
        <v>No Prog ni Ejec</v>
      </c>
      <c r="BP214" s="708" t="str">
        <f t="shared" si="182"/>
        <v>No Prog ni Ejec</v>
      </c>
      <c r="BQ214" s="708">
        <f t="shared" si="183"/>
        <v>0</v>
      </c>
      <c r="BR214" s="708" t="str">
        <f t="shared" si="184"/>
        <v>No Prog ni Ejec</v>
      </c>
      <c r="BS214" s="708">
        <f t="shared" si="185"/>
        <v>1</v>
      </c>
      <c r="BT214" s="829" t="str">
        <f t="shared" si="186"/>
        <v>No Prog ni Ejec</v>
      </c>
    </row>
    <row r="215" spans="1:72" s="958" customFormat="1" ht="89.25" x14ac:dyDescent="0.2">
      <c r="A215" s="1091">
        <v>11500</v>
      </c>
      <c r="B215" s="1068" t="s">
        <v>28</v>
      </c>
      <c r="C215" s="1068" t="s">
        <v>1340</v>
      </c>
      <c r="D215" s="1059" t="s">
        <v>260</v>
      </c>
      <c r="E215" s="1060" t="s">
        <v>256</v>
      </c>
      <c r="F215" s="1059" t="s">
        <v>1443</v>
      </c>
      <c r="G215" s="1068" t="s">
        <v>1412</v>
      </c>
      <c r="H215" s="1089" t="s">
        <v>124</v>
      </c>
      <c r="I215" s="1085">
        <v>2</v>
      </c>
      <c r="J215" s="1085" t="s">
        <v>1444</v>
      </c>
      <c r="K215" s="1068" t="s">
        <v>1414</v>
      </c>
      <c r="L215" s="529">
        <v>0</v>
      </c>
      <c r="M215" s="1078">
        <v>1</v>
      </c>
      <c r="N215" s="1068" t="s">
        <v>51</v>
      </c>
      <c r="O215" s="1068" t="s">
        <v>56</v>
      </c>
      <c r="P215" s="1068" t="s">
        <v>37</v>
      </c>
      <c r="Q215" s="1068" t="s">
        <v>39</v>
      </c>
      <c r="R215" s="1068" t="s">
        <v>210</v>
      </c>
      <c r="S215" s="1068" t="s">
        <v>1415</v>
      </c>
      <c r="T215" s="1068" t="s">
        <v>96</v>
      </c>
      <c r="U215" s="737">
        <v>2</v>
      </c>
      <c r="V215" s="1071" t="str">
        <f t="shared" si="189"/>
        <v>Monitorear y revisar periódicamente los riesgos de corrupción del proceso a cargo, verificando el cumplimiento del Plan de Acción para mitigarlos o la identificación de nuevos riesgos de corrupción, a través de reuniones de Autocontrol.</v>
      </c>
      <c r="W215" s="699">
        <f t="shared" si="189"/>
        <v>0</v>
      </c>
      <c r="X215" s="1086" t="s">
        <v>117</v>
      </c>
      <c r="Y215" s="1090">
        <v>0</v>
      </c>
      <c r="Z215" s="1072" t="str">
        <f t="shared" si="157"/>
        <v>Monitorear y revisar periódicamente los riesgos de corrupción del proceso a cargo, verificando el cumplimiento del Plan de Acción para mitigarlos o la identificación de nuevos riesgos de corrupción, a través de reuniones de Autocontrol.</v>
      </c>
      <c r="AA215" s="529">
        <v>0</v>
      </c>
      <c r="AB215" s="776"/>
      <c r="AC215" s="529"/>
      <c r="AD215" s="1069" t="e">
        <f t="shared" si="188"/>
        <v>#DIV/0!</v>
      </c>
      <c r="AE215" s="1069" t="e">
        <f t="shared" si="164"/>
        <v>#DIV/0!</v>
      </c>
      <c r="AF215" s="1069">
        <f t="shared" si="165"/>
        <v>0</v>
      </c>
      <c r="AG215" s="1069" t="e">
        <f t="shared" si="166"/>
        <v>#DIV/0!</v>
      </c>
      <c r="AH215" s="1068"/>
      <c r="AI215" s="1090">
        <v>0</v>
      </c>
      <c r="AJ215" s="1072" t="str">
        <f t="shared" si="158"/>
        <v>Monitorear y revisar periódicamente los riesgos de corrupción del proceso a cargo, verificando el cumplimiento del Plan de Acción para mitigarlos o la identificación de nuevos riesgos de corrupción, a través de reuniones de Autocontrol.</v>
      </c>
      <c r="AK215" s="529">
        <v>0</v>
      </c>
      <c r="AL215" s="700"/>
      <c r="AM215" s="700"/>
      <c r="AN215" s="1069" t="e">
        <f t="shared" si="167"/>
        <v>#DIV/0!</v>
      </c>
      <c r="AO215" s="1069" t="e">
        <f t="shared" si="168"/>
        <v>#DIV/0!</v>
      </c>
      <c r="AP215" s="1069">
        <f t="shared" si="169"/>
        <v>0</v>
      </c>
      <c r="AQ215" s="1069" t="e">
        <f t="shared" si="170"/>
        <v>#DIV/0!</v>
      </c>
      <c r="AR215" s="845"/>
      <c r="AS215" s="1090">
        <v>1</v>
      </c>
      <c r="AT215" s="1072" t="str">
        <f t="shared" si="161"/>
        <v>Monitorear y revisar periódicamente los riesgos de corrupción del proceso a cargo, verificando el cumplimiento del Plan de Acción para mitigarlos o la identificación de nuevos riesgos de corrupción, a través de reuniones de Autocontrol.</v>
      </c>
      <c r="AU215" s="529">
        <v>0</v>
      </c>
      <c r="AV215" s="700">
        <v>1</v>
      </c>
      <c r="AW215" s="739">
        <v>0</v>
      </c>
      <c r="AX215" s="1069">
        <f t="shared" si="171"/>
        <v>1</v>
      </c>
      <c r="AY215" s="1069" t="e">
        <f t="shared" si="172"/>
        <v>#DIV/0!</v>
      </c>
      <c r="AZ215" s="1069">
        <f t="shared" si="173"/>
        <v>0.5</v>
      </c>
      <c r="BA215" s="1069" t="e">
        <f t="shared" si="174"/>
        <v>#DIV/0!</v>
      </c>
      <c r="BB215" s="845"/>
      <c r="BC215" s="1090">
        <v>1</v>
      </c>
      <c r="BD215" s="1072" t="str">
        <f t="shared" si="162"/>
        <v>Monitorear y revisar periódicamente los riesgos de corrupción del proceso a cargo, verificando el cumplimiento del Plan de Acción para mitigarlos o la identificación de nuevos riesgos de corrupción, a través de reuniones de Autocontrol.</v>
      </c>
      <c r="BE215" s="529">
        <v>0</v>
      </c>
      <c r="BF215" s="1089">
        <v>1</v>
      </c>
      <c r="BG215" s="1054">
        <v>0</v>
      </c>
      <c r="BH215" s="1075">
        <f t="shared" si="175"/>
        <v>1</v>
      </c>
      <c r="BI215" s="1075" t="e">
        <f t="shared" si="176"/>
        <v>#DIV/0!</v>
      </c>
      <c r="BJ215" s="1075">
        <f t="shared" si="177"/>
        <v>1</v>
      </c>
      <c r="BK215" s="1075" t="e">
        <f t="shared" si="178"/>
        <v>#DIV/0!</v>
      </c>
      <c r="BL215" s="1072"/>
      <c r="BM215" s="708" t="str">
        <f t="shared" si="179"/>
        <v>No Prog ni Ejec</v>
      </c>
      <c r="BN215" s="708" t="str">
        <f t="shared" si="180"/>
        <v>No Prog ni Ejec</v>
      </c>
      <c r="BO215" s="708" t="str">
        <f t="shared" si="181"/>
        <v>No Prog ni Ejec</v>
      </c>
      <c r="BP215" s="708" t="str">
        <f t="shared" si="182"/>
        <v>No Prog ni Ejec</v>
      </c>
      <c r="BQ215" s="708">
        <f t="shared" si="183"/>
        <v>1</v>
      </c>
      <c r="BR215" s="708" t="str">
        <f t="shared" si="184"/>
        <v>No Prog ni Ejec</v>
      </c>
      <c r="BS215" s="708">
        <f t="shared" si="185"/>
        <v>1</v>
      </c>
      <c r="BT215" s="829" t="str">
        <f t="shared" si="186"/>
        <v>No Prog ni Ejec</v>
      </c>
    </row>
    <row r="216" spans="1:72" s="958" customFormat="1" ht="89.25" x14ac:dyDescent="0.2">
      <c r="A216" s="1091">
        <v>11500</v>
      </c>
      <c r="B216" s="1068" t="s">
        <v>28</v>
      </c>
      <c r="C216" s="1068" t="s">
        <v>1340</v>
      </c>
      <c r="D216" s="1059" t="s">
        <v>260</v>
      </c>
      <c r="E216" s="1060" t="s">
        <v>256</v>
      </c>
      <c r="F216" s="1059" t="s">
        <v>1445</v>
      </c>
      <c r="G216" s="1068" t="s">
        <v>1417</v>
      </c>
      <c r="H216" s="1089" t="s">
        <v>124</v>
      </c>
      <c r="I216" s="1085">
        <v>2</v>
      </c>
      <c r="J216" s="1085" t="s">
        <v>1446</v>
      </c>
      <c r="K216" s="1068" t="s">
        <v>1419</v>
      </c>
      <c r="L216" s="529">
        <v>0</v>
      </c>
      <c r="M216" s="1078">
        <v>1</v>
      </c>
      <c r="N216" s="1068" t="s">
        <v>51</v>
      </c>
      <c r="O216" s="1068" t="s">
        <v>56</v>
      </c>
      <c r="P216" s="1068" t="s">
        <v>37</v>
      </c>
      <c r="Q216" s="1068" t="s">
        <v>39</v>
      </c>
      <c r="R216" s="1068" t="s">
        <v>210</v>
      </c>
      <c r="S216" s="1068" t="s">
        <v>1420</v>
      </c>
      <c r="T216" s="1068" t="s">
        <v>96</v>
      </c>
      <c r="U216" s="737">
        <v>2</v>
      </c>
      <c r="V216" s="1071" t="str">
        <f t="shared" si="189"/>
        <v>Ajustar mapa de riesgos de corrupción de ser necesario y solicitar cambios (remitir a Oficina Asesora de Planeación)</v>
      </c>
      <c r="W216" s="699">
        <f t="shared" si="189"/>
        <v>0</v>
      </c>
      <c r="X216" s="1086" t="s">
        <v>117</v>
      </c>
      <c r="Y216" s="1090">
        <v>0</v>
      </c>
      <c r="Z216" s="1072" t="str">
        <f t="shared" si="157"/>
        <v>Ajustar mapa de riesgos de corrupción de ser necesario y solicitar cambios (remitir a Oficina Asesora de Planeación)</v>
      </c>
      <c r="AA216" s="529">
        <v>0</v>
      </c>
      <c r="AB216" s="776"/>
      <c r="AC216" s="529"/>
      <c r="AD216" s="1069" t="e">
        <f t="shared" si="188"/>
        <v>#DIV/0!</v>
      </c>
      <c r="AE216" s="1069" t="e">
        <f t="shared" si="164"/>
        <v>#DIV/0!</v>
      </c>
      <c r="AF216" s="1069">
        <f t="shared" si="165"/>
        <v>0</v>
      </c>
      <c r="AG216" s="1069" t="e">
        <f t="shared" si="166"/>
        <v>#DIV/0!</v>
      </c>
      <c r="AH216" s="1068"/>
      <c r="AI216" s="1090">
        <v>0</v>
      </c>
      <c r="AJ216" s="1072" t="str">
        <f t="shared" si="158"/>
        <v>Ajustar mapa de riesgos de corrupción de ser necesario y solicitar cambios (remitir a Oficina Asesora de Planeación)</v>
      </c>
      <c r="AK216" s="529">
        <v>0</v>
      </c>
      <c r="AL216" s="700"/>
      <c r="AM216" s="700"/>
      <c r="AN216" s="1069" t="e">
        <f t="shared" si="167"/>
        <v>#DIV/0!</v>
      </c>
      <c r="AO216" s="1069" t="e">
        <f t="shared" si="168"/>
        <v>#DIV/0!</v>
      </c>
      <c r="AP216" s="1069">
        <f t="shared" si="169"/>
        <v>0</v>
      </c>
      <c r="AQ216" s="1069" t="e">
        <f t="shared" si="170"/>
        <v>#DIV/0!</v>
      </c>
      <c r="AR216" s="845"/>
      <c r="AS216" s="1090">
        <v>1</v>
      </c>
      <c r="AT216" s="1072" t="str">
        <f t="shared" si="161"/>
        <v>Ajustar mapa de riesgos de corrupción de ser necesario y solicitar cambios (remitir a Oficina Asesora de Planeación)</v>
      </c>
      <c r="AU216" s="529">
        <v>0</v>
      </c>
      <c r="AV216" s="700">
        <v>0</v>
      </c>
      <c r="AW216" s="739">
        <v>0</v>
      </c>
      <c r="AX216" s="1069">
        <f t="shared" si="171"/>
        <v>0</v>
      </c>
      <c r="AY216" s="1069" t="e">
        <f t="shared" si="172"/>
        <v>#DIV/0!</v>
      </c>
      <c r="AZ216" s="1069">
        <f t="shared" si="173"/>
        <v>0</v>
      </c>
      <c r="BA216" s="1069" t="e">
        <f t="shared" si="174"/>
        <v>#DIV/0!</v>
      </c>
      <c r="BB216" s="1068" t="s">
        <v>1949</v>
      </c>
      <c r="BC216" s="1090">
        <v>1</v>
      </c>
      <c r="BD216" s="1072" t="str">
        <f t="shared" si="162"/>
        <v>Ajustar mapa de riesgos de corrupción de ser necesario y solicitar cambios (remitir a Oficina Asesora de Planeación)</v>
      </c>
      <c r="BE216" s="529">
        <v>0</v>
      </c>
      <c r="BF216" s="1089">
        <v>1</v>
      </c>
      <c r="BG216" s="1054">
        <v>0</v>
      </c>
      <c r="BH216" s="1075">
        <f t="shared" si="175"/>
        <v>1</v>
      </c>
      <c r="BI216" s="1075" t="e">
        <f t="shared" si="176"/>
        <v>#DIV/0!</v>
      </c>
      <c r="BJ216" s="1075">
        <f t="shared" si="177"/>
        <v>0.5</v>
      </c>
      <c r="BK216" s="1075" t="e">
        <f t="shared" si="178"/>
        <v>#DIV/0!</v>
      </c>
      <c r="BL216" s="1072"/>
      <c r="BM216" s="708" t="str">
        <f t="shared" si="179"/>
        <v>No Prog ni Ejec</v>
      </c>
      <c r="BN216" s="708" t="str">
        <f t="shared" si="180"/>
        <v>No Prog ni Ejec</v>
      </c>
      <c r="BO216" s="708" t="str">
        <f t="shared" si="181"/>
        <v>No Prog ni Ejec</v>
      </c>
      <c r="BP216" s="708" t="str">
        <f t="shared" si="182"/>
        <v>No Prog ni Ejec</v>
      </c>
      <c r="BQ216" s="708">
        <f t="shared" si="183"/>
        <v>0</v>
      </c>
      <c r="BR216" s="708" t="str">
        <f t="shared" si="184"/>
        <v>No Prog ni Ejec</v>
      </c>
      <c r="BS216" s="708">
        <f t="shared" si="185"/>
        <v>1</v>
      </c>
      <c r="BT216" s="829" t="str">
        <f t="shared" si="186"/>
        <v>No Prog ni Ejec</v>
      </c>
    </row>
    <row r="217" spans="1:72" s="958" customFormat="1" ht="89.25" customHeight="1" x14ac:dyDescent="0.2">
      <c r="A217" s="1091">
        <v>11900</v>
      </c>
      <c r="B217" s="1068" t="s">
        <v>349</v>
      </c>
      <c r="C217" s="1068" t="s">
        <v>1340</v>
      </c>
      <c r="D217" s="1059" t="s">
        <v>351</v>
      </c>
      <c r="E217" s="1060" t="s">
        <v>256</v>
      </c>
      <c r="F217" s="1059" t="s">
        <v>1447</v>
      </c>
      <c r="G217" s="1068" t="s">
        <v>1412</v>
      </c>
      <c r="H217" s="1089" t="s">
        <v>124</v>
      </c>
      <c r="I217" s="1085">
        <v>2</v>
      </c>
      <c r="J217" s="1085" t="s">
        <v>1448</v>
      </c>
      <c r="K217" s="1068" t="s">
        <v>1414</v>
      </c>
      <c r="L217" s="529">
        <v>0</v>
      </c>
      <c r="M217" s="1078">
        <v>1</v>
      </c>
      <c r="N217" s="1068" t="s">
        <v>51</v>
      </c>
      <c r="O217" s="1068" t="s">
        <v>56</v>
      </c>
      <c r="P217" s="1068" t="s">
        <v>37</v>
      </c>
      <c r="Q217" s="1068" t="s">
        <v>39</v>
      </c>
      <c r="R217" s="1068" t="s">
        <v>210</v>
      </c>
      <c r="S217" s="1068" t="s">
        <v>1415</v>
      </c>
      <c r="T217" s="1068" t="s">
        <v>101</v>
      </c>
      <c r="U217" s="737">
        <v>2</v>
      </c>
      <c r="V217" s="1071" t="str">
        <f t="shared" si="189"/>
        <v>Monitorear y revisar periódicamente los riesgos de corrupción del proceso a cargo, verificando el cumplimiento del Plan de Acción para mitigarlos o la identificación de nuevos riesgos de corrupción, a través de reuniones de Autocontrol.</v>
      </c>
      <c r="W217" s="699">
        <f t="shared" si="189"/>
        <v>0</v>
      </c>
      <c r="X217" s="1086" t="s">
        <v>117</v>
      </c>
      <c r="Y217" s="1090">
        <v>0</v>
      </c>
      <c r="Z217" s="1072" t="str">
        <f t="shared" si="157"/>
        <v>Monitorear y revisar periódicamente los riesgos de corrupción del proceso a cargo, verificando el cumplimiento del Plan de Acción para mitigarlos o la identificación de nuevos riesgos de corrupción, a través de reuniones de Autocontrol.</v>
      </c>
      <c r="AA217" s="529">
        <v>0</v>
      </c>
      <c r="AB217" s="776"/>
      <c r="AC217" s="529"/>
      <c r="AD217" s="1069" t="e">
        <f t="shared" si="188"/>
        <v>#DIV/0!</v>
      </c>
      <c r="AE217" s="1069" t="e">
        <f t="shared" si="164"/>
        <v>#DIV/0!</v>
      </c>
      <c r="AF217" s="1069">
        <f t="shared" si="165"/>
        <v>0</v>
      </c>
      <c r="AG217" s="1069" t="e">
        <f t="shared" si="166"/>
        <v>#DIV/0!</v>
      </c>
      <c r="AH217" s="1068"/>
      <c r="AI217" s="1090">
        <v>0</v>
      </c>
      <c r="AJ217" s="1072" t="str">
        <f t="shared" si="158"/>
        <v>Monitorear y revisar periódicamente los riesgos de corrupción del proceso a cargo, verificando el cumplimiento del Plan de Acción para mitigarlos o la identificación de nuevos riesgos de corrupción, a través de reuniones de Autocontrol.</v>
      </c>
      <c r="AK217" s="529">
        <v>0</v>
      </c>
      <c r="AL217" s="700"/>
      <c r="AM217" s="700"/>
      <c r="AN217" s="1069" t="e">
        <f t="shared" si="167"/>
        <v>#DIV/0!</v>
      </c>
      <c r="AO217" s="1069" t="e">
        <f t="shared" si="168"/>
        <v>#DIV/0!</v>
      </c>
      <c r="AP217" s="1069">
        <f t="shared" si="169"/>
        <v>0</v>
      </c>
      <c r="AQ217" s="1069" t="e">
        <f t="shared" si="170"/>
        <v>#DIV/0!</v>
      </c>
      <c r="AR217" s="845"/>
      <c r="AS217" s="1090">
        <v>1</v>
      </c>
      <c r="AT217" s="1072" t="str">
        <f t="shared" si="161"/>
        <v>Monitorear y revisar periódicamente los riesgos de corrupción del proceso a cargo, verificando el cumplimiento del Plan de Acción para mitigarlos o la identificación de nuevos riesgos de corrupción, a través de reuniones de Autocontrol.</v>
      </c>
      <c r="AU217" s="529">
        <v>0</v>
      </c>
      <c r="AV217" s="700">
        <f>((0/2)*(25/100))</f>
        <v>0</v>
      </c>
      <c r="AW217" s="739">
        <v>0</v>
      </c>
      <c r="AX217" s="1069">
        <f t="shared" si="171"/>
        <v>0</v>
      </c>
      <c r="AY217" s="1069" t="e">
        <f t="shared" si="172"/>
        <v>#DIV/0!</v>
      </c>
      <c r="AZ217" s="1069">
        <f t="shared" si="173"/>
        <v>0</v>
      </c>
      <c r="BA217" s="1069" t="e">
        <f t="shared" si="174"/>
        <v>#DIV/0!</v>
      </c>
      <c r="BB217" s="1072" t="s">
        <v>2019</v>
      </c>
      <c r="BC217" s="1090">
        <v>1</v>
      </c>
      <c r="BD217" s="1072" t="str">
        <f t="shared" si="162"/>
        <v>Monitorear y revisar periódicamente los riesgos de corrupción del proceso a cargo, verificando el cumplimiento del Plan de Acción para mitigarlos o la identificación de nuevos riesgos de corrupción, a través de reuniones de Autocontrol.</v>
      </c>
      <c r="BE217" s="529">
        <v>0</v>
      </c>
      <c r="BF217" s="1067">
        <v>2</v>
      </c>
      <c r="BG217" s="1054">
        <v>0</v>
      </c>
      <c r="BH217" s="1075">
        <f t="shared" si="175"/>
        <v>2</v>
      </c>
      <c r="BI217" s="1075" t="e">
        <f t="shared" si="176"/>
        <v>#DIV/0!</v>
      </c>
      <c r="BJ217" s="1075">
        <f t="shared" si="177"/>
        <v>1</v>
      </c>
      <c r="BK217" s="1075" t="e">
        <f t="shared" si="178"/>
        <v>#DIV/0!</v>
      </c>
      <c r="BL217" s="1068" t="s">
        <v>2091</v>
      </c>
      <c r="BM217" s="708" t="str">
        <f t="shared" si="179"/>
        <v>No Prog ni Ejec</v>
      </c>
      <c r="BN217" s="708" t="str">
        <f t="shared" si="180"/>
        <v>No Prog ni Ejec</v>
      </c>
      <c r="BO217" s="708" t="str">
        <f t="shared" si="181"/>
        <v>No Prog ni Ejec</v>
      </c>
      <c r="BP217" s="708" t="str">
        <f t="shared" si="182"/>
        <v>No Prog ni Ejec</v>
      </c>
      <c r="BQ217" s="708">
        <f t="shared" si="183"/>
        <v>0</v>
      </c>
      <c r="BR217" s="708" t="str">
        <f t="shared" si="184"/>
        <v>No Prog ni Ejec</v>
      </c>
      <c r="BS217" s="708">
        <f t="shared" si="185"/>
        <v>2</v>
      </c>
      <c r="BT217" s="829" t="str">
        <f t="shared" si="186"/>
        <v>No Prog ni Ejec</v>
      </c>
    </row>
    <row r="218" spans="1:72" s="958" customFormat="1" ht="89.25" x14ac:dyDescent="0.2">
      <c r="A218" s="1091">
        <v>11900</v>
      </c>
      <c r="B218" s="1068" t="s">
        <v>349</v>
      </c>
      <c r="C218" s="1068" t="s">
        <v>1340</v>
      </c>
      <c r="D218" s="1059" t="s">
        <v>351</v>
      </c>
      <c r="E218" s="1060" t="s">
        <v>256</v>
      </c>
      <c r="F218" s="1059" t="s">
        <v>1449</v>
      </c>
      <c r="G218" s="1068" t="s">
        <v>1417</v>
      </c>
      <c r="H218" s="1089" t="s">
        <v>124</v>
      </c>
      <c r="I218" s="1085">
        <v>2</v>
      </c>
      <c r="J218" s="1085" t="s">
        <v>1450</v>
      </c>
      <c r="K218" s="1068" t="s">
        <v>1419</v>
      </c>
      <c r="L218" s="529">
        <v>0</v>
      </c>
      <c r="M218" s="1078">
        <v>1</v>
      </c>
      <c r="N218" s="1068" t="s">
        <v>51</v>
      </c>
      <c r="O218" s="1068" t="s">
        <v>56</v>
      </c>
      <c r="P218" s="1068" t="s">
        <v>37</v>
      </c>
      <c r="Q218" s="1068" t="s">
        <v>39</v>
      </c>
      <c r="R218" s="1068" t="s">
        <v>210</v>
      </c>
      <c r="S218" s="1068" t="s">
        <v>1420</v>
      </c>
      <c r="T218" s="1068" t="s">
        <v>92</v>
      </c>
      <c r="U218" s="737">
        <v>2</v>
      </c>
      <c r="V218" s="1071" t="str">
        <f t="shared" si="189"/>
        <v>Ajustar mapa de riesgos de corrupción de ser necesario y solicitar cambios (remitir a Oficina Asesora de Planeación)</v>
      </c>
      <c r="W218" s="699">
        <f t="shared" si="189"/>
        <v>0</v>
      </c>
      <c r="X218" s="1086" t="s">
        <v>117</v>
      </c>
      <c r="Y218" s="1090">
        <v>0</v>
      </c>
      <c r="Z218" s="1072" t="str">
        <f t="shared" si="157"/>
        <v>Ajustar mapa de riesgos de corrupción de ser necesario y solicitar cambios (remitir a Oficina Asesora de Planeación)</v>
      </c>
      <c r="AA218" s="529">
        <v>0</v>
      </c>
      <c r="AB218" s="776"/>
      <c r="AC218" s="529"/>
      <c r="AD218" s="1069" t="e">
        <f t="shared" si="188"/>
        <v>#DIV/0!</v>
      </c>
      <c r="AE218" s="1069" t="e">
        <f t="shared" si="164"/>
        <v>#DIV/0!</v>
      </c>
      <c r="AF218" s="1069">
        <f t="shared" si="165"/>
        <v>0</v>
      </c>
      <c r="AG218" s="1069" t="e">
        <f t="shared" si="166"/>
        <v>#DIV/0!</v>
      </c>
      <c r="AH218" s="1068"/>
      <c r="AI218" s="1090">
        <v>0</v>
      </c>
      <c r="AJ218" s="1072" t="str">
        <f t="shared" si="158"/>
        <v>Ajustar mapa de riesgos de corrupción de ser necesario y solicitar cambios (remitir a Oficina Asesora de Planeación)</v>
      </c>
      <c r="AK218" s="529">
        <v>0</v>
      </c>
      <c r="AL218" s="700"/>
      <c r="AM218" s="700"/>
      <c r="AN218" s="1069" t="e">
        <f t="shared" si="167"/>
        <v>#DIV/0!</v>
      </c>
      <c r="AO218" s="1069" t="e">
        <f t="shared" si="168"/>
        <v>#DIV/0!</v>
      </c>
      <c r="AP218" s="1069">
        <f t="shared" si="169"/>
        <v>0</v>
      </c>
      <c r="AQ218" s="1069" t="e">
        <f t="shared" si="170"/>
        <v>#DIV/0!</v>
      </c>
      <c r="AR218" s="845"/>
      <c r="AS218" s="1090">
        <v>1</v>
      </c>
      <c r="AT218" s="1072" t="str">
        <f t="shared" si="161"/>
        <v>Ajustar mapa de riesgos de corrupción de ser necesario y solicitar cambios (remitir a Oficina Asesora de Planeación)</v>
      </c>
      <c r="AU218" s="529">
        <v>0</v>
      </c>
      <c r="AV218" s="700">
        <v>0</v>
      </c>
      <c r="AW218" s="739">
        <v>0</v>
      </c>
      <c r="AX218" s="1069">
        <f t="shared" si="171"/>
        <v>0</v>
      </c>
      <c r="AY218" s="1069" t="e">
        <f t="shared" si="172"/>
        <v>#DIV/0!</v>
      </c>
      <c r="AZ218" s="1069">
        <f t="shared" si="173"/>
        <v>0</v>
      </c>
      <c r="BA218" s="1069" t="e">
        <f t="shared" si="174"/>
        <v>#DIV/0!</v>
      </c>
      <c r="BB218" s="1072" t="s">
        <v>2020</v>
      </c>
      <c r="BC218" s="1090">
        <v>1</v>
      </c>
      <c r="BD218" s="1072" t="str">
        <f t="shared" si="162"/>
        <v>Ajustar mapa de riesgos de corrupción de ser necesario y solicitar cambios (remitir a Oficina Asesora de Planeación)</v>
      </c>
      <c r="BE218" s="529">
        <v>0</v>
      </c>
      <c r="BF218" s="1067">
        <v>0</v>
      </c>
      <c r="BG218" s="1054">
        <v>0</v>
      </c>
      <c r="BH218" s="1075">
        <f t="shared" si="175"/>
        <v>0</v>
      </c>
      <c r="BI218" s="1075" t="e">
        <f t="shared" si="176"/>
        <v>#DIV/0!</v>
      </c>
      <c r="BJ218" s="1075">
        <f t="shared" si="177"/>
        <v>0</v>
      </c>
      <c r="BK218" s="1075" t="e">
        <f t="shared" si="178"/>
        <v>#DIV/0!</v>
      </c>
      <c r="BL218" s="1068" t="s">
        <v>2092</v>
      </c>
      <c r="BM218" s="708" t="str">
        <f t="shared" si="179"/>
        <v>No Prog ni Ejec</v>
      </c>
      <c r="BN218" s="708" t="str">
        <f t="shared" si="180"/>
        <v>No Prog ni Ejec</v>
      </c>
      <c r="BO218" s="708" t="str">
        <f t="shared" si="181"/>
        <v>No Prog ni Ejec</v>
      </c>
      <c r="BP218" s="708" t="str">
        <f t="shared" si="182"/>
        <v>No Prog ni Ejec</v>
      </c>
      <c r="BQ218" s="708">
        <f t="shared" si="183"/>
        <v>0</v>
      </c>
      <c r="BR218" s="708" t="str">
        <f t="shared" si="184"/>
        <v>No Prog ni Ejec</v>
      </c>
      <c r="BS218" s="708">
        <f t="shared" si="185"/>
        <v>0</v>
      </c>
      <c r="BT218" s="829" t="str">
        <f t="shared" si="186"/>
        <v>No Prog ni Ejec</v>
      </c>
    </row>
    <row r="219" spans="1:72" s="958" customFormat="1" ht="165" customHeight="1" x14ac:dyDescent="0.2">
      <c r="A219" s="1091">
        <v>11800</v>
      </c>
      <c r="B219" s="1068" t="s">
        <v>5</v>
      </c>
      <c r="C219" s="1068" t="s">
        <v>1340</v>
      </c>
      <c r="D219" s="1059" t="s">
        <v>322</v>
      </c>
      <c r="E219" s="1060" t="s">
        <v>256</v>
      </c>
      <c r="F219" s="1059" t="s">
        <v>1451</v>
      </c>
      <c r="G219" s="1068" t="s">
        <v>1412</v>
      </c>
      <c r="H219" s="1089" t="s">
        <v>124</v>
      </c>
      <c r="I219" s="1085">
        <v>2</v>
      </c>
      <c r="J219" s="1085" t="s">
        <v>1452</v>
      </c>
      <c r="K219" s="1068" t="s">
        <v>1414</v>
      </c>
      <c r="L219" s="529">
        <v>0</v>
      </c>
      <c r="M219" s="1078">
        <v>1</v>
      </c>
      <c r="N219" s="1068" t="s">
        <v>51</v>
      </c>
      <c r="O219" s="1068" t="s">
        <v>56</v>
      </c>
      <c r="P219" s="1068" t="s">
        <v>37</v>
      </c>
      <c r="Q219" s="1068" t="s">
        <v>39</v>
      </c>
      <c r="R219" s="1068" t="s">
        <v>210</v>
      </c>
      <c r="S219" s="1068" t="s">
        <v>1415</v>
      </c>
      <c r="T219" s="1068" t="s">
        <v>92</v>
      </c>
      <c r="U219" s="737">
        <v>2</v>
      </c>
      <c r="V219" s="1071" t="str">
        <f t="shared" si="189"/>
        <v>Monitorear y revisar periódicamente los riesgos de corrupción del proceso a cargo, verificando el cumplimiento del Plan de Acción para mitigarlos o la identificación de nuevos riesgos de corrupción, a través de reuniones de Autocontrol.</v>
      </c>
      <c r="W219" s="699">
        <f t="shared" si="189"/>
        <v>0</v>
      </c>
      <c r="X219" s="1086" t="s">
        <v>117</v>
      </c>
      <c r="Y219" s="1090">
        <v>0</v>
      </c>
      <c r="Z219" s="1072" t="str">
        <f t="shared" si="157"/>
        <v>Monitorear y revisar periódicamente los riesgos de corrupción del proceso a cargo, verificando el cumplimiento del Plan de Acción para mitigarlos o la identificación de nuevos riesgos de corrupción, a través de reuniones de Autocontrol.</v>
      </c>
      <c r="AA219" s="529">
        <v>0</v>
      </c>
      <c r="AB219" s="776"/>
      <c r="AC219" s="529"/>
      <c r="AD219" s="1069" t="e">
        <f t="shared" si="188"/>
        <v>#DIV/0!</v>
      </c>
      <c r="AE219" s="1069" t="e">
        <f t="shared" si="164"/>
        <v>#DIV/0!</v>
      </c>
      <c r="AF219" s="1069">
        <f t="shared" si="165"/>
        <v>0</v>
      </c>
      <c r="AG219" s="1069" t="e">
        <f t="shared" si="166"/>
        <v>#DIV/0!</v>
      </c>
      <c r="AH219" s="1068"/>
      <c r="AI219" s="1090">
        <v>0</v>
      </c>
      <c r="AJ219" s="1072" t="str">
        <f t="shared" si="158"/>
        <v>Monitorear y revisar periódicamente los riesgos de corrupción del proceso a cargo, verificando el cumplimiento del Plan de Acción para mitigarlos o la identificación de nuevos riesgos de corrupción, a través de reuniones de Autocontrol.</v>
      </c>
      <c r="AK219" s="529">
        <v>0</v>
      </c>
      <c r="AL219" s="700"/>
      <c r="AM219" s="700"/>
      <c r="AN219" s="1069" t="e">
        <f t="shared" si="167"/>
        <v>#DIV/0!</v>
      </c>
      <c r="AO219" s="1069" t="e">
        <f t="shared" si="168"/>
        <v>#DIV/0!</v>
      </c>
      <c r="AP219" s="1069">
        <f t="shared" si="169"/>
        <v>0</v>
      </c>
      <c r="AQ219" s="1069" t="e">
        <f t="shared" si="170"/>
        <v>#DIV/0!</v>
      </c>
      <c r="AR219" s="845"/>
      <c r="AS219" s="1090">
        <v>1</v>
      </c>
      <c r="AT219" s="1072" t="str">
        <f t="shared" si="161"/>
        <v>Monitorear y revisar periódicamente los riesgos de corrupción del proceso a cargo, verificando el cumplimiento del Plan de Acción para mitigarlos o la identificación de nuevos riesgos de corrupción, a través de reuniones de Autocontrol.</v>
      </c>
      <c r="AU219" s="529">
        <v>0</v>
      </c>
      <c r="AV219" s="825">
        <v>1</v>
      </c>
      <c r="AW219" s="739">
        <v>0</v>
      </c>
      <c r="AX219" s="1069">
        <f t="shared" si="171"/>
        <v>1</v>
      </c>
      <c r="AY219" s="1069" t="e">
        <f t="shared" si="172"/>
        <v>#DIV/0!</v>
      </c>
      <c r="AZ219" s="1069">
        <f t="shared" si="173"/>
        <v>0.5</v>
      </c>
      <c r="BA219" s="1069" t="e">
        <f t="shared" si="174"/>
        <v>#DIV/0!</v>
      </c>
      <c r="BB219" s="1068" t="s">
        <v>1904</v>
      </c>
      <c r="BC219" s="1090">
        <v>1</v>
      </c>
      <c r="BD219" s="1072" t="str">
        <f t="shared" si="162"/>
        <v>Monitorear y revisar periódicamente los riesgos de corrupción del proceso a cargo, verificando el cumplimiento del Plan de Acción para mitigarlos o la identificación de nuevos riesgos de corrupción, a través de reuniones de Autocontrol.</v>
      </c>
      <c r="BE219" s="529">
        <v>0</v>
      </c>
      <c r="BF219" s="1067">
        <v>1</v>
      </c>
      <c r="BG219" s="1054">
        <v>0</v>
      </c>
      <c r="BH219" s="1075">
        <f t="shared" si="175"/>
        <v>1</v>
      </c>
      <c r="BI219" s="1075" t="e">
        <f t="shared" si="176"/>
        <v>#DIV/0!</v>
      </c>
      <c r="BJ219" s="1075">
        <f t="shared" si="177"/>
        <v>1</v>
      </c>
      <c r="BK219" s="1075" t="e">
        <f t="shared" si="178"/>
        <v>#DIV/0!</v>
      </c>
      <c r="BL219" s="1068" t="s">
        <v>2094</v>
      </c>
      <c r="BM219" s="708" t="str">
        <f t="shared" si="179"/>
        <v>No Prog ni Ejec</v>
      </c>
      <c r="BN219" s="708" t="str">
        <f t="shared" si="180"/>
        <v>No Prog ni Ejec</v>
      </c>
      <c r="BO219" s="708" t="str">
        <f t="shared" si="181"/>
        <v>No Prog ni Ejec</v>
      </c>
      <c r="BP219" s="708" t="str">
        <f t="shared" si="182"/>
        <v>No Prog ni Ejec</v>
      </c>
      <c r="BQ219" s="708">
        <f t="shared" si="183"/>
        <v>1</v>
      </c>
      <c r="BR219" s="708" t="str">
        <f t="shared" si="184"/>
        <v>No Prog ni Ejec</v>
      </c>
      <c r="BS219" s="708">
        <f t="shared" si="185"/>
        <v>1</v>
      </c>
      <c r="BT219" s="829" t="str">
        <f t="shared" si="186"/>
        <v>No Prog ni Ejec</v>
      </c>
    </row>
    <row r="220" spans="1:72" s="958" customFormat="1" ht="89.25" x14ac:dyDescent="0.2">
      <c r="A220" s="1091">
        <v>11800</v>
      </c>
      <c r="B220" s="1068" t="s">
        <v>5</v>
      </c>
      <c r="C220" s="1068" t="s">
        <v>1340</v>
      </c>
      <c r="D220" s="1059" t="s">
        <v>322</v>
      </c>
      <c r="E220" s="1060" t="s">
        <v>256</v>
      </c>
      <c r="F220" s="1059" t="s">
        <v>1453</v>
      </c>
      <c r="G220" s="1068" t="s">
        <v>1417</v>
      </c>
      <c r="H220" s="1089" t="s">
        <v>124</v>
      </c>
      <c r="I220" s="1085">
        <v>2</v>
      </c>
      <c r="J220" s="1085" t="s">
        <v>1454</v>
      </c>
      <c r="K220" s="1068" t="s">
        <v>1419</v>
      </c>
      <c r="L220" s="529">
        <v>0</v>
      </c>
      <c r="M220" s="1078">
        <v>1</v>
      </c>
      <c r="N220" s="1068" t="s">
        <v>51</v>
      </c>
      <c r="O220" s="1068" t="s">
        <v>56</v>
      </c>
      <c r="P220" s="1068" t="s">
        <v>37</v>
      </c>
      <c r="Q220" s="1068" t="s">
        <v>39</v>
      </c>
      <c r="R220" s="1068" t="s">
        <v>210</v>
      </c>
      <c r="S220" s="1068" t="s">
        <v>1420</v>
      </c>
      <c r="T220" s="1068" t="s">
        <v>92</v>
      </c>
      <c r="U220" s="1085">
        <v>2</v>
      </c>
      <c r="V220" s="1071" t="str">
        <f t="shared" si="189"/>
        <v>Ajustar mapa de riesgos de corrupción de ser necesario y solicitar cambios (remitir a Oficina Asesora de Planeación)</v>
      </c>
      <c r="W220" s="699">
        <f t="shared" si="189"/>
        <v>0</v>
      </c>
      <c r="X220" s="1086" t="s">
        <v>117</v>
      </c>
      <c r="Y220" s="1090">
        <v>0</v>
      </c>
      <c r="Z220" s="1072" t="str">
        <f t="shared" si="157"/>
        <v>Ajustar mapa de riesgos de corrupción de ser necesario y solicitar cambios (remitir a Oficina Asesora de Planeación)</v>
      </c>
      <c r="AA220" s="529">
        <v>0</v>
      </c>
      <c r="AB220" s="776"/>
      <c r="AC220" s="529"/>
      <c r="AD220" s="1069" t="e">
        <f t="shared" si="188"/>
        <v>#DIV/0!</v>
      </c>
      <c r="AE220" s="1069" t="e">
        <f t="shared" si="164"/>
        <v>#DIV/0!</v>
      </c>
      <c r="AF220" s="1069">
        <f t="shared" si="165"/>
        <v>0</v>
      </c>
      <c r="AG220" s="1069" t="e">
        <f t="shared" si="166"/>
        <v>#DIV/0!</v>
      </c>
      <c r="AH220" s="1068"/>
      <c r="AI220" s="1090">
        <v>0</v>
      </c>
      <c r="AJ220" s="1072" t="str">
        <f t="shared" si="158"/>
        <v>Ajustar mapa de riesgos de corrupción de ser necesario y solicitar cambios (remitir a Oficina Asesora de Planeación)</v>
      </c>
      <c r="AK220" s="529">
        <v>0</v>
      </c>
      <c r="AL220" s="700"/>
      <c r="AM220" s="700"/>
      <c r="AN220" s="1069" t="e">
        <f t="shared" si="167"/>
        <v>#DIV/0!</v>
      </c>
      <c r="AO220" s="1069" t="e">
        <f t="shared" si="168"/>
        <v>#DIV/0!</v>
      </c>
      <c r="AP220" s="1069">
        <f t="shared" si="169"/>
        <v>0</v>
      </c>
      <c r="AQ220" s="1069" t="e">
        <f t="shared" si="170"/>
        <v>#DIV/0!</v>
      </c>
      <c r="AR220" s="845"/>
      <c r="AS220" s="1090">
        <v>1</v>
      </c>
      <c r="AT220" s="1072" t="str">
        <f t="shared" si="161"/>
        <v>Ajustar mapa de riesgos de corrupción de ser necesario y solicitar cambios (remitir a Oficina Asesora de Planeación)</v>
      </c>
      <c r="AU220" s="529">
        <v>0</v>
      </c>
      <c r="AV220" s="825">
        <v>1</v>
      </c>
      <c r="AW220" s="739">
        <v>0</v>
      </c>
      <c r="AX220" s="1069">
        <f t="shared" si="171"/>
        <v>1</v>
      </c>
      <c r="AY220" s="1069" t="e">
        <f t="shared" si="172"/>
        <v>#DIV/0!</v>
      </c>
      <c r="AZ220" s="1069">
        <f t="shared" si="173"/>
        <v>0.5</v>
      </c>
      <c r="BA220" s="1069" t="e">
        <f t="shared" si="174"/>
        <v>#DIV/0!</v>
      </c>
      <c r="BB220" s="1068" t="s">
        <v>2328</v>
      </c>
      <c r="BC220" s="1090">
        <v>1</v>
      </c>
      <c r="BD220" s="1072" t="str">
        <f t="shared" si="162"/>
        <v>Ajustar mapa de riesgos de corrupción de ser necesario y solicitar cambios (remitir a Oficina Asesora de Planeación)</v>
      </c>
      <c r="BE220" s="529">
        <v>0</v>
      </c>
      <c r="BF220" s="1067">
        <v>1</v>
      </c>
      <c r="BG220" s="1054">
        <v>0</v>
      </c>
      <c r="BH220" s="1075">
        <f t="shared" si="175"/>
        <v>1</v>
      </c>
      <c r="BI220" s="1075" t="e">
        <f t="shared" si="176"/>
        <v>#DIV/0!</v>
      </c>
      <c r="BJ220" s="1075">
        <f t="shared" si="177"/>
        <v>1</v>
      </c>
      <c r="BK220" s="1075" t="e">
        <f t="shared" si="178"/>
        <v>#DIV/0!</v>
      </c>
      <c r="BL220" s="1072"/>
      <c r="BM220" s="708" t="str">
        <f t="shared" si="179"/>
        <v>No Prog ni Ejec</v>
      </c>
      <c r="BN220" s="708" t="str">
        <f t="shared" si="180"/>
        <v>No Prog ni Ejec</v>
      </c>
      <c r="BO220" s="708" t="str">
        <f t="shared" si="181"/>
        <v>No Prog ni Ejec</v>
      </c>
      <c r="BP220" s="708" t="str">
        <f t="shared" si="182"/>
        <v>No Prog ni Ejec</v>
      </c>
      <c r="BQ220" s="708">
        <f t="shared" si="183"/>
        <v>1</v>
      </c>
      <c r="BR220" s="708" t="str">
        <f t="shared" si="184"/>
        <v>No Prog ni Ejec</v>
      </c>
      <c r="BS220" s="708">
        <f t="shared" si="185"/>
        <v>1</v>
      </c>
      <c r="BT220" s="829" t="str">
        <f t="shared" si="186"/>
        <v>No Prog ni Ejec</v>
      </c>
    </row>
    <row r="221" spans="1:72" s="958" customFormat="1" ht="130.5" customHeight="1" x14ac:dyDescent="0.2">
      <c r="A221" s="1091">
        <v>11800</v>
      </c>
      <c r="B221" s="1068" t="s">
        <v>5</v>
      </c>
      <c r="C221" s="1068" t="s">
        <v>1340</v>
      </c>
      <c r="D221" s="1059" t="s">
        <v>322</v>
      </c>
      <c r="E221" s="1060" t="s">
        <v>256</v>
      </c>
      <c r="F221" s="1059" t="s">
        <v>1455</v>
      </c>
      <c r="G221" s="1068" t="s">
        <v>1456</v>
      </c>
      <c r="H221" s="1089" t="s">
        <v>124</v>
      </c>
      <c r="I221" s="1085">
        <v>2</v>
      </c>
      <c r="J221" s="1085" t="s">
        <v>1457</v>
      </c>
      <c r="K221" s="1068" t="s">
        <v>1458</v>
      </c>
      <c r="L221" s="529">
        <v>0</v>
      </c>
      <c r="M221" s="1078">
        <v>1</v>
      </c>
      <c r="N221" s="1068" t="s">
        <v>51</v>
      </c>
      <c r="O221" s="1068" t="s">
        <v>56</v>
      </c>
      <c r="P221" s="1068" t="s">
        <v>37</v>
      </c>
      <c r="Q221" s="1068" t="s">
        <v>39</v>
      </c>
      <c r="R221" s="1068" t="s">
        <v>210</v>
      </c>
      <c r="S221" s="1068" t="s">
        <v>1459</v>
      </c>
      <c r="T221" s="1068" t="s">
        <v>92</v>
      </c>
      <c r="U221" s="777">
        <v>2</v>
      </c>
      <c r="V221" s="1071" t="str">
        <f t="shared" si="189"/>
        <v>Realizar seguimiento al mapa de riesgos de corrupción y a la efectividad de los controles</v>
      </c>
      <c r="W221" s="699">
        <f t="shared" si="189"/>
        <v>0</v>
      </c>
      <c r="X221" s="1086" t="s">
        <v>117</v>
      </c>
      <c r="Y221" s="1090">
        <v>0</v>
      </c>
      <c r="Z221" s="1072" t="str">
        <f t="shared" si="157"/>
        <v>Realizar seguimiento al mapa de riesgos de corrupción y a la efectividad de los controles</v>
      </c>
      <c r="AA221" s="529">
        <v>0</v>
      </c>
      <c r="AB221" s="776"/>
      <c r="AC221" s="529"/>
      <c r="AD221" s="1069" t="e">
        <f t="shared" si="188"/>
        <v>#DIV/0!</v>
      </c>
      <c r="AE221" s="1069" t="e">
        <f t="shared" si="164"/>
        <v>#DIV/0!</v>
      </c>
      <c r="AF221" s="1069">
        <f t="shared" si="165"/>
        <v>0</v>
      </c>
      <c r="AG221" s="1069" t="e">
        <f t="shared" si="166"/>
        <v>#DIV/0!</v>
      </c>
      <c r="AH221" s="1068"/>
      <c r="AI221" s="1090">
        <v>1</v>
      </c>
      <c r="AJ221" s="1072" t="str">
        <f t="shared" si="158"/>
        <v>Realizar seguimiento al mapa de riesgos de corrupción y a la efectividad de los controles</v>
      </c>
      <c r="AK221" s="529">
        <v>0</v>
      </c>
      <c r="AL221" s="700">
        <v>1</v>
      </c>
      <c r="AM221" s="700">
        <v>0</v>
      </c>
      <c r="AN221" s="1069">
        <f t="shared" si="167"/>
        <v>1</v>
      </c>
      <c r="AO221" s="1069" t="e">
        <f t="shared" si="168"/>
        <v>#DIV/0!</v>
      </c>
      <c r="AP221" s="1069">
        <f t="shared" si="169"/>
        <v>0.5</v>
      </c>
      <c r="AQ221" s="1069" t="e">
        <f t="shared" si="170"/>
        <v>#DIV/0!</v>
      </c>
      <c r="AR221" s="845"/>
      <c r="AS221" s="1090">
        <v>1</v>
      </c>
      <c r="AT221" s="1072" t="str">
        <f t="shared" si="161"/>
        <v>Realizar seguimiento al mapa de riesgos de corrupción y a la efectividad de los controles</v>
      </c>
      <c r="AU221" s="529">
        <v>0</v>
      </c>
      <c r="AV221" s="825">
        <v>1</v>
      </c>
      <c r="AW221" s="739">
        <v>0</v>
      </c>
      <c r="AX221" s="1069">
        <f t="shared" si="171"/>
        <v>1</v>
      </c>
      <c r="AY221" s="1069" t="e">
        <f t="shared" si="172"/>
        <v>#DIV/0!</v>
      </c>
      <c r="AZ221" s="1069">
        <f t="shared" si="173"/>
        <v>1</v>
      </c>
      <c r="BA221" s="1069" t="e">
        <f t="shared" si="174"/>
        <v>#DIV/0!</v>
      </c>
      <c r="BB221" s="1068" t="s">
        <v>1905</v>
      </c>
      <c r="BC221" s="1090">
        <v>0</v>
      </c>
      <c r="BD221" s="1072" t="str">
        <f t="shared" si="162"/>
        <v>Realizar seguimiento al mapa de riesgos de corrupción y a la efectividad de los controles</v>
      </c>
      <c r="BE221" s="529">
        <v>0</v>
      </c>
      <c r="BF221" s="806">
        <v>0</v>
      </c>
      <c r="BG221" s="1054">
        <v>0</v>
      </c>
      <c r="BH221" s="1075" t="e">
        <f t="shared" si="175"/>
        <v>#DIV/0!</v>
      </c>
      <c r="BI221" s="1075" t="e">
        <f t="shared" si="176"/>
        <v>#DIV/0!</v>
      </c>
      <c r="BJ221" s="1075">
        <f t="shared" si="177"/>
        <v>1</v>
      </c>
      <c r="BK221" s="1075" t="e">
        <f t="shared" si="178"/>
        <v>#DIV/0!</v>
      </c>
      <c r="BL221" s="1072"/>
      <c r="BM221" s="708" t="str">
        <f t="shared" si="179"/>
        <v>No Prog ni Ejec</v>
      </c>
      <c r="BN221" s="708" t="str">
        <f t="shared" si="180"/>
        <v>No Prog ni Ejec</v>
      </c>
      <c r="BO221" s="708">
        <f t="shared" si="181"/>
        <v>1</v>
      </c>
      <c r="BP221" s="708" t="str">
        <f t="shared" si="182"/>
        <v>No Prog ni Ejec</v>
      </c>
      <c r="BQ221" s="708">
        <f t="shared" si="183"/>
        <v>1</v>
      </c>
      <c r="BR221" s="708" t="str">
        <f t="shared" si="184"/>
        <v>No Prog ni Ejec</v>
      </c>
      <c r="BS221" s="708" t="str">
        <f t="shared" si="185"/>
        <v>No Prog ni Ejec</v>
      </c>
      <c r="BT221" s="829" t="str">
        <f t="shared" si="186"/>
        <v>No Prog ni Ejec</v>
      </c>
    </row>
    <row r="222" spans="1:72" s="958" customFormat="1" ht="89.25" x14ac:dyDescent="0.2">
      <c r="A222" s="1092">
        <v>11600</v>
      </c>
      <c r="B222" s="1068" t="s">
        <v>6</v>
      </c>
      <c r="C222" s="1068" t="s">
        <v>1340</v>
      </c>
      <c r="D222" s="1059" t="s">
        <v>267</v>
      </c>
      <c r="E222" s="1060" t="s">
        <v>256</v>
      </c>
      <c r="F222" s="1059" t="s">
        <v>1460</v>
      </c>
      <c r="G222" s="1068" t="s">
        <v>1461</v>
      </c>
      <c r="H222" s="1089" t="s">
        <v>124</v>
      </c>
      <c r="I222" s="1085">
        <v>1</v>
      </c>
      <c r="J222" s="1085" t="s">
        <v>1462</v>
      </c>
      <c r="K222" s="1068" t="s">
        <v>1463</v>
      </c>
      <c r="L222" s="529">
        <v>0</v>
      </c>
      <c r="M222" s="1078">
        <v>1</v>
      </c>
      <c r="N222" s="1068" t="s">
        <v>51</v>
      </c>
      <c r="O222" s="1068" t="s">
        <v>56</v>
      </c>
      <c r="P222" s="1068" t="s">
        <v>37</v>
      </c>
      <c r="Q222" s="1068" t="s">
        <v>39</v>
      </c>
      <c r="R222" s="1068" t="s">
        <v>210</v>
      </c>
      <c r="S222" s="1068" t="s">
        <v>1464</v>
      </c>
      <c r="T222" s="1068" t="s">
        <v>92</v>
      </c>
      <c r="U222" s="777">
        <v>1</v>
      </c>
      <c r="V222" s="1071" t="str">
        <f t="shared" ref="V222:W229" si="190">+K222</f>
        <v>Definir estrategia de interoperabilidad de sistemas de información interinstitucional.</v>
      </c>
      <c r="W222" s="699">
        <f t="shared" si="190"/>
        <v>0</v>
      </c>
      <c r="X222" s="1086" t="s">
        <v>117</v>
      </c>
      <c r="Y222" s="1090">
        <v>0</v>
      </c>
      <c r="Z222" s="1072" t="str">
        <f t="shared" si="157"/>
        <v>Definir estrategia de interoperabilidad de sistemas de información interinstitucional.</v>
      </c>
      <c r="AA222" s="529">
        <v>0</v>
      </c>
      <c r="AB222" s="776"/>
      <c r="AC222" s="529"/>
      <c r="AD222" s="1069" t="e">
        <f t="shared" si="188"/>
        <v>#DIV/0!</v>
      </c>
      <c r="AE222" s="1069" t="e">
        <f t="shared" si="164"/>
        <v>#DIV/0!</v>
      </c>
      <c r="AF222" s="1069">
        <f t="shared" si="165"/>
        <v>0</v>
      </c>
      <c r="AG222" s="1069" t="e">
        <f t="shared" si="166"/>
        <v>#DIV/0!</v>
      </c>
      <c r="AH222" s="1068"/>
      <c r="AI222" s="1090">
        <v>0</v>
      </c>
      <c r="AJ222" s="1072" t="str">
        <f t="shared" si="158"/>
        <v>Definir estrategia de interoperabilidad de sistemas de información interinstitucional.</v>
      </c>
      <c r="AK222" s="529">
        <v>0</v>
      </c>
      <c r="AL222" s="700"/>
      <c r="AM222" s="700"/>
      <c r="AN222" s="1069" t="e">
        <f t="shared" si="167"/>
        <v>#DIV/0!</v>
      </c>
      <c r="AO222" s="1069" t="e">
        <f t="shared" si="168"/>
        <v>#DIV/0!</v>
      </c>
      <c r="AP222" s="1069">
        <f t="shared" si="169"/>
        <v>0</v>
      </c>
      <c r="AQ222" s="1069" t="e">
        <f t="shared" si="170"/>
        <v>#DIV/0!</v>
      </c>
      <c r="AR222" s="845"/>
      <c r="AS222" s="1090">
        <v>0</v>
      </c>
      <c r="AT222" s="1072" t="str">
        <f t="shared" si="161"/>
        <v>Definir estrategia de interoperabilidad de sistemas de información interinstitucional.</v>
      </c>
      <c r="AU222" s="529">
        <v>0</v>
      </c>
      <c r="AV222" s="700">
        <v>0</v>
      </c>
      <c r="AW222" s="1626">
        <v>0</v>
      </c>
      <c r="AX222" s="1069" t="e">
        <f t="shared" si="171"/>
        <v>#DIV/0!</v>
      </c>
      <c r="AY222" s="1069" t="e">
        <f t="shared" si="172"/>
        <v>#DIV/0!</v>
      </c>
      <c r="AZ222" s="1069">
        <f t="shared" si="173"/>
        <v>0</v>
      </c>
      <c r="BA222" s="1069" t="e">
        <f t="shared" si="174"/>
        <v>#DIV/0!</v>
      </c>
      <c r="BB222" s="1068" t="s">
        <v>2001</v>
      </c>
      <c r="BC222" s="1090">
        <v>1</v>
      </c>
      <c r="BD222" s="1072" t="str">
        <f t="shared" si="162"/>
        <v>Definir estrategia de interoperabilidad de sistemas de información interinstitucional.</v>
      </c>
      <c r="BE222" s="529">
        <v>0</v>
      </c>
      <c r="BF222" s="1067">
        <v>1</v>
      </c>
      <c r="BG222" s="744">
        <v>0</v>
      </c>
      <c r="BH222" s="1075">
        <f t="shared" si="175"/>
        <v>1</v>
      </c>
      <c r="BI222" s="1075" t="e">
        <f t="shared" si="176"/>
        <v>#DIV/0!</v>
      </c>
      <c r="BJ222" s="1075">
        <f t="shared" si="177"/>
        <v>1</v>
      </c>
      <c r="BK222" s="1075" t="e">
        <f t="shared" si="178"/>
        <v>#DIV/0!</v>
      </c>
      <c r="BL222" s="1048" t="s">
        <v>2088</v>
      </c>
      <c r="BM222" s="708" t="str">
        <f t="shared" si="179"/>
        <v>No Prog ni Ejec</v>
      </c>
      <c r="BN222" s="708" t="str">
        <f t="shared" si="180"/>
        <v>No Prog ni Ejec</v>
      </c>
      <c r="BO222" s="708" t="str">
        <f t="shared" si="181"/>
        <v>No Prog ni Ejec</v>
      </c>
      <c r="BP222" s="708" t="str">
        <f t="shared" si="182"/>
        <v>No Prog ni Ejec</v>
      </c>
      <c r="BQ222" s="708" t="str">
        <f t="shared" si="183"/>
        <v>No Prog ni Ejec</v>
      </c>
      <c r="BR222" s="708" t="str">
        <f t="shared" si="184"/>
        <v>No Prog ni Ejec</v>
      </c>
      <c r="BS222" s="708">
        <f t="shared" si="185"/>
        <v>1</v>
      </c>
      <c r="BT222" s="829" t="str">
        <f t="shared" si="186"/>
        <v>No Prog ni Ejec</v>
      </c>
    </row>
    <row r="223" spans="1:72" s="958" customFormat="1" ht="89.25" customHeight="1" x14ac:dyDescent="0.2">
      <c r="A223" s="1091">
        <v>12000</v>
      </c>
      <c r="B223" s="1068" t="s">
        <v>831</v>
      </c>
      <c r="C223" s="1068" t="s">
        <v>1340</v>
      </c>
      <c r="D223" s="1085" t="s">
        <v>355</v>
      </c>
      <c r="E223" s="1068" t="s">
        <v>256</v>
      </c>
      <c r="F223" s="1085" t="s">
        <v>1422</v>
      </c>
      <c r="G223" s="1068" t="s">
        <v>1465</v>
      </c>
      <c r="H223" s="1089" t="s">
        <v>124</v>
      </c>
      <c r="I223" s="1085">
        <v>1</v>
      </c>
      <c r="J223" s="1085" t="s">
        <v>1943</v>
      </c>
      <c r="K223" s="1068" t="s">
        <v>1466</v>
      </c>
      <c r="L223" s="529">
        <v>0</v>
      </c>
      <c r="M223" s="1078">
        <v>1</v>
      </c>
      <c r="N223" s="1068" t="s">
        <v>48</v>
      </c>
      <c r="O223" s="1068" t="s">
        <v>62</v>
      </c>
      <c r="P223" s="1068" t="s">
        <v>21</v>
      </c>
      <c r="Q223" s="1068" t="s">
        <v>23</v>
      </c>
      <c r="R223" s="1068" t="s">
        <v>228</v>
      </c>
      <c r="S223" s="1068" t="s">
        <v>1467</v>
      </c>
      <c r="T223" s="1068" t="s">
        <v>98</v>
      </c>
      <c r="U223" s="777">
        <v>1</v>
      </c>
      <c r="V223" s="1071" t="str">
        <f t="shared" si="190"/>
        <v>Inventariar la información sobre la gestión de la entidad y el cumplimiento de metas del Plan Nacional de Desarrollo y establecer responsables y periodicidad de actualización de la misma.</v>
      </c>
      <c r="W223" s="699">
        <f t="shared" si="190"/>
        <v>0</v>
      </c>
      <c r="X223" s="1086" t="s">
        <v>117</v>
      </c>
      <c r="Y223" s="1090">
        <v>0</v>
      </c>
      <c r="Z223" s="1072" t="str">
        <f t="shared" si="157"/>
        <v>Inventariar la información sobre la gestión de la entidad y el cumplimiento de metas del Plan Nacional de Desarrollo y establecer responsables y periodicidad de actualización de la misma.</v>
      </c>
      <c r="AA223" s="529">
        <v>0</v>
      </c>
      <c r="AB223" s="776"/>
      <c r="AC223" s="529"/>
      <c r="AD223" s="1069" t="e">
        <f t="shared" si="188"/>
        <v>#DIV/0!</v>
      </c>
      <c r="AE223" s="1069" t="e">
        <f t="shared" si="164"/>
        <v>#DIV/0!</v>
      </c>
      <c r="AF223" s="1069">
        <f t="shared" si="165"/>
        <v>0</v>
      </c>
      <c r="AG223" s="1069" t="e">
        <f t="shared" si="166"/>
        <v>#DIV/0!</v>
      </c>
      <c r="AH223" s="1068"/>
      <c r="AI223" s="1090">
        <v>0</v>
      </c>
      <c r="AJ223" s="1072" t="str">
        <f t="shared" si="158"/>
        <v>Inventariar la información sobre la gestión de la entidad y el cumplimiento de metas del Plan Nacional de Desarrollo y establecer responsables y periodicidad de actualización de la misma.</v>
      </c>
      <c r="AK223" s="529">
        <v>0</v>
      </c>
      <c r="AL223" s="700"/>
      <c r="AM223" s="700"/>
      <c r="AN223" s="1069" t="e">
        <f t="shared" si="167"/>
        <v>#DIV/0!</v>
      </c>
      <c r="AO223" s="1069" t="e">
        <f t="shared" si="168"/>
        <v>#DIV/0!</v>
      </c>
      <c r="AP223" s="1069">
        <f t="shared" si="169"/>
        <v>0</v>
      </c>
      <c r="AQ223" s="1069" t="e">
        <f t="shared" si="170"/>
        <v>#DIV/0!</v>
      </c>
      <c r="AR223" s="845"/>
      <c r="AS223" s="1090">
        <v>0</v>
      </c>
      <c r="AT223" s="1072" t="str">
        <f t="shared" si="161"/>
        <v>Inventariar la información sobre la gestión de la entidad y el cumplimiento de metas del Plan Nacional de Desarrollo y establecer responsables y periodicidad de actualización de la misma.</v>
      </c>
      <c r="AU223" s="529">
        <v>0</v>
      </c>
      <c r="AV223" s="700">
        <v>0</v>
      </c>
      <c r="AW223" s="1626">
        <v>0</v>
      </c>
      <c r="AX223" s="1069" t="e">
        <f t="shared" si="171"/>
        <v>#DIV/0!</v>
      </c>
      <c r="AY223" s="1069" t="e">
        <f t="shared" si="172"/>
        <v>#DIV/0!</v>
      </c>
      <c r="AZ223" s="1069">
        <f t="shared" si="173"/>
        <v>0</v>
      </c>
      <c r="BA223" s="1069" t="e">
        <f t="shared" si="174"/>
        <v>#DIV/0!</v>
      </c>
      <c r="BB223" s="845"/>
      <c r="BC223" s="1090">
        <v>1</v>
      </c>
      <c r="BD223" s="1072" t="str">
        <f t="shared" si="162"/>
        <v>Inventariar la información sobre la gestión de la entidad y el cumplimiento de metas del Plan Nacional de Desarrollo y establecer responsables y periodicidad de actualización de la misma.</v>
      </c>
      <c r="BE223" s="529">
        <v>0</v>
      </c>
      <c r="BF223" s="1089">
        <v>1</v>
      </c>
      <c r="BG223" s="1054">
        <v>0</v>
      </c>
      <c r="BH223" s="1075">
        <f t="shared" si="175"/>
        <v>1</v>
      </c>
      <c r="BI223" s="1075" t="e">
        <f t="shared" si="176"/>
        <v>#DIV/0!</v>
      </c>
      <c r="BJ223" s="1075">
        <f t="shared" si="177"/>
        <v>1</v>
      </c>
      <c r="BK223" s="1075" t="e">
        <f t="shared" si="178"/>
        <v>#DIV/0!</v>
      </c>
      <c r="BL223" s="1053" t="s">
        <v>2276</v>
      </c>
      <c r="BM223" s="708" t="str">
        <f t="shared" si="179"/>
        <v>No Prog ni Ejec</v>
      </c>
      <c r="BN223" s="708" t="str">
        <f t="shared" si="180"/>
        <v>No Prog ni Ejec</v>
      </c>
      <c r="BO223" s="708" t="str">
        <f t="shared" si="181"/>
        <v>No Prog ni Ejec</v>
      </c>
      <c r="BP223" s="708" t="str">
        <f t="shared" si="182"/>
        <v>No Prog ni Ejec</v>
      </c>
      <c r="BQ223" s="708" t="str">
        <f t="shared" si="183"/>
        <v>No Prog ni Ejec</v>
      </c>
      <c r="BR223" s="708" t="str">
        <f t="shared" si="184"/>
        <v>No Prog ni Ejec</v>
      </c>
      <c r="BS223" s="708">
        <f t="shared" si="185"/>
        <v>1</v>
      </c>
      <c r="BT223" s="829" t="str">
        <f t="shared" si="186"/>
        <v>No Prog ni Ejec</v>
      </c>
    </row>
    <row r="224" spans="1:72" s="958" customFormat="1" ht="148.5" customHeight="1" x14ac:dyDescent="0.2">
      <c r="A224" s="1091">
        <v>12000</v>
      </c>
      <c r="B224" s="1068" t="s">
        <v>831</v>
      </c>
      <c r="C224" s="1068" t="s">
        <v>1340</v>
      </c>
      <c r="D224" s="1085" t="s">
        <v>355</v>
      </c>
      <c r="E224" s="1068" t="s">
        <v>256</v>
      </c>
      <c r="F224" s="1085" t="s">
        <v>1468</v>
      </c>
      <c r="G224" s="1068" t="s">
        <v>1469</v>
      </c>
      <c r="H224" s="1089" t="s">
        <v>124</v>
      </c>
      <c r="I224" s="1085">
        <v>1</v>
      </c>
      <c r="J224" s="1085" t="s">
        <v>1470</v>
      </c>
      <c r="K224" s="1068" t="s">
        <v>1471</v>
      </c>
      <c r="L224" s="529">
        <v>0</v>
      </c>
      <c r="M224" s="1078">
        <v>1</v>
      </c>
      <c r="N224" s="1068" t="s">
        <v>48</v>
      </c>
      <c r="O224" s="1068" t="s">
        <v>62</v>
      </c>
      <c r="P224" s="1068" t="s">
        <v>21</v>
      </c>
      <c r="Q224" s="1068" t="s">
        <v>23</v>
      </c>
      <c r="R224" s="1068" t="s">
        <v>792</v>
      </c>
      <c r="S224" s="1068" t="s">
        <v>1472</v>
      </c>
      <c r="T224" s="1068" t="s">
        <v>98</v>
      </c>
      <c r="U224" s="722">
        <v>1</v>
      </c>
      <c r="V224" s="1071" t="str">
        <f t="shared" si="190"/>
        <v>Definición de equipo líder del proceso de rendición de cuentas de ADRES</v>
      </c>
      <c r="W224" s="699">
        <f t="shared" si="190"/>
        <v>0</v>
      </c>
      <c r="X224" s="1086" t="s">
        <v>117</v>
      </c>
      <c r="Y224" s="1090">
        <v>0</v>
      </c>
      <c r="Z224" s="1072" t="str">
        <f t="shared" si="157"/>
        <v>Definición de equipo líder del proceso de rendición de cuentas de ADRES</v>
      </c>
      <c r="AA224" s="529">
        <v>0</v>
      </c>
      <c r="AB224" s="776"/>
      <c r="AC224" s="529"/>
      <c r="AD224" s="1069" t="e">
        <f t="shared" si="188"/>
        <v>#DIV/0!</v>
      </c>
      <c r="AE224" s="1069" t="e">
        <f t="shared" si="164"/>
        <v>#DIV/0!</v>
      </c>
      <c r="AF224" s="1069">
        <f t="shared" si="165"/>
        <v>0</v>
      </c>
      <c r="AG224" s="1069" t="e">
        <f t="shared" si="166"/>
        <v>#DIV/0!</v>
      </c>
      <c r="AH224" s="1068"/>
      <c r="AI224" s="1090">
        <v>1</v>
      </c>
      <c r="AJ224" s="1072" t="str">
        <f t="shared" si="158"/>
        <v>Definición de equipo líder del proceso de rendición de cuentas de ADRES</v>
      </c>
      <c r="AK224" s="529">
        <v>0</v>
      </c>
      <c r="AL224" s="825">
        <v>1</v>
      </c>
      <c r="AM224" s="825" t="s">
        <v>1896</v>
      </c>
      <c r="AN224" s="1069">
        <f t="shared" si="167"/>
        <v>1</v>
      </c>
      <c r="AO224" s="1069" t="e">
        <f t="shared" si="168"/>
        <v>#VALUE!</v>
      </c>
      <c r="AP224" s="1069">
        <f t="shared" si="169"/>
        <v>1</v>
      </c>
      <c r="AQ224" s="1069" t="e">
        <f t="shared" si="170"/>
        <v>#VALUE!</v>
      </c>
      <c r="AR224" s="1068" t="s">
        <v>1921</v>
      </c>
      <c r="AS224" s="1090">
        <v>0</v>
      </c>
      <c r="AT224" s="1072" t="str">
        <f t="shared" si="161"/>
        <v>Definición de equipo líder del proceso de rendición de cuentas de ADRES</v>
      </c>
      <c r="AU224" s="529">
        <v>0</v>
      </c>
      <c r="AV224" s="700">
        <v>0</v>
      </c>
      <c r="AW224" s="1626">
        <v>0</v>
      </c>
      <c r="AX224" s="1069" t="e">
        <f t="shared" si="171"/>
        <v>#DIV/0!</v>
      </c>
      <c r="AY224" s="1069" t="e">
        <f t="shared" si="172"/>
        <v>#DIV/0!</v>
      </c>
      <c r="AZ224" s="1069">
        <f t="shared" si="173"/>
        <v>1</v>
      </c>
      <c r="BA224" s="1069" t="e">
        <f t="shared" si="174"/>
        <v>#VALUE!</v>
      </c>
      <c r="BB224" s="845"/>
      <c r="BC224" s="1090">
        <v>0</v>
      </c>
      <c r="BD224" s="1072" t="str">
        <f t="shared" si="162"/>
        <v>Definición de equipo líder del proceso de rendición de cuentas de ADRES</v>
      </c>
      <c r="BE224" s="529">
        <v>0</v>
      </c>
      <c r="BF224" s="1089">
        <v>0</v>
      </c>
      <c r="BG224" s="1054">
        <v>0</v>
      </c>
      <c r="BH224" s="1075" t="e">
        <f t="shared" si="175"/>
        <v>#DIV/0!</v>
      </c>
      <c r="BI224" s="1075" t="e">
        <f t="shared" si="176"/>
        <v>#DIV/0!</v>
      </c>
      <c r="BJ224" s="1075">
        <f t="shared" si="177"/>
        <v>1</v>
      </c>
      <c r="BK224" s="1075" t="e">
        <f t="shared" si="178"/>
        <v>#VALUE!</v>
      </c>
      <c r="BL224" s="1072"/>
      <c r="BM224" s="708" t="str">
        <f t="shared" si="179"/>
        <v>No Prog ni Ejec</v>
      </c>
      <c r="BN224" s="708" t="str">
        <f t="shared" si="180"/>
        <v>No Prog ni Ejec</v>
      </c>
      <c r="BO224" s="708">
        <f t="shared" si="181"/>
        <v>1</v>
      </c>
      <c r="BP224" s="708" t="str">
        <f t="shared" si="182"/>
        <v>No Prog, Ejec=   $                                - </v>
      </c>
      <c r="BQ224" s="708" t="str">
        <f t="shared" si="183"/>
        <v>No Prog ni Ejec</v>
      </c>
      <c r="BR224" s="708" t="str">
        <f t="shared" si="184"/>
        <v>No Prog ni Ejec</v>
      </c>
      <c r="BS224" s="708" t="str">
        <f t="shared" si="185"/>
        <v>No Prog ni Ejec</v>
      </c>
      <c r="BT224" s="829" t="str">
        <f t="shared" si="186"/>
        <v>No Prog ni Ejec</v>
      </c>
    </row>
    <row r="225" spans="1:72" s="958" customFormat="1" ht="119.25" customHeight="1" x14ac:dyDescent="0.2">
      <c r="A225" s="1091">
        <v>12000</v>
      </c>
      <c r="B225" s="1068" t="s">
        <v>1473</v>
      </c>
      <c r="C225" s="1068" t="s">
        <v>1340</v>
      </c>
      <c r="D225" s="1085" t="s">
        <v>355</v>
      </c>
      <c r="E225" s="1068" t="s">
        <v>256</v>
      </c>
      <c r="F225" s="1085" t="s">
        <v>1474</v>
      </c>
      <c r="G225" s="1068" t="s">
        <v>1475</v>
      </c>
      <c r="H225" s="1089" t="s">
        <v>124</v>
      </c>
      <c r="I225" s="1085">
        <v>1</v>
      </c>
      <c r="J225" s="1085" t="s">
        <v>1476</v>
      </c>
      <c r="K225" s="1068" t="s">
        <v>1477</v>
      </c>
      <c r="L225" s="529">
        <v>0</v>
      </c>
      <c r="M225" s="1078">
        <v>1</v>
      </c>
      <c r="N225" s="1068" t="s">
        <v>48</v>
      </c>
      <c r="O225" s="1068" t="s">
        <v>62</v>
      </c>
      <c r="P225" s="1068" t="s">
        <v>37</v>
      </c>
      <c r="Q225" s="1068" t="s">
        <v>40</v>
      </c>
      <c r="R225" s="1068" t="s">
        <v>792</v>
      </c>
      <c r="S225" s="1068" t="s">
        <v>1478</v>
      </c>
      <c r="T225" s="1068" t="s">
        <v>98</v>
      </c>
      <c r="U225" s="722">
        <v>1</v>
      </c>
      <c r="V225" s="1071" t="str">
        <f t="shared" si="190"/>
        <v xml:space="preserve">Caracterizar a los ciudadanos y grupos de interés para el proceso de rendición de cuentas de ADRES </v>
      </c>
      <c r="W225" s="699">
        <f t="shared" si="190"/>
        <v>0</v>
      </c>
      <c r="X225" s="1086" t="s">
        <v>117</v>
      </c>
      <c r="Y225" s="1090">
        <v>0</v>
      </c>
      <c r="Z225" s="1072" t="str">
        <f t="shared" si="157"/>
        <v xml:space="preserve">Caracterizar a los ciudadanos y grupos de interés para el proceso de rendición de cuentas de ADRES </v>
      </c>
      <c r="AA225" s="529">
        <v>0</v>
      </c>
      <c r="AB225" s="776"/>
      <c r="AC225" s="529"/>
      <c r="AD225" s="1069" t="e">
        <f t="shared" si="188"/>
        <v>#DIV/0!</v>
      </c>
      <c r="AE225" s="1069" t="e">
        <f t="shared" si="164"/>
        <v>#DIV/0!</v>
      </c>
      <c r="AF225" s="1069">
        <f t="shared" si="165"/>
        <v>0</v>
      </c>
      <c r="AG225" s="1069" t="e">
        <f t="shared" si="166"/>
        <v>#DIV/0!</v>
      </c>
      <c r="AH225" s="1068"/>
      <c r="AI225" s="1090">
        <v>1</v>
      </c>
      <c r="AJ225" s="1072" t="str">
        <f t="shared" si="158"/>
        <v xml:space="preserve">Caracterizar a los ciudadanos y grupos de interés para el proceso de rendición de cuentas de ADRES </v>
      </c>
      <c r="AK225" s="529">
        <v>0</v>
      </c>
      <c r="AL225" s="825">
        <v>1</v>
      </c>
      <c r="AM225" s="825" t="s">
        <v>1896</v>
      </c>
      <c r="AN225" s="1069">
        <f t="shared" si="167"/>
        <v>1</v>
      </c>
      <c r="AO225" s="1069" t="e">
        <f t="shared" si="168"/>
        <v>#VALUE!</v>
      </c>
      <c r="AP225" s="1069">
        <f t="shared" si="169"/>
        <v>1</v>
      </c>
      <c r="AQ225" s="1069" t="e">
        <f t="shared" si="170"/>
        <v>#VALUE!</v>
      </c>
      <c r="AR225" s="1068" t="s">
        <v>2329</v>
      </c>
      <c r="AS225" s="1090">
        <v>0</v>
      </c>
      <c r="AT225" s="1072" t="str">
        <f t="shared" si="161"/>
        <v xml:space="preserve">Caracterizar a los ciudadanos y grupos de interés para el proceso de rendición de cuentas de ADRES </v>
      </c>
      <c r="AU225" s="529">
        <v>0</v>
      </c>
      <c r="AV225" s="700">
        <v>0</v>
      </c>
      <c r="AW225" s="1626">
        <v>0</v>
      </c>
      <c r="AX225" s="1069" t="e">
        <f t="shared" si="171"/>
        <v>#DIV/0!</v>
      </c>
      <c r="AY225" s="1069" t="e">
        <f t="shared" si="172"/>
        <v>#DIV/0!</v>
      </c>
      <c r="AZ225" s="1069">
        <f t="shared" si="173"/>
        <v>1</v>
      </c>
      <c r="BA225" s="1069" t="e">
        <f t="shared" si="174"/>
        <v>#VALUE!</v>
      </c>
      <c r="BB225" s="845"/>
      <c r="BC225" s="1090">
        <v>0</v>
      </c>
      <c r="BD225" s="1072" t="str">
        <f t="shared" si="162"/>
        <v xml:space="preserve">Caracterizar a los ciudadanos y grupos de interés para el proceso de rendición de cuentas de ADRES </v>
      </c>
      <c r="BE225" s="529">
        <v>0</v>
      </c>
      <c r="BF225" s="1089">
        <v>0</v>
      </c>
      <c r="BG225" s="1054">
        <v>0</v>
      </c>
      <c r="BH225" s="1075" t="e">
        <f t="shared" si="175"/>
        <v>#DIV/0!</v>
      </c>
      <c r="BI225" s="1075" t="e">
        <f t="shared" si="176"/>
        <v>#DIV/0!</v>
      </c>
      <c r="BJ225" s="1075">
        <f t="shared" si="177"/>
        <v>1</v>
      </c>
      <c r="BK225" s="1075" t="e">
        <f t="shared" si="178"/>
        <v>#VALUE!</v>
      </c>
      <c r="BL225" s="1072"/>
      <c r="BM225" s="708" t="str">
        <f t="shared" si="179"/>
        <v>No Prog ni Ejec</v>
      </c>
      <c r="BN225" s="708" t="str">
        <f t="shared" si="180"/>
        <v>No Prog ni Ejec</v>
      </c>
      <c r="BO225" s="708">
        <f t="shared" si="181"/>
        <v>1</v>
      </c>
      <c r="BP225" s="708" t="str">
        <f t="shared" si="182"/>
        <v>No Prog, Ejec=   $                                - </v>
      </c>
      <c r="BQ225" s="708" t="str">
        <f t="shared" si="183"/>
        <v>No Prog ni Ejec</v>
      </c>
      <c r="BR225" s="708" t="str">
        <f t="shared" si="184"/>
        <v>No Prog ni Ejec</v>
      </c>
      <c r="BS225" s="708" t="str">
        <f t="shared" si="185"/>
        <v>No Prog ni Ejec</v>
      </c>
      <c r="BT225" s="829" t="str">
        <f t="shared" si="186"/>
        <v>No Prog ni Ejec</v>
      </c>
    </row>
    <row r="226" spans="1:72" s="958" customFormat="1" ht="89.25" customHeight="1" x14ac:dyDescent="0.2">
      <c r="A226" s="1091">
        <v>12000</v>
      </c>
      <c r="B226" s="1068" t="s">
        <v>831</v>
      </c>
      <c r="C226" s="1068" t="s">
        <v>1340</v>
      </c>
      <c r="D226" s="1059" t="s">
        <v>355</v>
      </c>
      <c r="E226" s="1068" t="s">
        <v>256</v>
      </c>
      <c r="F226" s="1085" t="s">
        <v>1479</v>
      </c>
      <c r="G226" s="1068" t="s">
        <v>1480</v>
      </c>
      <c r="H226" s="1089" t="s">
        <v>123</v>
      </c>
      <c r="I226" s="1075">
        <v>1</v>
      </c>
      <c r="J226" s="1085" t="s">
        <v>1944</v>
      </c>
      <c r="K226" s="1068" t="s">
        <v>1482</v>
      </c>
      <c r="L226" s="529">
        <v>0</v>
      </c>
      <c r="M226" s="1078">
        <v>1</v>
      </c>
      <c r="N226" s="1068" t="s">
        <v>48</v>
      </c>
      <c r="O226" s="1068" t="s">
        <v>62</v>
      </c>
      <c r="P226" s="1068" t="s">
        <v>21</v>
      </c>
      <c r="Q226" s="1068" t="s">
        <v>23</v>
      </c>
      <c r="R226" s="1068" t="s">
        <v>792</v>
      </c>
      <c r="S226" s="1068" t="s">
        <v>1483</v>
      </c>
      <c r="T226" s="1068" t="s">
        <v>98</v>
      </c>
      <c r="U226" s="1078">
        <v>1</v>
      </c>
      <c r="V226" s="1071" t="str">
        <f t="shared" si="190"/>
        <v>Realizar la rendición de cuentas de ADRES teniendo como base la normativa existente en la materia, Ley 1757 de 2015.</v>
      </c>
      <c r="W226" s="699">
        <f t="shared" si="190"/>
        <v>0</v>
      </c>
      <c r="X226" s="1086" t="s">
        <v>117</v>
      </c>
      <c r="Y226" s="1078">
        <v>0</v>
      </c>
      <c r="Z226" s="1072" t="str">
        <f t="shared" si="157"/>
        <v>Realizar la rendición de cuentas de ADRES teniendo como base la normativa existente en la materia, Ley 1757 de 2015.</v>
      </c>
      <c r="AA226" s="529">
        <v>0</v>
      </c>
      <c r="AB226" s="776"/>
      <c r="AC226" s="529"/>
      <c r="AD226" s="1069" t="e">
        <f t="shared" si="188"/>
        <v>#DIV/0!</v>
      </c>
      <c r="AE226" s="1069" t="e">
        <f t="shared" si="164"/>
        <v>#DIV/0!</v>
      </c>
      <c r="AF226" s="1069">
        <f t="shared" si="165"/>
        <v>0</v>
      </c>
      <c r="AG226" s="1069" t="e">
        <f t="shared" si="166"/>
        <v>#DIV/0!</v>
      </c>
      <c r="AH226" s="1068"/>
      <c r="AI226" s="1078">
        <v>0</v>
      </c>
      <c r="AJ226" s="1072" t="str">
        <f t="shared" si="158"/>
        <v>Realizar la rendición de cuentas de ADRES teniendo como base la normativa existente en la materia, Ley 1757 de 2015.</v>
      </c>
      <c r="AK226" s="529">
        <v>0</v>
      </c>
      <c r="AL226" s="700"/>
      <c r="AM226" s="700"/>
      <c r="AN226" s="1069" t="e">
        <f t="shared" si="167"/>
        <v>#DIV/0!</v>
      </c>
      <c r="AO226" s="1069" t="e">
        <f t="shared" si="168"/>
        <v>#DIV/0!</v>
      </c>
      <c r="AP226" s="1069">
        <f t="shared" si="169"/>
        <v>0</v>
      </c>
      <c r="AQ226" s="1069" t="e">
        <f t="shared" si="170"/>
        <v>#DIV/0!</v>
      </c>
      <c r="AR226" s="845"/>
      <c r="AS226" s="1078">
        <v>0</v>
      </c>
      <c r="AT226" s="1072" t="str">
        <f t="shared" si="161"/>
        <v>Realizar la rendición de cuentas de ADRES teniendo como base la normativa existente en la materia, Ley 1757 de 2015.</v>
      </c>
      <c r="AU226" s="529">
        <v>0</v>
      </c>
      <c r="AV226" s="734">
        <v>0</v>
      </c>
      <c r="AW226" s="1626">
        <v>0</v>
      </c>
      <c r="AX226" s="1069" t="e">
        <f t="shared" si="171"/>
        <v>#DIV/0!</v>
      </c>
      <c r="AY226" s="1069" t="e">
        <f t="shared" si="172"/>
        <v>#DIV/0!</v>
      </c>
      <c r="AZ226" s="1069">
        <f t="shared" si="173"/>
        <v>0</v>
      </c>
      <c r="BA226" s="1069" t="e">
        <f t="shared" si="174"/>
        <v>#DIV/0!</v>
      </c>
      <c r="BB226" s="856"/>
      <c r="BC226" s="1078">
        <v>1</v>
      </c>
      <c r="BD226" s="1072" t="str">
        <f t="shared" si="162"/>
        <v>Realizar la rendición de cuentas de ADRES teniendo como base la normativa existente en la materia, Ley 1757 de 2015.</v>
      </c>
      <c r="BE226" s="529">
        <v>0</v>
      </c>
      <c r="BF226" s="943">
        <f>(1/1)*BC226</f>
        <v>1</v>
      </c>
      <c r="BG226" s="1054">
        <v>0</v>
      </c>
      <c r="BH226" s="1075">
        <f t="shared" si="175"/>
        <v>1</v>
      </c>
      <c r="BI226" s="1075" t="e">
        <f t="shared" si="176"/>
        <v>#DIV/0!</v>
      </c>
      <c r="BJ226" s="1075">
        <f t="shared" si="177"/>
        <v>1</v>
      </c>
      <c r="BK226" s="1075" t="e">
        <f t="shared" si="178"/>
        <v>#DIV/0!</v>
      </c>
      <c r="BL226" s="1072"/>
      <c r="BM226" s="708" t="str">
        <f t="shared" si="179"/>
        <v>No Prog ni Ejec</v>
      </c>
      <c r="BN226" s="708" t="str">
        <f t="shared" si="180"/>
        <v>No Prog ni Ejec</v>
      </c>
      <c r="BO226" s="708" t="str">
        <f t="shared" si="181"/>
        <v>No Prog ni Ejec</v>
      </c>
      <c r="BP226" s="708" t="str">
        <f t="shared" si="182"/>
        <v>No Prog ni Ejec</v>
      </c>
      <c r="BQ226" s="708" t="str">
        <f t="shared" si="183"/>
        <v>No Prog ni Ejec</v>
      </c>
      <c r="BR226" s="708" t="str">
        <f t="shared" si="184"/>
        <v>No Prog ni Ejec</v>
      </c>
      <c r="BS226" s="708">
        <f t="shared" si="185"/>
        <v>1</v>
      </c>
      <c r="BT226" s="829" t="str">
        <f t="shared" si="186"/>
        <v>No Prog ni Ejec</v>
      </c>
    </row>
    <row r="227" spans="1:72" s="958" customFormat="1" ht="89.25" customHeight="1" x14ac:dyDescent="0.2">
      <c r="A227" s="1091">
        <v>11200</v>
      </c>
      <c r="B227" s="1068" t="s">
        <v>3</v>
      </c>
      <c r="C227" s="1068" t="s">
        <v>1340</v>
      </c>
      <c r="D227" s="1059" t="s">
        <v>152</v>
      </c>
      <c r="E227" s="1068" t="s">
        <v>256</v>
      </c>
      <c r="F227" s="1085" t="s">
        <v>1484</v>
      </c>
      <c r="G227" s="1068" t="s">
        <v>1485</v>
      </c>
      <c r="H227" s="1089" t="s">
        <v>124</v>
      </c>
      <c r="I227" s="1090">
        <v>1</v>
      </c>
      <c r="J227" s="1085" t="s">
        <v>1481</v>
      </c>
      <c r="K227" s="1068" t="s">
        <v>1486</v>
      </c>
      <c r="L227" s="529">
        <v>0</v>
      </c>
      <c r="M227" s="1078">
        <v>1</v>
      </c>
      <c r="N227" s="1068" t="s">
        <v>48</v>
      </c>
      <c r="O227" s="1068" t="s">
        <v>62</v>
      </c>
      <c r="P227" s="1068" t="s">
        <v>21</v>
      </c>
      <c r="Q227" s="1068" t="s">
        <v>23</v>
      </c>
      <c r="R227" s="1068" t="s">
        <v>792</v>
      </c>
      <c r="S227" s="1068" t="s">
        <v>1487</v>
      </c>
      <c r="T227" s="1068" t="s">
        <v>98</v>
      </c>
      <c r="U227" s="722">
        <v>1</v>
      </c>
      <c r="V227" s="1071" t="str">
        <f t="shared" si="190"/>
        <v>Comunicar los resultados del ejercicio de Rendición de Cuentas a la ciudadanía y partes interesadas.</v>
      </c>
      <c r="W227" s="699">
        <f t="shared" si="190"/>
        <v>0</v>
      </c>
      <c r="X227" s="1086" t="s">
        <v>117</v>
      </c>
      <c r="Y227" s="1090">
        <v>0</v>
      </c>
      <c r="Z227" s="1072" t="str">
        <f t="shared" si="157"/>
        <v>Comunicar los resultados del ejercicio de Rendición de Cuentas a la ciudadanía y partes interesadas.</v>
      </c>
      <c r="AA227" s="529">
        <v>0</v>
      </c>
      <c r="AB227" s="776"/>
      <c r="AC227" s="529"/>
      <c r="AD227" s="1069" t="e">
        <f t="shared" si="188"/>
        <v>#DIV/0!</v>
      </c>
      <c r="AE227" s="1069" t="e">
        <f t="shared" si="164"/>
        <v>#DIV/0!</v>
      </c>
      <c r="AF227" s="1069">
        <f t="shared" si="165"/>
        <v>0</v>
      </c>
      <c r="AG227" s="1069" t="e">
        <f t="shared" si="166"/>
        <v>#DIV/0!</v>
      </c>
      <c r="AH227" s="1068"/>
      <c r="AI227" s="1090">
        <v>0</v>
      </c>
      <c r="AJ227" s="1072" t="str">
        <f t="shared" si="158"/>
        <v>Comunicar los resultados del ejercicio de Rendición de Cuentas a la ciudadanía y partes interesadas.</v>
      </c>
      <c r="AK227" s="529">
        <v>0</v>
      </c>
      <c r="AL227" s="700"/>
      <c r="AM227" s="700"/>
      <c r="AN227" s="1069" t="e">
        <f t="shared" si="167"/>
        <v>#DIV/0!</v>
      </c>
      <c r="AO227" s="1069" t="e">
        <f t="shared" si="168"/>
        <v>#DIV/0!</v>
      </c>
      <c r="AP227" s="1069">
        <f t="shared" si="169"/>
        <v>0</v>
      </c>
      <c r="AQ227" s="1069" t="e">
        <f t="shared" si="170"/>
        <v>#DIV/0!</v>
      </c>
      <c r="AR227" s="845"/>
      <c r="AS227" s="1090">
        <v>0</v>
      </c>
      <c r="AT227" s="1072" t="str">
        <f t="shared" si="161"/>
        <v>Comunicar los resultados del ejercicio de Rendición de Cuentas a la ciudadanía y partes interesadas.</v>
      </c>
      <c r="AU227" s="529">
        <v>0</v>
      </c>
      <c r="AV227" s="700">
        <v>0</v>
      </c>
      <c r="AW227" s="1626">
        <v>0</v>
      </c>
      <c r="AX227" s="1069" t="e">
        <f t="shared" si="171"/>
        <v>#DIV/0!</v>
      </c>
      <c r="AY227" s="1069" t="e">
        <f t="shared" si="172"/>
        <v>#DIV/0!</v>
      </c>
      <c r="AZ227" s="1069">
        <f t="shared" si="173"/>
        <v>0</v>
      </c>
      <c r="BA227" s="1069" t="e">
        <f t="shared" si="174"/>
        <v>#DIV/0!</v>
      </c>
      <c r="BB227" s="1068" t="s">
        <v>2006</v>
      </c>
      <c r="BC227" s="1090">
        <v>1</v>
      </c>
      <c r="BD227" s="1072" t="str">
        <f t="shared" si="162"/>
        <v>Comunicar los resultados del ejercicio de Rendición de Cuentas a la ciudadanía y partes interesadas.</v>
      </c>
      <c r="BE227" s="529">
        <v>0</v>
      </c>
      <c r="BF227" s="1689">
        <v>1</v>
      </c>
      <c r="BG227" s="1054">
        <v>0</v>
      </c>
      <c r="BH227" s="1075">
        <f t="shared" si="175"/>
        <v>1</v>
      </c>
      <c r="BI227" s="1075" t="e">
        <f t="shared" si="176"/>
        <v>#DIV/0!</v>
      </c>
      <c r="BJ227" s="1075">
        <f t="shared" si="177"/>
        <v>1</v>
      </c>
      <c r="BK227" s="1075" t="e">
        <f t="shared" si="178"/>
        <v>#DIV/0!</v>
      </c>
      <c r="BL227" s="1068" t="s">
        <v>2277</v>
      </c>
      <c r="BM227" s="708" t="str">
        <f t="shared" si="179"/>
        <v>No Prog ni Ejec</v>
      </c>
      <c r="BN227" s="708" t="str">
        <f t="shared" si="180"/>
        <v>No Prog ni Ejec</v>
      </c>
      <c r="BO227" s="708" t="str">
        <f t="shared" si="181"/>
        <v>No Prog ni Ejec</v>
      </c>
      <c r="BP227" s="708" t="str">
        <f t="shared" si="182"/>
        <v>No Prog ni Ejec</v>
      </c>
      <c r="BQ227" s="708" t="str">
        <f t="shared" si="183"/>
        <v>No Prog ni Ejec</v>
      </c>
      <c r="BR227" s="708" t="str">
        <f t="shared" si="184"/>
        <v>No Prog ni Ejec</v>
      </c>
      <c r="BS227" s="708">
        <f t="shared" si="185"/>
        <v>1</v>
      </c>
      <c r="BT227" s="829" t="str">
        <f t="shared" si="186"/>
        <v>No Prog ni Ejec</v>
      </c>
    </row>
    <row r="228" spans="1:72" s="958" customFormat="1" ht="102" customHeight="1" x14ac:dyDescent="0.2">
      <c r="A228" s="1091">
        <v>12000</v>
      </c>
      <c r="B228" s="1068" t="s">
        <v>1489</v>
      </c>
      <c r="C228" s="1068" t="s">
        <v>1340</v>
      </c>
      <c r="D228" s="1085" t="s">
        <v>355</v>
      </c>
      <c r="E228" s="1068" t="s">
        <v>256</v>
      </c>
      <c r="F228" s="1085" t="s">
        <v>1490</v>
      </c>
      <c r="G228" s="1068" t="s">
        <v>1491</v>
      </c>
      <c r="H228" s="1089" t="s">
        <v>124</v>
      </c>
      <c r="I228" s="1085">
        <v>1</v>
      </c>
      <c r="J228" s="1085" t="s">
        <v>1945</v>
      </c>
      <c r="K228" s="1068" t="s">
        <v>1492</v>
      </c>
      <c r="L228" s="529">
        <v>0</v>
      </c>
      <c r="M228" s="1078">
        <v>1</v>
      </c>
      <c r="N228" s="1068" t="s">
        <v>48</v>
      </c>
      <c r="O228" s="1068" t="s">
        <v>62</v>
      </c>
      <c r="P228" s="1068" t="s">
        <v>21</v>
      </c>
      <c r="Q228" s="1068" t="s">
        <v>23</v>
      </c>
      <c r="R228" s="1068" t="s">
        <v>792</v>
      </c>
      <c r="S228" s="1068" t="s">
        <v>1493</v>
      </c>
      <c r="T228" s="1068" t="s">
        <v>98</v>
      </c>
      <c r="U228" s="722">
        <v>1</v>
      </c>
      <c r="V228" s="1071" t="str">
        <f t="shared" si="190"/>
        <v>Realizar la Rendición de Cuentas interna de ADRES teniendo como base la normativa existente en la materia.</v>
      </c>
      <c r="W228" s="699">
        <f t="shared" si="190"/>
        <v>0</v>
      </c>
      <c r="X228" s="1086" t="s">
        <v>117</v>
      </c>
      <c r="Y228" s="722">
        <v>0</v>
      </c>
      <c r="Z228" s="1072" t="str">
        <f t="shared" si="157"/>
        <v>Realizar la Rendición de Cuentas interna de ADRES teniendo como base la normativa existente en la materia.</v>
      </c>
      <c r="AA228" s="529">
        <v>0</v>
      </c>
      <c r="AB228" s="776"/>
      <c r="AC228" s="529"/>
      <c r="AD228" s="1069" t="e">
        <f t="shared" si="188"/>
        <v>#DIV/0!</v>
      </c>
      <c r="AE228" s="1069" t="e">
        <f t="shared" si="164"/>
        <v>#DIV/0!</v>
      </c>
      <c r="AF228" s="1069">
        <f t="shared" si="165"/>
        <v>0</v>
      </c>
      <c r="AG228" s="1069" t="e">
        <f t="shared" si="166"/>
        <v>#DIV/0!</v>
      </c>
      <c r="AH228" s="1068"/>
      <c r="AI228" s="1090">
        <v>0</v>
      </c>
      <c r="AJ228" s="1072" t="str">
        <f t="shared" si="158"/>
        <v>Realizar la Rendición de Cuentas interna de ADRES teniendo como base la normativa existente en la materia.</v>
      </c>
      <c r="AK228" s="529">
        <v>0</v>
      </c>
      <c r="AL228" s="700"/>
      <c r="AM228" s="700"/>
      <c r="AN228" s="1069" t="e">
        <f t="shared" si="167"/>
        <v>#DIV/0!</v>
      </c>
      <c r="AO228" s="1069" t="e">
        <f t="shared" si="168"/>
        <v>#DIV/0!</v>
      </c>
      <c r="AP228" s="1069">
        <f t="shared" si="169"/>
        <v>0</v>
      </c>
      <c r="AQ228" s="1069" t="e">
        <f t="shared" si="170"/>
        <v>#DIV/0!</v>
      </c>
      <c r="AR228" s="845"/>
      <c r="AS228" s="1090">
        <v>0</v>
      </c>
      <c r="AT228" s="1072" t="str">
        <f t="shared" si="161"/>
        <v>Realizar la Rendición de Cuentas interna de ADRES teniendo como base la normativa existente en la materia.</v>
      </c>
      <c r="AU228" s="529">
        <v>0</v>
      </c>
      <c r="AV228" s="950">
        <v>0</v>
      </c>
      <c r="AW228" s="1626">
        <v>0</v>
      </c>
      <c r="AX228" s="1069" t="e">
        <f t="shared" si="171"/>
        <v>#DIV/0!</v>
      </c>
      <c r="AY228" s="1069" t="e">
        <f t="shared" si="172"/>
        <v>#DIV/0!</v>
      </c>
      <c r="AZ228" s="1069">
        <f t="shared" si="173"/>
        <v>0</v>
      </c>
      <c r="BA228" s="1069" t="e">
        <f t="shared" si="174"/>
        <v>#DIV/0!</v>
      </c>
      <c r="BB228" s="1048"/>
      <c r="BC228" s="1090">
        <v>1</v>
      </c>
      <c r="BD228" s="1072" t="str">
        <f t="shared" si="162"/>
        <v>Realizar la Rendición de Cuentas interna de ADRES teniendo como base la normativa existente en la materia.</v>
      </c>
      <c r="BE228" s="529">
        <v>0</v>
      </c>
      <c r="BF228" s="1089">
        <v>1</v>
      </c>
      <c r="BG228" s="1054">
        <v>0</v>
      </c>
      <c r="BH228" s="1075">
        <f t="shared" si="175"/>
        <v>1</v>
      </c>
      <c r="BI228" s="1075" t="e">
        <f t="shared" si="176"/>
        <v>#DIV/0!</v>
      </c>
      <c r="BJ228" s="1075">
        <f t="shared" si="177"/>
        <v>1</v>
      </c>
      <c r="BK228" s="1075" t="e">
        <f t="shared" si="178"/>
        <v>#DIV/0!</v>
      </c>
      <c r="BL228" s="1053" t="s">
        <v>2095</v>
      </c>
      <c r="BM228" s="708" t="str">
        <f t="shared" si="179"/>
        <v>No Prog ni Ejec</v>
      </c>
      <c r="BN228" s="708" t="str">
        <f t="shared" si="180"/>
        <v>No Prog ni Ejec</v>
      </c>
      <c r="BO228" s="708" t="str">
        <f t="shared" si="181"/>
        <v>No Prog ni Ejec</v>
      </c>
      <c r="BP228" s="708" t="str">
        <f t="shared" si="182"/>
        <v>No Prog ni Ejec</v>
      </c>
      <c r="BQ228" s="708" t="str">
        <f t="shared" si="183"/>
        <v>No Prog ni Ejec</v>
      </c>
      <c r="BR228" s="708" t="str">
        <f t="shared" si="184"/>
        <v>No Prog ni Ejec</v>
      </c>
      <c r="BS228" s="708">
        <f t="shared" si="185"/>
        <v>1</v>
      </c>
      <c r="BT228" s="829" t="str">
        <f t="shared" si="186"/>
        <v>No Prog ni Ejec</v>
      </c>
    </row>
    <row r="229" spans="1:72" s="958" customFormat="1" ht="89.25" customHeight="1" x14ac:dyDescent="0.2">
      <c r="A229" s="1091">
        <v>11200</v>
      </c>
      <c r="B229" s="1068" t="s">
        <v>3</v>
      </c>
      <c r="C229" s="1068" t="s">
        <v>1340</v>
      </c>
      <c r="D229" s="1059" t="s">
        <v>152</v>
      </c>
      <c r="E229" s="1068" t="s">
        <v>256</v>
      </c>
      <c r="F229" s="1085" t="s">
        <v>1494</v>
      </c>
      <c r="G229" s="1068" t="s">
        <v>1495</v>
      </c>
      <c r="H229" s="1089" t="s">
        <v>124</v>
      </c>
      <c r="I229" s="1085">
        <v>1</v>
      </c>
      <c r="J229" s="1085" t="s">
        <v>1496</v>
      </c>
      <c r="K229" s="1068" t="s">
        <v>1497</v>
      </c>
      <c r="L229" s="529">
        <v>0</v>
      </c>
      <c r="M229" s="1078">
        <v>1</v>
      </c>
      <c r="N229" s="1068" t="s">
        <v>48</v>
      </c>
      <c r="O229" s="1068" t="s">
        <v>62</v>
      </c>
      <c r="P229" s="1068" t="s">
        <v>21</v>
      </c>
      <c r="Q229" s="1068" t="s">
        <v>23</v>
      </c>
      <c r="R229" s="1068" t="s">
        <v>792</v>
      </c>
      <c r="S229" s="1068" t="s">
        <v>1498</v>
      </c>
      <c r="T229" s="1068" t="s">
        <v>98</v>
      </c>
      <c r="U229" s="1085">
        <v>1</v>
      </c>
      <c r="V229" s="1071" t="str">
        <f t="shared" si="190"/>
        <v>Sensibilizar e incentivar a servidores y contratistas sobre la rendición de cuentas, la normativa aplicable, las responsabilidades frente a misma, su importancia y la forma en que la entidad rinde cuentas.</v>
      </c>
      <c r="W229" s="699">
        <f t="shared" si="190"/>
        <v>0</v>
      </c>
      <c r="X229" s="1086" t="s">
        <v>117</v>
      </c>
      <c r="Y229" s="722">
        <v>0</v>
      </c>
      <c r="Z229" s="1072" t="str">
        <f t="shared" si="157"/>
        <v>Sensibilizar e incentivar a servidores y contratistas sobre la rendición de cuentas, la normativa aplicable, las responsabilidades frente a misma, su importancia y la forma en que la entidad rinde cuentas.</v>
      </c>
      <c r="AA229" s="529">
        <v>0</v>
      </c>
      <c r="AB229" s="776"/>
      <c r="AC229" s="529"/>
      <c r="AD229" s="1069" t="e">
        <f t="shared" si="188"/>
        <v>#DIV/0!</v>
      </c>
      <c r="AE229" s="1069" t="e">
        <f t="shared" si="164"/>
        <v>#DIV/0!</v>
      </c>
      <c r="AF229" s="1069">
        <f t="shared" si="165"/>
        <v>0</v>
      </c>
      <c r="AG229" s="1069" t="e">
        <f t="shared" si="166"/>
        <v>#DIV/0!</v>
      </c>
      <c r="AH229" s="1068"/>
      <c r="AI229" s="1090">
        <v>0</v>
      </c>
      <c r="AJ229" s="1072" t="str">
        <f t="shared" si="158"/>
        <v>Sensibilizar e incentivar a servidores y contratistas sobre la rendición de cuentas, la normativa aplicable, las responsabilidades frente a misma, su importancia y la forma en que la entidad rinde cuentas.</v>
      </c>
      <c r="AK229" s="529">
        <v>0</v>
      </c>
      <c r="AL229" s="700"/>
      <c r="AM229" s="700"/>
      <c r="AN229" s="1069" t="e">
        <f t="shared" si="167"/>
        <v>#DIV/0!</v>
      </c>
      <c r="AO229" s="1069" t="e">
        <f t="shared" si="168"/>
        <v>#DIV/0!</v>
      </c>
      <c r="AP229" s="1069">
        <f t="shared" si="169"/>
        <v>0</v>
      </c>
      <c r="AQ229" s="1069" t="e">
        <f t="shared" si="170"/>
        <v>#DIV/0!</v>
      </c>
      <c r="AR229" s="845"/>
      <c r="AS229" s="1090">
        <v>0</v>
      </c>
      <c r="AT229" s="1072" t="str">
        <f t="shared" si="161"/>
        <v>Sensibilizar e incentivar a servidores y contratistas sobre la rendición de cuentas, la normativa aplicable, las responsabilidades frente a misma, su importancia y la forma en que la entidad rinde cuentas.</v>
      </c>
      <c r="AU229" s="529">
        <v>0</v>
      </c>
      <c r="AV229" s="700">
        <v>0</v>
      </c>
      <c r="AW229" s="1626">
        <v>0</v>
      </c>
      <c r="AX229" s="1069" t="e">
        <f t="shared" si="171"/>
        <v>#DIV/0!</v>
      </c>
      <c r="AY229" s="1069" t="e">
        <f t="shared" si="172"/>
        <v>#DIV/0!</v>
      </c>
      <c r="AZ229" s="1069">
        <f t="shared" si="173"/>
        <v>0</v>
      </c>
      <c r="BA229" s="1069" t="e">
        <f t="shared" si="174"/>
        <v>#DIV/0!</v>
      </c>
      <c r="BB229" s="1068" t="s">
        <v>2006</v>
      </c>
      <c r="BC229" s="1090">
        <v>1</v>
      </c>
      <c r="BD229" s="1072" t="str">
        <f t="shared" si="162"/>
        <v>Sensibilizar e incentivar a servidores y contratistas sobre la rendición de cuentas, la normativa aplicable, las responsabilidades frente a misma, su importancia y la forma en que la entidad rinde cuentas.</v>
      </c>
      <c r="BE229" s="529">
        <v>0</v>
      </c>
      <c r="BF229" s="1067">
        <v>1</v>
      </c>
      <c r="BG229" s="1054">
        <v>0</v>
      </c>
      <c r="BH229" s="1075">
        <f t="shared" si="175"/>
        <v>1</v>
      </c>
      <c r="BI229" s="1075" t="e">
        <f t="shared" si="176"/>
        <v>#DIV/0!</v>
      </c>
      <c r="BJ229" s="1075">
        <f t="shared" si="177"/>
        <v>1</v>
      </c>
      <c r="BK229" s="1075" t="e">
        <f t="shared" si="178"/>
        <v>#DIV/0!</v>
      </c>
      <c r="BL229" s="1048" t="s">
        <v>2096</v>
      </c>
      <c r="BM229" s="708" t="str">
        <f t="shared" si="179"/>
        <v>No Prog ni Ejec</v>
      </c>
      <c r="BN229" s="708" t="str">
        <f t="shared" si="180"/>
        <v>No Prog ni Ejec</v>
      </c>
      <c r="BO229" s="708" t="str">
        <f t="shared" si="181"/>
        <v>No Prog ni Ejec</v>
      </c>
      <c r="BP229" s="708" t="str">
        <f t="shared" si="182"/>
        <v>No Prog ni Ejec</v>
      </c>
      <c r="BQ229" s="708" t="str">
        <f t="shared" si="183"/>
        <v>No Prog ni Ejec</v>
      </c>
      <c r="BR229" s="708" t="str">
        <f t="shared" si="184"/>
        <v>No Prog ni Ejec</v>
      </c>
      <c r="BS229" s="708">
        <f t="shared" si="185"/>
        <v>1</v>
      </c>
      <c r="BT229" s="829" t="str">
        <f t="shared" si="186"/>
        <v>No Prog ni Ejec</v>
      </c>
    </row>
    <row r="230" spans="1:72" s="958" customFormat="1" ht="75" customHeight="1" x14ac:dyDescent="0.2">
      <c r="A230" s="1246">
        <v>11200</v>
      </c>
      <c r="B230" s="1247" t="s">
        <v>3</v>
      </c>
      <c r="C230" s="1161" t="s">
        <v>1340</v>
      </c>
      <c r="D230" s="1245" t="s">
        <v>152</v>
      </c>
      <c r="E230" s="1161" t="s">
        <v>256</v>
      </c>
      <c r="F230" s="1162" t="s">
        <v>1499</v>
      </c>
      <c r="G230" s="1161" t="s">
        <v>1500</v>
      </c>
      <c r="H230" s="1089" t="s">
        <v>124</v>
      </c>
      <c r="I230" s="1085">
        <v>1</v>
      </c>
      <c r="J230" s="1162" t="s">
        <v>1501</v>
      </c>
      <c r="K230" s="1161" t="s">
        <v>1502</v>
      </c>
      <c r="L230" s="1138">
        <v>0</v>
      </c>
      <c r="M230" s="1166">
        <v>1</v>
      </c>
      <c r="N230" s="1161" t="s">
        <v>48</v>
      </c>
      <c r="O230" s="1161" t="s">
        <v>62</v>
      </c>
      <c r="P230" s="1161" t="s">
        <v>21</v>
      </c>
      <c r="Q230" s="1161" t="s">
        <v>23</v>
      </c>
      <c r="R230" s="1247" t="s">
        <v>792</v>
      </c>
      <c r="S230" s="1068" t="s">
        <v>1503</v>
      </c>
      <c r="T230" s="1068" t="s">
        <v>98</v>
      </c>
      <c r="U230" s="1085">
        <v>1</v>
      </c>
      <c r="V230" s="1169" t="str">
        <f>+K230</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W230" s="1160">
        <f>+L230</f>
        <v>0</v>
      </c>
      <c r="X230" s="1136" t="s">
        <v>117</v>
      </c>
      <c r="Y230" s="722">
        <v>0</v>
      </c>
      <c r="Z230" s="1072" t="str">
        <f>+V230</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AA230" s="529"/>
      <c r="AB230" s="776"/>
      <c r="AC230" s="529"/>
      <c r="AD230" s="1069" t="e">
        <f t="shared" si="188"/>
        <v>#DIV/0!</v>
      </c>
      <c r="AE230" s="1069" t="e">
        <f>+(AC230/AA230)</f>
        <v>#DIV/0!</v>
      </c>
      <c r="AF230" s="1069">
        <f>+(AB230/U230)</f>
        <v>0</v>
      </c>
      <c r="AG230" s="1069" t="e">
        <f>+(AC230/W230)</f>
        <v>#DIV/0!</v>
      </c>
      <c r="AH230" s="1068"/>
      <c r="AI230" s="1090">
        <v>0</v>
      </c>
      <c r="AJ230" s="1137" t="str">
        <f>+V230</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AK230" s="1138">
        <v>0</v>
      </c>
      <c r="AL230" s="700"/>
      <c r="AM230" s="700"/>
      <c r="AN230" s="1069" t="e">
        <f t="shared" si="167"/>
        <v>#DIV/0!</v>
      </c>
      <c r="AO230" s="1069" t="e">
        <f>+(AM230/AK230)</f>
        <v>#DIV/0!</v>
      </c>
      <c r="AP230" s="1069">
        <f>+(AL230+AB230)/U230</f>
        <v>0</v>
      </c>
      <c r="AQ230" s="1069" t="e">
        <f>+(AM230+AC230)/W230</f>
        <v>#DIV/0!</v>
      </c>
      <c r="AR230" s="845"/>
      <c r="AS230" s="1090">
        <v>1</v>
      </c>
      <c r="AT230" s="1137" t="str">
        <f>+V230</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AU230" s="1138">
        <v>0</v>
      </c>
      <c r="AV230" s="700">
        <v>1</v>
      </c>
      <c r="AW230" s="1626">
        <v>0</v>
      </c>
      <c r="AX230" s="1069">
        <f t="shared" si="171"/>
        <v>1</v>
      </c>
      <c r="AY230" s="1069" t="e">
        <f>+(AW230/#REF!)</f>
        <v>#REF!</v>
      </c>
      <c r="AZ230" s="1069">
        <f>+(AL230+AB230+AV230)/U230</f>
        <v>1</v>
      </c>
      <c r="BA230" s="1069" t="e">
        <f>+(AM230+AC230+AW230)/W230</f>
        <v>#DIV/0!</v>
      </c>
      <c r="BB230" s="1068" t="s">
        <v>2330</v>
      </c>
      <c r="BC230" s="1090">
        <v>0</v>
      </c>
      <c r="BD230" s="1280" t="str">
        <f>+V230</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BE230" s="1138">
        <v>0</v>
      </c>
      <c r="BF230" s="1067">
        <v>0</v>
      </c>
      <c r="BG230" s="1683">
        <v>0</v>
      </c>
      <c r="BH230" s="1075" t="e">
        <f t="shared" si="175"/>
        <v>#DIV/0!</v>
      </c>
      <c r="BI230" s="1075" t="e">
        <f>+(BG230/BE230)</f>
        <v>#DIV/0!</v>
      </c>
      <c r="BJ230" s="1075">
        <f>+(AL230+AB230+AV230+BF230)/U230</f>
        <v>1</v>
      </c>
      <c r="BK230" s="1075" t="e">
        <f>+(AM230+AC230+AW230+BG230)/W230</f>
        <v>#DIV/0!</v>
      </c>
      <c r="BL230" s="1068" t="s">
        <v>2097</v>
      </c>
      <c r="BM230" s="708" t="str">
        <f>IF(AND(Y230=0,AB230=0),"No Prog ni Ejec",IF(Y230=0,CONCATENATE("No Prog, Ejec=  ",AB230),AB230/Y230))</f>
        <v>No Prog ni Ejec</v>
      </c>
      <c r="BN230" s="708" t="str">
        <f>IF(AND(AA230=0,AC230=0),"No Prog ni Ejec",IF(AA230=0,CONCATENATE("No Prog, Ejec=  ",AC230),AC230/AA230))</f>
        <v>No Prog ni Ejec</v>
      </c>
      <c r="BO230" s="708" t="str">
        <f>IF(AND(AI230=0,AL230=0),"No Prog ni Ejec",IF(AI230=0,CONCATENATE("No Prog, Ejec=  ",AL230),AL230/AI230))</f>
        <v>No Prog ni Ejec</v>
      </c>
      <c r="BP230" s="708" t="str">
        <f>IF(AND(AK230=0,AM230=0),"No Prog ni Ejec",IF(AK230=0,CONCATENATE("No Prog, Ejec=  ",AM230),AM230/AK230))</f>
        <v>No Prog ni Ejec</v>
      </c>
      <c r="BQ230" s="708">
        <f>IF(AND(AS230=0,AV230=0),"No Prog ni Ejec",IF(AS230=0,CONCATENATE("No Prog, Ejec=  ",AV230),AV230/AS230))</f>
        <v>1</v>
      </c>
      <c r="BR230" s="708" t="str">
        <f>IF(AND(AU230=0,AW230=0),"No Prog ni Ejec",IF(AU230=0,CONCATENATE("No Prog, Ejec=  ",AW230),AW230/AU230))</f>
        <v>No Prog ni Ejec</v>
      </c>
      <c r="BS230" s="708" t="str">
        <f>IF(AND(BC230=0,BF230=0),"No Prog ni Ejec",IF(BC230=0,CONCATENATE("No Prog, Ejec=  ",BF230),BF230/BC230))</f>
        <v>No Prog ni Ejec</v>
      </c>
      <c r="BT230" s="829" t="str">
        <f>IF(AND(BE230=0,BG230=0),"No Prog ni Ejec",IF(BE230=0,CONCATENATE("No Prog, Ejec=  ",BG230),BG230/BE230))</f>
        <v>No Prog ni Ejec</v>
      </c>
    </row>
    <row r="231" spans="1:72" s="958" customFormat="1" ht="114.75" customHeight="1" x14ac:dyDescent="0.2">
      <c r="A231" s="1246"/>
      <c r="B231" s="1247"/>
      <c r="C231" s="1161"/>
      <c r="D231" s="1245"/>
      <c r="E231" s="1161"/>
      <c r="F231" s="1162"/>
      <c r="G231" s="1161"/>
      <c r="H231" s="1089" t="s">
        <v>124</v>
      </c>
      <c r="I231" s="1085">
        <v>1</v>
      </c>
      <c r="J231" s="1162"/>
      <c r="K231" s="1161"/>
      <c r="L231" s="1138"/>
      <c r="M231" s="1166"/>
      <c r="N231" s="1161"/>
      <c r="O231" s="1161"/>
      <c r="P231" s="1161"/>
      <c r="Q231" s="1161"/>
      <c r="R231" s="1247"/>
      <c r="S231" s="1068" t="s">
        <v>1504</v>
      </c>
      <c r="T231" s="1068" t="s">
        <v>98</v>
      </c>
      <c r="U231" s="1085">
        <v>1</v>
      </c>
      <c r="V231" s="1169"/>
      <c r="W231" s="1160"/>
      <c r="X231" s="1136"/>
      <c r="Y231" s="722">
        <v>0</v>
      </c>
      <c r="Z231" s="1072" t="str">
        <f>+V230</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AA231" s="529">
        <v>0</v>
      </c>
      <c r="AB231" s="776"/>
      <c r="AC231" s="529"/>
      <c r="AD231" s="1069" t="e">
        <f t="shared" si="188"/>
        <v>#DIV/0!</v>
      </c>
      <c r="AE231" s="1069" t="e">
        <f t="shared" ref="AE231:AE268" si="191">+(AC231/AA231)</f>
        <v>#DIV/0!</v>
      </c>
      <c r="AF231" s="1069">
        <f t="shared" ref="AF231:AF268" si="192">+(AB231/U231)</f>
        <v>0</v>
      </c>
      <c r="AG231" s="1069" t="e">
        <f>+(AC231/W230)</f>
        <v>#DIV/0!</v>
      </c>
      <c r="AH231" s="1068"/>
      <c r="AI231" s="1090">
        <v>0</v>
      </c>
      <c r="AJ231" s="1137"/>
      <c r="AK231" s="1138"/>
      <c r="AL231" s="700"/>
      <c r="AM231" s="700"/>
      <c r="AN231" s="1069" t="e">
        <f t="shared" si="167"/>
        <v>#DIV/0!</v>
      </c>
      <c r="AO231" s="1069" t="e">
        <f>+(AM231/AK230)</f>
        <v>#DIV/0!</v>
      </c>
      <c r="AP231" s="1069">
        <f t="shared" ref="AP231:AP268" si="193">+(AL231+AB231)/U231</f>
        <v>0</v>
      </c>
      <c r="AQ231" s="1069" t="e">
        <f>+(AM231+AC231)/W230</f>
        <v>#DIV/0!</v>
      </c>
      <c r="AR231" s="845"/>
      <c r="AS231" s="1090">
        <v>1</v>
      </c>
      <c r="AT231" s="1137"/>
      <c r="AU231" s="1138"/>
      <c r="AV231" s="951">
        <v>1</v>
      </c>
      <c r="AW231" s="1626">
        <v>0</v>
      </c>
      <c r="AX231" s="1069">
        <f t="shared" si="171"/>
        <v>1</v>
      </c>
      <c r="AY231" s="1069" t="e">
        <f>+(AW231/AU230)</f>
        <v>#DIV/0!</v>
      </c>
      <c r="AZ231" s="1069">
        <f t="shared" ref="AZ231:AZ268" si="194">+(AL231+AB231+AV231)/U231</f>
        <v>1</v>
      </c>
      <c r="BA231" s="1069" t="e">
        <f>+(AM231+AC231+AW231)/W230</f>
        <v>#DIV/0!</v>
      </c>
      <c r="BB231" s="1068" t="s">
        <v>2031</v>
      </c>
      <c r="BC231" s="1090">
        <v>0</v>
      </c>
      <c r="BD231" s="1280"/>
      <c r="BE231" s="1138"/>
      <c r="BF231" s="1089">
        <v>0</v>
      </c>
      <c r="BG231" s="1684"/>
      <c r="BH231" s="1075" t="e">
        <f t="shared" si="175"/>
        <v>#DIV/0!</v>
      </c>
      <c r="BI231" s="1075" t="e">
        <f>+(BG231/BE230)</f>
        <v>#DIV/0!</v>
      </c>
      <c r="BJ231" s="1075">
        <f t="shared" ref="BJ231:BJ268" si="195">+(AL231+AB231+AV231+BF231)/U231</f>
        <v>1</v>
      </c>
      <c r="BK231" s="1075" t="e">
        <f>+(AM231+AC231+AW231+BG231)/W230</f>
        <v>#DIV/0!</v>
      </c>
      <c r="BL231" s="1068" t="s">
        <v>2097</v>
      </c>
      <c r="BM231" s="708" t="str">
        <f t="shared" ref="BM231:BM268" si="196">IF(AND(Y231=0,AB231=0),"No Prog ni Ejec",IF(Y231=0,CONCATENATE("No Prog, Ejec=  ",AB231),AB231/Y231))</f>
        <v>No Prog ni Ejec</v>
      </c>
      <c r="BN231" s="708" t="str">
        <f t="shared" ref="BN231:BN268" si="197">IF(AND(AA231=0,AC231=0),"No Prog ni Ejec",IF(AA231=0,CONCATENATE("No Prog, Ejec=  ",AC231),AC231/AA231))</f>
        <v>No Prog ni Ejec</v>
      </c>
      <c r="BO231" s="708" t="str">
        <f t="shared" ref="BO231:BO268" si="198">IF(AND(AI231=0,AL231=0),"No Prog ni Ejec",IF(AI231=0,CONCATENATE("No Prog, Ejec=  ",AL231),AL231/AI231))</f>
        <v>No Prog ni Ejec</v>
      </c>
      <c r="BP231" s="708" t="str">
        <f>IF(AND(AK230=0,AM231=0),"No Prog ni Ejec",IF(AK230=0,CONCATENATE("No Prog, Ejec=  ",AM231),AM231/AK230))</f>
        <v>No Prog ni Ejec</v>
      </c>
      <c r="BQ231" s="708">
        <f t="shared" ref="BQ231:BQ268" si="199">IF(AND(AS231=0,AV231=0),"No Prog ni Ejec",IF(AS231=0,CONCATENATE("No Prog, Ejec=  ",AV231),AV231/AS231))</f>
        <v>1</v>
      </c>
      <c r="BR231" s="708" t="str">
        <f>IF(AND(AU230=0,AW231=0),"No Prog ni Ejec",IF(AU230=0,CONCATENATE("No Prog, Ejec=  ",AW231),AW231/AU230))</f>
        <v>No Prog ni Ejec</v>
      </c>
      <c r="BS231" s="708" t="str">
        <f t="shared" ref="BS231:BS268" si="200">IF(AND(BC231=0,BF231=0),"No Prog ni Ejec",IF(BC231=0,CONCATENATE("No Prog, Ejec=  ",BF231),BF231/BC231))</f>
        <v>No Prog ni Ejec</v>
      </c>
      <c r="BT231" s="829" t="str">
        <f>IF(AND(BE230=0,BG231=0),"No Prog ni Ejec",IF(BE230=0,CONCATENATE("No Prog, Ejec=  ",BG231),BG231/BE230))</f>
        <v>No Prog ni Ejec</v>
      </c>
    </row>
    <row r="232" spans="1:72" s="958" customFormat="1" ht="89.25" customHeight="1" x14ac:dyDescent="0.2">
      <c r="A232" s="1091">
        <v>12000</v>
      </c>
      <c r="B232" s="1068" t="s">
        <v>831</v>
      </c>
      <c r="C232" s="1068" t="s">
        <v>1340</v>
      </c>
      <c r="D232" s="1085" t="s">
        <v>355</v>
      </c>
      <c r="E232" s="1068" t="s">
        <v>256</v>
      </c>
      <c r="F232" s="1085" t="s">
        <v>1505</v>
      </c>
      <c r="G232" s="1068" t="s">
        <v>1506</v>
      </c>
      <c r="H232" s="1089" t="s">
        <v>124</v>
      </c>
      <c r="I232" s="1085">
        <v>1</v>
      </c>
      <c r="J232" s="1085" t="s">
        <v>1946</v>
      </c>
      <c r="K232" s="1068" t="s">
        <v>1507</v>
      </c>
      <c r="L232" s="529">
        <v>0</v>
      </c>
      <c r="M232" s="1078">
        <v>1</v>
      </c>
      <c r="N232" s="1068" t="s">
        <v>48</v>
      </c>
      <c r="O232" s="1068" t="s">
        <v>62</v>
      </c>
      <c r="P232" s="1068" t="s">
        <v>21</v>
      </c>
      <c r="Q232" s="1068" t="s">
        <v>23</v>
      </c>
      <c r="R232" s="1068" t="s">
        <v>792</v>
      </c>
      <c r="S232" s="1068" t="s">
        <v>1508</v>
      </c>
      <c r="T232" s="1068" t="s">
        <v>98</v>
      </c>
      <c r="U232" s="1085">
        <v>1</v>
      </c>
      <c r="V232" s="1071" t="str">
        <f t="shared" ref="V232:W247" si="201">+K232</f>
        <v>Consolidar, registrar y analizar las evaluaciones, inquietudes, observaciones o aportes realizados por la ciudadanía y partes interesadas, frente a la gestión de la entidad.</v>
      </c>
      <c r="W232" s="699">
        <f t="shared" si="201"/>
        <v>0</v>
      </c>
      <c r="X232" s="1086" t="s">
        <v>117</v>
      </c>
      <c r="Y232" s="722">
        <v>0</v>
      </c>
      <c r="Z232" s="1072" t="str">
        <f t="shared" ref="Z232:Z268" si="202">+V232</f>
        <v>Consolidar, registrar y analizar las evaluaciones, inquietudes, observaciones o aportes realizados por la ciudadanía y partes interesadas, frente a la gestión de la entidad.</v>
      </c>
      <c r="AA232" s="529">
        <v>0</v>
      </c>
      <c r="AB232" s="776"/>
      <c r="AC232" s="529"/>
      <c r="AD232" s="1069" t="e">
        <f t="shared" si="188"/>
        <v>#DIV/0!</v>
      </c>
      <c r="AE232" s="1069" t="e">
        <f t="shared" si="191"/>
        <v>#DIV/0!</v>
      </c>
      <c r="AF232" s="1069">
        <f t="shared" si="192"/>
        <v>0</v>
      </c>
      <c r="AG232" s="1069" t="e">
        <f t="shared" ref="AG232:AG268" si="203">+(AC232/W232)</f>
        <v>#DIV/0!</v>
      </c>
      <c r="AH232" s="1068"/>
      <c r="AI232" s="1090">
        <v>0</v>
      </c>
      <c r="AJ232" s="1072" t="str">
        <f t="shared" ref="AJ232:AJ268" si="204">+V232</f>
        <v>Consolidar, registrar y analizar las evaluaciones, inquietudes, observaciones o aportes realizados por la ciudadanía y partes interesadas, frente a la gestión de la entidad.</v>
      </c>
      <c r="AK232" s="529">
        <v>0</v>
      </c>
      <c r="AL232" s="700"/>
      <c r="AM232" s="700"/>
      <c r="AN232" s="1069" t="e">
        <f t="shared" si="167"/>
        <v>#DIV/0!</v>
      </c>
      <c r="AO232" s="1069" t="e">
        <f t="shared" ref="AO232:AO268" si="205">+(AM232/AK232)</f>
        <v>#DIV/0!</v>
      </c>
      <c r="AP232" s="1069">
        <f t="shared" si="193"/>
        <v>0</v>
      </c>
      <c r="AQ232" s="1069" t="e">
        <f t="shared" ref="AQ232:AQ268" si="206">+(AM232+AC232)/W232</f>
        <v>#DIV/0!</v>
      </c>
      <c r="AR232" s="845"/>
      <c r="AS232" s="1090">
        <v>0</v>
      </c>
      <c r="AT232" s="1072" t="str">
        <f t="shared" ref="AT232:AT268" si="207">+V232</f>
        <v>Consolidar, registrar y analizar las evaluaciones, inquietudes, observaciones o aportes realizados por la ciudadanía y partes interesadas, frente a la gestión de la entidad.</v>
      </c>
      <c r="AU232" s="529">
        <v>0</v>
      </c>
      <c r="AV232" s="700">
        <v>0</v>
      </c>
      <c r="AW232" s="1626">
        <v>0</v>
      </c>
      <c r="AX232" s="1069" t="e">
        <f t="shared" si="171"/>
        <v>#DIV/0!</v>
      </c>
      <c r="AY232" s="1069" t="e">
        <f t="shared" ref="AY232:AY268" si="208">+(AW232/AU232)</f>
        <v>#DIV/0!</v>
      </c>
      <c r="AZ232" s="1069">
        <f t="shared" si="194"/>
        <v>0</v>
      </c>
      <c r="BA232" s="1069" t="e">
        <f t="shared" ref="BA232:BA268" si="209">+(AM232+AC232+AW232)/W232</f>
        <v>#DIV/0!</v>
      </c>
      <c r="BB232" s="845"/>
      <c r="BC232" s="1090">
        <v>1</v>
      </c>
      <c r="BD232" s="1072" t="str">
        <f t="shared" ref="BD232:BD268" si="210">+V232</f>
        <v>Consolidar, registrar y analizar las evaluaciones, inquietudes, observaciones o aportes realizados por la ciudadanía y partes interesadas, frente a la gestión de la entidad.</v>
      </c>
      <c r="BE232" s="529">
        <v>0</v>
      </c>
      <c r="BF232" s="1089">
        <v>1</v>
      </c>
      <c r="BG232" s="1054">
        <v>0</v>
      </c>
      <c r="BH232" s="1075">
        <f t="shared" si="175"/>
        <v>1</v>
      </c>
      <c r="BI232" s="1075" t="e">
        <f t="shared" ref="BI232:BI268" si="211">+(BG232/BE232)</f>
        <v>#DIV/0!</v>
      </c>
      <c r="BJ232" s="1075">
        <f t="shared" si="195"/>
        <v>1</v>
      </c>
      <c r="BK232" s="1075" t="e">
        <f t="shared" ref="BK232:BK268" si="212">+(AM232+AC232+AW232+BG232)/W232</f>
        <v>#DIV/0!</v>
      </c>
      <c r="BL232" s="1053" t="s">
        <v>2098</v>
      </c>
      <c r="BM232" s="708" t="str">
        <f t="shared" si="196"/>
        <v>No Prog ni Ejec</v>
      </c>
      <c r="BN232" s="708" t="str">
        <f t="shared" si="197"/>
        <v>No Prog ni Ejec</v>
      </c>
      <c r="BO232" s="708" t="str">
        <f t="shared" si="198"/>
        <v>No Prog ni Ejec</v>
      </c>
      <c r="BP232" s="708" t="str">
        <f t="shared" ref="BP232:BP268" si="213">IF(AND(AK232=0,AM232=0),"No Prog ni Ejec",IF(AK232=0,CONCATENATE("No Prog, Ejec=  ",AM232),AM232/AK232))</f>
        <v>No Prog ni Ejec</v>
      </c>
      <c r="BQ232" s="708" t="str">
        <f t="shared" si="199"/>
        <v>No Prog ni Ejec</v>
      </c>
      <c r="BR232" s="708" t="str">
        <f t="shared" ref="BR232:BR268" si="214">IF(AND(AU232=0,AW232=0),"No Prog ni Ejec",IF(AU232=0,CONCATENATE("No Prog, Ejec=  ",AW232),AW232/AU232))</f>
        <v>No Prog ni Ejec</v>
      </c>
      <c r="BS232" s="708">
        <f t="shared" si="200"/>
        <v>1</v>
      </c>
      <c r="BT232" s="829" t="str">
        <f t="shared" ref="BT232:BT268" si="215">IF(AND(BE232=0,BG232=0),"No Prog ni Ejec",IF(BE232=0,CONCATENATE("No Prog, Ejec=  ",BG232),BG232/BE232))</f>
        <v>No Prog ni Ejec</v>
      </c>
    </row>
    <row r="233" spans="1:72" s="958" customFormat="1" ht="89.25" customHeight="1" x14ac:dyDescent="0.2">
      <c r="A233" s="1091">
        <v>12000</v>
      </c>
      <c r="B233" s="1068" t="s">
        <v>831</v>
      </c>
      <c r="C233" s="1068" t="s">
        <v>1340</v>
      </c>
      <c r="D233" s="1059" t="s">
        <v>355</v>
      </c>
      <c r="E233" s="1068" t="s">
        <v>256</v>
      </c>
      <c r="F233" s="1085" t="s">
        <v>1509</v>
      </c>
      <c r="G233" s="1068" t="s">
        <v>1510</v>
      </c>
      <c r="H233" s="1089" t="s">
        <v>124</v>
      </c>
      <c r="I233" s="1085">
        <v>1</v>
      </c>
      <c r="J233" s="1085" t="s">
        <v>1511</v>
      </c>
      <c r="K233" s="1068" t="s">
        <v>1512</v>
      </c>
      <c r="L233" s="529">
        <v>0</v>
      </c>
      <c r="M233" s="1078">
        <v>1</v>
      </c>
      <c r="N233" s="1068" t="s">
        <v>48</v>
      </c>
      <c r="O233" s="1068" t="s">
        <v>62</v>
      </c>
      <c r="P233" s="1068" t="s">
        <v>21</v>
      </c>
      <c r="Q233" s="1068" t="s">
        <v>23</v>
      </c>
      <c r="R233" s="1068" t="s">
        <v>792</v>
      </c>
      <c r="S233" s="1068" t="s">
        <v>1513</v>
      </c>
      <c r="T233" s="1068" t="s">
        <v>98</v>
      </c>
      <c r="U233" s="1085">
        <v>1</v>
      </c>
      <c r="V233" s="1071" t="str">
        <f t="shared" si="201"/>
        <v>Consolidar, registrar y analizar las evaluaciones, inquietudes, observaciones o aportes realizados por los servidores de ADRES, frente a la gestión de la entidad.</v>
      </c>
      <c r="W233" s="699">
        <f t="shared" si="201"/>
        <v>0</v>
      </c>
      <c r="X233" s="1086" t="s">
        <v>117</v>
      </c>
      <c r="Y233" s="722">
        <v>0</v>
      </c>
      <c r="Z233" s="1072" t="str">
        <f t="shared" si="202"/>
        <v>Consolidar, registrar y analizar las evaluaciones, inquietudes, observaciones o aportes realizados por los servidores de ADRES, frente a la gestión de la entidad.</v>
      </c>
      <c r="AA233" s="529">
        <v>0</v>
      </c>
      <c r="AB233" s="776"/>
      <c r="AC233" s="529"/>
      <c r="AD233" s="1069" t="e">
        <f t="shared" si="188"/>
        <v>#DIV/0!</v>
      </c>
      <c r="AE233" s="1069" t="e">
        <f t="shared" si="191"/>
        <v>#DIV/0!</v>
      </c>
      <c r="AF233" s="1069">
        <f t="shared" si="192"/>
        <v>0</v>
      </c>
      <c r="AG233" s="1069" t="e">
        <f t="shared" si="203"/>
        <v>#DIV/0!</v>
      </c>
      <c r="AH233" s="1068"/>
      <c r="AI233" s="1090">
        <v>0</v>
      </c>
      <c r="AJ233" s="1072" t="str">
        <f t="shared" si="204"/>
        <v>Consolidar, registrar y analizar las evaluaciones, inquietudes, observaciones o aportes realizados por los servidores de ADRES, frente a la gestión de la entidad.</v>
      </c>
      <c r="AK233" s="529">
        <v>0</v>
      </c>
      <c r="AL233" s="700"/>
      <c r="AM233" s="700"/>
      <c r="AN233" s="1069" t="e">
        <f t="shared" si="167"/>
        <v>#DIV/0!</v>
      </c>
      <c r="AO233" s="1069" t="e">
        <f t="shared" si="205"/>
        <v>#DIV/0!</v>
      </c>
      <c r="AP233" s="1069">
        <f t="shared" si="193"/>
        <v>0</v>
      </c>
      <c r="AQ233" s="1069" t="e">
        <f t="shared" si="206"/>
        <v>#DIV/0!</v>
      </c>
      <c r="AR233" s="845"/>
      <c r="AS233" s="1090">
        <v>0</v>
      </c>
      <c r="AT233" s="1072" t="str">
        <f t="shared" si="207"/>
        <v>Consolidar, registrar y analizar las evaluaciones, inquietudes, observaciones o aportes realizados por los servidores de ADRES, frente a la gestión de la entidad.</v>
      </c>
      <c r="AU233" s="529">
        <v>0</v>
      </c>
      <c r="AV233" s="700">
        <v>0</v>
      </c>
      <c r="AW233" s="1626">
        <v>0</v>
      </c>
      <c r="AX233" s="1069" t="e">
        <f t="shared" si="171"/>
        <v>#DIV/0!</v>
      </c>
      <c r="AY233" s="1069" t="e">
        <f t="shared" si="208"/>
        <v>#DIV/0!</v>
      </c>
      <c r="AZ233" s="1069">
        <f t="shared" si="194"/>
        <v>0</v>
      </c>
      <c r="BA233" s="1069" t="e">
        <f t="shared" si="209"/>
        <v>#DIV/0!</v>
      </c>
      <c r="BB233" s="845"/>
      <c r="BC233" s="1090">
        <v>1</v>
      </c>
      <c r="BD233" s="1072" t="str">
        <f t="shared" si="210"/>
        <v>Consolidar, registrar y analizar las evaluaciones, inquietudes, observaciones o aportes realizados por los servidores de ADRES, frente a la gestión de la entidad.</v>
      </c>
      <c r="BE233" s="529">
        <v>0</v>
      </c>
      <c r="BF233" s="1089">
        <v>1</v>
      </c>
      <c r="BG233" s="1054">
        <v>0</v>
      </c>
      <c r="BH233" s="1075">
        <f t="shared" si="175"/>
        <v>1</v>
      </c>
      <c r="BI233" s="1075" t="e">
        <f t="shared" si="211"/>
        <v>#DIV/0!</v>
      </c>
      <c r="BJ233" s="1075">
        <f t="shared" si="195"/>
        <v>1</v>
      </c>
      <c r="BK233" s="1075" t="e">
        <f t="shared" si="212"/>
        <v>#DIV/0!</v>
      </c>
      <c r="BL233" s="1053" t="s">
        <v>2098</v>
      </c>
      <c r="BM233" s="708" t="str">
        <f t="shared" si="196"/>
        <v>No Prog ni Ejec</v>
      </c>
      <c r="BN233" s="708" t="str">
        <f t="shared" si="197"/>
        <v>No Prog ni Ejec</v>
      </c>
      <c r="BO233" s="708" t="str">
        <f t="shared" si="198"/>
        <v>No Prog ni Ejec</v>
      </c>
      <c r="BP233" s="708" t="str">
        <f t="shared" si="213"/>
        <v>No Prog ni Ejec</v>
      </c>
      <c r="BQ233" s="708" t="str">
        <f t="shared" si="199"/>
        <v>No Prog ni Ejec</v>
      </c>
      <c r="BR233" s="708" t="str">
        <f t="shared" si="214"/>
        <v>No Prog ni Ejec</v>
      </c>
      <c r="BS233" s="708">
        <f t="shared" si="200"/>
        <v>1</v>
      </c>
      <c r="BT233" s="829" t="str">
        <f t="shared" si="215"/>
        <v>No Prog ni Ejec</v>
      </c>
    </row>
    <row r="234" spans="1:72" s="958" customFormat="1" ht="89.25" customHeight="1" x14ac:dyDescent="0.2">
      <c r="A234" s="1091">
        <v>12000</v>
      </c>
      <c r="B234" s="1068" t="s">
        <v>831</v>
      </c>
      <c r="C234" s="1068" t="s">
        <v>1340</v>
      </c>
      <c r="D234" s="1059" t="s">
        <v>355</v>
      </c>
      <c r="E234" s="1068" t="s">
        <v>256</v>
      </c>
      <c r="F234" s="1085" t="s">
        <v>1514</v>
      </c>
      <c r="G234" s="1068" t="s">
        <v>1515</v>
      </c>
      <c r="H234" s="1089" t="s">
        <v>124</v>
      </c>
      <c r="I234" s="1085">
        <v>1</v>
      </c>
      <c r="J234" s="1085" t="s">
        <v>1516</v>
      </c>
      <c r="K234" s="1068" t="s">
        <v>1517</v>
      </c>
      <c r="L234" s="529">
        <v>0</v>
      </c>
      <c r="M234" s="1078">
        <v>1</v>
      </c>
      <c r="N234" s="1068" t="s">
        <v>48</v>
      </c>
      <c r="O234" s="1068" t="s">
        <v>62</v>
      </c>
      <c r="P234" s="1068" t="s">
        <v>21</v>
      </c>
      <c r="Q234" s="1068" t="s">
        <v>23</v>
      </c>
      <c r="R234" s="1068" t="s">
        <v>792</v>
      </c>
      <c r="S234" s="1068" t="s">
        <v>1518</v>
      </c>
      <c r="T234" s="1068" t="s">
        <v>98</v>
      </c>
      <c r="U234" s="1085">
        <v>1</v>
      </c>
      <c r="V234" s="1071" t="str">
        <f t="shared" si="201"/>
        <v>Autoevaluar el cumplimiento de la estrategia de rendición de cuentas externa implementada por la entidad.</v>
      </c>
      <c r="W234" s="699">
        <f t="shared" si="201"/>
        <v>0</v>
      </c>
      <c r="X234" s="1086" t="s">
        <v>117</v>
      </c>
      <c r="Y234" s="722">
        <v>0</v>
      </c>
      <c r="Z234" s="1072" t="str">
        <f t="shared" si="202"/>
        <v>Autoevaluar el cumplimiento de la estrategia de rendición de cuentas externa implementada por la entidad.</v>
      </c>
      <c r="AA234" s="529">
        <v>0</v>
      </c>
      <c r="AB234" s="776"/>
      <c r="AC234" s="529"/>
      <c r="AD234" s="1069" t="e">
        <f t="shared" si="188"/>
        <v>#DIV/0!</v>
      </c>
      <c r="AE234" s="1069" t="e">
        <f t="shared" si="191"/>
        <v>#DIV/0!</v>
      </c>
      <c r="AF234" s="1069">
        <f t="shared" si="192"/>
        <v>0</v>
      </c>
      <c r="AG234" s="1069" t="e">
        <f t="shared" si="203"/>
        <v>#DIV/0!</v>
      </c>
      <c r="AH234" s="1068"/>
      <c r="AI234" s="1090">
        <v>0</v>
      </c>
      <c r="AJ234" s="1072" t="str">
        <f t="shared" si="204"/>
        <v>Autoevaluar el cumplimiento de la estrategia de rendición de cuentas externa implementada por la entidad.</v>
      </c>
      <c r="AK234" s="529">
        <v>0</v>
      </c>
      <c r="AL234" s="700"/>
      <c r="AM234" s="700"/>
      <c r="AN234" s="1069" t="e">
        <f t="shared" si="167"/>
        <v>#DIV/0!</v>
      </c>
      <c r="AO234" s="1069" t="e">
        <f t="shared" si="205"/>
        <v>#DIV/0!</v>
      </c>
      <c r="AP234" s="1069">
        <f t="shared" si="193"/>
        <v>0</v>
      </c>
      <c r="AQ234" s="1069" t="e">
        <f t="shared" si="206"/>
        <v>#DIV/0!</v>
      </c>
      <c r="AR234" s="845"/>
      <c r="AS234" s="1090">
        <v>0</v>
      </c>
      <c r="AT234" s="1072" t="str">
        <f t="shared" si="207"/>
        <v>Autoevaluar el cumplimiento de la estrategia de rendición de cuentas externa implementada por la entidad.</v>
      </c>
      <c r="AU234" s="529">
        <v>0</v>
      </c>
      <c r="AV234" s="700">
        <v>0</v>
      </c>
      <c r="AW234" s="1626">
        <v>0</v>
      </c>
      <c r="AX234" s="1069" t="e">
        <f t="shared" si="171"/>
        <v>#DIV/0!</v>
      </c>
      <c r="AY234" s="1069" t="e">
        <f t="shared" si="208"/>
        <v>#DIV/0!</v>
      </c>
      <c r="AZ234" s="1069">
        <f t="shared" si="194"/>
        <v>0</v>
      </c>
      <c r="BA234" s="1069" t="e">
        <f t="shared" si="209"/>
        <v>#DIV/0!</v>
      </c>
      <c r="BB234" s="845"/>
      <c r="BC234" s="1090">
        <v>1</v>
      </c>
      <c r="BD234" s="1072" t="str">
        <f t="shared" si="210"/>
        <v>Autoevaluar el cumplimiento de la estrategia de rendición de cuentas externa implementada por la entidad.</v>
      </c>
      <c r="BE234" s="529">
        <v>0</v>
      </c>
      <c r="BF234" s="1089">
        <v>1</v>
      </c>
      <c r="BG234" s="1054">
        <v>0</v>
      </c>
      <c r="BH234" s="1075">
        <f t="shared" si="175"/>
        <v>1</v>
      </c>
      <c r="BI234" s="1075" t="e">
        <f t="shared" si="211"/>
        <v>#DIV/0!</v>
      </c>
      <c r="BJ234" s="1075">
        <f t="shared" si="195"/>
        <v>1</v>
      </c>
      <c r="BK234" s="1075" t="e">
        <f t="shared" si="212"/>
        <v>#DIV/0!</v>
      </c>
      <c r="BL234" s="1072" t="s">
        <v>2099</v>
      </c>
      <c r="BM234" s="708" t="str">
        <f t="shared" si="196"/>
        <v>No Prog ni Ejec</v>
      </c>
      <c r="BN234" s="708" t="str">
        <f t="shared" si="197"/>
        <v>No Prog ni Ejec</v>
      </c>
      <c r="BO234" s="708" t="str">
        <f t="shared" si="198"/>
        <v>No Prog ni Ejec</v>
      </c>
      <c r="BP234" s="708" t="str">
        <f t="shared" si="213"/>
        <v>No Prog ni Ejec</v>
      </c>
      <c r="BQ234" s="708" t="str">
        <f t="shared" si="199"/>
        <v>No Prog ni Ejec</v>
      </c>
      <c r="BR234" s="708" t="str">
        <f t="shared" si="214"/>
        <v>No Prog ni Ejec</v>
      </c>
      <c r="BS234" s="708">
        <f t="shared" si="200"/>
        <v>1</v>
      </c>
      <c r="BT234" s="829" t="str">
        <f t="shared" si="215"/>
        <v>No Prog ni Ejec</v>
      </c>
    </row>
    <row r="235" spans="1:72" s="958" customFormat="1" ht="89.25" customHeight="1" x14ac:dyDescent="0.2">
      <c r="A235" s="1091">
        <v>12000</v>
      </c>
      <c r="B235" s="1068" t="s">
        <v>831</v>
      </c>
      <c r="C235" s="1068" t="s">
        <v>1340</v>
      </c>
      <c r="D235" s="1059" t="s">
        <v>355</v>
      </c>
      <c r="E235" s="1068" t="s">
        <v>256</v>
      </c>
      <c r="F235" s="1085" t="s">
        <v>1519</v>
      </c>
      <c r="G235" s="1068" t="s">
        <v>1520</v>
      </c>
      <c r="H235" s="1089" t="s">
        <v>124</v>
      </c>
      <c r="I235" s="1085">
        <v>1</v>
      </c>
      <c r="J235" s="1085" t="s">
        <v>1521</v>
      </c>
      <c r="K235" s="1068" t="s">
        <v>1522</v>
      </c>
      <c r="L235" s="529">
        <v>0</v>
      </c>
      <c r="M235" s="1078">
        <v>1</v>
      </c>
      <c r="N235" s="1068" t="s">
        <v>48</v>
      </c>
      <c r="O235" s="1068" t="s">
        <v>62</v>
      </c>
      <c r="P235" s="1068" t="s">
        <v>21</v>
      </c>
      <c r="Q235" s="1068" t="s">
        <v>23</v>
      </c>
      <c r="R235" s="1068" t="s">
        <v>792</v>
      </c>
      <c r="S235" s="1068" t="s">
        <v>1523</v>
      </c>
      <c r="T235" s="1068" t="s">
        <v>98</v>
      </c>
      <c r="U235" s="1085">
        <v>1</v>
      </c>
      <c r="V235" s="1071" t="str">
        <f t="shared" si="201"/>
        <v>Documentar acciones de mejoramiento derivadas de acuerdos, propuestas o evaluaciones que resulten del proceso de rendición de cuentas y divulgarlas entre los participantes.</v>
      </c>
      <c r="W235" s="699">
        <f t="shared" si="201"/>
        <v>0</v>
      </c>
      <c r="X235" s="1086" t="s">
        <v>117</v>
      </c>
      <c r="Y235" s="722">
        <v>0</v>
      </c>
      <c r="Z235" s="1072" t="str">
        <f t="shared" si="202"/>
        <v>Documentar acciones de mejoramiento derivadas de acuerdos, propuestas o evaluaciones que resulten del proceso de rendición de cuentas y divulgarlas entre los participantes.</v>
      </c>
      <c r="AA235" s="529">
        <v>0</v>
      </c>
      <c r="AB235" s="776"/>
      <c r="AC235" s="529"/>
      <c r="AD235" s="1069" t="e">
        <f t="shared" si="188"/>
        <v>#DIV/0!</v>
      </c>
      <c r="AE235" s="1069" t="e">
        <f t="shared" si="191"/>
        <v>#DIV/0!</v>
      </c>
      <c r="AF235" s="1069">
        <f t="shared" si="192"/>
        <v>0</v>
      </c>
      <c r="AG235" s="1069" t="e">
        <f t="shared" si="203"/>
        <v>#DIV/0!</v>
      </c>
      <c r="AH235" s="1068"/>
      <c r="AI235" s="1090">
        <v>0</v>
      </c>
      <c r="AJ235" s="1072" t="str">
        <f t="shared" si="204"/>
        <v>Documentar acciones de mejoramiento derivadas de acuerdos, propuestas o evaluaciones que resulten del proceso de rendición de cuentas y divulgarlas entre los participantes.</v>
      </c>
      <c r="AK235" s="529">
        <v>0</v>
      </c>
      <c r="AL235" s="700"/>
      <c r="AM235" s="700"/>
      <c r="AN235" s="1069" t="e">
        <f t="shared" si="167"/>
        <v>#DIV/0!</v>
      </c>
      <c r="AO235" s="1069" t="e">
        <f t="shared" si="205"/>
        <v>#DIV/0!</v>
      </c>
      <c r="AP235" s="1069">
        <f t="shared" si="193"/>
        <v>0</v>
      </c>
      <c r="AQ235" s="1069" t="e">
        <f t="shared" si="206"/>
        <v>#DIV/0!</v>
      </c>
      <c r="AR235" s="845"/>
      <c r="AS235" s="1090">
        <v>0</v>
      </c>
      <c r="AT235" s="1072" t="str">
        <f t="shared" si="207"/>
        <v>Documentar acciones de mejoramiento derivadas de acuerdos, propuestas o evaluaciones que resulten del proceso de rendición de cuentas y divulgarlas entre los participantes.</v>
      </c>
      <c r="AU235" s="529">
        <v>0</v>
      </c>
      <c r="AV235" s="700">
        <v>0</v>
      </c>
      <c r="AW235" s="1626">
        <v>0</v>
      </c>
      <c r="AX235" s="1069" t="e">
        <f t="shared" si="171"/>
        <v>#DIV/0!</v>
      </c>
      <c r="AY235" s="1069" t="e">
        <f t="shared" si="208"/>
        <v>#DIV/0!</v>
      </c>
      <c r="AZ235" s="1069">
        <f t="shared" si="194"/>
        <v>0</v>
      </c>
      <c r="BA235" s="1069" t="e">
        <f t="shared" si="209"/>
        <v>#DIV/0!</v>
      </c>
      <c r="BB235" s="845"/>
      <c r="BC235" s="1090">
        <v>1</v>
      </c>
      <c r="BD235" s="1072" t="str">
        <f t="shared" si="210"/>
        <v>Documentar acciones de mejoramiento derivadas de acuerdos, propuestas o evaluaciones que resulten del proceso de rendición de cuentas y divulgarlas entre los participantes.</v>
      </c>
      <c r="BE235" s="529">
        <v>0</v>
      </c>
      <c r="BF235" s="1089">
        <v>1</v>
      </c>
      <c r="BG235" s="1054">
        <v>0</v>
      </c>
      <c r="BH235" s="1075">
        <f t="shared" si="175"/>
        <v>1</v>
      </c>
      <c r="BI235" s="1075" t="e">
        <f t="shared" si="211"/>
        <v>#DIV/0!</v>
      </c>
      <c r="BJ235" s="1075">
        <f t="shared" si="195"/>
        <v>1</v>
      </c>
      <c r="BK235" s="1075" t="e">
        <f t="shared" si="212"/>
        <v>#DIV/0!</v>
      </c>
      <c r="BL235" s="1072" t="s">
        <v>2100</v>
      </c>
      <c r="BM235" s="708" t="str">
        <f t="shared" si="196"/>
        <v>No Prog ni Ejec</v>
      </c>
      <c r="BN235" s="708" t="str">
        <f t="shared" si="197"/>
        <v>No Prog ni Ejec</v>
      </c>
      <c r="BO235" s="708" t="str">
        <f t="shared" si="198"/>
        <v>No Prog ni Ejec</v>
      </c>
      <c r="BP235" s="708" t="str">
        <f t="shared" si="213"/>
        <v>No Prog ni Ejec</v>
      </c>
      <c r="BQ235" s="708" t="str">
        <f t="shared" si="199"/>
        <v>No Prog ni Ejec</v>
      </c>
      <c r="BR235" s="708" t="str">
        <f t="shared" si="214"/>
        <v>No Prog ni Ejec</v>
      </c>
      <c r="BS235" s="708">
        <f t="shared" si="200"/>
        <v>1</v>
      </c>
      <c r="BT235" s="829" t="str">
        <f t="shared" si="215"/>
        <v>No Prog ni Ejec</v>
      </c>
    </row>
    <row r="236" spans="1:72" s="958" customFormat="1" ht="89.25" customHeight="1" x14ac:dyDescent="0.2">
      <c r="A236" s="1092">
        <v>11700</v>
      </c>
      <c r="B236" s="1060" t="s">
        <v>29</v>
      </c>
      <c r="C236" s="1068" t="s">
        <v>1340</v>
      </c>
      <c r="D236" s="1059" t="s">
        <v>328</v>
      </c>
      <c r="E236" s="1068" t="s">
        <v>256</v>
      </c>
      <c r="F236" s="1059" t="s">
        <v>1524</v>
      </c>
      <c r="G236" s="1068" t="s">
        <v>1525</v>
      </c>
      <c r="H236" s="1089" t="s">
        <v>123</v>
      </c>
      <c r="I236" s="1075">
        <v>1</v>
      </c>
      <c r="J236" s="1085" t="s">
        <v>1526</v>
      </c>
      <c r="K236" s="1068" t="s">
        <v>1527</v>
      </c>
      <c r="L236" s="529">
        <v>0</v>
      </c>
      <c r="M236" s="1078">
        <v>1</v>
      </c>
      <c r="N236" s="1068" t="s">
        <v>48</v>
      </c>
      <c r="O236" s="1068" t="s">
        <v>62</v>
      </c>
      <c r="P236" s="1068" t="s">
        <v>21</v>
      </c>
      <c r="Q236" s="1068" t="s">
        <v>23</v>
      </c>
      <c r="R236" s="1068" t="s">
        <v>217</v>
      </c>
      <c r="S236" s="1068" t="s">
        <v>1528</v>
      </c>
      <c r="T236" s="1068" t="s">
        <v>98</v>
      </c>
      <c r="U236" s="741">
        <v>1</v>
      </c>
      <c r="V236" s="1071" t="str">
        <f t="shared" si="201"/>
        <v>Convocar a audiencias públicas en los procesos de contratación que se requiera y convocar a las veedurías ciudadanas dentro de los procesos contractuales.</v>
      </c>
      <c r="W236" s="699">
        <f t="shared" si="201"/>
        <v>0</v>
      </c>
      <c r="X236" s="1086" t="s">
        <v>117</v>
      </c>
      <c r="Y236" s="1078">
        <v>0</v>
      </c>
      <c r="Z236" s="1072" t="str">
        <f t="shared" si="202"/>
        <v>Convocar a audiencias públicas en los procesos de contratación que se requiera y convocar a las veedurías ciudadanas dentro de los procesos contractuales.</v>
      </c>
      <c r="AA236" s="529">
        <v>0</v>
      </c>
      <c r="AB236" s="776"/>
      <c r="AC236" s="529"/>
      <c r="AD236" s="1069" t="e">
        <f t="shared" si="188"/>
        <v>#DIV/0!</v>
      </c>
      <c r="AE236" s="1069" t="e">
        <f t="shared" si="191"/>
        <v>#DIV/0!</v>
      </c>
      <c r="AF236" s="1069">
        <f t="shared" si="192"/>
        <v>0</v>
      </c>
      <c r="AG236" s="1069" t="e">
        <f t="shared" si="203"/>
        <v>#DIV/0!</v>
      </c>
      <c r="AH236" s="1068"/>
      <c r="AI236" s="1078">
        <v>0</v>
      </c>
      <c r="AJ236" s="1072" t="str">
        <f t="shared" si="204"/>
        <v>Convocar a audiencias públicas en los procesos de contratación que se requiera y convocar a las veedurías ciudadanas dentro de los procesos contractuales.</v>
      </c>
      <c r="AK236" s="529">
        <v>0</v>
      </c>
      <c r="AL236" s="700"/>
      <c r="AM236" s="700"/>
      <c r="AN236" s="1069" t="e">
        <f t="shared" si="167"/>
        <v>#DIV/0!</v>
      </c>
      <c r="AO236" s="1069" t="e">
        <f t="shared" si="205"/>
        <v>#DIV/0!</v>
      </c>
      <c r="AP236" s="1069">
        <f t="shared" si="193"/>
        <v>0</v>
      </c>
      <c r="AQ236" s="1069" t="e">
        <f t="shared" si="206"/>
        <v>#DIV/0!</v>
      </c>
      <c r="AR236" s="845"/>
      <c r="AS236" s="1078">
        <v>0</v>
      </c>
      <c r="AT236" s="1072" t="str">
        <f t="shared" si="207"/>
        <v>Convocar a audiencias públicas en los procesos de contratación que se requiera y convocar a las veedurías ciudadanas dentro de los procesos contractuales.</v>
      </c>
      <c r="AU236" s="529">
        <v>0</v>
      </c>
      <c r="AV236" s="952">
        <v>0</v>
      </c>
      <c r="AW236" s="1626">
        <v>0</v>
      </c>
      <c r="AX236" s="1069" t="e">
        <f t="shared" si="171"/>
        <v>#DIV/0!</v>
      </c>
      <c r="AY236" s="1069" t="e">
        <f t="shared" si="208"/>
        <v>#DIV/0!</v>
      </c>
      <c r="AZ236" s="1069">
        <f t="shared" si="194"/>
        <v>0</v>
      </c>
      <c r="BA236" s="1069" t="e">
        <f t="shared" si="209"/>
        <v>#DIV/0!</v>
      </c>
      <c r="BB236" s="845"/>
      <c r="BC236" s="1078">
        <v>1</v>
      </c>
      <c r="BD236" s="1072" t="str">
        <f t="shared" si="210"/>
        <v>Convocar a audiencias públicas en los procesos de contratación que se requiera y convocar a las veedurías ciudadanas dentro de los procesos contractuales.</v>
      </c>
      <c r="BE236" s="529">
        <v>0</v>
      </c>
      <c r="BF236" s="1100">
        <f>(1/1)*BC236</f>
        <v>1</v>
      </c>
      <c r="BG236" s="1054">
        <v>0</v>
      </c>
      <c r="BH236" s="1075">
        <f t="shared" si="175"/>
        <v>1</v>
      </c>
      <c r="BI236" s="1075" t="e">
        <f t="shared" si="211"/>
        <v>#DIV/0!</v>
      </c>
      <c r="BJ236" s="1075">
        <f t="shared" si="195"/>
        <v>1</v>
      </c>
      <c r="BK236" s="1075" t="e">
        <f t="shared" si="212"/>
        <v>#DIV/0!</v>
      </c>
      <c r="BL236" s="1072" t="s">
        <v>2127</v>
      </c>
      <c r="BM236" s="708" t="str">
        <f t="shared" si="196"/>
        <v>No Prog ni Ejec</v>
      </c>
      <c r="BN236" s="708" t="str">
        <f t="shared" si="197"/>
        <v>No Prog ni Ejec</v>
      </c>
      <c r="BO236" s="708" t="str">
        <f t="shared" si="198"/>
        <v>No Prog ni Ejec</v>
      </c>
      <c r="BP236" s="708" t="str">
        <f t="shared" si="213"/>
        <v>No Prog ni Ejec</v>
      </c>
      <c r="BQ236" s="708" t="str">
        <f t="shared" si="199"/>
        <v>No Prog ni Ejec</v>
      </c>
      <c r="BR236" s="708" t="str">
        <f t="shared" si="214"/>
        <v>No Prog ni Ejec</v>
      </c>
      <c r="BS236" s="708">
        <f t="shared" si="200"/>
        <v>1</v>
      </c>
      <c r="BT236" s="829" t="str">
        <f t="shared" si="215"/>
        <v>No Prog ni Ejec</v>
      </c>
    </row>
    <row r="237" spans="1:72" s="958" customFormat="1" ht="89.25" customHeight="1" x14ac:dyDescent="0.2">
      <c r="A237" s="1092">
        <v>11700</v>
      </c>
      <c r="B237" s="1060" t="s">
        <v>29</v>
      </c>
      <c r="C237" s="1068" t="s">
        <v>1340</v>
      </c>
      <c r="D237" s="1059" t="s">
        <v>328</v>
      </c>
      <c r="E237" s="1068" t="s">
        <v>256</v>
      </c>
      <c r="F237" s="1059" t="s">
        <v>1529</v>
      </c>
      <c r="G237" s="1068" t="s">
        <v>1530</v>
      </c>
      <c r="H237" s="1089" t="s">
        <v>124</v>
      </c>
      <c r="I237" s="1085">
        <v>1</v>
      </c>
      <c r="J237" s="1085" t="s">
        <v>1531</v>
      </c>
      <c r="K237" s="1068" t="s">
        <v>1532</v>
      </c>
      <c r="L237" s="529">
        <v>0</v>
      </c>
      <c r="M237" s="1078">
        <v>1</v>
      </c>
      <c r="N237" s="1068" t="s">
        <v>46</v>
      </c>
      <c r="O237" s="1068" t="s">
        <v>59</v>
      </c>
      <c r="P237" s="1068" t="s">
        <v>37</v>
      </c>
      <c r="Q237" s="1068" t="s">
        <v>40</v>
      </c>
      <c r="R237" s="1068" t="s">
        <v>220</v>
      </c>
      <c r="S237" s="1068" t="s">
        <v>1533</v>
      </c>
      <c r="T237" s="1068" t="s">
        <v>101</v>
      </c>
      <c r="U237" s="777">
        <v>1</v>
      </c>
      <c r="V237" s="1071" t="str">
        <f t="shared" si="201"/>
        <v>Presentar al Director General de la ADRES la formalización del grupo de Atención al Ciudadano y la figura de Coordinador del Grupo.</v>
      </c>
      <c r="W237" s="699">
        <f t="shared" si="201"/>
        <v>0</v>
      </c>
      <c r="X237" s="1086" t="s">
        <v>117</v>
      </c>
      <c r="Y237" s="722">
        <v>0</v>
      </c>
      <c r="Z237" s="1072" t="str">
        <f t="shared" si="202"/>
        <v>Presentar al Director General de la ADRES la formalización del grupo de Atención al Ciudadano y la figura de Coordinador del Grupo.</v>
      </c>
      <c r="AA237" s="529">
        <v>0</v>
      </c>
      <c r="AB237" s="700"/>
      <c r="AC237" s="700"/>
      <c r="AD237" s="1069" t="e">
        <f t="shared" ref="AD237:AD239" si="216">+(AB237/Y237)</f>
        <v>#DIV/0!</v>
      </c>
      <c r="AE237" s="1069" t="e">
        <f t="shared" ref="AE237:AE239" si="217">+(AC237/AA237)</f>
        <v>#DIV/0!</v>
      </c>
      <c r="AF237" s="1069">
        <f t="shared" ref="AF237:AF239" si="218">+(AB237/U237)</f>
        <v>0</v>
      </c>
      <c r="AG237" s="1069" t="e">
        <f t="shared" ref="AG237:AG239" si="219">+(AC237/W237)</f>
        <v>#DIV/0!</v>
      </c>
      <c r="AH237" s="1086"/>
      <c r="AI237" s="1090">
        <v>0</v>
      </c>
      <c r="AJ237" s="1072" t="str">
        <f t="shared" si="204"/>
        <v>Presentar al Director General de la ADRES la formalización del grupo de Atención al Ciudadano y la figura de Coordinador del Grupo.</v>
      </c>
      <c r="AK237" s="529">
        <v>0</v>
      </c>
      <c r="AL237" s="700"/>
      <c r="AM237" s="700"/>
      <c r="AN237" s="1069" t="e">
        <f t="shared" ref="AN237:AN239" si="220">+(AL237/AI237)</f>
        <v>#DIV/0!</v>
      </c>
      <c r="AO237" s="1069" t="e">
        <f t="shared" ref="AO237:AO239" si="221">+(AM237/AK237)</f>
        <v>#DIV/0!</v>
      </c>
      <c r="AP237" s="1069">
        <f t="shared" ref="AP237:AP239" si="222">+(AL237+AB237)/U237</f>
        <v>0</v>
      </c>
      <c r="AQ237" s="1069" t="e">
        <f t="shared" ref="AQ237:AQ239" si="223">+(AM237+AC237)/W237</f>
        <v>#DIV/0!</v>
      </c>
      <c r="AR237" s="845"/>
      <c r="AS237" s="1090">
        <v>0</v>
      </c>
      <c r="AT237" s="1072" t="str">
        <f t="shared" si="207"/>
        <v>Presentar al Director General de la ADRES la formalización del grupo de Atención al Ciudadano y la figura de Coordinador del Grupo.</v>
      </c>
      <c r="AU237" s="529">
        <v>0</v>
      </c>
      <c r="AV237" s="825">
        <v>0</v>
      </c>
      <c r="AW237" s="1626">
        <v>0</v>
      </c>
      <c r="AX237" s="1069" t="e">
        <f t="shared" ref="AX237:AX239" si="224">+(AV237/AS237)</f>
        <v>#DIV/0!</v>
      </c>
      <c r="AY237" s="1069" t="e">
        <f t="shared" ref="AY237:AY239" si="225">+(AW237/AU237)</f>
        <v>#DIV/0!</v>
      </c>
      <c r="AZ237" s="1069">
        <f t="shared" ref="AZ237:AZ239" si="226">+(AL237+AB237+AV237)/U237</f>
        <v>0</v>
      </c>
      <c r="BA237" s="1069" t="e">
        <f t="shared" ref="BA237:BA239" si="227">+(AM237+AC237+AW237)/W237</f>
        <v>#DIV/0!</v>
      </c>
      <c r="BB237" s="845"/>
      <c r="BC237" s="1090">
        <v>1</v>
      </c>
      <c r="BD237" s="1072" t="str">
        <f t="shared" si="210"/>
        <v>Presentar al Director General de la ADRES la formalización del grupo de Atención al Ciudadano y la figura de Coordinador del Grupo.</v>
      </c>
      <c r="BE237" s="529">
        <v>0</v>
      </c>
      <c r="BF237" s="1089">
        <v>0</v>
      </c>
      <c r="BG237" s="1054">
        <v>0</v>
      </c>
      <c r="BH237" s="1075">
        <f t="shared" ref="BH237:BH239" si="228">+(BF237/BC237)</f>
        <v>0</v>
      </c>
      <c r="BI237" s="1075" t="e">
        <f t="shared" ref="BI237:BI239" si="229">+(BG237/BE237)</f>
        <v>#DIV/0!</v>
      </c>
      <c r="BJ237" s="1075">
        <f t="shared" ref="BJ237:BJ239" si="230">+(AL237+AB237+AV237+BF237)/U237</f>
        <v>0</v>
      </c>
      <c r="BK237" s="1075" t="e">
        <f t="shared" ref="BK237:BK239" si="231">+(AM237+AC237+AW237+BG237)/W237</f>
        <v>#DIV/0!</v>
      </c>
      <c r="BL237" s="1072" t="s">
        <v>2077</v>
      </c>
      <c r="BM237" s="708" t="str">
        <f>IF(AND(Y237=0,AL237=0),"No Prog ni Ejec",IF(Y237=0,CONCATENATE("No Prog, Ejec=  ",AL237),AL237/Y237))</f>
        <v>No Prog ni Ejec</v>
      </c>
      <c r="BN237" s="708" t="str">
        <f>IF(AND(AA237=0,AM237=0),"No Prog ni Ejec",IF(AA237=0,CONCATENATE("No Prog, Ejec=  ",AM237),AM237/AA237))</f>
        <v>No Prog ni Ejec</v>
      </c>
      <c r="BO237" s="708" t="str">
        <f t="shared" si="198"/>
        <v>No Prog ni Ejec</v>
      </c>
      <c r="BP237" s="708" t="str">
        <f t="shared" si="213"/>
        <v>No Prog ni Ejec</v>
      </c>
      <c r="BQ237" s="708" t="str">
        <f t="shared" si="199"/>
        <v>No Prog ni Ejec</v>
      </c>
      <c r="BR237" s="708" t="str">
        <f t="shared" si="214"/>
        <v>No Prog ni Ejec</v>
      </c>
      <c r="BS237" s="708">
        <f t="shared" si="200"/>
        <v>0</v>
      </c>
      <c r="BT237" s="829" t="str">
        <f t="shared" si="215"/>
        <v>No Prog ni Ejec</v>
      </c>
    </row>
    <row r="238" spans="1:72" s="958" customFormat="1" ht="114.75" customHeight="1" x14ac:dyDescent="0.2">
      <c r="A238" s="1092">
        <v>11700</v>
      </c>
      <c r="B238" s="1060" t="s">
        <v>29</v>
      </c>
      <c r="C238" s="1068" t="s">
        <v>1340</v>
      </c>
      <c r="D238" s="1059" t="s">
        <v>328</v>
      </c>
      <c r="E238" s="1068" t="s">
        <v>256</v>
      </c>
      <c r="F238" s="1059" t="s">
        <v>1534</v>
      </c>
      <c r="G238" s="1068" t="s">
        <v>1535</v>
      </c>
      <c r="H238" s="1089" t="s">
        <v>124</v>
      </c>
      <c r="I238" s="1085">
        <v>1</v>
      </c>
      <c r="J238" s="1085" t="s">
        <v>1536</v>
      </c>
      <c r="K238" s="1068" t="s">
        <v>1537</v>
      </c>
      <c r="L238" s="529">
        <v>0</v>
      </c>
      <c r="M238" s="1078">
        <v>1</v>
      </c>
      <c r="N238" s="1068" t="s">
        <v>46</v>
      </c>
      <c r="O238" s="1068" t="s">
        <v>59</v>
      </c>
      <c r="P238" s="1068" t="s">
        <v>37</v>
      </c>
      <c r="Q238" s="1068" t="s">
        <v>40</v>
      </c>
      <c r="R238" s="1068" t="s">
        <v>220</v>
      </c>
      <c r="S238" s="1068" t="s">
        <v>1538</v>
      </c>
      <c r="T238" s="1068" t="s">
        <v>101</v>
      </c>
      <c r="U238" s="777">
        <v>2</v>
      </c>
      <c r="V238" s="1071" t="str">
        <f t="shared" si="201"/>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W238" s="699">
        <f t="shared" si="201"/>
        <v>0</v>
      </c>
      <c r="X238" s="1086" t="s">
        <v>117</v>
      </c>
      <c r="Y238" s="722">
        <v>0</v>
      </c>
      <c r="Z238" s="1072" t="str">
        <f t="shared" si="202"/>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AA238" s="529">
        <v>0</v>
      </c>
      <c r="AB238" s="700"/>
      <c r="AC238" s="700"/>
      <c r="AD238" s="1069" t="e">
        <f t="shared" si="216"/>
        <v>#DIV/0!</v>
      </c>
      <c r="AE238" s="1069" t="e">
        <f t="shared" si="217"/>
        <v>#DIV/0!</v>
      </c>
      <c r="AF238" s="1069">
        <f t="shared" si="218"/>
        <v>0</v>
      </c>
      <c r="AG238" s="1069" t="e">
        <f t="shared" si="219"/>
        <v>#DIV/0!</v>
      </c>
      <c r="AH238" s="1086"/>
      <c r="AI238" s="1090">
        <v>2</v>
      </c>
      <c r="AJ238" s="1072" t="str">
        <f t="shared" si="204"/>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AK238" s="529">
        <v>0</v>
      </c>
      <c r="AL238" s="825">
        <v>2</v>
      </c>
      <c r="AM238" s="1626">
        <v>0</v>
      </c>
      <c r="AN238" s="1069">
        <f t="shared" si="220"/>
        <v>1</v>
      </c>
      <c r="AO238" s="1069" t="e">
        <f t="shared" si="221"/>
        <v>#DIV/0!</v>
      </c>
      <c r="AP238" s="1069">
        <f t="shared" si="222"/>
        <v>1</v>
      </c>
      <c r="AQ238" s="1069" t="e">
        <f t="shared" si="223"/>
        <v>#DIV/0!</v>
      </c>
      <c r="AR238" s="1068" t="s">
        <v>2331</v>
      </c>
      <c r="AS238" s="1090">
        <v>0</v>
      </c>
      <c r="AT238" s="1072" t="str">
        <f t="shared" si="207"/>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AU238" s="529">
        <v>0</v>
      </c>
      <c r="AV238" s="825">
        <v>0</v>
      </c>
      <c r="AW238" s="1626">
        <v>0</v>
      </c>
      <c r="AX238" s="1069" t="e">
        <f t="shared" si="224"/>
        <v>#DIV/0!</v>
      </c>
      <c r="AY238" s="1069" t="e">
        <f t="shared" si="225"/>
        <v>#DIV/0!</v>
      </c>
      <c r="AZ238" s="1069">
        <f t="shared" si="226"/>
        <v>1</v>
      </c>
      <c r="BA238" s="1069" t="e">
        <f t="shared" si="227"/>
        <v>#DIV/0!</v>
      </c>
      <c r="BB238" s="845"/>
      <c r="BC238" s="1090">
        <v>0</v>
      </c>
      <c r="BD238" s="1072" t="str">
        <f t="shared" si="210"/>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BE238" s="529">
        <v>0</v>
      </c>
      <c r="BF238" s="1089">
        <v>0</v>
      </c>
      <c r="BG238" s="1054">
        <v>0</v>
      </c>
      <c r="BH238" s="1075" t="e">
        <f t="shared" si="228"/>
        <v>#DIV/0!</v>
      </c>
      <c r="BI238" s="1075" t="e">
        <f t="shared" si="229"/>
        <v>#DIV/0!</v>
      </c>
      <c r="BJ238" s="1075">
        <f t="shared" si="230"/>
        <v>1</v>
      </c>
      <c r="BK238" s="1075" t="e">
        <f t="shared" si="231"/>
        <v>#DIV/0!</v>
      </c>
      <c r="BL238" s="1072"/>
      <c r="BM238" s="708" t="str">
        <f>IF(AND(Y238=0,AL238=0),"No Prog ni Ejec",IF(Y238=0,CONCATENATE("No Prog, Ejec=  ",AL238),AL238/Y238))</f>
        <v>No Prog, Ejec=  2</v>
      </c>
      <c r="BN238" s="708" t="str">
        <f>IF(AND(AA238=0,AM238=0),"No Prog ni Ejec",IF(AA238=0,CONCATENATE("No Prog, Ejec=  ",AM238),AM238/AA238))</f>
        <v>No Prog ni Ejec</v>
      </c>
      <c r="BO238" s="708">
        <f t="shared" ref="BO238:BO239" si="232">IF(AND(AI238=0,AL238=0),"No Prog ni Ejec",IF(AI238=0,CONCATENATE("No Prog, Ejec=  ",AL238),AL238/AI238))</f>
        <v>1</v>
      </c>
      <c r="BP238" s="708" t="str">
        <f t="shared" ref="BP238:BP239" si="233">IF(AND(AK238=0,AM238=0),"No Prog ni Ejec",IF(AK238=0,CONCATENATE("No Prog, Ejec=  ",AM238),AM238/AK238))</f>
        <v>No Prog ni Ejec</v>
      </c>
      <c r="BQ238" s="708" t="str">
        <f t="shared" ref="BQ238:BQ239" si="234">IF(AND(AS238=0,AV238=0),"No Prog ni Ejec",IF(AS238=0,CONCATENATE("No Prog, Ejec=  ",AV238),AV238/AS238))</f>
        <v>No Prog ni Ejec</v>
      </c>
      <c r="BR238" s="708" t="str">
        <f t="shared" ref="BR238:BR239" si="235">IF(AND(AU238=0,AW238=0),"No Prog ni Ejec",IF(AU238=0,CONCATENATE("No Prog, Ejec=  ",AW238),AW238/AU238))</f>
        <v>No Prog ni Ejec</v>
      </c>
      <c r="BS238" s="708" t="str">
        <f t="shared" ref="BS238:BS239" si="236">IF(AND(BC238=0,BF238=0),"No Prog ni Ejec",IF(BC238=0,CONCATENATE("No Prog, Ejec=  ",BF238),BF238/BC238))</f>
        <v>No Prog ni Ejec</v>
      </c>
      <c r="BT238" s="829" t="str">
        <f t="shared" ref="BT238:BT239" si="237">IF(AND(BE238=0,BG238=0),"No Prog ni Ejec",IF(BE238=0,CONCATENATE("No Prog, Ejec=  ",BG238),BG238/BE238))</f>
        <v>No Prog ni Ejec</v>
      </c>
    </row>
    <row r="239" spans="1:72" s="958" customFormat="1" ht="89.25" customHeight="1" x14ac:dyDescent="0.2">
      <c r="A239" s="1092">
        <v>11700</v>
      </c>
      <c r="B239" s="1060" t="s">
        <v>29</v>
      </c>
      <c r="C239" s="1068" t="s">
        <v>1340</v>
      </c>
      <c r="D239" s="1059" t="s">
        <v>328</v>
      </c>
      <c r="E239" s="1068" t="s">
        <v>256</v>
      </c>
      <c r="F239" s="1059" t="s">
        <v>1539</v>
      </c>
      <c r="G239" s="1068" t="s">
        <v>1540</v>
      </c>
      <c r="H239" s="1089" t="s">
        <v>124</v>
      </c>
      <c r="I239" s="1085">
        <v>1</v>
      </c>
      <c r="J239" s="1085" t="s">
        <v>1541</v>
      </c>
      <c r="K239" s="1068" t="s">
        <v>1542</v>
      </c>
      <c r="L239" s="529">
        <v>0</v>
      </c>
      <c r="M239" s="1078">
        <v>1</v>
      </c>
      <c r="N239" s="1068" t="s">
        <v>46</v>
      </c>
      <c r="O239" s="1068" t="s">
        <v>59</v>
      </c>
      <c r="P239" s="1068" t="s">
        <v>37</v>
      </c>
      <c r="Q239" s="1068" t="s">
        <v>40</v>
      </c>
      <c r="R239" s="1068" t="s">
        <v>220</v>
      </c>
      <c r="S239" s="1068" t="s">
        <v>1543</v>
      </c>
      <c r="T239" s="1068" t="s">
        <v>101</v>
      </c>
      <c r="U239" s="777">
        <v>1</v>
      </c>
      <c r="V239" s="1071" t="str">
        <f t="shared" si="201"/>
        <v>Diseñar e implementar la encuesta satisfacción del usuario.</v>
      </c>
      <c r="W239" s="699">
        <f t="shared" si="201"/>
        <v>0</v>
      </c>
      <c r="X239" s="1086" t="s">
        <v>117</v>
      </c>
      <c r="Y239" s="722">
        <v>0</v>
      </c>
      <c r="Z239" s="1072" t="str">
        <f t="shared" si="202"/>
        <v>Diseñar e implementar la encuesta satisfacción del usuario.</v>
      </c>
      <c r="AA239" s="529">
        <v>0</v>
      </c>
      <c r="AB239" s="700"/>
      <c r="AC239" s="700"/>
      <c r="AD239" s="1069" t="e">
        <f t="shared" si="216"/>
        <v>#DIV/0!</v>
      </c>
      <c r="AE239" s="1069" t="e">
        <f t="shared" si="217"/>
        <v>#DIV/0!</v>
      </c>
      <c r="AF239" s="1069">
        <f t="shared" si="218"/>
        <v>0</v>
      </c>
      <c r="AG239" s="1069" t="e">
        <f t="shared" si="219"/>
        <v>#DIV/0!</v>
      </c>
      <c r="AH239" s="1086"/>
      <c r="AI239" s="1090">
        <v>1</v>
      </c>
      <c r="AJ239" s="1072" t="str">
        <f t="shared" si="204"/>
        <v>Diseñar e implementar la encuesta satisfacción del usuario.</v>
      </c>
      <c r="AK239" s="529">
        <v>0</v>
      </c>
      <c r="AL239" s="825">
        <v>1</v>
      </c>
      <c r="AM239" s="1626">
        <v>0</v>
      </c>
      <c r="AN239" s="1069">
        <f t="shared" si="220"/>
        <v>1</v>
      </c>
      <c r="AO239" s="1069" t="e">
        <f t="shared" si="221"/>
        <v>#DIV/0!</v>
      </c>
      <c r="AP239" s="1069">
        <f t="shared" si="222"/>
        <v>1</v>
      </c>
      <c r="AQ239" s="1069" t="e">
        <f t="shared" si="223"/>
        <v>#DIV/0!</v>
      </c>
      <c r="AR239" s="1068" t="s">
        <v>1925</v>
      </c>
      <c r="AS239" s="1090">
        <v>0</v>
      </c>
      <c r="AT239" s="1072" t="str">
        <f t="shared" si="207"/>
        <v>Diseñar e implementar la encuesta satisfacción del usuario.</v>
      </c>
      <c r="AU239" s="529">
        <v>0</v>
      </c>
      <c r="AV239" s="825">
        <v>0</v>
      </c>
      <c r="AW239" s="1626">
        <v>0</v>
      </c>
      <c r="AX239" s="1069" t="e">
        <f t="shared" si="224"/>
        <v>#DIV/0!</v>
      </c>
      <c r="AY239" s="1069" t="e">
        <f t="shared" si="225"/>
        <v>#DIV/0!</v>
      </c>
      <c r="AZ239" s="1069">
        <f t="shared" si="226"/>
        <v>1</v>
      </c>
      <c r="BA239" s="1069" t="e">
        <f t="shared" si="227"/>
        <v>#DIV/0!</v>
      </c>
      <c r="BB239" s="845"/>
      <c r="BC239" s="1090">
        <v>0</v>
      </c>
      <c r="BD239" s="1072" t="str">
        <f t="shared" si="210"/>
        <v>Diseñar e implementar la encuesta satisfacción del usuario.</v>
      </c>
      <c r="BE239" s="529">
        <v>0</v>
      </c>
      <c r="BF239" s="1089">
        <v>0</v>
      </c>
      <c r="BG239" s="1054">
        <v>0</v>
      </c>
      <c r="BH239" s="1075" t="e">
        <f t="shared" si="228"/>
        <v>#DIV/0!</v>
      </c>
      <c r="BI239" s="1075" t="e">
        <f t="shared" si="229"/>
        <v>#DIV/0!</v>
      </c>
      <c r="BJ239" s="1075">
        <f t="shared" si="230"/>
        <v>1</v>
      </c>
      <c r="BK239" s="1075" t="e">
        <f t="shared" si="231"/>
        <v>#DIV/0!</v>
      </c>
      <c r="BL239" s="1072"/>
      <c r="BM239" s="708" t="str">
        <f>IF(AND(Y239=0,AL239=0),"No Prog ni Ejec",IF(Y239=0,CONCATENATE("No Prog, Ejec=  ",AL239),AL239/Y239))</f>
        <v>No Prog, Ejec=  1</v>
      </c>
      <c r="BN239" s="708" t="str">
        <f>IF(AND(AA239=0,AM239=0),"No Prog ni Ejec",IF(AA239=0,CONCATENATE("No Prog, Ejec=  ",AM239),AM239/AA239))</f>
        <v>No Prog ni Ejec</v>
      </c>
      <c r="BO239" s="708">
        <f t="shared" si="232"/>
        <v>1</v>
      </c>
      <c r="BP239" s="708" t="str">
        <f t="shared" si="233"/>
        <v>No Prog ni Ejec</v>
      </c>
      <c r="BQ239" s="708" t="str">
        <f t="shared" si="234"/>
        <v>No Prog ni Ejec</v>
      </c>
      <c r="BR239" s="708" t="str">
        <f t="shared" si="235"/>
        <v>No Prog ni Ejec</v>
      </c>
      <c r="BS239" s="708" t="str">
        <f t="shared" si="236"/>
        <v>No Prog ni Ejec</v>
      </c>
      <c r="BT239" s="829" t="str">
        <f t="shared" si="237"/>
        <v>No Prog ni Ejec</v>
      </c>
    </row>
    <row r="240" spans="1:72" s="958" customFormat="1" ht="75" customHeight="1" x14ac:dyDescent="0.2">
      <c r="A240" s="1244">
        <v>11700</v>
      </c>
      <c r="B240" s="1218" t="s">
        <v>29</v>
      </c>
      <c r="C240" s="1161" t="s">
        <v>1340</v>
      </c>
      <c r="D240" s="1248" t="s">
        <v>328</v>
      </c>
      <c r="E240" s="1161" t="s">
        <v>256</v>
      </c>
      <c r="F240" s="1245" t="s">
        <v>1544</v>
      </c>
      <c r="G240" s="1161" t="s">
        <v>1545</v>
      </c>
      <c r="H240" s="1089" t="s">
        <v>124</v>
      </c>
      <c r="I240" s="1085">
        <v>3</v>
      </c>
      <c r="J240" s="1162" t="s">
        <v>1546</v>
      </c>
      <c r="K240" s="1161" t="s">
        <v>1547</v>
      </c>
      <c r="L240" s="1138">
        <v>0</v>
      </c>
      <c r="M240" s="1166">
        <v>1</v>
      </c>
      <c r="N240" s="1161" t="s">
        <v>46</v>
      </c>
      <c r="O240" s="1161" t="s">
        <v>59</v>
      </c>
      <c r="P240" s="1161" t="s">
        <v>37</v>
      </c>
      <c r="Q240" s="1161" t="s">
        <v>40</v>
      </c>
      <c r="R240" s="1161" t="s">
        <v>220</v>
      </c>
      <c r="S240" s="1068" t="s">
        <v>1548</v>
      </c>
      <c r="T240" s="1161" t="s">
        <v>101</v>
      </c>
      <c r="U240" s="777">
        <v>3</v>
      </c>
      <c r="V240" s="1169" t="str">
        <f t="shared" si="201"/>
        <v xml:space="preserve">Evaluar la satisfacción de los usuarios por el canal de atención presencial en cuanto al trámite de las PQRSD en la ADRES y socializar los resultados a las áreas involucradas para la generación de planes de mejoramiento. </v>
      </c>
      <c r="W240" s="1160">
        <f t="shared" si="201"/>
        <v>0</v>
      </c>
      <c r="X240" s="1136" t="s">
        <v>117</v>
      </c>
      <c r="Y240" s="722">
        <v>0</v>
      </c>
      <c r="Z240" s="1137" t="str">
        <f t="shared" si="202"/>
        <v xml:space="preserve">Evaluar la satisfacción de los usuarios por el canal de atención presencial en cuanto al trámite de las PQRSD en la ADRES y socializar los resultados a las áreas involucradas para la generación de planes de mejoramiento. </v>
      </c>
      <c r="AA240" s="1138">
        <v>0</v>
      </c>
      <c r="AB240" s="825"/>
      <c r="AC240" s="825"/>
      <c r="AD240" s="1069" t="e">
        <f t="shared" si="188"/>
        <v>#DIV/0!</v>
      </c>
      <c r="AE240" s="1139" t="e">
        <f t="shared" si="191"/>
        <v>#DIV/0!</v>
      </c>
      <c r="AF240" s="1069">
        <f t="shared" si="192"/>
        <v>0</v>
      </c>
      <c r="AG240" s="1139" t="e">
        <f t="shared" si="203"/>
        <v>#DIV/0!</v>
      </c>
      <c r="AH240" s="1068"/>
      <c r="AI240" s="1090">
        <v>1</v>
      </c>
      <c r="AJ240" s="1137" t="str">
        <f t="shared" si="204"/>
        <v xml:space="preserve">Evaluar la satisfacción de los usuarios por el canal de atención presencial en cuanto al trámite de las PQRSD en la ADRES y socializar los resultados a las áreas involucradas para la generación de planes de mejoramiento. </v>
      </c>
      <c r="AK240" s="1138">
        <v>0</v>
      </c>
      <c r="AL240" s="825">
        <v>0</v>
      </c>
      <c r="AM240" s="1152">
        <v>0</v>
      </c>
      <c r="AN240" s="1069">
        <f t="shared" si="167"/>
        <v>0</v>
      </c>
      <c r="AO240" s="1139" t="e">
        <f t="shared" si="205"/>
        <v>#DIV/0!</v>
      </c>
      <c r="AP240" s="1069">
        <f t="shared" si="193"/>
        <v>0</v>
      </c>
      <c r="AQ240" s="1139" t="e">
        <f t="shared" si="206"/>
        <v>#DIV/0!</v>
      </c>
      <c r="AR240" s="1068" t="s">
        <v>1928</v>
      </c>
      <c r="AS240" s="1090">
        <v>1</v>
      </c>
      <c r="AT240" s="1137" t="str">
        <f t="shared" si="207"/>
        <v xml:space="preserve">Evaluar la satisfacción de los usuarios por el canal de atención presencial en cuanto al trámite de las PQRSD en la ADRES y socializar los resultados a las áreas involucradas para la generación de planes de mejoramiento. </v>
      </c>
      <c r="AU240" s="1138">
        <v>0</v>
      </c>
      <c r="AV240" s="825">
        <v>2</v>
      </c>
      <c r="AW240" s="1626">
        <v>0</v>
      </c>
      <c r="AX240" s="1069">
        <f t="shared" si="171"/>
        <v>2</v>
      </c>
      <c r="AY240" s="1139" t="e">
        <f t="shared" si="208"/>
        <v>#DIV/0!</v>
      </c>
      <c r="AZ240" s="1069">
        <f t="shared" si="194"/>
        <v>0.66666666666666663</v>
      </c>
      <c r="BA240" s="1139" t="e">
        <f t="shared" si="209"/>
        <v>#DIV/0!</v>
      </c>
      <c r="BB240" s="1068" t="s">
        <v>1926</v>
      </c>
      <c r="BC240" s="1090">
        <v>1</v>
      </c>
      <c r="BD240" s="1137" t="str">
        <f t="shared" si="210"/>
        <v xml:space="preserve">Evaluar la satisfacción de los usuarios por el canal de atención presencial en cuanto al trámite de las PQRSD en la ADRES y socializar los resultados a las áreas involucradas para la generación de planes de mejoramiento. </v>
      </c>
      <c r="BE240" s="1138">
        <v>0</v>
      </c>
      <c r="BF240" s="1089">
        <v>1</v>
      </c>
      <c r="BG240" s="1138">
        <v>0</v>
      </c>
      <c r="BH240" s="1075">
        <f t="shared" si="175"/>
        <v>1</v>
      </c>
      <c r="BI240" s="1227" t="e">
        <f t="shared" si="211"/>
        <v>#DIV/0!</v>
      </c>
      <c r="BJ240" s="1075">
        <f t="shared" si="195"/>
        <v>1</v>
      </c>
      <c r="BK240" s="1227" t="e">
        <f t="shared" si="212"/>
        <v>#DIV/0!</v>
      </c>
      <c r="BL240" s="1053" t="s">
        <v>2076</v>
      </c>
      <c r="BM240" s="708" t="str">
        <f t="shared" si="196"/>
        <v>No Prog ni Ejec</v>
      </c>
      <c r="BN240" s="708" t="str">
        <f t="shared" si="197"/>
        <v>No Prog ni Ejec</v>
      </c>
      <c r="BO240" s="708">
        <f t="shared" si="198"/>
        <v>0</v>
      </c>
      <c r="BP240" s="708" t="str">
        <f t="shared" si="213"/>
        <v>No Prog ni Ejec</v>
      </c>
      <c r="BQ240" s="708">
        <f t="shared" si="199"/>
        <v>2</v>
      </c>
      <c r="BR240" s="708" t="str">
        <f t="shared" si="214"/>
        <v>No Prog ni Ejec</v>
      </c>
      <c r="BS240" s="708">
        <f t="shared" si="200"/>
        <v>1</v>
      </c>
      <c r="BT240" s="829" t="str">
        <f t="shared" si="215"/>
        <v>No Prog ni Ejec</v>
      </c>
    </row>
    <row r="241" spans="1:72" s="958" customFormat="1" ht="63.75" x14ac:dyDescent="0.2">
      <c r="A241" s="1244"/>
      <c r="B241" s="1218"/>
      <c r="C241" s="1161"/>
      <c r="D241" s="1248"/>
      <c r="E241" s="1161"/>
      <c r="F241" s="1245"/>
      <c r="G241" s="1161"/>
      <c r="H241" s="1089" t="s">
        <v>659</v>
      </c>
      <c r="I241" s="1075">
        <v>0.85</v>
      </c>
      <c r="J241" s="1162"/>
      <c r="K241" s="1161"/>
      <c r="L241" s="1138"/>
      <c r="M241" s="1166"/>
      <c r="N241" s="1161"/>
      <c r="O241" s="1161"/>
      <c r="P241" s="1161"/>
      <c r="Q241" s="1161"/>
      <c r="R241" s="1161"/>
      <c r="S241" s="1068" t="s">
        <v>1549</v>
      </c>
      <c r="T241" s="1161"/>
      <c r="U241" s="1078">
        <v>0.85</v>
      </c>
      <c r="V241" s="1169"/>
      <c r="W241" s="1160"/>
      <c r="X241" s="1136"/>
      <c r="Y241" s="1078">
        <v>0</v>
      </c>
      <c r="Z241" s="1137"/>
      <c r="AA241" s="1138"/>
      <c r="AB241" s="1635"/>
      <c r="AC241" s="825"/>
      <c r="AD241" s="1069" t="e">
        <f t="shared" si="188"/>
        <v>#DIV/0!</v>
      </c>
      <c r="AE241" s="1139"/>
      <c r="AF241" s="1069">
        <f t="shared" si="192"/>
        <v>0</v>
      </c>
      <c r="AG241" s="1139"/>
      <c r="AH241" s="1068"/>
      <c r="AI241" s="778">
        <v>0.28333333333333299</v>
      </c>
      <c r="AJ241" s="1137"/>
      <c r="AK241" s="1138"/>
      <c r="AL241" s="1635">
        <f>80.34%*AI241</f>
        <v>0.22762999999999972</v>
      </c>
      <c r="AM241" s="1152"/>
      <c r="AN241" s="1069">
        <f t="shared" si="167"/>
        <v>0.8034</v>
      </c>
      <c r="AO241" s="1139"/>
      <c r="AP241" s="1069">
        <f t="shared" si="193"/>
        <v>0.2677999999999997</v>
      </c>
      <c r="AQ241" s="1139"/>
      <c r="AR241" s="1068" t="s">
        <v>1929</v>
      </c>
      <c r="AS241" s="778">
        <v>0.28333333333333299</v>
      </c>
      <c r="AT241" s="1137"/>
      <c r="AU241" s="1138"/>
      <c r="AV241" s="1635">
        <f>84.92%*AS241</f>
        <v>0.24060666666666639</v>
      </c>
      <c r="AW241" s="1626"/>
      <c r="AX241" s="1069">
        <f t="shared" si="171"/>
        <v>0.84920000000000007</v>
      </c>
      <c r="AY241" s="1139"/>
      <c r="AZ241" s="1069">
        <f>+(AL241+AB241+AV241)/U241</f>
        <v>0.55086666666666595</v>
      </c>
      <c r="BA241" s="1139"/>
      <c r="BB241" s="1068" t="s">
        <v>1927</v>
      </c>
      <c r="BC241" s="778">
        <v>0.28333333333333299</v>
      </c>
      <c r="BD241" s="1137"/>
      <c r="BE241" s="1138"/>
      <c r="BF241" s="943">
        <f>(164/209)*BC241</f>
        <v>0.22232854864433785</v>
      </c>
      <c r="BG241" s="1138"/>
      <c r="BH241" s="1075">
        <f t="shared" si="175"/>
        <v>0.78468899521531099</v>
      </c>
      <c r="BI241" s="1227"/>
      <c r="BJ241" s="1075">
        <f t="shared" si="195"/>
        <v>0.81242966507176928</v>
      </c>
      <c r="BK241" s="1227"/>
      <c r="BL241" s="1068" t="s">
        <v>2105</v>
      </c>
      <c r="BM241" s="708" t="str">
        <f t="shared" si="196"/>
        <v>No Prog ni Ejec</v>
      </c>
      <c r="BN241" s="708" t="str">
        <f t="shared" si="197"/>
        <v>No Prog ni Ejec</v>
      </c>
      <c r="BO241" s="708">
        <f t="shared" si="198"/>
        <v>0.8034</v>
      </c>
      <c r="BP241" s="708" t="str">
        <f t="shared" si="213"/>
        <v>No Prog ni Ejec</v>
      </c>
      <c r="BQ241" s="708">
        <f t="shared" si="199"/>
        <v>0.84920000000000007</v>
      </c>
      <c r="BR241" s="708" t="str">
        <f t="shared" si="214"/>
        <v>No Prog ni Ejec</v>
      </c>
      <c r="BS241" s="708">
        <f t="shared" si="200"/>
        <v>0.78468899521531099</v>
      </c>
      <c r="BT241" s="829" t="str">
        <f t="shared" si="215"/>
        <v>No Prog ni Ejec</v>
      </c>
    </row>
    <row r="242" spans="1:72" s="958" customFormat="1" ht="89.25" customHeight="1" x14ac:dyDescent="0.2">
      <c r="A242" s="1092">
        <v>11700</v>
      </c>
      <c r="B242" s="1060" t="s">
        <v>29</v>
      </c>
      <c r="C242" s="1068" t="s">
        <v>1340</v>
      </c>
      <c r="D242" s="1059" t="s">
        <v>328</v>
      </c>
      <c r="E242" s="1068" t="s">
        <v>256</v>
      </c>
      <c r="F242" s="1059" t="s">
        <v>1550</v>
      </c>
      <c r="G242" s="1068" t="s">
        <v>1551</v>
      </c>
      <c r="H242" s="1089" t="s">
        <v>124</v>
      </c>
      <c r="I242" s="1085">
        <v>1</v>
      </c>
      <c r="J242" s="1085" t="s">
        <v>1552</v>
      </c>
      <c r="K242" s="1068" t="s">
        <v>1553</v>
      </c>
      <c r="L242" s="529">
        <v>0</v>
      </c>
      <c r="M242" s="1078">
        <v>1</v>
      </c>
      <c r="N242" s="1068" t="s">
        <v>46</v>
      </c>
      <c r="O242" s="1068" t="s">
        <v>59</v>
      </c>
      <c r="P242" s="1068" t="s">
        <v>37</v>
      </c>
      <c r="Q242" s="1068" t="s">
        <v>40</v>
      </c>
      <c r="R242" s="1068" t="s">
        <v>220</v>
      </c>
      <c r="S242" s="1068" t="s">
        <v>1554</v>
      </c>
      <c r="T242" s="1068" t="s">
        <v>101</v>
      </c>
      <c r="U242" s="777">
        <v>1</v>
      </c>
      <c r="V242" s="1071" t="str">
        <f t="shared" si="201"/>
        <v>Publicar el protocolo de atención al ciudadano de la entidad en página web.</v>
      </c>
      <c r="W242" s="699">
        <f t="shared" si="201"/>
        <v>0</v>
      </c>
      <c r="X242" s="1086" t="s">
        <v>117</v>
      </c>
      <c r="Y242" s="722">
        <v>1</v>
      </c>
      <c r="Z242" s="1072" t="str">
        <f t="shared" si="202"/>
        <v>Publicar el protocolo de atención al ciudadano de la entidad en página web.</v>
      </c>
      <c r="AA242" s="529">
        <v>0</v>
      </c>
      <c r="AB242" s="825">
        <v>1</v>
      </c>
      <c r="AC242" s="1690" t="s">
        <v>1914</v>
      </c>
      <c r="AD242" s="1069">
        <f t="shared" si="188"/>
        <v>1</v>
      </c>
      <c r="AE242" s="1069" t="e">
        <f t="shared" si="191"/>
        <v>#VALUE!</v>
      </c>
      <c r="AF242" s="1069">
        <f t="shared" si="192"/>
        <v>1</v>
      </c>
      <c r="AG242" s="1069" t="e">
        <f t="shared" si="203"/>
        <v>#VALUE!</v>
      </c>
      <c r="AH242" s="1048" t="s">
        <v>1930</v>
      </c>
      <c r="AI242" s="1090">
        <v>0</v>
      </c>
      <c r="AJ242" s="1072" t="str">
        <f t="shared" si="204"/>
        <v>Publicar el protocolo de atención al ciudadano de la entidad en página web.</v>
      </c>
      <c r="AK242" s="529">
        <v>0</v>
      </c>
      <c r="AL242" s="700"/>
      <c r="AM242" s="700"/>
      <c r="AN242" s="1069" t="e">
        <f t="shared" si="167"/>
        <v>#DIV/0!</v>
      </c>
      <c r="AO242" s="1069" t="e">
        <f t="shared" si="205"/>
        <v>#DIV/0!</v>
      </c>
      <c r="AP242" s="1069">
        <f t="shared" si="193"/>
        <v>1</v>
      </c>
      <c r="AQ242" s="1069" t="e">
        <f t="shared" si="206"/>
        <v>#VALUE!</v>
      </c>
      <c r="AR242" s="845"/>
      <c r="AS242" s="1090">
        <v>0</v>
      </c>
      <c r="AT242" s="1072" t="str">
        <f t="shared" si="207"/>
        <v>Publicar el protocolo de atención al ciudadano de la entidad en página web.</v>
      </c>
      <c r="AU242" s="529">
        <v>0</v>
      </c>
      <c r="AV242" s="700">
        <v>0</v>
      </c>
      <c r="AW242" s="1626">
        <v>0</v>
      </c>
      <c r="AX242" s="1069" t="e">
        <f t="shared" si="171"/>
        <v>#DIV/0!</v>
      </c>
      <c r="AY242" s="1069" t="e">
        <f t="shared" si="208"/>
        <v>#DIV/0!</v>
      </c>
      <c r="AZ242" s="1069">
        <f t="shared" si="194"/>
        <v>1</v>
      </c>
      <c r="BA242" s="1069" t="e">
        <f t="shared" si="209"/>
        <v>#VALUE!</v>
      </c>
      <c r="BB242" s="845">
        <v>0.84924623115577902</v>
      </c>
      <c r="BC242" s="1090">
        <v>0</v>
      </c>
      <c r="BD242" s="1072" t="str">
        <f t="shared" si="210"/>
        <v>Publicar el protocolo de atención al ciudadano de la entidad en página web.</v>
      </c>
      <c r="BE242" s="529">
        <v>0</v>
      </c>
      <c r="BF242" s="1089">
        <v>0</v>
      </c>
      <c r="BG242" s="1054">
        <v>0</v>
      </c>
      <c r="BH242" s="1075" t="e">
        <f t="shared" si="175"/>
        <v>#DIV/0!</v>
      </c>
      <c r="BI242" s="1075" t="e">
        <f t="shared" si="211"/>
        <v>#DIV/0!</v>
      </c>
      <c r="BJ242" s="1075">
        <f t="shared" si="195"/>
        <v>1</v>
      </c>
      <c r="BK242" s="1075" t="e">
        <f t="shared" si="212"/>
        <v>#VALUE!</v>
      </c>
      <c r="BL242" s="1072"/>
      <c r="BM242" s="708">
        <f t="shared" si="196"/>
        <v>1</v>
      </c>
      <c r="BN242" s="708" t="str">
        <f t="shared" si="197"/>
        <v>No Prog, Ejec=   $                                     - </v>
      </c>
      <c r="BO242" s="708" t="str">
        <f t="shared" si="198"/>
        <v>No Prog ni Ejec</v>
      </c>
      <c r="BP242" s="708" t="str">
        <f t="shared" si="213"/>
        <v>No Prog ni Ejec</v>
      </c>
      <c r="BQ242" s="708" t="str">
        <f t="shared" si="199"/>
        <v>No Prog ni Ejec</v>
      </c>
      <c r="BR242" s="708" t="str">
        <f t="shared" si="214"/>
        <v>No Prog ni Ejec</v>
      </c>
      <c r="BS242" s="708" t="str">
        <f t="shared" si="200"/>
        <v>No Prog ni Ejec</v>
      </c>
      <c r="BT242" s="829" t="str">
        <f t="shared" si="215"/>
        <v>No Prog ni Ejec</v>
      </c>
    </row>
    <row r="243" spans="1:72" s="958" customFormat="1" ht="105" customHeight="1" x14ac:dyDescent="0.2">
      <c r="A243" s="1092">
        <v>11700</v>
      </c>
      <c r="B243" s="1060" t="s">
        <v>29</v>
      </c>
      <c r="C243" s="1068" t="s">
        <v>1340</v>
      </c>
      <c r="D243" s="1059" t="s">
        <v>328</v>
      </c>
      <c r="E243" s="1068" t="s">
        <v>256</v>
      </c>
      <c r="F243" s="1059" t="s">
        <v>1555</v>
      </c>
      <c r="G243" s="1068" t="s">
        <v>1556</v>
      </c>
      <c r="H243" s="1089" t="s">
        <v>124</v>
      </c>
      <c r="I243" s="1085">
        <v>1</v>
      </c>
      <c r="J243" s="1085" t="s">
        <v>1557</v>
      </c>
      <c r="K243" s="1068" t="s">
        <v>1558</v>
      </c>
      <c r="L243" s="529">
        <v>0</v>
      </c>
      <c r="M243" s="1078">
        <v>1</v>
      </c>
      <c r="N243" s="1068" t="s">
        <v>46</v>
      </c>
      <c r="O243" s="1068" t="s">
        <v>59</v>
      </c>
      <c r="P243" s="1068" t="s">
        <v>37</v>
      </c>
      <c r="Q243" s="1068" t="s">
        <v>40</v>
      </c>
      <c r="R243" s="1068" t="s">
        <v>220</v>
      </c>
      <c r="S243" s="1068" t="s">
        <v>1559</v>
      </c>
      <c r="T243" s="1068" t="s">
        <v>101</v>
      </c>
      <c r="U243" s="777">
        <v>1</v>
      </c>
      <c r="V243" s="1071" t="str">
        <f t="shared" si="201"/>
        <v xml:space="preserve">Poner a consideración propuesta de un nuevo canal de atención de acuerdo con las características y necesidades de los ciudadanos y partes interesadas para garantizar una mayor cobertura. </v>
      </c>
      <c r="W243" s="699">
        <f t="shared" si="201"/>
        <v>0</v>
      </c>
      <c r="X243" s="1086" t="s">
        <v>117</v>
      </c>
      <c r="Y243" s="722">
        <v>0</v>
      </c>
      <c r="Z243" s="1072" t="str">
        <f t="shared" si="202"/>
        <v xml:space="preserve">Poner a consideración propuesta de un nuevo canal de atención de acuerdo con las características y necesidades de los ciudadanos y partes interesadas para garantizar una mayor cobertura. </v>
      </c>
      <c r="AA243" s="529">
        <v>0</v>
      </c>
      <c r="AB243" s="776"/>
      <c r="AC243" s="529"/>
      <c r="AD243" s="1069" t="e">
        <f t="shared" si="188"/>
        <v>#DIV/0!</v>
      </c>
      <c r="AE243" s="1069" t="e">
        <f t="shared" si="191"/>
        <v>#DIV/0!</v>
      </c>
      <c r="AF243" s="1069">
        <f t="shared" si="192"/>
        <v>0</v>
      </c>
      <c r="AG243" s="1069" t="e">
        <f t="shared" si="203"/>
        <v>#DIV/0!</v>
      </c>
      <c r="AH243" s="1068"/>
      <c r="AI243" s="1090">
        <v>0</v>
      </c>
      <c r="AJ243" s="1072" t="str">
        <f t="shared" si="204"/>
        <v xml:space="preserve">Poner a consideración propuesta de un nuevo canal de atención de acuerdo con las características y necesidades de los ciudadanos y partes interesadas para garantizar una mayor cobertura. </v>
      </c>
      <c r="AK243" s="529">
        <v>0</v>
      </c>
      <c r="AL243" s="700"/>
      <c r="AM243" s="700"/>
      <c r="AN243" s="1069" t="e">
        <f t="shared" si="167"/>
        <v>#DIV/0!</v>
      </c>
      <c r="AO243" s="1069" t="e">
        <f t="shared" si="205"/>
        <v>#DIV/0!</v>
      </c>
      <c r="AP243" s="1069">
        <f t="shared" si="193"/>
        <v>0</v>
      </c>
      <c r="AQ243" s="1069" t="e">
        <f t="shared" si="206"/>
        <v>#DIV/0!</v>
      </c>
      <c r="AR243" s="845"/>
      <c r="AS243" s="1090">
        <v>1</v>
      </c>
      <c r="AT243" s="1072" t="str">
        <f t="shared" si="207"/>
        <v xml:space="preserve">Poner a consideración propuesta de un nuevo canal de atención de acuerdo con las características y necesidades de los ciudadanos y partes interesadas para garantizar una mayor cobertura. </v>
      </c>
      <c r="AU243" s="529">
        <v>0</v>
      </c>
      <c r="AV243" s="825">
        <v>1</v>
      </c>
      <c r="AW243" s="1626">
        <v>0</v>
      </c>
      <c r="AX243" s="1069">
        <f t="shared" si="171"/>
        <v>1</v>
      </c>
      <c r="AY243" s="1069" t="e">
        <f t="shared" si="208"/>
        <v>#DIV/0!</v>
      </c>
      <c r="AZ243" s="1069">
        <f t="shared" si="194"/>
        <v>1</v>
      </c>
      <c r="BA243" s="1069" t="e">
        <f t="shared" si="209"/>
        <v>#DIV/0!</v>
      </c>
      <c r="BB243" s="1068" t="s">
        <v>2332</v>
      </c>
      <c r="BC243" s="1090">
        <v>0</v>
      </c>
      <c r="BD243" s="1072" t="str">
        <f t="shared" si="210"/>
        <v xml:space="preserve">Poner a consideración propuesta de un nuevo canal de atención de acuerdo con las características y necesidades de los ciudadanos y partes interesadas para garantizar una mayor cobertura. </v>
      </c>
      <c r="BE243" s="529">
        <v>0</v>
      </c>
      <c r="BF243" s="1089">
        <v>0</v>
      </c>
      <c r="BG243" s="1054">
        <v>0</v>
      </c>
      <c r="BH243" s="1075" t="e">
        <f t="shared" si="175"/>
        <v>#DIV/0!</v>
      </c>
      <c r="BI243" s="1075" t="e">
        <f t="shared" si="211"/>
        <v>#DIV/0!</v>
      </c>
      <c r="BJ243" s="1075">
        <f t="shared" si="195"/>
        <v>1</v>
      </c>
      <c r="BK243" s="1075" t="e">
        <f t="shared" si="212"/>
        <v>#DIV/0!</v>
      </c>
      <c r="BL243" s="1072"/>
      <c r="BM243" s="708" t="str">
        <f t="shared" si="196"/>
        <v>No Prog ni Ejec</v>
      </c>
      <c r="BN243" s="708" t="str">
        <f t="shared" si="197"/>
        <v>No Prog ni Ejec</v>
      </c>
      <c r="BO243" s="708" t="str">
        <f t="shared" si="198"/>
        <v>No Prog ni Ejec</v>
      </c>
      <c r="BP243" s="708" t="str">
        <f t="shared" si="213"/>
        <v>No Prog ni Ejec</v>
      </c>
      <c r="BQ243" s="708">
        <f t="shared" si="199"/>
        <v>1</v>
      </c>
      <c r="BR243" s="708" t="str">
        <f t="shared" si="214"/>
        <v>No Prog ni Ejec</v>
      </c>
      <c r="BS243" s="708" t="str">
        <f t="shared" si="200"/>
        <v>No Prog ni Ejec</v>
      </c>
      <c r="BT243" s="829" t="str">
        <f t="shared" si="215"/>
        <v>No Prog ni Ejec</v>
      </c>
    </row>
    <row r="244" spans="1:72" s="958" customFormat="1" ht="89.25" customHeight="1" x14ac:dyDescent="0.2">
      <c r="A244" s="1092">
        <v>11700</v>
      </c>
      <c r="B244" s="1060" t="s">
        <v>29</v>
      </c>
      <c r="C244" s="1068" t="s">
        <v>1340</v>
      </c>
      <c r="D244" s="1059" t="s">
        <v>328</v>
      </c>
      <c r="E244" s="1068" t="s">
        <v>256</v>
      </c>
      <c r="F244" s="1059" t="s">
        <v>1560</v>
      </c>
      <c r="G244" s="1068" t="s">
        <v>1561</v>
      </c>
      <c r="H244" s="1089" t="s">
        <v>124</v>
      </c>
      <c r="I244" s="1085">
        <v>2</v>
      </c>
      <c r="J244" s="1085" t="s">
        <v>1562</v>
      </c>
      <c r="K244" s="1068" t="s">
        <v>1563</v>
      </c>
      <c r="L244" s="529">
        <v>0</v>
      </c>
      <c r="M244" s="1078">
        <v>1</v>
      </c>
      <c r="N244" s="1068" t="s">
        <v>46</v>
      </c>
      <c r="O244" s="1068" t="s">
        <v>59</v>
      </c>
      <c r="P244" s="1068" t="s">
        <v>37</v>
      </c>
      <c r="Q244" s="1068" t="s">
        <v>40</v>
      </c>
      <c r="R244" s="1068" t="s">
        <v>220</v>
      </c>
      <c r="S244" s="1068" t="s">
        <v>1564</v>
      </c>
      <c r="T244" s="1068" t="s">
        <v>101</v>
      </c>
      <c r="U244" s="777">
        <v>2</v>
      </c>
      <c r="V244" s="1071" t="str">
        <f t="shared" si="201"/>
        <v>Socializar a los servidores públicos y contratistas de la Entidad el Protocolo de Atención al Ciudadano.</v>
      </c>
      <c r="W244" s="699">
        <f t="shared" si="201"/>
        <v>0</v>
      </c>
      <c r="X244" s="1086" t="s">
        <v>117</v>
      </c>
      <c r="Y244" s="722">
        <v>0</v>
      </c>
      <c r="Z244" s="1072" t="str">
        <f t="shared" si="202"/>
        <v>Socializar a los servidores públicos y contratistas de la Entidad el Protocolo de Atención al Ciudadano.</v>
      </c>
      <c r="AA244" s="529">
        <v>0</v>
      </c>
      <c r="AB244" s="776"/>
      <c r="AC244" s="529"/>
      <c r="AD244" s="1069" t="e">
        <f t="shared" si="188"/>
        <v>#DIV/0!</v>
      </c>
      <c r="AE244" s="1069" t="e">
        <f t="shared" si="191"/>
        <v>#DIV/0!</v>
      </c>
      <c r="AF244" s="1069">
        <f t="shared" si="192"/>
        <v>0</v>
      </c>
      <c r="AG244" s="1069" t="e">
        <f t="shared" si="203"/>
        <v>#DIV/0!</v>
      </c>
      <c r="AH244" s="1068"/>
      <c r="AI244" s="1090">
        <v>0</v>
      </c>
      <c r="AJ244" s="1072" t="str">
        <f t="shared" si="204"/>
        <v>Socializar a los servidores públicos y contratistas de la Entidad el Protocolo de Atención al Ciudadano.</v>
      </c>
      <c r="AK244" s="529">
        <v>0</v>
      </c>
      <c r="AL244" s="700"/>
      <c r="AM244" s="700"/>
      <c r="AN244" s="1069" t="e">
        <f t="shared" si="167"/>
        <v>#DIV/0!</v>
      </c>
      <c r="AO244" s="1069" t="e">
        <f t="shared" si="205"/>
        <v>#DIV/0!</v>
      </c>
      <c r="AP244" s="1069">
        <f t="shared" si="193"/>
        <v>0</v>
      </c>
      <c r="AQ244" s="1069" t="e">
        <f t="shared" si="206"/>
        <v>#DIV/0!</v>
      </c>
      <c r="AR244" s="845"/>
      <c r="AS244" s="1090">
        <v>1</v>
      </c>
      <c r="AT244" s="1072" t="str">
        <f t="shared" si="207"/>
        <v>Socializar a los servidores públicos y contratistas de la Entidad el Protocolo de Atención al Ciudadano.</v>
      </c>
      <c r="AU244" s="529">
        <v>0</v>
      </c>
      <c r="AV244" s="825">
        <v>1</v>
      </c>
      <c r="AW244" s="1626">
        <v>0</v>
      </c>
      <c r="AX244" s="1069">
        <f t="shared" si="171"/>
        <v>1</v>
      </c>
      <c r="AY244" s="1069" t="e">
        <f t="shared" si="208"/>
        <v>#DIV/0!</v>
      </c>
      <c r="AZ244" s="1069">
        <f t="shared" si="194"/>
        <v>0.5</v>
      </c>
      <c r="BA244" s="1069" t="e">
        <f t="shared" si="209"/>
        <v>#DIV/0!</v>
      </c>
      <c r="BB244" s="1068" t="s">
        <v>1931</v>
      </c>
      <c r="BC244" s="1090">
        <v>1</v>
      </c>
      <c r="BD244" s="1072" t="str">
        <f t="shared" si="210"/>
        <v>Socializar a los servidores públicos y contratistas de la Entidad el Protocolo de Atención al Ciudadano.</v>
      </c>
      <c r="BE244" s="529">
        <v>0</v>
      </c>
      <c r="BF244" s="1089">
        <v>1</v>
      </c>
      <c r="BG244" s="1054">
        <v>0</v>
      </c>
      <c r="BH244" s="1075">
        <f t="shared" si="175"/>
        <v>1</v>
      </c>
      <c r="BI244" s="1075" t="e">
        <f t="shared" si="211"/>
        <v>#DIV/0!</v>
      </c>
      <c r="BJ244" s="1075">
        <f t="shared" si="195"/>
        <v>1</v>
      </c>
      <c r="BK244" s="1075" t="e">
        <f t="shared" si="212"/>
        <v>#DIV/0!</v>
      </c>
      <c r="BL244" s="1053" t="s">
        <v>2078</v>
      </c>
      <c r="BM244" s="708" t="str">
        <f t="shared" si="196"/>
        <v>No Prog ni Ejec</v>
      </c>
      <c r="BN244" s="708" t="str">
        <f t="shared" si="197"/>
        <v>No Prog ni Ejec</v>
      </c>
      <c r="BO244" s="708" t="str">
        <f t="shared" si="198"/>
        <v>No Prog ni Ejec</v>
      </c>
      <c r="BP244" s="708" t="str">
        <f t="shared" si="213"/>
        <v>No Prog ni Ejec</v>
      </c>
      <c r="BQ244" s="708">
        <f t="shared" si="199"/>
        <v>1</v>
      </c>
      <c r="BR244" s="708" t="str">
        <f t="shared" si="214"/>
        <v>No Prog ni Ejec</v>
      </c>
      <c r="BS244" s="708">
        <f t="shared" si="200"/>
        <v>1</v>
      </c>
      <c r="BT244" s="829" t="str">
        <f t="shared" si="215"/>
        <v>No Prog ni Ejec</v>
      </c>
    </row>
    <row r="245" spans="1:72" s="958" customFormat="1" ht="89.25" customHeight="1" x14ac:dyDescent="0.2">
      <c r="A245" s="1092">
        <v>11700</v>
      </c>
      <c r="B245" s="1060" t="s">
        <v>29</v>
      </c>
      <c r="C245" s="1068" t="s">
        <v>1340</v>
      </c>
      <c r="D245" s="1059" t="s">
        <v>328</v>
      </c>
      <c r="E245" s="1068" t="s">
        <v>256</v>
      </c>
      <c r="F245" s="1059" t="s">
        <v>1565</v>
      </c>
      <c r="G245" s="1068" t="s">
        <v>1566</v>
      </c>
      <c r="H245" s="1089" t="s">
        <v>124</v>
      </c>
      <c r="I245" s="1085">
        <v>2</v>
      </c>
      <c r="J245" s="1085" t="s">
        <v>1567</v>
      </c>
      <c r="K245" s="1068" t="s">
        <v>1568</v>
      </c>
      <c r="L245" s="529">
        <v>0</v>
      </c>
      <c r="M245" s="1078">
        <v>1</v>
      </c>
      <c r="N245" s="1068" t="s">
        <v>45</v>
      </c>
      <c r="O245" s="1068" t="s">
        <v>54</v>
      </c>
      <c r="P245" s="1068" t="s">
        <v>37</v>
      </c>
      <c r="Q245" s="1068" t="s">
        <v>38</v>
      </c>
      <c r="R245" s="1068" t="s">
        <v>218</v>
      </c>
      <c r="S245" s="1068" t="s">
        <v>1569</v>
      </c>
      <c r="T245" s="1068" t="s">
        <v>104</v>
      </c>
      <c r="U245" s="777">
        <v>2</v>
      </c>
      <c r="V245" s="1071" t="str">
        <f t="shared" si="201"/>
        <v>Fortalecer las competencias de los servidores de la entidad cuyas funciones están relacionadas con servicio al ciudadano, a través de capacitaciones que los incentiven a realizar permanentemente una adecuada gestión.</v>
      </c>
      <c r="W245" s="699">
        <f t="shared" si="201"/>
        <v>0</v>
      </c>
      <c r="X245" s="1086" t="s">
        <v>117</v>
      </c>
      <c r="Y245" s="722">
        <v>0</v>
      </c>
      <c r="Z245" s="1072" t="str">
        <f t="shared" si="202"/>
        <v>Fortalecer las competencias de los servidores de la entidad cuyas funciones están relacionadas con servicio al ciudadano, a través de capacitaciones que los incentiven a realizar permanentemente una adecuada gestión.</v>
      </c>
      <c r="AA245" s="529">
        <v>0</v>
      </c>
      <c r="AB245" s="776"/>
      <c r="AC245" s="529"/>
      <c r="AD245" s="1069" t="e">
        <f t="shared" si="188"/>
        <v>#DIV/0!</v>
      </c>
      <c r="AE245" s="1069" t="e">
        <f t="shared" si="191"/>
        <v>#DIV/0!</v>
      </c>
      <c r="AF245" s="1069">
        <f t="shared" si="192"/>
        <v>0</v>
      </c>
      <c r="AG245" s="1069" t="e">
        <f t="shared" si="203"/>
        <v>#DIV/0!</v>
      </c>
      <c r="AH245" s="1068"/>
      <c r="AI245" s="1090">
        <v>0</v>
      </c>
      <c r="AJ245" s="1072" t="str">
        <f t="shared" si="204"/>
        <v>Fortalecer las competencias de los servidores de la entidad cuyas funciones están relacionadas con servicio al ciudadano, a través de capacitaciones que los incentiven a realizar permanentemente una adecuada gestión.</v>
      </c>
      <c r="AK245" s="529">
        <v>0</v>
      </c>
      <c r="AL245" s="700"/>
      <c r="AM245" s="700"/>
      <c r="AN245" s="1069" t="e">
        <f t="shared" si="167"/>
        <v>#DIV/0!</v>
      </c>
      <c r="AO245" s="1069" t="e">
        <f t="shared" si="205"/>
        <v>#DIV/0!</v>
      </c>
      <c r="AP245" s="1069">
        <f t="shared" si="193"/>
        <v>0</v>
      </c>
      <c r="AQ245" s="1069" t="e">
        <f t="shared" si="206"/>
        <v>#DIV/0!</v>
      </c>
      <c r="AR245" s="845"/>
      <c r="AS245" s="1090">
        <v>1</v>
      </c>
      <c r="AT245" s="1072" t="str">
        <f t="shared" si="207"/>
        <v>Fortalecer las competencias de los servidores de la entidad cuyas funciones están relacionadas con servicio al ciudadano, a través de capacitaciones que los incentiven a realizar permanentemente una adecuada gestión.</v>
      </c>
      <c r="AU245" s="529">
        <v>0</v>
      </c>
      <c r="AV245" s="825">
        <v>1</v>
      </c>
      <c r="AW245" s="1626">
        <v>0</v>
      </c>
      <c r="AX245" s="1069">
        <f t="shared" si="171"/>
        <v>1</v>
      </c>
      <c r="AY245" s="1069" t="e">
        <f t="shared" si="208"/>
        <v>#DIV/0!</v>
      </c>
      <c r="AZ245" s="1069">
        <f t="shared" si="194"/>
        <v>0.5</v>
      </c>
      <c r="BA245" s="1069" t="e">
        <f t="shared" si="209"/>
        <v>#DIV/0!</v>
      </c>
      <c r="BB245" s="1068" t="s">
        <v>1932</v>
      </c>
      <c r="BC245" s="1090">
        <v>1</v>
      </c>
      <c r="BD245" s="1072" t="str">
        <f t="shared" si="210"/>
        <v>Fortalecer las competencias de los servidores de la entidad cuyas funciones están relacionadas con servicio al ciudadano, a través de capacitaciones que los incentiven a realizar permanentemente una adecuada gestión.</v>
      </c>
      <c r="BE245" s="529">
        <v>0</v>
      </c>
      <c r="BF245" s="1067">
        <v>1</v>
      </c>
      <c r="BG245" s="1054">
        <v>0</v>
      </c>
      <c r="BH245" s="1075">
        <f t="shared" si="175"/>
        <v>1</v>
      </c>
      <c r="BI245" s="1075" t="e">
        <f t="shared" si="211"/>
        <v>#DIV/0!</v>
      </c>
      <c r="BJ245" s="1075">
        <f t="shared" si="195"/>
        <v>1</v>
      </c>
      <c r="BK245" s="1075" t="e">
        <f t="shared" si="212"/>
        <v>#DIV/0!</v>
      </c>
      <c r="BL245" s="1048" t="s">
        <v>2278</v>
      </c>
      <c r="BM245" s="708" t="str">
        <f t="shared" si="196"/>
        <v>No Prog ni Ejec</v>
      </c>
      <c r="BN245" s="708" t="str">
        <f t="shared" si="197"/>
        <v>No Prog ni Ejec</v>
      </c>
      <c r="BO245" s="708" t="str">
        <f t="shared" si="198"/>
        <v>No Prog ni Ejec</v>
      </c>
      <c r="BP245" s="708" t="str">
        <f t="shared" si="213"/>
        <v>No Prog ni Ejec</v>
      </c>
      <c r="BQ245" s="708">
        <f t="shared" si="199"/>
        <v>1</v>
      </c>
      <c r="BR245" s="708" t="str">
        <f t="shared" si="214"/>
        <v>No Prog ni Ejec</v>
      </c>
      <c r="BS245" s="708">
        <f t="shared" si="200"/>
        <v>1</v>
      </c>
      <c r="BT245" s="829" t="str">
        <f t="shared" si="215"/>
        <v>No Prog ni Ejec</v>
      </c>
    </row>
    <row r="246" spans="1:72" s="958" customFormat="1" ht="89.25" customHeight="1" x14ac:dyDescent="0.2">
      <c r="A246" s="1092">
        <v>11700</v>
      </c>
      <c r="B246" s="1060" t="s">
        <v>29</v>
      </c>
      <c r="C246" s="1068" t="s">
        <v>1340</v>
      </c>
      <c r="D246" s="1059" t="s">
        <v>328</v>
      </c>
      <c r="E246" s="1068" t="s">
        <v>256</v>
      </c>
      <c r="F246" s="1059" t="s">
        <v>1570</v>
      </c>
      <c r="G246" s="1068" t="s">
        <v>1571</v>
      </c>
      <c r="H246" s="1089" t="s">
        <v>124</v>
      </c>
      <c r="I246" s="1085">
        <v>1</v>
      </c>
      <c r="J246" s="1085" t="s">
        <v>1572</v>
      </c>
      <c r="K246" s="1068" t="s">
        <v>1573</v>
      </c>
      <c r="L246" s="529">
        <v>0</v>
      </c>
      <c r="M246" s="1078">
        <v>1</v>
      </c>
      <c r="N246" s="1068" t="s">
        <v>51</v>
      </c>
      <c r="O246" s="1068" t="s">
        <v>56</v>
      </c>
      <c r="P246" s="1068" t="s">
        <v>37</v>
      </c>
      <c r="Q246" s="1068" t="s">
        <v>39</v>
      </c>
      <c r="R246" s="1068" t="s">
        <v>210</v>
      </c>
      <c r="S246" s="1068" t="s">
        <v>1574</v>
      </c>
      <c r="T246" s="1068" t="s">
        <v>92</v>
      </c>
      <c r="U246" s="777">
        <v>1</v>
      </c>
      <c r="V246" s="1071" t="str">
        <f t="shared" si="201"/>
        <v>Identificar Riesgos de corrupción asociados al proceso Gestión de Atención al Ciudadano para la ADRES.</v>
      </c>
      <c r="W246" s="699">
        <f t="shared" si="201"/>
        <v>0</v>
      </c>
      <c r="X246" s="1086" t="s">
        <v>117</v>
      </c>
      <c r="Y246" s="722">
        <v>0</v>
      </c>
      <c r="Z246" s="1072" t="str">
        <f t="shared" si="202"/>
        <v>Identificar Riesgos de corrupción asociados al proceso Gestión de Atención al Ciudadano para la ADRES.</v>
      </c>
      <c r="AA246" s="529">
        <v>0</v>
      </c>
      <c r="AB246" s="776"/>
      <c r="AC246" s="529"/>
      <c r="AD246" s="1069" t="e">
        <f t="shared" si="188"/>
        <v>#DIV/0!</v>
      </c>
      <c r="AE246" s="1069" t="e">
        <f t="shared" si="191"/>
        <v>#DIV/0!</v>
      </c>
      <c r="AF246" s="1069">
        <f t="shared" si="192"/>
        <v>0</v>
      </c>
      <c r="AG246" s="1069" t="e">
        <f t="shared" si="203"/>
        <v>#DIV/0!</v>
      </c>
      <c r="AH246" s="1068"/>
      <c r="AI246" s="1090">
        <v>1</v>
      </c>
      <c r="AJ246" s="1072" t="str">
        <f t="shared" si="204"/>
        <v>Identificar Riesgos de corrupción asociados al proceso Gestión de Atención al Ciudadano para la ADRES.</v>
      </c>
      <c r="AK246" s="529">
        <v>0</v>
      </c>
      <c r="AL246" s="825">
        <v>1</v>
      </c>
      <c r="AM246" s="1626">
        <v>0</v>
      </c>
      <c r="AN246" s="1069">
        <f t="shared" si="167"/>
        <v>1</v>
      </c>
      <c r="AO246" s="1069" t="e">
        <f t="shared" si="205"/>
        <v>#DIV/0!</v>
      </c>
      <c r="AP246" s="1069">
        <f t="shared" si="193"/>
        <v>1</v>
      </c>
      <c r="AQ246" s="1069" t="e">
        <f t="shared" si="206"/>
        <v>#DIV/0!</v>
      </c>
      <c r="AR246" s="1068" t="s">
        <v>1933</v>
      </c>
      <c r="AS246" s="1090">
        <v>0</v>
      </c>
      <c r="AT246" s="1072" t="str">
        <f t="shared" si="207"/>
        <v>Identificar Riesgos de corrupción asociados al proceso Gestión de Atención al Ciudadano para la ADRES.</v>
      </c>
      <c r="AU246" s="529">
        <v>0</v>
      </c>
      <c r="AV246" s="825">
        <v>0</v>
      </c>
      <c r="AW246" s="1626">
        <v>0</v>
      </c>
      <c r="AX246" s="1069" t="e">
        <f t="shared" si="171"/>
        <v>#DIV/0!</v>
      </c>
      <c r="AY246" s="1069" t="e">
        <f t="shared" si="208"/>
        <v>#DIV/0!</v>
      </c>
      <c r="AZ246" s="1069">
        <f t="shared" si="194"/>
        <v>1</v>
      </c>
      <c r="BA246" s="1069" t="e">
        <f t="shared" si="209"/>
        <v>#DIV/0!</v>
      </c>
      <c r="BB246" s="845"/>
      <c r="BC246" s="1090">
        <v>0</v>
      </c>
      <c r="BD246" s="1072" t="str">
        <f t="shared" si="210"/>
        <v>Identificar Riesgos de corrupción asociados al proceso Gestión de Atención al Ciudadano para la ADRES.</v>
      </c>
      <c r="BE246" s="529">
        <v>0</v>
      </c>
      <c r="BF246" s="1089">
        <v>0</v>
      </c>
      <c r="BG246" s="1054">
        <v>0</v>
      </c>
      <c r="BH246" s="1075" t="e">
        <f t="shared" si="175"/>
        <v>#DIV/0!</v>
      </c>
      <c r="BI246" s="1075" t="e">
        <f t="shared" si="211"/>
        <v>#DIV/0!</v>
      </c>
      <c r="BJ246" s="1075">
        <f t="shared" si="195"/>
        <v>1</v>
      </c>
      <c r="BK246" s="1075" t="e">
        <f t="shared" si="212"/>
        <v>#DIV/0!</v>
      </c>
      <c r="BL246" s="1072"/>
      <c r="BM246" s="708" t="str">
        <f t="shared" si="196"/>
        <v>No Prog ni Ejec</v>
      </c>
      <c r="BN246" s="708" t="str">
        <f t="shared" si="197"/>
        <v>No Prog ni Ejec</v>
      </c>
      <c r="BO246" s="708">
        <f t="shared" si="198"/>
        <v>1</v>
      </c>
      <c r="BP246" s="708" t="str">
        <f t="shared" si="213"/>
        <v>No Prog ni Ejec</v>
      </c>
      <c r="BQ246" s="708" t="str">
        <f t="shared" si="199"/>
        <v>No Prog ni Ejec</v>
      </c>
      <c r="BR246" s="708" t="str">
        <f t="shared" si="214"/>
        <v>No Prog ni Ejec</v>
      </c>
      <c r="BS246" s="708" t="str">
        <f t="shared" si="200"/>
        <v>No Prog ni Ejec</v>
      </c>
      <c r="BT246" s="829" t="str">
        <f t="shared" si="215"/>
        <v>No Prog ni Ejec</v>
      </c>
    </row>
    <row r="247" spans="1:72" s="958" customFormat="1" ht="89.25" customHeight="1" x14ac:dyDescent="0.2">
      <c r="A247" s="1092">
        <v>11700</v>
      </c>
      <c r="B247" s="1060" t="s">
        <v>29</v>
      </c>
      <c r="C247" s="1068" t="s">
        <v>1340</v>
      </c>
      <c r="D247" s="1059" t="s">
        <v>328</v>
      </c>
      <c r="E247" s="1068" t="s">
        <v>256</v>
      </c>
      <c r="F247" s="1059" t="s">
        <v>1575</v>
      </c>
      <c r="G247" s="1068" t="s">
        <v>1576</v>
      </c>
      <c r="H247" s="1089" t="s">
        <v>123</v>
      </c>
      <c r="I247" s="1075">
        <v>1</v>
      </c>
      <c r="J247" s="1085" t="s">
        <v>1577</v>
      </c>
      <c r="K247" s="1068" t="s">
        <v>1578</v>
      </c>
      <c r="L247" s="529">
        <v>0</v>
      </c>
      <c r="M247" s="1078">
        <v>1</v>
      </c>
      <c r="N247" s="1068" t="s">
        <v>46</v>
      </c>
      <c r="O247" s="1068" t="s">
        <v>59</v>
      </c>
      <c r="P247" s="1068" t="s">
        <v>37</v>
      </c>
      <c r="Q247" s="1068" t="s">
        <v>40</v>
      </c>
      <c r="R247" s="1068" t="s">
        <v>220</v>
      </c>
      <c r="S247" s="1068" t="s">
        <v>1579</v>
      </c>
      <c r="T247" s="1068" t="s">
        <v>101</v>
      </c>
      <c r="U247" s="1078">
        <v>1</v>
      </c>
      <c r="V247" s="1071" t="str">
        <f t="shared" si="201"/>
        <v>Caracterizar el proceso y/o procedimiento referente a la administración de Quejas, Reclamos y Sugerencias, de conformidad con el modelo de operación de ADRES.</v>
      </c>
      <c r="W247" s="699">
        <f t="shared" si="201"/>
        <v>0</v>
      </c>
      <c r="X247" s="1086" t="s">
        <v>117</v>
      </c>
      <c r="Y247" s="1078">
        <v>1</v>
      </c>
      <c r="Z247" s="1072" t="str">
        <f t="shared" si="202"/>
        <v>Caracterizar el proceso y/o procedimiento referente a la administración de Quejas, Reclamos y Sugerencias, de conformidad con el modelo de operación de ADRES.</v>
      </c>
      <c r="AA247" s="529">
        <v>0</v>
      </c>
      <c r="AB247" s="825">
        <v>1</v>
      </c>
      <c r="AC247" s="1690" t="s">
        <v>1914</v>
      </c>
      <c r="AD247" s="1069">
        <f t="shared" si="188"/>
        <v>1</v>
      </c>
      <c r="AE247" s="1069" t="e">
        <f t="shared" si="191"/>
        <v>#VALUE!</v>
      </c>
      <c r="AF247" s="1069">
        <f t="shared" si="192"/>
        <v>1</v>
      </c>
      <c r="AG247" s="1069" t="e">
        <f t="shared" si="203"/>
        <v>#VALUE!</v>
      </c>
      <c r="AH247" s="1068" t="s">
        <v>2333</v>
      </c>
      <c r="AI247" s="1078">
        <v>0</v>
      </c>
      <c r="AJ247" s="1072" t="str">
        <f t="shared" si="204"/>
        <v>Caracterizar el proceso y/o procedimiento referente a la administración de Quejas, Reclamos y Sugerencias, de conformidad con el modelo de operación de ADRES.</v>
      </c>
      <c r="AK247" s="529">
        <v>0</v>
      </c>
      <c r="AL247" s="700"/>
      <c r="AM247" s="700"/>
      <c r="AN247" s="1069" t="e">
        <f t="shared" si="167"/>
        <v>#DIV/0!</v>
      </c>
      <c r="AO247" s="1069" t="e">
        <f t="shared" si="205"/>
        <v>#DIV/0!</v>
      </c>
      <c r="AP247" s="1069">
        <f t="shared" si="193"/>
        <v>1</v>
      </c>
      <c r="AQ247" s="1069" t="e">
        <f t="shared" si="206"/>
        <v>#VALUE!</v>
      </c>
      <c r="AR247" s="845"/>
      <c r="AS247" s="1078">
        <v>0</v>
      </c>
      <c r="AT247" s="1072" t="str">
        <f t="shared" si="207"/>
        <v>Caracterizar el proceso y/o procedimiento referente a la administración de Quejas, Reclamos y Sugerencias, de conformidad con el modelo de operación de ADRES.</v>
      </c>
      <c r="AU247" s="529">
        <v>0</v>
      </c>
      <c r="AV247" s="825">
        <v>0</v>
      </c>
      <c r="AW247" s="1626">
        <v>0</v>
      </c>
      <c r="AX247" s="1069" t="e">
        <f t="shared" si="171"/>
        <v>#DIV/0!</v>
      </c>
      <c r="AY247" s="1069" t="e">
        <f t="shared" si="208"/>
        <v>#DIV/0!</v>
      </c>
      <c r="AZ247" s="1069">
        <f t="shared" si="194"/>
        <v>1</v>
      </c>
      <c r="BA247" s="1069" t="e">
        <f t="shared" si="209"/>
        <v>#VALUE!</v>
      </c>
      <c r="BB247" s="845"/>
      <c r="BC247" s="1078">
        <v>0</v>
      </c>
      <c r="BD247" s="1072" t="str">
        <f t="shared" si="210"/>
        <v>Caracterizar el proceso y/o procedimiento referente a la administración de Quejas, Reclamos y Sugerencias, de conformidad con el modelo de operación de ADRES.</v>
      </c>
      <c r="BE247" s="529">
        <v>0</v>
      </c>
      <c r="BF247" s="943">
        <v>0</v>
      </c>
      <c r="BG247" s="1054">
        <v>0</v>
      </c>
      <c r="BH247" s="1075" t="e">
        <f t="shared" si="175"/>
        <v>#DIV/0!</v>
      </c>
      <c r="BI247" s="1075" t="e">
        <f t="shared" si="211"/>
        <v>#DIV/0!</v>
      </c>
      <c r="BJ247" s="1075">
        <f t="shared" si="195"/>
        <v>1</v>
      </c>
      <c r="BK247" s="1075" t="e">
        <f t="shared" si="212"/>
        <v>#VALUE!</v>
      </c>
      <c r="BL247" s="1072"/>
      <c r="BM247" s="708">
        <f t="shared" si="196"/>
        <v>1</v>
      </c>
      <c r="BN247" s="708" t="str">
        <f t="shared" si="197"/>
        <v>No Prog, Ejec=   $                                     - </v>
      </c>
      <c r="BO247" s="708" t="str">
        <f t="shared" si="198"/>
        <v>No Prog ni Ejec</v>
      </c>
      <c r="BP247" s="708" t="str">
        <f t="shared" si="213"/>
        <v>No Prog ni Ejec</v>
      </c>
      <c r="BQ247" s="708" t="str">
        <f t="shared" si="199"/>
        <v>No Prog ni Ejec</v>
      </c>
      <c r="BR247" s="708" t="str">
        <f t="shared" si="214"/>
        <v>No Prog ni Ejec</v>
      </c>
      <c r="BS247" s="708" t="str">
        <f t="shared" si="200"/>
        <v>No Prog ni Ejec</v>
      </c>
      <c r="BT247" s="829" t="str">
        <f t="shared" si="215"/>
        <v>No Prog ni Ejec</v>
      </c>
    </row>
    <row r="248" spans="1:72" s="958" customFormat="1" ht="114.75" x14ac:dyDescent="0.2">
      <c r="A248" s="1092">
        <v>11600</v>
      </c>
      <c r="B248" s="1068" t="s">
        <v>6</v>
      </c>
      <c r="C248" s="1068" t="s">
        <v>1340</v>
      </c>
      <c r="D248" s="1059" t="s">
        <v>267</v>
      </c>
      <c r="E248" s="1068" t="s">
        <v>256</v>
      </c>
      <c r="F248" s="1059" t="s">
        <v>1580</v>
      </c>
      <c r="G248" s="1068" t="s">
        <v>1581</v>
      </c>
      <c r="H248" s="1089" t="s">
        <v>124</v>
      </c>
      <c r="I248" s="1085">
        <v>1</v>
      </c>
      <c r="J248" s="1085" t="s">
        <v>1582</v>
      </c>
      <c r="K248" s="1068" t="s">
        <v>1583</v>
      </c>
      <c r="L248" s="529">
        <v>0</v>
      </c>
      <c r="M248" s="1078">
        <v>1</v>
      </c>
      <c r="N248" s="1068" t="s">
        <v>46</v>
      </c>
      <c r="O248" s="1068" t="s">
        <v>59</v>
      </c>
      <c r="P248" s="1068" t="s">
        <v>37</v>
      </c>
      <c r="Q248" s="1068" t="s">
        <v>40</v>
      </c>
      <c r="R248" s="1068" t="s">
        <v>220</v>
      </c>
      <c r="S248" s="1068" t="s">
        <v>1584</v>
      </c>
      <c r="T248" s="1068" t="s">
        <v>101</v>
      </c>
      <c r="U248" s="777">
        <v>1</v>
      </c>
      <c r="V248" s="1071" t="str">
        <f t="shared" ref="V248:W263" si="238">+K248</f>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W248" s="699">
        <f t="shared" si="238"/>
        <v>0</v>
      </c>
      <c r="X248" s="1086" t="s">
        <v>117</v>
      </c>
      <c r="Y248" s="722">
        <v>0</v>
      </c>
      <c r="Z248" s="1072" t="str">
        <f t="shared" si="202"/>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AA248" s="529">
        <v>0</v>
      </c>
      <c r="AB248" s="776"/>
      <c r="AC248" s="529"/>
      <c r="AD248" s="1069" t="e">
        <f t="shared" si="188"/>
        <v>#DIV/0!</v>
      </c>
      <c r="AE248" s="1069" t="e">
        <f t="shared" si="191"/>
        <v>#DIV/0!</v>
      </c>
      <c r="AF248" s="1069">
        <f t="shared" si="192"/>
        <v>0</v>
      </c>
      <c r="AG248" s="1069" t="e">
        <f t="shared" si="203"/>
        <v>#DIV/0!</v>
      </c>
      <c r="AH248" s="846"/>
      <c r="AI248" s="1090">
        <v>1</v>
      </c>
      <c r="AJ248" s="1072" t="str">
        <f t="shared" si="204"/>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AK248" s="529">
        <v>0</v>
      </c>
      <c r="AL248" s="700">
        <v>1</v>
      </c>
      <c r="AM248" s="700">
        <v>0</v>
      </c>
      <c r="AN248" s="1069">
        <f t="shared" si="167"/>
        <v>1</v>
      </c>
      <c r="AO248" s="1069" t="e">
        <f t="shared" si="205"/>
        <v>#DIV/0!</v>
      </c>
      <c r="AP248" s="1069">
        <f t="shared" si="193"/>
        <v>1</v>
      </c>
      <c r="AQ248" s="1069" t="e">
        <f t="shared" si="206"/>
        <v>#DIV/0!</v>
      </c>
      <c r="AR248" s="845"/>
      <c r="AS248" s="1090">
        <v>0</v>
      </c>
      <c r="AT248" s="1072" t="str">
        <f t="shared" si="207"/>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AU248" s="529">
        <v>0</v>
      </c>
      <c r="AV248" s="951">
        <v>0</v>
      </c>
      <c r="AW248" s="1626">
        <v>0</v>
      </c>
      <c r="AX248" s="1069" t="e">
        <f t="shared" si="171"/>
        <v>#DIV/0!</v>
      </c>
      <c r="AY248" s="1069" t="e">
        <f t="shared" si="208"/>
        <v>#DIV/0!</v>
      </c>
      <c r="AZ248" s="1069">
        <f t="shared" si="194"/>
        <v>1</v>
      </c>
      <c r="BA248" s="1069" t="e">
        <f t="shared" si="209"/>
        <v>#DIV/0!</v>
      </c>
      <c r="BB248" s="1068" t="s">
        <v>2002</v>
      </c>
      <c r="BC248" s="1090">
        <v>0</v>
      </c>
      <c r="BD248" s="1072" t="str">
        <f t="shared" si="210"/>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BE248" s="529">
        <v>0</v>
      </c>
      <c r="BF248" s="1067">
        <v>0</v>
      </c>
      <c r="BG248" s="1054">
        <v>0</v>
      </c>
      <c r="BH248" s="1075" t="e">
        <f t="shared" si="175"/>
        <v>#DIV/0!</v>
      </c>
      <c r="BI248" s="1075" t="e">
        <f t="shared" si="211"/>
        <v>#DIV/0!</v>
      </c>
      <c r="BJ248" s="1075">
        <f t="shared" si="195"/>
        <v>1</v>
      </c>
      <c r="BK248" s="1075" t="e">
        <f t="shared" si="212"/>
        <v>#DIV/0!</v>
      </c>
      <c r="BL248" s="1048" t="s">
        <v>2089</v>
      </c>
      <c r="BM248" s="708" t="str">
        <f t="shared" si="196"/>
        <v>No Prog ni Ejec</v>
      </c>
      <c r="BN248" s="708" t="str">
        <f t="shared" si="197"/>
        <v>No Prog ni Ejec</v>
      </c>
      <c r="BO248" s="708">
        <f t="shared" si="198"/>
        <v>1</v>
      </c>
      <c r="BP248" s="708" t="str">
        <f t="shared" si="213"/>
        <v>No Prog ni Ejec</v>
      </c>
      <c r="BQ248" s="708" t="str">
        <f t="shared" si="199"/>
        <v>No Prog ni Ejec</v>
      </c>
      <c r="BR248" s="708" t="str">
        <f t="shared" si="214"/>
        <v>No Prog ni Ejec</v>
      </c>
      <c r="BS248" s="708" t="str">
        <f t="shared" si="200"/>
        <v>No Prog ni Ejec</v>
      </c>
      <c r="BT248" s="829" t="str">
        <f t="shared" si="215"/>
        <v>No Prog ni Ejec</v>
      </c>
    </row>
    <row r="249" spans="1:72" s="958" customFormat="1" ht="89.25" x14ac:dyDescent="0.2">
      <c r="A249" s="1092">
        <v>11600</v>
      </c>
      <c r="B249" s="1068" t="s">
        <v>6</v>
      </c>
      <c r="C249" s="1068" t="s">
        <v>1340</v>
      </c>
      <c r="D249" s="1059" t="s">
        <v>267</v>
      </c>
      <c r="E249" s="1068" t="s">
        <v>256</v>
      </c>
      <c r="F249" s="1059" t="s">
        <v>1585</v>
      </c>
      <c r="G249" s="1068" t="s">
        <v>1586</v>
      </c>
      <c r="H249" s="1089" t="s">
        <v>124</v>
      </c>
      <c r="I249" s="1085">
        <v>1</v>
      </c>
      <c r="J249" s="1085" t="s">
        <v>1587</v>
      </c>
      <c r="K249" s="1068" t="s">
        <v>1588</v>
      </c>
      <c r="L249" s="529">
        <v>0</v>
      </c>
      <c r="M249" s="1078">
        <v>1</v>
      </c>
      <c r="N249" s="1068" t="s">
        <v>46</v>
      </c>
      <c r="O249" s="1068" t="s">
        <v>59</v>
      </c>
      <c r="P249" s="1068" t="s">
        <v>37</v>
      </c>
      <c r="Q249" s="1068" t="s">
        <v>40</v>
      </c>
      <c r="R249" s="1068" t="s">
        <v>220</v>
      </c>
      <c r="S249" s="1068" t="s">
        <v>1589</v>
      </c>
      <c r="T249" s="1068" t="s">
        <v>101</v>
      </c>
      <c r="U249" s="1085">
        <v>1</v>
      </c>
      <c r="V249" s="1071" t="str">
        <f t="shared" si="238"/>
        <v>Desarrollar encuesta de satisfacción al usuario en formato virtual con base en los requerimientos de la Dirección Administrativa y Financiera</v>
      </c>
      <c r="W249" s="699">
        <f t="shared" si="238"/>
        <v>0</v>
      </c>
      <c r="X249" s="1086" t="s">
        <v>117</v>
      </c>
      <c r="Y249" s="722">
        <v>0</v>
      </c>
      <c r="Z249" s="1072" t="str">
        <f t="shared" si="202"/>
        <v>Desarrollar encuesta de satisfacción al usuario en formato virtual con base en los requerimientos de la Dirección Administrativa y Financiera</v>
      </c>
      <c r="AA249" s="529">
        <v>0</v>
      </c>
      <c r="AB249" s="776"/>
      <c r="AC249" s="529"/>
      <c r="AD249" s="1069" t="e">
        <f t="shared" si="188"/>
        <v>#DIV/0!</v>
      </c>
      <c r="AE249" s="1069" t="e">
        <f t="shared" si="191"/>
        <v>#DIV/0!</v>
      </c>
      <c r="AF249" s="1069">
        <f t="shared" si="192"/>
        <v>0</v>
      </c>
      <c r="AG249" s="1069" t="e">
        <f t="shared" si="203"/>
        <v>#DIV/0!</v>
      </c>
      <c r="AH249" s="1068"/>
      <c r="AI249" s="722">
        <v>0</v>
      </c>
      <c r="AJ249" s="1072" t="str">
        <f t="shared" si="204"/>
        <v>Desarrollar encuesta de satisfacción al usuario en formato virtual con base en los requerimientos de la Dirección Administrativa y Financiera</v>
      </c>
      <c r="AK249" s="529">
        <v>0</v>
      </c>
      <c r="AL249" s="700"/>
      <c r="AM249" s="700"/>
      <c r="AN249" s="1069" t="e">
        <f t="shared" si="167"/>
        <v>#DIV/0!</v>
      </c>
      <c r="AO249" s="1069" t="e">
        <f t="shared" si="205"/>
        <v>#DIV/0!</v>
      </c>
      <c r="AP249" s="1069">
        <f t="shared" si="193"/>
        <v>0</v>
      </c>
      <c r="AQ249" s="1069" t="e">
        <f t="shared" si="206"/>
        <v>#DIV/0!</v>
      </c>
      <c r="AR249" s="845"/>
      <c r="AS249" s="722">
        <v>0</v>
      </c>
      <c r="AT249" s="1072" t="str">
        <f t="shared" si="207"/>
        <v>Desarrollar encuesta de satisfacción al usuario en formato virtual con base en los requerimientos de la Dirección Administrativa y Financiera</v>
      </c>
      <c r="AU249" s="529">
        <v>0</v>
      </c>
      <c r="AV249" s="700">
        <v>0</v>
      </c>
      <c r="AW249" s="1626">
        <v>0</v>
      </c>
      <c r="AX249" s="1069" t="e">
        <f t="shared" si="171"/>
        <v>#DIV/0!</v>
      </c>
      <c r="AY249" s="1069" t="e">
        <f t="shared" si="208"/>
        <v>#DIV/0!</v>
      </c>
      <c r="AZ249" s="1069">
        <f t="shared" si="194"/>
        <v>0</v>
      </c>
      <c r="BA249" s="1069" t="e">
        <f t="shared" si="209"/>
        <v>#DIV/0!</v>
      </c>
      <c r="BB249" s="1068" t="s">
        <v>2001</v>
      </c>
      <c r="BC249" s="722">
        <v>1</v>
      </c>
      <c r="BD249" s="1072" t="str">
        <f t="shared" si="210"/>
        <v>Desarrollar encuesta de satisfacción al usuario en formato virtual con base en los requerimientos de la Dirección Administrativa y Financiera</v>
      </c>
      <c r="BE249" s="529">
        <v>0</v>
      </c>
      <c r="BF249" s="1089">
        <v>0</v>
      </c>
      <c r="BG249" s="1054">
        <v>0</v>
      </c>
      <c r="BH249" s="1075">
        <f t="shared" si="175"/>
        <v>0</v>
      </c>
      <c r="BI249" s="1075" t="e">
        <f t="shared" si="211"/>
        <v>#DIV/0!</v>
      </c>
      <c r="BJ249" s="1075">
        <f t="shared" si="195"/>
        <v>0</v>
      </c>
      <c r="BK249" s="1075" t="e">
        <f t="shared" si="212"/>
        <v>#DIV/0!</v>
      </c>
      <c r="BL249" s="1068" t="s">
        <v>2117</v>
      </c>
      <c r="BM249" s="708" t="str">
        <f t="shared" si="196"/>
        <v>No Prog ni Ejec</v>
      </c>
      <c r="BN249" s="708" t="str">
        <f t="shared" si="197"/>
        <v>No Prog ni Ejec</v>
      </c>
      <c r="BO249" s="708" t="str">
        <f t="shared" si="198"/>
        <v>No Prog ni Ejec</v>
      </c>
      <c r="BP249" s="708" t="str">
        <f t="shared" si="213"/>
        <v>No Prog ni Ejec</v>
      </c>
      <c r="BQ249" s="708" t="str">
        <f t="shared" si="199"/>
        <v>No Prog ni Ejec</v>
      </c>
      <c r="BR249" s="708" t="str">
        <f t="shared" si="214"/>
        <v>No Prog ni Ejec</v>
      </c>
      <c r="BS249" s="708">
        <f t="shared" si="200"/>
        <v>0</v>
      </c>
      <c r="BT249" s="829" t="str">
        <f t="shared" si="215"/>
        <v>No Prog ni Ejec</v>
      </c>
    </row>
    <row r="250" spans="1:72" s="958" customFormat="1" ht="114.75" x14ac:dyDescent="0.2">
      <c r="A250" s="1092">
        <v>11600</v>
      </c>
      <c r="B250" s="1068" t="s">
        <v>6</v>
      </c>
      <c r="C250" s="1068" t="s">
        <v>1340</v>
      </c>
      <c r="D250" s="1059" t="s">
        <v>267</v>
      </c>
      <c r="E250" s="1068" t="s">
        <v>256</v>
      </c>
      <c r="F250" s="1059" t="s">
        <v>1590</v>
      </c>
      <c r="G250" s="1068" t="s">
        <v>1591</v>
      </c>
      <c r="H250" s="1089" t="s">
        <v>124</v>
      </c>
      <c r="I250" s="1085">
        <v>1</v>
      </c>
      <c r="J250" s="1085" t="s">
        <v>1592</v>
      </c>
      <c r="K250" s="1068" t="s">
        <v>1593</v>
      </c>
      <c r="L250" s="529">
        <v>0</v>
      </c>
      <c r="M250" s="1078">
        <v>1</v>
      </c>
      <c r="N250" s="1068" t="s">
        <v>46</v>
      </c>
      <c r="O250" s="1068" t="s">
        <v>59</v>
      </c>
      <c r="P250" s="1068" t="s">
        <v>37</v>
      </c>
      <c r="Q250" s="1068" t="s">
        <v>40</v>
      </c>
      <c r="R250" s="1068" t="s">
        <v>220</v>
      </c>
      <c r="S250" s="1068" t="s">
        <v>1594</v>
      </c>
      <c r="T250" s="1068" t="s">
        <v>101</v>
      </c>
      <c r="U250" s="1085">
        <v>1</v>
      </c>
      <c r="V250" s="1071" t="str">
        <f t="shared" si="238"/>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W250" s="699">
        <f t="shared" si="238"/>
        <v>0</v>
      </c>
      <c r="X250" s="1086" t="s">
        <v>117</v>
      </c>
      <c r="Y250" s="722">
        <v>0</v>
      </c>
      <c r="Z250" s="1072" t="str">
        <f t="shared" si="202"/>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A250" s="529">
        <v>0</v>
      </c>
      <c r="AB250" s="776"/>
      <c r="AC250" s="529"/>
      <c r="AD250" s="1069" t="e">
        <f t="shared" si="188"/>
        <v>#DIV/0!</v>
      </c>
      <c r="AE250" s="1069" t="e">
        <f t="shared" si="191"/>
        <v>#DIV/0!</v>
      </c>
      <c r="AF250" s="1069">
        <f t="shared" si="192"/>
        <v>0</v>
      </c>
      <c r="AG250" s="1069" t="e">
        <f t="shared" si="203"/>
        <v>#DIV/0!</v>
      </c>
      <c r="AH250" s="1068"/>
      <c r="AI250" s="722">
        <v>0</v>
      </c>
      <c r="AJ250" s="1072" t="str">
        <f t="shared" si="204"/>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K250" s="529">
        <v>0</v>
      </c>
      <c r="AL250" s="700"/>
      <c r="AM250" s="700"/>
      <c r="AN250" s="1069" t="e">
        <f t="shared" si="167"/>
        <v>#DIV/0!</v>
      </c>
      <c r="AO250" s="1069" t="e">
        <f t="shared" si="205"/>
        <v>#DIV/0!</v>
      </c>
      <c r="AP250" s="1069">
        <f t="shared" si="193"/>
        <v>0</v>
      </c>
      <c r="AQ250" s="1069" t="e">
        <f t="shared" si="206"/>
        <v>#DIV/0!</v>
      </c>
      <c r="AR250" s="845"/>
      <c r="AS250" s="722">
        <v>0</v>
      </c>
      <c r="AT250" s="1072" t="str">
        <f t="shared" si="207"/>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U250" s="529">
        <v>0</v>
      </c>
      <c r="AV250" s="700">
        <v>0</v>
      </c>
      <c r="AW250" s="1626">
        <v>0</v>
      </c>
      <c r="AX250" s="1069" t="e">
        <f t="shared" si="171"/>
        <v>#DIV/0!</v>
      </c>
      <c r="AY250" s="1069" t="e">
        <f t="shared" si="208"/>
        <v>#DIV/0!</v>
      </c>
      <c r="AZ250" s="1069">
        <f t="shared" si="194"/>
        <v>0</v>
      </c>
      <c r="BA250" s="1069" t="e">
        <f t="shared" si="209"/>
        <v>#DIV/0!</v>
      </c>
      <c r="BB250" s="1068" t="s">
        <v>2001</v>
      </c>
      <c r="BC250" s="722">
        <v>1</v>
      </c>
      <c r="BD250" s="1072" t="str">
        <f t="shared" si="210"/>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E250" s="529">
        <v>0</v>
      </c>
      <c r="BF250" s="1089">
        <v>0</v>
      </c>
      <c r="BG250" s="1054">
        <v>0</v>
      </c>
      <c r="BH250" s="1075">
        <f t="shared" si="175"/>
        <v>0</v>
      </c>
      <c r="BI250" s="1075" t="e">
        <f t="shared" si="211"/>
        <v>#DIV/0!</v>
      </c>
      <c r="BJ250" s="1075">
        <f t="shared" si="195"/>
        <v>0</v>
      </c>
      <c r="BK250" s="1075" t="e">
        <f t="shared" si="212"/>
        <v>#DIV/0!</v>
      </c>
      <c r="BL250" s="1068" t="s">
        <v>2117</v>
      </c>
      <c r="BM250" s="708" t="str">
        <f t="shared" si="196"/>
        <v>No Prog ni Ejec</v>
      </c>
      <c r="BN250" s="708" t="str">
        <f t="shared" si="197"/>
        <v>No Prog ni Ejec</v>
      </c>
      <c r="BO250" s="708" t="str">
        <f t="shared" si="198"/>
        <v>No Prog ni Ejec</v>
      </c>
      <c r="BP250" s="708" t="str">
        <f t="shared" si="213"/>
        <v>No Prog ni Ejec</v>
      </c>
      <c r="BQ250" s="708" t="str">
        <f t="shared" si="199"/>
        <v>No Prog ni Ejec</v>
      </c>
      <c r="BR250" s="708" t="str">
        <f t="shared" si="214"/>
        <v>No Prog ni Ejec</v>
      </c>
      <c r="BS250" s="708">
        <f t="shared" si="200"/>
        <v>0</v>
      </c>
      <c r="BT250" s="829" t="str">
        <f t="shared" si="215"/>
        <v>No Prog ni Ejec</v>
      </c>
    </row>
    <row r="251" spans="1:72" s="958" customFormat="1" ht="89.25" x14ac:dyDescent="0.2">
      <c r="A251" s="1091">
        <v>11900</v>
      </c>
      <c r="B251" s="1068" t="s">
        <v>1595</v>
      </c>
      <c r="C251" s="1068" t="s">
        <v>1340</v>
      </c>
      <c r="D251" s="1059" t="s">
        <v>351</v>
      </c>
      <c r="E251" s="1068" t="s">
        <v>256</v>
      </c>
      <c r="F251" s="1059" t="s">
        <v>1596</v>
      </c>
      <c r="G251" s="1068" t="s">
        <v>1597</v>
      </c>
      <c r="H251" s="1089" t="s">
        <v>124</v>
      </c>
      <c r="I251" s="1085">
        <v>1</v>
      </c>
      <c r="J251" s="1085" t="s">
        <v>1598</v>
      </c>
      <c r="K251" s="1068" t="s">
        <v>1599</v>
      </c>
      <c r="L251" s="529">
        <v>0</v>
      </c>
      <c r="M251" s="1078">
        <v>1</v>
      </c>
      <c r="N251" s="1068" t="s">
        <v>46</v>
      </c>
      <c r="O251" s="1068" t="s">
        <v>59</v>
      </c>
      <c r="P251" s="1068" t="s">
        <v>37</v>
      </c>
      <c r="Q251" s="1068" t="s">
        <v>40</v>
      </c>
      <c r="R251" s="1068" t="s">
        <v>220</v>
      </c>
      <c r="S251" s="1068" t="s">
        <v>1600</v>
      </c>
      <c r="T251" s="1068" t="s">
        <v>101</v>
      </c>
      <c r="U251" s="1085">
        <v>1</v>
      </c>
      <c r="V251" s="1071" t="str">
        <f t="shared" si="238"/>
        <v>Formalizar política de protección de datos personales (habeas data).</v>
      </c>
      <c r="W251" s="699">
        <f t="shared" si="238"/>
        <v>0</v>
      </c>
      <c r="X251" s="1086" t="s">
        <v>117</v>
      </c>
      <c r="Y251" s="722">
        <v>0</v>
      </c>
      <c r="Z251" s="1072" t="str">
        <f t="shared" si="202"/>
        <v>Formalizar política de protección de datos personales (habeas data).</v>
      </c>
      <c r="AA251" s="529">
        <v>0</v>
      </c>
      <c r="AB251" s="776"/>
      <c r="AC251" s="529"/>
      <c r="AD251" s="1069" t="e">
        <f t="shared" si="188"/>
        <v>#DIV/0!</v>
      </c>
      <c r="AE251" s="1069" t="e">
        <f t="shared" si="191"/>
        <v>#DIV/0!</v>
      </c>
      <c r="AF251" s="1069">
        <f t="shared" si="192"/>
        <v>0</v>
      </c>
      <c r="AG251" s="1069" t="e">
        <f t="shared" si="203"/>
        <v>#DIV/0!</v>
      </c>
      <c r="AH251" s="1068"/>
      <c r="AI251" s="722">
        <v>1</v>
      </c>
      <c r="AJ251" s="1072" t="str">
        <f t="shared" si="204"/>
        <v>Formalizar política de protección de datos personales (habeas data).</v>
      </c>
      <c r="AK251" s="529">
        <v>0</v>
      </c>
      <c r="AL251" s="700"/>
      <c r="AM251" s="700"/>
      <c r="AN251" s="1069">
        <f t="shared" si="167"/>
        <v>0</v>
      </c>
      <c r="AO251" s="1069" t="e">
        <f t="shared" si="205"/>
        <v>#DIV/0!</v>
      </c>
      <c r="AP251" s="1069">
        <f t="shared" si="193"/>
        <v>0</v>
      </c>
      <c r="AQ251" s="1069" t="e">
        <f t="shared" si="206"/>
        <v>#DIV/0!</v>
      </c>
      <c r="AR251" s="845"/>
      <c r="AS251" s="722">
        <v>0</v>
      </c>
      <c r="AT251" s="1072" t="str">
        <f t="shared" si="207"/>
        <v>Formalizar política de protección de datos personales (habeas data).</v>
      </c>
      <c r="AU251" s="529">
        <v>0</v>
      </c>
      <c r="AV251" s="700">
        <v>1</v>
      </c>
      <c r="AW251" s="702">
        <v>0</v>
      </c>
      <c r="AX251" s="1069" t="e">
        <f t="shared" si="171"/>
        <v>#DIV/0!</v>
      </c>
      <c r="AY251" s="1069" t="e">
        <f t="shared" si="208"/>
        <v>#DIV/0!</v>
      </c>
      <c r="AZ251" s="1069">
        <f t="shared" si="194"/>
        <v>1</v>
      </c>
      <c r="BA251" s="1069" t="e">
        <f t="shared" si="209"/>
        <v>#DIV/0!</v>
      </c>
      <c r="BB251" s="1072" t="s">
        <v>2021</v>
      </c>
      <c r="BC251" s="722">
        <v>0</v>
      </c>
      <c r="BD251" s="1072" t="str">
        <f t="shared" si="210"/>
        <v>Formalizar política de protección de datos personales (habeas data).</v>
      </c>
      <c r="BE251" s="529">
        <v>0</v>
      </c>
      <c r="BF251" s="1089">
        <v>0</v>
      </c>
      <c r="BG251" s="1054">
        <v>0</v>
      </c>
      <c r="BH251" s="1075" t="e">
        <f t="shared" si="175"/>
        <v>#DIV/0!</v>
      </c>
      <c r="BI251" s="1075" t="e">
        <f t="shared" si="211"/>
        <v>#DIV/0!</v>
      </c>
      <c r="BJ251" s="1075">
        <f t="shared" si="195"/>
        <v>1</v>
      </c>
      <c r="BK251" s="1075" t="e">
        <f t="shared" si="212"/>
        <v>#DIV/0!</v>
      </c>
      <c r="BL251" s="1072"/>
      <c r="BM251" s="708" t="str">
        <f t="shared" si="196"/>
        <v>No Prog ni Ejec</v>
      </c>
      <c r="BN251" s="708" t="str">
        <f t="shared" si="197"/>
        <v>No Prog ni Ejec</v>
      </c>
      <c r="BO251" s="708">
        <f t="shared" si="198"/>
        <v>0</v>
      </c>
      <c r="BP251" s="708" t="str">
        <f t="shared" si="213"/>
        <v>No Prog ni Ejec</v>
      </c>
      <c r="BQ251" s="708" t="str">
        <f t="shared" si="199"/>
        <v>No Prog, Ejec=  1</v>
      </c>
      <c r="BR251" s="708" t="str">
        <f t="shared" si="214"/>
        <v>No Prog ni Ejec</v>
      </c>
      <c r="BS251" s="708" t="str">
        <f t="shared" si="200"/>
        <v>No Prog ni Ejec</v>
      </c>
      <c r="BT251" s="829" t="str">
        <f t="shared" si="215"/>
        <v>No Prog ni Ejec</v>
      </c>
    </row>
    <row r="252" spans="1:72" s="958" customFormat="1" ht="89.25" x14ac:dyDescent="0.2">
      <c r="A252" s="1092">
        <v>11700</v>
      </c>
      <c r="B252" s="1060" t="s">
        <v>29</v>
      </c>
      <c r="C252" s="1068" t="s">
        <v>1340</v>
      </c>
      <c r="D252" s="1059" t="s">
        <v>328</v>
      </c>
      <c r="E252" s="1068" t="s">
        <v>256</v>
      </c>
      <c r="F252" s="1059" t="s">
        <v>1601</v>
      </c>
      <c r="G252" s="1068" t="s">
        <v>1602</v>
      </c>
      <c r="H252" s="1089" t="s">
        <v>124</v>
      </c>
      <c r="I252" s="1085">
        <v>3</v>
      </c>
      <c r="J252" s="1085" t="s">
        <v>1603</v>
      </c>
      <c r="K252" s="1068" t="s">
        <v>1604</v>
      </c>
      <c r="L252" s="529">
        <v>0</v>
      </c>
      <c r="M252" s="1078">
        <v>1</v>
      </c>
      <c r="N252" s="1068" t="s">
        <v>46</v>
      </c>
      <c r="O252" s="1068" t="s">
        <v>59</v>
      </c>
      <c r="P252" s="1068" t="s">
        <v>37</v>
      </c>
      <c r="Q252" s="1068" t="s">
        <v>40</v>
      </c>
      <c r="R252" s="1068" t="s">
        <v>220</v>
      </c>
      <c r="S252" s="1068" t="s">
        <v>1605</v>
      </c>
      <c r="T252" s="1068" t="s">
        <v>101</v>
      </c>
      <c r="U252" s="722">
        <v>3</v>
      </c>
      <c r="V252" s="1071" t="str">
        <f t="shared" si="238"/>
        <v>Realizar charlas de actualización normativa a los servidores públicos y contratistas de Atención al Ciudadano como mecanismo de actualización.</v>
      </c>
      <c r="W252" s="699">
        <f t="shared" si="238"/>
        <v>0</v>
      </c>
      <c r="X252" s="1086" t="s">
        <v>117</v>
      </c>
      <c r="Y252" s="722">
        <v>0</v>
      </c>
      <c r="Z252" s="1072" t="str">
        <f t="shared" si="202"/>
        <v>Realizar charlas de actualización normativa a los servidores públicos y contratistas de Atención al Ciudadano como mecanismo de actualización.</v>
      </c>
      <c r="AA252" s="529">
        <v>0</v>
      </c>
      <c r="AB252" s="776"/>
      <c r="AC252" s="1690" t="s">
        <v>1914</v>
      </c>
      <c r="AD252" s="1069" t="e">
        <f t="shared" si="188"/>
        <v>#DIV/0!</v>
      </c>
      <c r="AE252" s="1069" t="e">
        <f t="shared" si="191"/>
        <v>#VALUE!</v>
      </c>
      <c r="AF252" s="1069">
        <f t="shared" si="192"/>
        <v>0</v>
      </c>
      <c r="AG252" s="1069" t="e">
        <f t="shared" si="203"/>
        <v>#VALUE!</v>
      </c>
      <c r="AH252" s="1068"/>
      <c r="AI252" s="722">
        <v>0</v>
      </c>
      <c r="AJ252" s="1072" t="str">
        <f t="shared" si="204"/>
        <v>Realizar charlas de actualización normativa a los servidores públicos y contratistas de Atención al Ciudadano como mecanismo de actualización.</v>
      </c>
      <c r="AK252" s="529">
        <v>0</v>
      </c>
      <c r="AL252" s="700"/>
      <c r="AM252" s="700"/>
      <c r="AN252" s="1069" t="e">
        <f t="shared" ref="AN252:AN268" si="239">+(AL252/AI252)</f>
        <v>#DIV/0!</v>
      </c>
      <c r="AO252" s="1069" t="e">
        <f t="shared" si="205"/>
        <v>#DIV/0!</v>
      </c>
      <c r="AP252" s="1069">
        <f t="shared" si="193"/>
        <v>0</v>
      </c>
      <c r="AQ252" s="1069" t="e">
        <f t="shared" si="206"/>
        <v>#VALUE!</v>
      </c>
      <c r="AR252" s="845"/>
      <c r="AS252" s="722">
        <v>2</v>
      </c>
      <c r="AT252" s="1072" t="str">
        <f t="shared" si="207"/>
        <v>Realizar charlas de actualización normativa a los servidores públicos y contratistas de Atención al Ciudadano como mecanismo de actualización.</v>
      </c>
      <c r="AU252" s="529">
        <v>0</v>
      </c>
      <c r="AV252" s="825">
        <v>2</v>
      </c>
      <c r="AW252" s="739">
        <v>0</v>
      </c>
      <c r="AX252" s="1069">
        <f t="shared" ref="AX252:AX268" si="240">+(AV252/AS252)</f>
        <v>1</v>
      </c>
      <c r="AY252" s="1069" t="e">
        <f t="shared" si="208"/>
        <v>#DIV/0!</v>
      </c>
      <c r="AZ252" s="1069">
        <f t="shared" si="194"/>
        <v>0.66666666666666663</v>
      </c>
      <c r="BA252" s="1069" t="e">
        <f t="shared" si="209"/>
        <v>#VALUE!</v>
      </c>
      <c r="BB252" s="1068" t="s">
        <v>1934</v>
      </c>
      <c r="BC252" s="722">
        <v>1</v>
      </c>
      <c r="BD252" s="1072" t="str">
        <f t="shared" si="210"/>
        <v>Realizar charlas de actualización normativa a los servidores públicos y contratistas de Atención al Ciudadano como mecanismo de actualización.</v>
      </c>
      <c r="BE252" s="529">
        <v>0</v>
      </c>
      <c r="BF252" s="1089">
        <v>1</v>
      </c>
      <c r="BG252" s="1054">
        <v>0</v>
      </c>
      <c r="BH252" s="1075">
        <f t="shared" ref="BH252:BH268" si="241">+(BF252/BC252)</f>
        <v>1</v>
      </c>
      <c r="BI252" s="1075" t="e">
        <f t="shared" si="211"/>
        <v>#DIV/0!</v>
      </c>
      <c r="BJ252" s="1075">
        <f t="shared" si="195"/>
        <v>1</v>
      </c>
      <c r="BK252" s="1075" t="e">
        <f t="shared" si="212"/>
        <v>#VALUE!</v>
      </c>
      <c r="BL252" s="1053" t="s">
        <v>2334</v>
      </c>
      <c r="BM252" s="708" t="str">
        <f t="shared" si="196"/>
        <v>No Prog ni Ejec</v>
      </c>
      <c r="BN252" s="708" t="str">
        <f t="shared" si="197"/>
        <v>No Prog, Ejec=   $                                     - </v>
      </c>
      <c r="BO252" s="708" t="str">
        <f t="shared" si="198"/>
        <v>No Prog ni Ejec</v>
      </c>
      <c r="BP252" s="708" t="str">
        <f t="shared" si="213"/>
        <v>No Prog ni Ejec</v>
      </c>
      <c r="BQ252" s="708">
        <f t="shared" si="199"/>
        <v>1</v>
      </c>
      <c r="BR252" s="708" t="str">
        <f t="shared" si="214"/>
        <v>No Prog ni Ejec</v>
      </c>
      <c r="BS252" s="708">
        <f t="shared" si="200"/>
        <v>1</v>
      </c>
      <c r="BT252" s="829" t="str">
        <f t="shared" si="215"/>
        <v>No Prog ni Ejec</v>
      </c>
    </row>
    <row r="253" spans="1:72" s="958" customFormat="1" ht="89.25" x14ac:dyDescent="0.2">
      <c r="A253" s="1092">
        <v>11700</v>
      </c>
      <c r="B253" s="1060" t="s">
        <v>29</v>
      </c>
      <c r="C253" s="1068" t="s">
        <v>1340</v>
      </c>
      <c r="D253" s="1059" t="s">
        <v>328</v>
      </c>
      <c r="E253" s="1068" t="s">
        <v>256</v>
      </c>
      <c r="F253" s="1059" t="s">
        <v>1606</v>
      </c>
      <c r="G253" s="1068" t="s">
        <v>1607</v>
      </c>
      <c r="H253" s="1089" t="s">
        <v>124</v>
      </c>
      <c r="I253" s="1085">
        <v>1</v>
      </c>
      <c r="J253" s="1085" t="s">
        <v>1608</v>
      </c>
      <c r="K253" s="1068" t="s">
        <v>1609</v>
      </c>
      <c r="L253" s="529">
        <v>0</v>
      </c>
      <c r="M253" s="1078">
        <v>1</v>
      </c>
      <c r="N253" s="1068" t="s">
        <v>46</v>
      </c>
      <c r="O253" s="1068" t="s">
        <v>59</v>
      </c>
      <c r="P253" s="1068" t="s">
        <v>37</v>
      </c>
      <c r="Q253" s="1068" t="s">
        <v>40</v>
      </c>
      <c r="R253" s="1068" t="s">
        <v>220</v>
      </c>
      <c r="S253" s="1068" t="s">
        <v>1607</v>
      </c>
      <c r="T253" s="1068" t="s">
        <v>101</v>
      </c>
      <c r="U253" s="722">
        <v>1</v>
      </c>
      <c r="V253" s="1071" t="str">
        <f t="shared" si="238"/>
        <v>Publicar en los canales de atención la Carta de Trato Digno al Ciudadano.</v>
      </c>
      <c r="W253" s="699">
        <f t="shared" si="238"/>
        <v>0</v>
      </c>
      <c r="X253" s="1086" t="s">
        <v>117</v>
      </c>
      <c r="Y253" s="722">
        <v>1</v>
      </c>
      <c r="Z253" s="1072" t="str">
        <f t="shared" si="202"/>
        <v>Publicar en los canales de atención la Carta de Trato Digno al Ciudadano.</v>
      </c>
      <c r="AA253" s="529">
        <v>0</v>
      </c>
      <c r="AB253" s="825">
        <v>1</v>
      </c>
      <c r="AC253" s="1690" t="s">
        <v>1914</v>
      </c>
      <c r="AD253" s="1069">
        <f t="shared" ref="AD253:AD268" si="242">+(AB253/Y253)</f>
        <v>1</v>
      </c>
      <c r="AE253" s="1069" t="e">
        <f t="shared" si="191"/>
        <v>#VALUE!</v>
      </c>
      <c r="AF253" s="1069">
        <f t="shared" si="192"/>
        <v>1</v>
      </c>
      <c r="AG253" s="1069" t="e">
        <f t="shared" si="203"/>
        <v>#VALUE!</v>
      </c>
      <c r="AH253" s="1068" t="s">
        <v>2335</v>
      </c>
      <c r="AI253" s="722">
        <v>0</v>
      </c>
      <c r="AJ253" s="1072" t="str">
        <f t="shared" si="204"/>
        <v>Publicar en los canales de atención la Carta de Trato Digno al Ciudadano.</v>
      </c>
      <c r="AK253" s="529">
        <v>0</v>
      </c>
      <c r="AL253" s="700"/>
      <c r="AM253" s="700"/>
      <c r="AN253" s="1069" t="e">
        <f t="shared" si="239"/>
        <v>#DIV/0!</v>
      </c>
      <c r="AO253" s="1069" t="e">
        <f t="shared" si="205"/>
        <v>#DIV/0!</v>
      </c>
      <c r="AP253" s="1069">
        <f t="shared" si="193"/>
        <v>1</v>
      </c>
      <c r="AQ253" s="1069" t="e">
        <f t="shared" si="206"/>
        <v>#VALUE!</v>
      </c>
      <c r="AR253" s="845"/>
      <c r="AS253" s="722">
        <v>0</v>
      </c>
      <c r="AT253" s="1072" t="str">
        <f t="shared" si="207"/>
        <v>Publicar en los canales de atención la Carta de Trato Digno al Ciudadano.</v>
      </c>
      <c r="AU253" s="529">
        <v>0</v>
      </c>
      <c r="AV253" s="700">
        <v>0</v>
      </c>
      <c r="AW253" s="739">
        <v>0</v>
      </c>
      <c r="AX253" s="1069" t="e">
        <f t="shared" si="240"/>
        <v>#DIV/0!</v>
      </c>
      <c r="AY253" s="1069" t="e">
        <f t="shared" si="208"/>
        <v>#DIV/0!</v>
      </c>
      <c r="AZ253" s="1069">
        <f t="shared" si="194"/>
        <v>1</v>
      </c>
      <c r="BA253" s="1069" t="e">
        <f t="shared" si="209"/>
        <v>#VALUE!</v>
      </c>
      <c r="BB253" s="845"/>
      <c r="BC253" s="722">
        <v>0</v>
      </c>
      <c r="BD253" s="1072" t="str">
        <f t="shared" si="210"/>
        <v>Publicar en los canales de atención la Carta de Trato Digno al Ciudadano.</v>
      </c>
      <c r="BE253" s="529">
        <v>0</v>
      </c>
      <c r="BF253" s="1089">
        <v>0</v>
      </c>
      <c r="BG253" s="1054">
        <v>0</v>
      </c>
      <c r="BH253" s="1075" t="e">
        <f t="shared" si="241"/>
        <v>#DIV/0!</v>
      </c>
      <c r="BI253" s="1075" t="e">
        <f t="shared" si="211"/>
        <v>#DIV/0!</v>
      </c>
      <c r="BJ253" s="1075">
        <f t="shared" si="195"/>
        <v>1</v>
      </c>
      <c r="BK253" s="1075" t="e">
        <f t="shared" si="212"/>
        <v>#VALUE!</v>
      </c>
      <c r="BL253" s="1072"/>
      <c r="BM253" s="708">
        <f t="shared" si="196"/>
        <v>1</v>
      </c>
      <c r="BN253" s="708" t="str">
        <f t="shared" si="197"/>
        <v>No Prog, Ejec=   $                                     - </v>
      </c>
      <c r="BO253" s="708" t="str">
        <f t="shared" si="198"/>
        <v>No Prog ni Ejec</v>
      </c>
      <c r="BP253" s="708" t="str">
        <f t="shared" si="213"/>
        <v>No Prog ni Ejec</v>
      </c>
      <c r="BQ253" s="708" t="str">
        <f t="shared" si="199"/>
        <v>No Prog ni Ejec</v>
      </c>
      <c r="BR253" s="708" t="str">
        <f t="shared" si="214"/>
        <v>No Prog ni Ejec</v>
      </c>
      <c r="BS253" s="708" t="str">
        <f t="shared" si="200"/>
        <v>No Prog ni Ejec</v>
      </c>
      <c r="BT253" s="829" t="str">
        <f t="shared" si="215"/>
        <v>No Prog ni Ejec</v>
      </c>
    </row>
    <row r="254" spans="1:72" s="958" customFormat="1" ht="89.25" x14ac:dyDescent="0.2">
      <c r="A254" s="1092">
        <v>11700</v>
      </c>
      <c r="B254" s="1060" t="s">
        <v>29</v>
      </c>
      <c r="C254" s="1068" t="s">
        <v>1340</v>
      </c>
      <c r="D254" s="1059" t="s">
        <v>328</v>
      </c>
      <c r="E254" s="1068" t="s">
        <v>256</v>
      </c>
      <c r="F254" s="1059" t="s">
        <v>1610</v>
      </c>
      <c r="G254" s="1068" t="s">
        <v>1611</v>
      </c>
      <c r="H254" s="1089" t="s">
        <v>123</v>
      </c>
      <c r="I254" s="1075">
        <v>1</v>
      </c>
      <c r="J254" s="1085" t="s">
        <v>1612</v>
      </c>
      <c r="K254" s="1068" t="s">
        <v>1613</v>
      </c>
      <c r="L254" s="529">
        <v>0</v>
      </c>
      <c r="M254" s="1078">
        <v>1</v>
      </c>
      <c r="N254" s="1068" t="s">
        <v>46</v>
      </c>
      <c r="O254" s="1068" t="s">
        <v>59</v>
      </c>
      <c r="P254" s="1068" t="s">
        <v>37</v>
      </c>
      <c r="Q254" s="1068" t="s">
        <v>40</v>
      </c>
      <c r="R254" s="1068" t="s">
        <v>220</v>
      </c>
      <c r="S254" s="1068" t="s">
        <v>1614</v>
      </c>
      <c r="T254" s="1068" t="s">
        <v>101</v>
      </c>
      <c r="U254" s="1078">
        <v>1</v>
      </c>
      <c r="V254" s="1071" t="str">
        <f t="shared" si="238"/>
        <v>Definir e implementar los formatos para recepción de peticiones verbales y atención personalizada.</v>
      </c>
      <c r="W254" s="699">
        <f t="shared" si="238"/>
        <v>0</v>
      </c>
      <c r="X254" s="1086" t="s">
        <v>117</v>
      </c>
      <c r="Y254" s="1078">
        <v>0.5</v>
      </c>
      <c r="Z254" s="1072" t="str">
        <f t="shared" si="202"/>
        <v>Definir e implementar los formatos para recepción de peticiones verbales y atención personalizada.</v>
      </c>
      <c r="AA254" s="529">
        <v>0</v>
      </c>
      <c r="AB254" s="825">
        <v>1</v>
      </c>
      <c r="AC254" s="1690" t="s">
        <v>1914</v>
      </c>
      <c r="AD254" s="1069">
        <f t="shared" si="242"/>
        <v>2</v>
      </c>
      <c r="AE254" s="1069" t="e">
        <f t="shared" si="191"/>
        <v>#VALUE!</v>
      </c>
      <c r="AF254" s="1069">
        <f t="shared" si="192"/>
        <v>1</v>
      </c>
      <c r="AG254" s="1069" t="e">
        <f t="shared" si="203"/>
        <v>#VALUE!</v>
      </c>
      <c r="AH254" s="1068" t="s">
        <v>1935</v>
      </c>
      <c r="AI254" s="1078">
        <v>0.5</v>
      </c>
      <c r="AJ254" s="1072" t="str">
        <f t="shared" si="204"/>
        <v>Definir e implementar los formatos para recepción de peticiones verbales y atención personalizada.</v>
      </c>
      <c r="AK254" s="529">
        <v>0</v>
      </c>
      <c r="AL254" s="700"/>
      <c r="AM254" s="700"/>
      <c r="AN254" s="1069">
        <f t="shared" si="239"/>
        <v>0</v>
      </c>
      <c r="AO254" s="1069" t="e">
        <f t="shared" si="205"/>
        <v>#DIV/0!</v>
      </c>
      <c r="AP254" s="1069">
        <f t="shared" si="193"/>
        <v>1</v>
      </c>
      <c r="AQ254" s="1069" t="e">
        <f t="shared" si="206"/>
        <v>#VALUE!</v>
      </c>
      <c r="AR254" s="845"/>
      <c r="AS254" s="1078">
        <v>0</v>
      </c>
      <c r="AT254" s="1072" t="str">
        <f t="shared" si="207"/>
        <v>Definir e implementar los formatos para recepción de peticiones verbales y atención personalizada.</v>
      </c>
      <c r="AU254" s="529">
        <v>0</v>
      </c>
      <c r="AV254" s="700">
        <v>0</v>
      </c>
      <c r="AW254" s="739">
        <v>0</v>
      </c>
      <c r="AX254" s="1069" t="e">
        <f t="shared" si="240"/>
        <v>#DIV/0!</v>
      </c>
      <c r="AY254" s="1069" t="e">
        <f t="shared" si="208"/>
        <v>#DIV/0!</v>
      </c>
      <c r="AZ254" s="1069">
        <f t="shared" si="194"/>
        <v>1</v>
      </c>
      <c r="BA254" s="1069" t="e">
        <f t="shared" si="209"/>
        <v>#VALUE!</v>
      </c>
      <c r="BB254" s="845"/>
      <c r="BC254" s="1078">
        <v>0</v>
      </c>
      <c r="BD254" s="1072" t="str">
        <f t="shared" si="210"/>
        <v>Definir e implementar los formatos para recepción de peticiones verbales y atención personalizada.</v>
      </c>
      <c r="BE254" s="529">
        <v>0</v>
      </c>
      <c r="BF254" s="943">
        <v>0</v>
      </c>
      <c r="BG254" s="1054">
        <v>0</v>
      </c>
      <c r="BH254" s="1075" t="e">
        <f t="shared" si="241"/>
        <v>#DIV/0!</v>
      </c>
      <c r="BI254" s="1075" t="e">
        <f t="shared" si="211"/>
        <v>#DIV/0!</v>
      </c>
      <c r="BJ254" s="1075">
        <f t="shared" si="195"/>
        <v>1</v>
      </c>
      <c r="BK254" s="1075" t="e">
        <f t="shared" si="212"/>
        <v>#VALUE!</v>
      </c>
      <c r="BL254" s="1072"/>
      <c r="BM254" s="708">
        <f t="shared" si="196"/>
        <v>2</v>
      </c>
      <c r="BN254" s="708" t="str">
        <f t="shared" si="197"/>
        <v>No Prog, Ejec=   $                                     - </v>
      </c>
      <c r="BO254" s="708">
        <f t="shared" si="198"/>
        <v>0</v>
      </c>
      <c r="BP254" s="708" t="str">
        <f t="shared" si="213"/>
        <v>No Prog ni Ejec</v>
      </c>
      <c r="BQ254" s="708" t="str">
        <f t="shared" si="199"/>
        <v>No Prog ni Ejec</v>
      </c>
      <c r="BR254" s="708" t="str">
        <f t="shared" si="214"/>
        <v>No Prog ni Ejec</v>
      </c>
      <c r="BS254" s="708" t="str">
        <f t="shared" si="200"/>
        <v>No Prog ni Ejec</v>
      </c>
      <c r="BT254" s="829" t="str">
        <f t="shared" si="215"/>
        <v>No Prog ni Ejec</v>
      </c>
    </row>
    <row r="255" spans="1:72" s="958" customFormat="1" ht="89.25" x14ac:dyDescent="0.2">
      <c r="A255" s="1092">
        <v>11700</v>
      </c>
      <c r="B255" s="1060" t="s">
        <v>29</v>
      </c>
      <c r="C255" s="1068" t="s">
        <v>1340</v>
      </c>
      <c r="D255" s="1059" t="s">
        <v>328</v>
      </c>
      <c r="E255" s="1068" t="s">
        <v>256</v>
      </c>
      <c r="F255" s="1059" t="s">
        <v>1615</v>
      </c>
      <c r="G255" s="1068" t="s">
        <v>1860</v>
      </c>
      <c r="H255" s="1089" t="s">
        <v>124</v>
      </c>
      <c r="I255" s="1090">
        <v>4</v>
      </c>
      <c r="J255" s="1085" t="s">
        <v>1616</v>
      </c>
      <c r="K255" s="1068" t="s">
        <v>1856</v>
      </c>
      <c r="L255" s="529">
        <v>0</v>
      </c>
      <c r="M255" s="1078">
        <v>1</v>
      </c>
      <c r="N255" s="1068" t="s">
        <v>46</v>
      </c>
      <c r="O255" s="1068" t="s">
        <v>59</v>
      </c>
      <c r="P255" s="1068" t="s">
        <v>37</v>
      </c>
      <c r="Q255" s="1068" t="s">
        <v>40</v>
      </c>
      <c r="R255" s="1068" t="s">
        <v>220</v>
      </c>
      <c r="S255" s="1068" t="s">
        <v>1617</v>
      </c>
      <c r="T255" s="1068" t="s">
        <v>101</v>
      </c>
      <c r="U255" s="722">
        <v>4</v>
      </c>
      <c r="V255" s="1071" t="str">
        <f t="shared" si="238"/>
        <v>Consolidar la información de la atención de quejas, peticiones, reclamos, sugerencias y denuncias y elaborar informes trimestrales</v>
      </c>
      <c r="W255" s="699">
        <f t="shared" si="238"/>
        <v>0</v>
      </c>
      <c r="X255" s="1086" t="s">
        <v>117</v>
      </c>
      <c r="Y255" s="722">
        <v>1</v>
      </c>
      <c r="Z255" s="1072" t="str">
        <f t="shared" si="202"/>
        <v>Consolidar la información de la atención de quejas, peticiones, reclamos, sugerencias y denuncias y elaborar informes trimestrales</v>
      </c>
      <c r="AA255" s="529">
        <v>0</v>
      </c>
      <c r="AB255" s="825">
        <v>1</v>
      </c>
      <c r="AC255" s="1690" t="s">
        <v>1914</v>
      </c>
      <c r="AD255" s="1069">
        <f t="shared" si="242"/>
        <v>1</v>
      </c>
      <c r="AE255" s="1069" t="e">
        <f t="shared" si="191"/>
        <v>#VALUE!</v>
      </c>
      <c r="AF255" s="1069">
        <f t="shared" si="192"/>
        <v>0.25</v>
      </c>
      <c r="AG255" s="1069" t="e">
        <f t="shared" si="203"/>
        <v>#VALUE!</v>
      </c>
      <c r="AH255" s="1068" t="s">
        <v>1936</v>
      </c>
      <c r="AI255" s="722">
        <v>1</v>
      </c>
      <c r="AJ255" s="1072" t="str">
        <f t="shared" si="204"/>
        <v>Consolidar la información de la atención de quejas, peticiones, reclamos, sugerencias y denuncias y elaborar informes trimestrales</v>
      </c>
      <c r="AK255" s="529">
        <v>0</v>
      </c>
      <c r="AL255" s="825">
        <v>1</v>
      </c>
      <c r="AM255" s="1626">
        <v>0</v>
      </c>
      <c r="AN255" s="1069">
        <f t="shared" si="239"/>
        <v>1</v>
      </c>
      <c r="AO255" s="1069" t="e">
        <f t="shared" si="205"/>
        <v>#DIV/0!</v>
      </c>
      <c r="AP255" s="1069">
        <f t="shared" si="193"/>
        <v>0.5</v>
      </c>
      <c r="AQ255" s="1069" t="e">
        <f t="shared" si="206"/>
        <v>#VALUE!</v>
      </c>
      <c r="AR255" s="1068" t="s">
        <v>1936</v>
      </c>
      <c r="AS255" s="722">
        <v>1</v>
      </c>
      <c r="AT255" s="1072" t="str">
        <f t="shared" si="207"/>
        <v>Consolidar la información de la atención de quejas, peticiones, reclamos, sugerencias y denuncias y elaborar informes trimestrales</v>
      </c>
      <c r="AU255" s="529">
        <v>0</v>
      </c>
      <c r="AV255" s="825">
        <v>1</v>
      </c>
      <c r="AW255" s="739">
        <v>0</v>
      </c>
      <c r="AX255" s="1069">
        <f t="shared" si="240"/>
        <v>1</v>
      </c>
      <c r="AY255" s="1069" t="e">
        <f t="shared" si="208"/>
        <v>#DIV/0!</v>
      </c>
      <c r="AZ255" s="1069">
        <f t="shared" si="194"/>
        <v>0.75</v>
      </c>
      <c r="BA255" s="1069" t="e">
        <f t="shared" si="209"/>
        <v>#VALUE!</v>
      </c>
      <c r="BB255" s="1068" t="s">
        <v>1937</v>
      </c>
      <c r="BC255" s="722">
        <v>1</v>
      </c>
      <c r="BD255" s="1072" t="str">
        <f t="shared" si="210"/>
        <v>Consolidar la información de la atención de quejas, peticiones, reclamos, sugerencias y denuncias y elaborar informes trimestrales</v>
      </c>
      <c r="BE255" s="529">
        <v>0</v>
      </c>
      <c r="BF255" s="1089">
        <v>1</v>
      </c>
      <c r="BG255" s="1054">
        <v>0</v>
      </c>
      <c r="BH255" s="1075">
        <f t="shared" si="241"/>
        <v>1</v>
      </c>
      <c r="BI255" s="1075" t="e">
        <f t="shared" si="211"/>
        <v>#DIV/0!</v>
      </c>
      <c r="BJ255" s="1075">
        <f t="shared" si="195"/>
        <v>1</v>
      </c>
      <c r="BK255" s="1075" t="e">
        <f t="shared" si="212"/>
        <v>#VALUE!</v>
      </c>
      <c r="BL255" s="1053" t="s">
        <v>2279</v>
      </c>
      <c r="BM255" s="708">
        <f t="shared" si="196"/>
        <v>1</v>
      </c>
      <c r="BN255" s="708" t="str">
        <f t="shared" si="197"/>
        <v>No Prog, Ejec=   $                                     - </v>
      </c>
      <c r="BO255" s="708">
        <f t="shared" si="198"/>
        <v>1</v>
      </c>
      <c r="BP255" s="708" t="str">
        <f t="shared" si="213"/>
        <v>No Prog ni Ejec</v>
      </c>
      <c r="BQ255" s="708">
        <f t="shared" si="199"/>
        <v>1</v>
      </c>
      <c r="BR255" s="708" t="str">
        <f t="shared" si="214"/>
        <v>No Prog ni Ejec</v>
      </c>
      <c r="BS255" s="708">
        <f t="shared" si="200"/>
        <v>1</v>
      </c>
      <c r="BT255" s="829" t="str">
        <f t="shared" si="215"/>
        <v>No Prog ni Ejec</v>
      </c>
    </row>
    <row r="256" spans="1:72" s="958" customFormat="1" ht="89.25" x14ac:dyDescent="0.2">
      <c r="A256" s="1092">
        <v>11700</v>
      </c>
      <c r="B256" s="1060" t="s">
        <v>29</v>
      </c>
      <c r="C256" s="1068" t="s">
        <v>1340</v>
      </c>
      <c r="D256" s="1059" t="s">
        <v>328</v>
      </c>
      <c r="E256" s="1068" t="s">
        <v>256</v>
      </c>
      <c r="F256" s="1059" t="s">
        <v>1618</v>
      </c>
      <c r="G256" s="1068" t="s">
        <v>1619</v>
      </c>
      <c r="H256" s="1089" t="s">
        <v>124</v>
      </c>
      <c r="I256" s="1090">
        <v>1</v>
      </c>
      <c r="J256" s="1085" t="s">
        <v>1620</v>
      </c>
      <c r="K256" s="1068" t="s">
        <v>1621</v>
      </c>
      <c r="L256" s="529">
        <v>0</v>
      </c>
      <c r="M256" s="1078">
        <v>1</v>
      </c>
      <c r="N256" s="1068" t="s">
        <v>46</v>
      </c>
      <c r="O256" s="1068" t="s">
        <v>59</v>
      </c>
      <c r="P256" s="1068" t="s">
        <v>37</v>
      </c>
      <c r="Q256" s="1068" t="s">
        <v>40</v>
      </c>
      <c r="R256" s="1068" t="s">
        <v>220</v>
      </c>
      <c r="S256" s="1068" t="s">
        <v>1622</v>
      </c>
      <c r="T256" s="1068" t="s">
        <v>101</v>
      </c>
      <c r="U256" s="722">
        <v>1</v>
      </c>
      <c r="V256" s="1071" t="str">
        <f t="shared" si="238"/>
        <v>Identificar y caracterizar usuarios y partes interesadas.</v>
      </c>
      <c r="W256" s="699">
        <f t="shared" si="238"/>
        <v>0</v>
      </c>
      <c r="X256" s="1086" t="s">
        <v>117</v>
      </c>
      <c r="Y256" s="722">
        <v>0</v>
      </c>
      <c r="Z256" s="1072" t="str">
        <f t="shared" si="202"/>
        <v>Identificar y caracterizar usuarios y partes interesadas.</v>
      </c>
      <c r="AA256" s="529">
        <v>0</v>
      </c>
      <c r="AB256" s="776"/>
      <c r="AC256" s="529"/>
      <c r="AD256" s="1069" t="e">
        <f t="shared" si="242"/>
        <v>#DIV/0!</v>
      </c>
      <c r="AE256" s="1069" t="e">
        <f t="shared" si="191"/>
        <v>#DIV/0!</v>
      </c>
      <c r="AF256" s="1069">
        <f t="shared" si="192"/>
        <v>0</v>
      </c>
      <c r="AG256" s="1069" t="e">
        <f t="shared" si="203"/>
        <v>#DIV/0!</v>
      </c>
      <c r="AH256" s="1068"/>
      <c r="AI256" s="722">
        <v>0</v>
      </c>
      <c r="AJ256" s="1072" t="str">
        <f t="shared" si="204"/>
        <v>Identificar y caracterizar usuarios y partes interesadas.</v>
      </c>
      <c r="AK256" s="529">
        <v>0</v>
      </c>
      <c r="AL256" s="700"/>
      <c r="AM256" s="700"/>
      <c r="AN256" s="1069" t="e">
        <f t="shared" si="239"/>
        <v>#DIV/0!</v>
      </c>
      <c r="AO256" s="1069" t="e">
        <f t="shared" si="205"/>
        <v>#DIV/0!</v>
      </c>
      <c r="AP256" s="1069">
        <f t="shared" si="193"/>
        <v>0</v>
      </c>
      <c r="AQ256" s="1069" t="e">
        <f t="shared" si="206"/>
        <v>#DIV/0!</v>
      </c>
      <c r="AR256" s="845"/>
      <c r="AS256" s="722">
        <v>0</v>
      </c>
      <c r="AT256" s="1072" t="str">
        <f t="shared" si="207"/>
        <v>Identificar y caracterizar usuarios y partes interesadas.</v>
      </c>
      <c r="AU256" s="529">
        <v>0</v>
      </c>
      <c r="AV256" s="825">
        <v>0</v>
      </c>
      <c r="AW256" s="739">
        <v>0</v>
      </c>
      <c r="AX256" s="1069" t="e">
        <f t="shared" si="240"/>
        <v>#DIV/0!</v>
      </c>
      <c r="AY256" s="1069" t="e">
        <f t="shared" si="208"/>
        <v>#DIV/0!</v>
      </c>
      <c r="AZ256" s="1069">
        <f t="shared" si="194"/>
        <v>0</v>
      </c>
      <c r="BA256" s="1069" t="e">
        <f t="shared" si="209"/>
        <v>#DIV/0!</v>
      </c>
      <c r="BB256" s="1068"/>
      <c r="BC256" s="722">
        <v>1</v>
      </c>
      <c r="BD256" s="1072" t="str">
        <f t="shared" si="210"/>
        <v>Identificar y caracterizar usuarios y partes interesadas.</v>
      </c>
      <c r="BE256" s="529">
        <v>0</v>
      </c>
      <c r="BF256" s="1089">
        <v>1</v>
      </c>
      <c r="BG256" s="1054">
        <v>0</v>
      </c>
      <c r="BH256" s="1075">
        <f t="shared" si="241"/>
        <v>1</v>
      </c>
      <c r="BI256" s="1075" t="e">
        <f t="shared" si="211"/>
        <v>#DIV/0!</v>
      </c>
      <c r="BJ256" s="1075">
        <f t="shared" si="195"/>
        <v>1</v>
      </c>
      <c r="BK256" s="1075" t="e">
        <f t="shared" si="212"/>
        <v>#DIV/0!</v>
      </c>
      <c r="BL256" s="1053" t="s">
        <v>2280</v>
      </c>
      <c r="BM256" s="708" t="str">
        <f t="shared" si="196"/>
        <v>No Prog ni Ejec</v>
      </c>
      <c r="BN256" s="708" t="str">
        <f t="shared" si="197"/>
        <v>No Prog ni Ejec</v>
      </c>
      <c r="BO256" s="708" t="str">
        <f t="shared" si="198"/>
        <v>No Prog ni Ejec</v>
      </c>
      <c r="BP256" s="708" t="str">
        <f t="shared" si="213"/>
        <v>No Prog ni Ejec</v>
      </c>
      <c r="BQ256" s="708" t="str">
        <f t="shared" si="199"/>
        <v>No Prog ni Ejec</v>
      </c>
      <c r="BR256" s="708" t="str">
        <f t="shared" si="214"/>
        <v>No Prog ni Ejec</v>
      </c>
      <c r="BS256" s="708">
        <f t="shared" si="200"/>
        <v>1</v>
      </c>
      <c r="BT256" s="829" t="str">
        <f t="shared" si="215"/>
        <v>No Prog ni Ejec</v>
      </c>
    </row>
    <row r="257" spans="1:72" s="958" customFormat="1" ht="89.25" x14ac:dyDescent="0.2">
      <c r="A257" s="1092">
        <v>11700</v>
      </c>
      <c r="B257" s="1060" t="s">
        <v>29</v>
      </c>
      <c r="C257" s="1068" t="s">
        <v>1340</v>
      </c>
      <c r="D257" s="1059" t="s">
        <v>328</v>
      </c>
      <c r="E257" s="1068" t="s">
        <v>256</v>
      </c>
      <c r="F257" s="1059" t="s">
        <v>1623</v>
      </c>
      <c r="G257" s="1068" t="s">
        <v>1624</v>
      </c>
      <c r="H257" s="1089" t="s">
        <v>124</v>
      </c>
      <c r="I257" s="1090">
        <v>2</v>
      </c>
      <c r="J257" s="1085" t="s">
        <v>1625</v>
      </c>
      <c r="K257" s="1068" t="s">
        <v>1626</v>
      </c>
      <c r="L257" s="529">
        <v>0</v>
      </c>
      <c r="M257" s="1078">
        <v>1</v>
      </c>
      <c r="N257" s="1068" t="s">
        <v>46</v>
      </c>
      <c r="O257" s="1068" t="s">
        <v>59</v>
      </c>
      <c r="P257" s="1068" t="s">
        <v>37</v>
      </c>
      <c r="Q257" s="1068" t="s">
        <v>40</v>
      </c>
      <c r="R257" s="1068" t="s">
        <v>220</v>
      </c>
      <c r="S257" s="1068" t="s">
        <v>1627</v>
      </c>
      <c r="T257" s="1068" t="s">
        <v>101</v>
      </c>
      <c r="U257" s="722">
        <v>2</v>
      </c>
      <c r="V257" s="1071" t="str">
        <f t="shared" si="238"/>
        <v>Adaptar formato de encuesta de percepción de los ciudadanos y funcionarios de la entidad respecto a los servicios de la ADRES. Según metodología del DNP.</v>
      </c>
      <c r="W257" s="699">
        <f t="shared" si="238"/>
        <v>0</v>
      </c>
      <c r="X257" s="1086" t="s">
        <v>117</v>
      </c>
      <c r="Y257" s="722">
        <v>0</v>
      </c>
      <c r="Z257" s="1072" t="str">
        <f t="shared" si="202"/>
        <v>Adaptar formato de encuesta de percepción de los ciudadanos y funcionarios de la entidad respecto a los servicios de la ADRES. Según metodología del DNP.</v>
      </c>
      <c r="AA257" s="529">
        <v>0</v>
      </c>
      <c r="AB257" s="776"/>
      <c r="AC257" s="529"/>
      <c r="AD257" s="1069" t="e">
        <f t="shared" si="242"/>
        <v>#DIV/0!</v>
      </c>
      <c r="AE257" s="1069" t="e">
        <f t="shared" si="191"/>
        <v>#DIV/0!</v>
      </c>
      <c r="AF257" s="1069">
        <f t="shared" si="192"/>
        <v>0</v>
      </c>
      <c r="AG257" s="1069" t="e">
        <f t="shared" si="203"/>
        <v>#DIV/0!</v>
      </c>
      <c r="AH257" s="1068"/>
      <c r="AI257" s="722">
        <v>0</v>
      </c>
      <c r="AJ257" s="1072" t="str">
        <f t="shared" si="204"/>
        <v>Adaptar formato de encuesta de percepción de los ciudadanos y funcionarios de la entidad respecto a los servicios de la ADRES. Según metodología del DNP.</v>
      </c>
      <c r="AK257" s="529">
        <v>0</v>
      </c>
      <c r="AL257" s="700"/>
      <c r="AM257" s="700"/>
      <c r="AN257" s="1069" t="e">
        <f t="shared" si="239"/>
        <v>#DIV/0!</v>
      </c>
      <c r="AO257" s="1069" t="e">
        <f t="shared" si="205"/>
        <v>#DIV/0!</v>
      </c>
      <c r="AP257" s="1069">
        <f t="shared" si="193"/>
        <v>0</v>
      </c>
      <c r="AQ257" s="1069" t="e">
        <f t="shared" si="206"/>
        <v>#DIV/0!</v>
      </c>
      <c r="AR257" s="845"/>
      <c r="AS257" s="722">
        <v>2</v>
      </c>
      <c r="AT257" s="1072" t="str">
        <f t="shared" si="207"/>
        <v>Adaptar formato de encuesta de percepción de los ciudadanos y funcionarios de la entidad respecto a los servicios de la ADRES. Según metodología del DNP.</v>
      </c>
      <c r="AU257" s="529">
        <v>0</v>
      </c>
      <c r="AV257" s="825">
        <v>2</v>
      </c>
      <c r="AW257" s="739">
        <v>0</v>
      </c>
      <c r="AX257" s="1069">
        <f t="shared" si="240"/>
        <v>1</v>
      </c>
      <c r="AY257" s="1069" t="e">
        <f t="shared" si="208"/>
        <v>#DIV/0!</v>
      </c>
      <c r="AZ257" s="1069">
        <f t="shared" si="194"/>
        <v>1</v>
      </c>
      <c r="BA257" s="1069" t="e">
        <f t="shared" si="209"/>
        <v>#DIV/0!</v>
      </c>
      <c r="BB257" s="1068" t="s">
        <v>1938</v>
      </c>
      <c r="BC257" s="722">
        <v>0</v>
      </c>
      <c r="BD257" s="1072" t="str">
        <f t="shared" si="210"/>
        <v>Adaptar formato de encuesta de percepción de los ciudadanos y funcionarios de la entidad respecto a los servicios de la ADRES. Según metodología del DNP.</v>
      </c>
      <c r="BE257" s="529">
        <v>0</v>
      </c>
      <c r="BF257" s="1089">
        <v>0</v>
      </c>
      <c r="BG257" s="1054">
        <v>0</v>
      </c>
      <c r="BH257" s="1075" t="e">
        <f t="shared" si="241"/>
        <v>#DIV/0!</v>
      </c>
      <c r="BI257" s="1075" t="e">
        <f t="shared" si="211"/>
        <v>#DIV/0!</v>
      </c>
      <c r="BJ257" s="1075">
        <f t="shared" si="195"/>
        <v>1</v>
      </c>
      <c r="BK257" s="1075" t="e">
        <f t="shared" si="212"/>
        <v>#DIV/0!</v>
      </c>
      <c r="BL257" s="1072"/>
      <c r="BM257" s="708" t="str">
        <f t="shared" si="196"/>
        <v>No Prog ni Ejec</v>
      </c>
      <c r="BN257" s="708" t="str">
        <f t="shared" si="197"/>
        <v>No Prog ni Ejec</v>
      </c>
      <c r="BO257" s="708" t="str">
        <f t="shared" si="198"/>
        <v>No Prog ni Ejec</v>
      </c>
      <c r="BP257" s="708" t="str">
        <f t="shared" si="213"/>
        <v>No Prog ni Ejec</v>
      </c>
      <c r="BQ257" s="708">
        <f t="shared" si="199"/>
        <v>1</v>
      </c>
      <c r="BR257" s="708" t="str">
        <f t="shared" si="214"/>
        <v>No Prog ni Ejec</v>
      </c>
      <c r="BS257" s="708" t="str">
        <f t="shared" si="200"/>
        <v>No Prog ni Ejec</v>
      </c>
      <c r="BT257" s="829" t="str">
        <f t="shared" si="215"/>
        <v>No Prog ni Ejec</v>
      </c>
    </row>
    <row r="258" spans="1:72" s="958" customFormat="1" ht="89.25" x14ac:dyDescent="0.2">
      <c r="A258" s="1092">
        <v>11700</v>
      </c>
      <c r="B258" s="1060" t="s">
        <v>29</v>
      </c>
      <c r="C258" s="1068" t="s">
        <v>1340</v>
      </c>
      <c r="D258" s="1059" t="s">
        <v>328</v>
      </c>
      <c r="E258" s="1068" t="s">
        <v>256</v>
      </c>
      <c r="F258" s="1059" t="s">
        <v>1628</v>
      </c>
      <c r="G258" s="1068" t="s">
        <v>1629</v>
      </c>
      <c r="H258" s="1089" t="s">
        <v>124</v>
      </c>
      <c r="I258" s="1090">
        <v>1</v>
      </c>
      <c r="J258" s="1090" t="s">
        <v>1630</v>
      </c>
      <c r="K258" s="1068" t="s">
        <v>1631</v>
      </c>
      <c r="L258" s="529">
        <v>0</v>
      </c>
      <c r="M258" s="1078">
        <v>1</v>
      </c>
      <c r="N258" s="1068" t="s">
        <v>46</v>
      </c>
      <c r="O258" s="1068" t="s">
        <v>59</v>
      </c>
      <c r="P258" s="1068" t="s">
        <v>37</v>
      </c>
      <c r="Q258" s="1068" t="s">
        <v>40</v>
      </c>
      <c r="R258" s="1068" t="s">
        <v>220</v>
      </c>
      <c r="S258" s="1068" t="s">
        <v>1632</v>
      </c>
      <c r="T258" s="1068" t="s">
        <v>101</v>
      </c>
      <c r="U258" s="1090">
        <v>1</v>
      </c>
      <c r="V258" s="1071" t="str">
        <f t="shared" si="238"/>
        <v>Realizar documento del Portafolio de Servicios de la ADRES y publicarlo en la página WEB.</v>
      </c>
      <c r="W258" s="699">
        <f t="shared" si="238"/>
        <v>0</v>
      </c>
      <c r="X258" s="1086" t="s">
        <v>117</v>
      </c>
      <c r="Y258" s="1090">
        <v>0</v>
      </c>
      <c r="Z258" s="1072" t="str">
        <f t="shared" si="202"/>
        <v>Realizar documento del Portafolio de Servicios de la ADRES y publicarlo en la página WEB.</v>
      </c>
      <c r="AA258" s="529">
        <v>0</v>
      </c>
      <c r="AB258" s="776"/>
      <c r="AC258" s="529"/>
      <c r="AD258" s="1069" t="e">
        <f t="shared" si="242"/>
        <v>#DIV/0!</v>
      </c>
      <c r="AE258" s="1069" t="e">
        <f t="shared" si="191"/>
        <v>#DIV/0!</v>
      </c>
      <c r="AF258" s="1069">
        <f t="shared" si="192"/>
        <v>0</v>
      </c>
      <c r="AG258" s="1069" t="e">
        <f t="shared" si="203"/>
        <v>#DIV/0!</v>
      </c>
      <c r="AH258" s="1068"/>
      <c r="AI258" s="722">
        <v>0</v>
      </c>
      <c r="AJ258" s="1072" t="str">
        <f t="shared" si="204"/>
        <v>Realizar documento del Portafolio de Servicios de la ADRES y publicarlo en la página WEB.</v>
      </c>
      <c r="AK258" s="529">
        <v>0</v>
      </c>
      <c r="AL258" s="700"/>
      <c r="AM258" s="700"/>
      <c r="AN258" s="1069" t="e">
        <f t="shared" si="239"/>
        <v>#DIV/0!</v>
      </c>
      <c r="AO258" s="1069" t="e">
        <f t="shared" si="205"/>
        <v>#DIV/0!</v>
      </c>
      <c r="AP258" s="1069">
        <f t="shared" si="193"/>
        <v>0</v>
      </c>
      <c r="AQ258" s="1069" t="e">
        <f t="shared" si="206"/>
        <v>#DIV/0!</v>
      </c>
      <c r="AR258" s="845"/>
      <c r="AS258" s="722">
        <v>0</v>
      </c>
      <c r="AT258" s="1072" t="str">
        <f t="shared" si="207"/>
        <v>Realizar documento del Portafolio de Servicios de la ADRES y publicarlo en la página WEB.</v>
      </c>
      <c r="AU258" s="529">
        <v>0</v>
      </c>
      <c r="AV258" s="1636">
        <v>0</v>
      </c>
      <c r="AW258" s="1637">
        <v>0</v>
      </c>
      <c r="AX258" s="1069" t="e">
        <f t="shared" si="240"/>
        <v>#DIV/0!</v>
      </c>
      <c r="AY258" s="1069" t="e">
        <f t="shared" si="208"/>
        <v>#DIV/0!</v>
      </c>
      <c r="AZ258" s="1069">
        <f t="shared" si="194"/>
        <v>0</v>
      </c>
      <c r="BA258" s="1069" t="e">
        <f t="shared" si="209"/>
        <v>#DIV/0!</v>
      </c>
      <c r="BB258" s="1691"/>
      <c r="BC258" s="722">
        <v>1</v>
      </c>
      <c r="BD258" s="1072" t="str">
        <f t="shared" si="210"/>
        <v>Realizar documento del Portafolio de Servicios de la ADRES y publicarlo en la página WEB.</v>
      </c>
      <c r="BE258" s="529">
        <v>0</v>
      </c>
      <c r="BF258" s="1089">
        <v>1</v>
      </c>
      <c r="BG258" s="1054">
        <v>0</v>
      </c>
      <c r="BH258" s="1075">
        <f t="shared" si="241"/>
        <v>1</v>
      </c>
      <c r="BI258" s="1075" t="e">
        <f t="shared" si="211"/>
        <v>#DIV/0!</v>
      </c>
      <c r="BJ258" s="1075">
        <f t="shared" si="195"/>
        <v>1</v>
      </c>
      <c r="BK258" s="1075" t="e">
        <f t="shared" si="212"/>
        <v>#DIV/0!</v>
      </c>
      <c r="BL258" s="1053" t="s">
        <v>2079</v>
      </c>
      <c r="BM258" s="708" t="str">
        <f t="shared" si="196"/>
        <v>No Prog ni Ejec</v>
      </c>
      <c r="BN258" s="708" t="str">
        <f t="shared" si="197"/>
        <v>No Prog ni Ejec</v>
      </c>
      <c r="BO258" s="708" t="str">
        <f t="shared" si="198"/>
        <v>No Prog ni Ejec</v>
      </c>
      <c r="BP258" s="708" t="str">
        <f t="shared" si="213"/>
        <v>No Prog ni Ejec</v>
      </c>
      <c r="BQ258" s="708" t="str">
        <f t="shared" si="199"/>
        <v>No Prog ni Ejec</v>
      </c>
      <c r="BR258" s="708" t="str">
        <f t="shared" si="214"/>
        <v>No Prog ni Ejec</v>
      </c>
      <c r="BS258" s="708">
        <f t="shared" si="200"/>
        <v>1</v>
      </c>
      <c r="BT258" s="829" t="str">
        <f t="shared" si="215"/>
        <v>No Prog ni Ejec</v>
      </c>
    </row>
    <row r="259" spans="1:72" s="958" customFormat="1" ht="89.25" x14ac:dyDescent="0.2">
      <c r="A259" s="1091">
        <v>11200</v>
      </c>
      <c r="B259" s="1068" t="s">
        <v>3</v>
      </c>
      <c r="C259" s="1068" t="s">
        <v>1340</v>
      </c>
      <c r="D259" s="1059" t="s">
        <v>152</v>
      </c>
      <c r="E259" s="1068" t="s">
        <v>256</v>
      </c>
      <c r="F259" s="1085" t="s">
        <v>1633</v>
      </c>
      <c r="G259" s="1068" t="s">
        <v>1634</v>
      </c>
      <c r="H259" s="1089" t="s">
        <v>124</v>
      </c>
      <c r="I259" s="1085">
        <v>1</v>
      </c>
      <c r="J259" s="1085" t="s">
        <v>1635</v>
      </c>
      <c r="K259" s="1068" t="s">
        <v>1636</v>
      </c>
      <c r="L259" s="529">
        <v>0</v>
      </c>
      <c r="M259" s="1078">
        <v>1</v>
      </c>
      <c r="N259" s="1068" t="s">
        <v>48</v>
      </c>
      <c r="O259" s="1068" t="s">
        <v>62</v>
      </c>
      <c r="P259" s="1068" t="s">
        <v>21</v>
      </c>
      <c r="Q259" s="1068" t="s">
        <v>23</v>
      </c>
      <c r="R259" s="1068" t="s">
        <v>792</v>
      </c>
      <c r="S259" s="1068" t="s">
        <v>1637</v>
      </c>
      <c r="T259" s="1068" t="s">
        <v>98</v>
      </c>
      <c r="U259" s="1085">
        <v>1</v>
      </c>
      <c r="V259" s="1071" t="str">
        <f t="shared" si="238"/>
        <v>Elaborar propuesta de Política de Comunicaciones de la Entidad en la cual se definan los parámetros, requisitos o estándares de publicación de información en página web.</v>
      </c>
      <c r="W259" s="699">
        <f t="shared" si="238"/>
        <v>0</v>
      </c>
      <c r="X259" s="1086" t="s">
        <v>117</v>
      </c>
      <c r="Y259" s="722">
        <v>0</v>
      </c>
      <c r="Z259" s="1072" t="str">
        <f t="shared" si="202"/>
        <v>Elaborar propuesta de Política de Comunicaciones de la Entidad en la cual se definan los parámetros, requisitos o estándares de publicación de información en página web.</v>
      </c>
      <c r="AA259" s="529">
        <v>0</v>
      </c>
      <c r="AB259" s="776"/>
      <c r="AC259" s="529"/>
      <c r="AD259" s="1069" t="e">
        <f t="shared" si="242"/>
        <v>#DIV/0!</v>
      </c>
      <c r="AE259" s="1069" t="e">
        <f t="shared" si="191"/>
        <v>#DIV/0!</v>
      </c>
      <c r="AF259" s="1069">
        <f t="shared" si="192"/>
        <v>0</v>
      </c>
      <c r="AG259" s="1069" t="e">
        <f t="shared" si="203"/>
        <v>#DIV/0!</v>
      </c>
      <c r="AH259" s="846"/>
      <c r="AI259" s="1090">
        <v>0</v>
      </c>
      <c r="AJ259" s="1072" t="str">
        <f t="shared" si="204"/>
        <v>Elaborar propuesta de Política de Comunicaciones de la Entidad en la cual se definan los parámetros, requisitos o estándares de publicación de información en página web.</v>
      </c>
      <c r="AK259" s="529">
        <v>0</v>
      </c>
      <c r="AL259" s="700"/>
      <c r="AM259" s="700"/>
      <c r="AN259" s="1069" t="e">
        <f t="shared" si="239"/>
        <v>#DIV/0!</v>
      </c>
      <c r="AO259" s="1069" t="e">
        <f t="shared" si="205"/>
        <v>#DIV/0!</v>
      </c>
      <c r="AP259" s="1069">
        <f t="shared" si="193"/>
        <v>0</v>
      </c>
      <c r="AQ259" s="1069" t="e">
        <f t="shared" si="206"/>
        <v>#DIV/0!</v>
      </c>
      <c r="AR259" s="845"/>
      <c r="AS259" s="1090">
        <v>0</v>
      </c>
      <c r="AT259" s="1072" t="str">
        <f t="shared" si="207"/>
        <v>Elaborar propuesta de Política de Comunicaciones de la Entidad en la cual se definan los parámetros, requisitos o estándares de publicación de información en página web.</v>
      </c>
      <c r="AU259" s="529">
        <v>0</v>
      </c>
      <c r="AV259" s="700">
        <v>0</v>
      </c>
      <c r="AW259" s="702">
        <v>0</v>
      </c>
      <c r="AX259" s="1069" t="e">
        <f t="shared" si="240"/>
        <v>#DIV/0!</v>
      </c>
      <c r="AY259" s="1069" t="e">
        <f t="shared" si="208"/>
        <v>#DIV/0!</v>
      </c>
      <c r="AZ259" s="1069">
        <f t="shared" si="194"/>
        <v>0</v>
      </c>
      <c r="BA259" s="1069" t="e">
        <f t="shared" si="209"/>
        <v>#DIV/0!</v>
      </c>
      <c r="BB259" s="1068" t="s">
        <v>2006</v>
      </c>
      <c r="BC259" s="1090">
        <v>1</v>
      </c>
      <c r="BD259" s="1072" t="str">
        <f t="shared" si="210"/>
        <v>Elaborar propuesta de Política de Comunicaciones de la Entidad en la cual se definan los parámetros, requisitos o estándares de publicación de información en página web.</v>
      </c>
      <c r="BE259" s="529">
        <v>0</v>
      </c>
      <c r="BF259" s="1689">
        <v>1</v>
      </c>
      <c r="BG259" s="1054">
        <v>0</v>
      </c>
      <c r="BH259" s="1075">
        <f t="shared" si="241"/>
        <v>1</v>
      </c>
      <c r="BI259" s="1075" t="e">
        <f t="shared" si="211"/>
        <v>#DIV/0!</v>
      </c>
      <c r="BJ259" s="1075">
        <f t="shared" si="195"/>
        <v>1</v>
      </c>
      <c r="BK259" s="1075" t="e">
        <f t="shared" si="212"/>
        <v>#DIV/0!</v>
      </c>
      <c r="BL259" s="1068" t="s">
        <v>2101</v>
      </c>
      <c r="BM259" s="708" t="str">
        <f t="shared" si="196"/>
        <v>No Prog ni Ejec</v>
      </c>
      <c r="BN259" s="708" t="str">
        <f t="shared" si="197"/>
        <v>No Prog ni Ejec</v>
      </c>
      <c r="BO259" s="708" t="str">
        <f t="shared" si="198"/>
        <v>No Prog ni Ejec</v>
      </c>
      <c r="BP259" s="708" t="str">
        <f t="shared" si="213"/>
        <v>No Prog ni Ejec</v>
      </c>
      <c r="BQ259" s="708" t="str">
        <f t="shared" si="199"/>
        <v>No Prog ni Ejec</v>
      </c>
      <c r="BR259" s="708" t="str">
        <f t="shared" si="214"/>
        <v>No Prog ni Ejec</v>
      </c>
      <c r="BS259" s="708">
        <f t="shared" si="200"/>
        <v>1</v>
      </c>
      <c r="BT259" s="829" t="str">
        <f t="shared" si="215"/>
        <v>No Prog ni Ejec</v>
      </c>
    </row>
    <row r="260" spans="1:72" s="958" customFormat="1" ht="89.25" x14ac:dyDescent="0.2">
      <c r="A260" s="1092">
        <v>11700</v>
      </c>
      <c r="B260" s="1060" t="s">
        <v>29</v>
      </c>
      <c r="C260" s="1068" t="s">
        <v>1340</v>
      </c>
      <c r="D260" s="1059" t="s">
        <v>328</v>
      </c>
      <c r="E260" s="1068" t="s">
        <v>256</v>
      </c>
      <c r="F260" s="1085" t="s">
        <v>1638</v>
      </c>
      <c r="G260" s="1068" t="s">
        <v>1639</v>
      </c>
      <c r="H260" s="1089" t="s">
        <v>123</v>
      </c>
      <c r="I260" s="1075">
        <v>1</v>
      </c>
      <c r="J260" s="1085" t="s">
        <v>1640</v>
      </c>
      <c r="K260" s="1068" t="s">
        <v>1641</v>
      </c>
      <c r="L260" s="529">
        <v>0</v>
      </c>
      <c r="M260" s="1078">
        <v>1</v>
      </c>
      <c r="N260" s="1068" t="s">
        <v>48</v>
      </c>
      <c r="O260" s="1068" t="s">
        <v>62</v>
      </c>
      <c r="P260" s="1068" t="s">
        <v>21</v>
      </c>
      <c r="Q260" s="1068" t="s">
        <v>23</v>
      </c>
      <c r="R260" s="1068" t="s">
        <v>792</v>
      </c>
      <c r="S260" s="1068" t="s">
        <v>1642</v>
      </c>
      <c r="T260" s="1068" t="s">
        <v>98</v>
      </c>
      <c r="U260" s="1075">
        <v>1</v>
      </c>
      <c r="V260" s="1071" t="str">
        <f t="shared" si="238"/>
        <v>Publicar la información mínima requerida en página web que tratan los artículos 9, 10 y 11 de la Ley 1712 de 2014.</v>
      </c>
      <c r="W260" s="699">
        <f t="shared" si="238"/>
        <v>0</v>
      </c>
      <c r="X260" s="1086" t="s">
        <v>117</v>
      </c>
      <c r="Y260" s="779">
        <v>0.33329999999999999</v>
      </c>
      <c r="Z260" s="1072" t="str">
        <f t="shared" si="202"/>
        <v>Publicar la información mínima requerida en página web que tratan los artículos 9, 10 y 11 de la Ley 1712 de 2014.</v>
      </c>
      <c r="AA260" s="529">
        <v>0</v>
      </c>
      <c r="AB260" s="1634">
        <v>0.33</v>
      </c>
      <c r="AC260" s="739">
        <v>0</v>
      </c>
      <c r="AD260" s="1069">
        <f t="shared" si="242"/>
        <v>0.9900990099009902</v>
      </c>
      <c r="AE260" s="1069" t="e">
        <f t="shared" si="191"/>
        <v>#DIV/0!</v>
      </c>
      <c r="AF260" s="1069">
        <f t="shared" si="192"/>
        <v>0.33</v>
      </c>
      <c r="AG260" s="1069" t="e">
        <f t="shared" si="203"/>
        <v>#DIV/0!</v>
      </c>
      <c r="AH260" s="1068" t="s">
        <v>1939</v>
      </c>
      <c r="AI260" s="779">
        <v>0.33329999999999999</v>
      </c>
      <c r="AJ260" s="1072" t="str">
        <f t="shared" si="204"/>
        <v>Publicar la información mínima requerida en página web que tratan los artículos 9, 10 y 11 de la Ley 1712 de 2014.</v>
      </c>
      <c r="AK260" s="529">
        <v>0</v>
      </c>
      <c r="AL260" s="1634">
        <v>0.33</v>
      </c>
      <c r="AM260" s="1626">
        <v>0</v>
      </c>
      <c r="AN260" s="1069">
        <f t="shared" si="239"/>
        <v>0.9900990099009902</v>
      </c>
      <c r="AO260" s="1069" t="e">
        <f t="shared" si="205"/>
        <v>#DIV/0!</v>
      </c>
      <c r="AP260" s="1069">
        <f t="shared" si="193"/>
        <v>0.66</v>
      </c>
      <c r="AQ260" s="1069" t="e">
        <f t="shared" si="206"/>
        <v>#DIV/0!</v>
      </c>
      <c r="AR260" s="1068" t="s">
        <v>1939</v>
      </c>
      <c r="AS260" s="779">
        <v>0.33329999999999999</v>
      </c>
      <c r="AT260" s="1072" t="str">
        <f t="shared" si="207"/>
        <v>Publicar la información mínima requerida en página web que tratan los artículos 9, 10 y 11 de la Ley 1712 de 2014.</v>
      </c>
      <c r="AU260" s="529">
        <v>0</v>
      </c>
      <c r="AV260" s="1638">
        <v>0.33</v>
      </c>
      <c r="AW260" s="1639">
        <v>0</v>
      </c>
      <c r="AX260" s="1069">
        <f t="shared" si="240"/>
        <v>0.9900990099009902</v>
      </c>
      <c r="AY260" s="1069" t="e">
        <f t="shared" si="208"/>
        <v>#DIV/0!</v>
      </c>
      <c r="AZ260" s="1069">
        <f t="shared" si="194"/>
        <v>0.99</v>
      </c>
      <c r="BA260" s="1069" t="e">
        <f t="shared" si="209"/>
        <v>#DIV/0!</v>
      </c>
      <c r="BB260" s="846" t="s">
        <v>1939</v>
      </c>
      <c r="BC260" s="1075">
        <v>0</v>
      </c>
      <c r="BD260" s="1072" t="str">
        <f t="shared" si="210"/>
        <v>Publicar la información mínima requerida en página web que tratan los artículos 9, 10 y 11 de la Ley 1712 de 2014.</v>
      </c>
      <c r="BE260" s="529">
        <v>0</v>
      </c>
      <c r="BF260" s="1073">
        <v>0</v>
      </c>
      <c r="BG260" s="1054">
        <v>0</v>
      </c>
      <c r="BH260" s="1075" t="e">
        <f t="shared" si="241"/>
        <v>#DIV/0!</v>
      </c>
      <c r="BI260" s="1075" t="e">
        <f t="shared" si="211"/>
        <v>#DIV/0!</v>
      </c>
      <c r="BJ260" s="1075">
        <f t="shared" si="195"/>
        <v>0.99</v>
      </c>
      <c r="BK260" s="1075" t="e">
        <f t="shared" si="212"/>
        <v>#DIV/0!</v>
      </c>
      <c r="BL260" s="1072"/>
      <c r="BM260" s="708">
        <f t="shared" si="196"/>
        <v>0.9900990099009902</v>
      </c>
      <c r="BN260" s="708" t="str">
        <f t="shared" si="197"/>
        <v>No Prog ni Ejec</v>
      </c>
      <c r="BO260" s="708">
        <f t="shared" si="198"/>
        <v>0.9900990099009902</v>
      </c>
      <c r="BP260" s="708" t="str">
        <f t="shared" si="213"/>
        <v>No Prog ni Ejec</v>
      </c>
      <c r="BQ260" s="708">
        <f t="shared" si="199"/>
        <v>0.9900990099009902</v>
      </c>
      <c r="BR260" s="708" t="str">
        <f t="shared" si="214"/>
        <v>No Prog ni Ejec</v>
      </c>
      <c r="BS260" s="708" t="str">
        <f t="shared" si="200"/>
        <v>No Prog ni Ejec</v>
      </c>
      <c r="BT260" s="829" t="str">
        <f t="shared" si="215"/>
        <v>No Prog ni Ejec</v>
      </c>
    </row>
    <row r="261" spans="1:72" s="958" customFormat="1" ht="290.25" customHeight="1" x14ac:dyDescent="0.2">
      <c r="A261" s="1092">
        <v>11600</v>
      </c>
      <c r="B261" s="1068" t="s">
        <v>6</v>
      </c>
      <c r="C261" s="1068" t="s">
        <v>1340</v>
      </c>
      <c r="D261" s="1059" t="s">
        <v>267</v>
      </c>
      <c r="E261" s="1068" t="s">
        <v>256</v>
      </c>
      <c r="F261" s="1085" t="s">
        <v>1643</v>
      </c>
      <c r="G261" s="1068" t="s">
        <v>1644</v>
      </c>
      <c r="H261" s="1089" t="s">
        <v>123</v>
      </c>
      <c r="I261" s="1075">
        <v>1</v>
      </c>
      <c r="J261" s="1085" t="s">
        <v>1645</v>
      </c>
      <c r="K261" s="1068" t="s">
        <v>1646</v>
      </c>
      <c r="L261" s="529">
        <v>0</v>
      </c>
      <c r="M261" s="1078">
        <v>1</v>
      </c>
      <c r="N261" s="1068" t="s">
        <v>48</v>
      </c>
      <c r="O261" s="1068" t="s">
        <v>62</v>
      </c>
      <c r="P261" s="1068" t="s">
        <v>21</v>
      </c>
      <c r="Q261" s="1068" t="s">
        <v>23</v>
      </c>
      <c r="R261" s="1068" t="s">
        <v>792</v>
      </c>
      <c r="S261" s="1068" t="s">
        <v>1647</v>
      </c>
      <c r="T261" s="1068" t="s">
        <v>98</v>
      </c>
      <c r="U261" s="1075">
        <v>1</v>
      </c>
      <c r="V261" s="1071" t="str">
        <f t="shared" si="238"/>
        <v>Consolidar información como dato abierto reportada por las dependencias, gestionar tratamiento técnico y publicación en el portal de datos abiertos.</v>
      </c>
      <c r="W261" s="699">
        <f t="shared" si="238"/>
        <v>0</v>
      </c>
      <c r="X261" s="1086" t="s">
        <v>117</v>
      </c>
      <c r="Y261" s="1078">
        <v>0</v>
      </c>
      <c r="Z261" s="1072" t="str">
        <f t="shared" si="202"/>
        <v>Consolidar información como dato abierto reportada por las dependencias, gestionar tratamiento técnico y publicación en el portal de datos abiertos.</v>
      </c>
      <c r="AA261" s="529">
        <v>0</v>
      </c>
      <c r="AB261" s="776"/>
      <c r="AC261" s="529"/>
      <c r="AD261" s="1069" t="e">
        <f t="shared" si="242"/>
        <v>#DIV/0!</v>
      </c>
      <c r="AE261" s="1069" t="e">
        <f t="shared" si="191"/>
        <v>#DIV/0!</v>
      </c>
      <c r="AF261" s="1069">
        <f t="shared" si="192"/>
        <v>0</v>
      </c>
      <c r="AG261" s="1069" t="e">
        <f t="shared" si="203"/>
        <v>#DIV/0!</v>
      </c>
      <c r="AH261" s="1048" t="s">
        <v>2336</v>
      </c>
      <c r="AI261" s="1078">
        <v>0</v>
      </c>
      <c r="AJ261" s="1072" t="str">
        <f t="shared" si="204"/>
        <v>Consolidar información como dato abierto reportada por las dependencias, gestionar tratamiento técnico y publicación en el portal de datos abiertos.</v>
      </c>
      <c r="AK261" s="529">
        <v>0</v>
      </c>
      <c r="AL261" s="700"/>
      <c r="AM261" s="700"/>
      <c r="AN261" s="1069" t="e">
        <f t="shared" si="239"/>
        <v>#DIV/0!</v>
      </c>
      <c r="AO261" s="1069" t="e">
        <f t="shared" si="205"/>
        <v>#DIV/0!</v>
      </c>
      <c r="AP261" s="1069">
        <f t="shared" si="193"/>
        <v>0</v>
      </c>
      <c r="AQ261" s="1069" t="e">
        <f t="shared" si="206"/>
        <v>#DIV/0!</v>
      </c>
      <c r="AR261" s="845"/>
      <c r="AS261" s="1078">
        <v>0</v>
      </c>
      <c r="AT261" s="1072" t="str">
        <f t="shared" si="207"/>
        <v>Consolidar información como dato abierto reportada por las dependencias, gestionar tratamiento técnico y publicación en el portal de datos abiertos.</v>
      </c>
      <c r="AU261" s="529">
        <v>0</v>
      </c>
      <c r="AV261" s="825">
        <v>0</v>
      </c>
      <c r="AW261" s="1626">
        <v>0</v>
      </c>
      <c r="AX261" s="1069" t="e">
        <f t="shared" si="240"/>
        <v>#DIV/0!</v>
      </c>
      <c r="AY261" s="1069" t="e">
        <f t="shared" si="208"/>
        <v>#DIV/0!</v>
      </c>
      <c r="AZ261" s="1069">
        <f t="shared" si="194"/>
        <v>0</v>
      </c>
      <c r="BA261" s="1069" t="e">
        <f t="shared" si="209"/>
        <v>#DIV/0!</v>
      </c>
      <c r="BB261" s="1068" t="s">
        <v>2001</v>
      </c>
      <c r="BC261" s="1078">
        <v>1</v>
      </c>
      <c r="BD261" s="1072" t="str">
        <f t="shared" si="210"/>
        <v>Consolidar información como dato abierto reportada por las dependencias, gestionar tratamiento técnico y publicación en el portal de datos abiertos.</v>
      </c>
      <c r="BE261" s="529">
        <v>0</v>
      </c>
      <c r="BF261" s="1669">
        <v>0</v>
      </c>
      <c r="BG261" s="1054">
        <v>0</v>
      </c>
      <c r="BH261" s="1075">
        <f t="shared" si="241"/>
        <v>0</v>
      </c>
      <c r="BI261" s="1075" t="e">
        <f t="shared" si="211"/>
        <v>#DIV/0!</v>
      </c>
      <c r="BJ261" s="1075">
        <f t="shared" si="195"/>
        <v>0</v>
      </c>
      <c r="BK261" s="1075" t="e">
        <f t="shared" si="212"/>
        <v>#DIV/0!</v>
      </c>
      <c r="BL261" s="1048" t="s">
        <v>2281</v>
      </c>
      <c r="BM261" s="708" t="str">
        <f t="shared" si="196"/>
        <v>No Prog ni Ejec</v>
      </c>
      <c r="BN261" s="708" t="str">
        <f t="shared" si="197"/>
        <v>No Prog ni Ejec</v>
      </c>
      <c r="BO261" s="708" t="str">
        <f t="shared" si="198"/>
        <v>No Prog ni Ejec</v>
      </c>
      <c r="BP261" s="708" t="str">
        <f t="shared" si="213"/>
        <v>No Prog ni Ejec</v>
      </c>
      <c r="BQ261" s="708" t="str">
        <f t="shared" si="199"/>
        <v>No Prog ni Ejec</v>
      </c>
      <c r="BR261" s="708" t="str">
        <f t="shared" si="214"/>
        <v>No Prog ni Ejec</v>
      </c>
      <c r="BS261" s="708">
        <f t="shared" si="200"/>
        <v>0</v>
      </c>
      <c r="BT261" s="829" t="str">
        <f t="shared" si="215"/>
        <v>No Prog ni Ejec</v>
      </c>
    </row>
    <row r="262" spans="1:72" s="958" customFormat="1" ht="100.5" customHeight="1" x14ac:dyDescent="0.2">
      <c r="A262" s="1092">
        <v>11600</v>
      </c>
      <c r="B262" s="1068" t="s">
        <v>6</v>
      </c>
      <c r="C262" s="1068" t="s">
        <v>1340</v>
      </c>
      <c r="D262" s="1059" t="s">
        <v>267</v>
      </c>
      <c r="E262" s="1068" t="s">
        <v>256</v>
      </c>
      <c r="F262" s="1085" t="s">
        <v>1648</v>
      </c>
      <c r="G262" s="1068" t="s">
        <v>1649</v>
      </c>
      <c r="H262" s="1089" t="s">
        <v>124</v>
      </c>
      <c r="I262" s="1085">
        <v>1</v>
      </c>
      <c r="J262" s="1085" t="s">
        <v>1063</v>
      </c>
      <c r="K262" s="1068" t="s">
        <v>1650</v>
      </c>
      <c r="L262" s="529">
        <v>0</v>
      </c>
      <c r="M262" s="1078">
        <v>1</v>
      </c>
      <c r="N262" s="1068" t="s">
        <v>48</v>
      </c>
      <c r="O262" s="1068" t="s">
        <v>62</v>
      </c>
      <c r="P262" s="1068" t="s">
        <v>21</v>
      </c>
      <c r="Q262" s="1068" t="s">
        <v>23</v>
      </c>
      <c r="R262" s="1068" t="s">
        <v>228</v>
      </c>
      <c r="S262" s="1068" t="s">
        <v>1651</v>
      </c>
      <c r="T262" s="1068" t="s">
        <v>98</v>
      </c>
      <c r="U262" s="1085">
        <v>1</v>
      </c>
      <c r="V262" s="1071" t="str">
        <f t="shared" si="238"/>
        <v>Realizar el Inventario Activos de la información de tipo “información y datos”.</v>
      </c>
      <c r="W262" s="699">
        <f t="shared" si="238"/>
        <v>0</v>
      </c>
      <c r="X262" s="1086" t="s">
        <v>117</v>
      </c>
      <c r="Y262" s="1085">
        <v>0</v>
      </c>
      <c r="Z262" s="1072" t="str">
        <f t="shared" si="202"/>
        <v>Realizar el Inventario Activos de la información de tipo “información y datos”.</v>
      </c>
      <c r="AA262" s="529">
        <v>0</v>
      </c>
      <c r="AB262" s="776"/>
      <c r="AC262" s="529"/>
      <c r="AD262" s="1069" t="e">
        <f t="shared" si="242"/>
        <v>#DIV/0!</v>
      </c>
      <c r="AE262" s="1069" t="e">
        <f t="shared" si="191"/>
        <v>#DIV/0!</v>
      </c>
      <c r="AF262" s="1069">
        <f t="shared" si="192"/>
        <v>0</v>
      </c>
      <c r="AG262" s="1069" t="e">
        <f t="shared" si="203"/>
        <v>#DIV/0!</v>
      </c>
      <c r="AH262" s="1068"/>
      <c r="AI262" s="1085">
        <v>0</v>
      </c>
      <c r="AJ262" s="1072" t="str">
        <f t="shared" si="204"/>
        <v>Realizar el Inventario Activos de la información de tipo “información y datos”.</v>
      </c>
      <c r="AK262" s="529">
        <v>0</v>
      </c>
      <c r="AL262" s="700"/>
      <c r="AM262" s="700"/>
      <c r="AN262" s="1069" t="e">
        <f t="shared" si="239"/>
        <v>#DIV/0!</v>
      </c>
      <c r="AO262" s="1069" t="e">
        <f t="shared" si="205"/>
        <v>#DIV/0!</v>
      </c>
      <c r="AP262" s="1069">
        <f t="shared" si="193"/>
        <v>0</v>
      </c>
      <c r="AQ262" s="1069" t="e">
        <f t="shared" si="206"/>
        <v>#DIV/0!</v>
      </c>
      <c r="AR262" s="845"/>
      <c r="AS262" s="1090">
        <v>1</v>
      </c>
      <c r="AT262" s="1072" t="str">
        <f t="shared" si="207"/>
        <v>Realizar el Inventario Activos de la información de tipo “información y datos”.</v>
      </c>
      <c r="AU262" s="529">
        <v>0</v>
      </c>
      <c r="AV262" s="734">
        <v>1</v>
      </c>
      <c r="AW262" s="1626">
        <v>0</v>
      </c>
      <c r="AX262" s="1069">
        <f t="shared" si="240"/>
        <v>1</v>
      </c>
      <c r="AY262" s="1069" t="e">
        <f t="shared" si="208"/>
        <v>#DIV/0!</v>
      </c>
      <c r="AZ262" s="1069">
        <f t="shared" si="194"/>
        <v>1</v>
      </c>
      <c r="BA262" s="1069" t="e">
        <f t="shared" si="209"/>
        <v>#DIV/0!</v>
      </c>
      <c r="BB262" s="1068" t="s">
        <v>2003</v>
      </c>
      <c r="BC262" s="722">
        <v>0</v>
      </c>
      <c r="BD262" s="1072" t="str">
        <f t="shared" si="210"/>
        <v>Realizar el Inventario Activos de la información de tipo “información y datos”.</v>
      </c>
      <c r="BE262" s="529">
        <v>0</v>
      </c>
      <c r="BF262" s="1089">
        <v>0</v>
      </c>
      <c r="BG262" s="1054">
        <v>0</v>
      </c>
      <c r="BH262" s="1075" t="e">
        <f t="shared" si="241"/>
        <v>#DIV/0!</v>
      </c>
      <c r="BI262" s="1075" t="e">
        <f t="shared" si="211"/>
        <v>#DIV/0!</v>
      </c>
      <c r="BJ262" s="1075">
        <f t="shared" si="195"/>
        <v>1</v>
      </c>
      <c r="BK262" s="1075" t="e">
        <f t="shared" si="212"/>
        <v>#DIV/0!</v>
      </c>
      <c r="BL262" s="1048" t="s">
        <v>2090</v>
      </c>
      <c r="BM262" s="708" t="str">
        <f t="shared" si="196"/>
        <v>No Prog ni Ejec</v>
      </c>
      <c r="BN262" s="708" t="str">
        <f t="shared" si="197"/>
        <v>No Prog ni Ejec</v>
      </c>
      <c r="BO262" s="708" t="str">
        <f t="shared" si="198"/>
        <v>No Prog ni Ejec</v>
      </c>
      <c r="BP262" s="708" t="str">
        <f t="shared" si="213"/>
        <v>No Prog ni Ejec</v>
      </c>
      <c r="BQ262" s="708">
        <f t="shared" si="199"/>
        <v>1</v>
      </c>
      <c r="BR262" s="708" t="str">
        <f t="shared" si="214"/>
        <v>No Prog ni Ejec</v>
      </c>
      <c r="BS262" s="708" t="str">
        <f t="shared" si="200"/>
        <v>No Prog ni Ejec</v>
      </c>
      <c r="BT262" s="829" t="str">
        <f t="shared" si="215"/>
        <v>No Prog ni Ejec</v>
      </c>
    </row>
    <row r="263" spans="1:72" s="958" customFormat="1" ht="89.25" x14ac:dyDescent="0.2">
      <c r="A263" s="1092">
        <v>11700</v>
      </c>
      <c r="B263" s="1060" t="s">
        <v>29</v>
      </c>
      <c r="C263" s="1068" t="s">
        <v>1340</v>
      </c>
      <c r="D263" s="1059" t="s">
        <v>328</v>
      </c>
      <c r="E263" s="1068" t="s">
        <v>256</v>
      </c>
      <c r="F263" s="1085" t="s">
        <v>1652</v>
      </c>
      <c r="G263" s="1068" t="s">
        <v>1653</v>
      </c>
      <c r="H263" s="1089" t="s">
        <v>124</v>
      </c>
      <c r="I263" s="1090">
        <v>1</v>
      </c>
      <c r="J263" s="1085" t="s">
        <v>1654</v>
      </c>
      <c r="K263" s="1068" t="s">
        <v>1655</v>
      </c>
      <c r="L263" s="529">
        <v>0</v>
      </c>
      <c r="M263" s="1078">
        <v>1</v>
      </c>
      <c r="N263" s="1068" t="s">
        <v>48</v>
      </c>
      <c r="O263" s="1068" t="s">
        <v>62</v>
      </c>
      <c r="P263" s="1068" t="s">
        <v>21</v>
      </c>
      <c r="Q263" s="1068" t="s">
        <v>23</v>
      </c>
      <c r="R263" s="1068" t="s">
        <v>220</v>
      </c>
      <c r="S263" s="1068" t="s">
        <v>1656</v>
      </c>
      <c r="T263" s="1068" t="s">
        <v>98</v>
      </c>
      <c r="U263" s="1090">
        <v>1</v>
      </c>
      <c r="V263" s="1071" t="str">
        <f t="shared" si="238"/>
        <v>Verificar principio de gratuidad y costos de reproducción de información solicitada, de acuerdo con los artículos 20 y 21 del Decreto 103 de 2015</v>
      </c>
      <c r="W263" s="699">
        <f t="shared" si="238"/>
        <v>0</v>
      </c>
      <c r="X263" s="1086" t="s">
        <v>117</v>
      </c>
      <c r="Y263" s="722">
        <v>1</v>
      </c>
      <c r="Z263" s="1072" t="str">
        <f t="shared" si="202"/>
        <v>Verificar principio de gratuidad y costos de reproducción de información solicitada, de acuerdo con los artículos 20 y 21 del Decreto 103 de 2015</v>
      </c>
      <c r="AA263" s="529">
        <v>0</v>
      </c>
      <c r="AB263" s="825">
        <v>1</v>
      </c>
      <c r="AC263" s="739">
        <v>0</v>
      </c>
      <c r="AD263" s="1069">
        <f t="shared" si="242"/>
        <v>1</v>
      </c>
      <c r="AE263" s="1069" t="e">
        <f t="shared" si="191"/>
        <v>#DIV/0!</v>
      </c>
      <c r="AF263" s="1069">
        <f t="shared" si="192"/>
        <v>1</v>
      </c>
      <c r="AG263" s="1069" t="e">
        <f t="shared" si="203"/>
        <v>#DIV/0!</v>
      </c>
      <c r="AH263" s="1068" t="s">
        <v>2336</v>
      </c>
      <c r="AI263" s="1090">
        <v>0</v>
      </c>
      <c r="AJ263" s="1072" t="str">
        <f t="shared" si="204"/>
        <v>Verificar principio de gratuidad y costos de reproducción de información solicitada, de acuerdo con los artículos 20 y 21 del Decreto 103 de 2015</v>
      </c>
      <c r="AK263" s="529">
        <v>0</v>
      </c>
      <c r="AL263" s="700"/>
      <c r="AM263" s="700"/>
      <c r="AN263" s="1069" t="e">
        <f t="shared" si="239"/>
        <v>#DIV/0!</v>
      </c>
      <c r="AO263" s="1069" t="e">
        <f t="shared" si="205"/>
        <v>#DIV/0!</v>
      </c>
      <c r="AP263" s="1069">
        <f t="shared" si="193"/>
        <v>1</v>
      </c>
      <c r="AQ263" s="1069" t="e">
        <f t="shared" si="206"/>
        <v>#DIV/0!</v>
      </c>
      <c r="AR263" s="845"/>
      <c r="AS263" s="1090">
        <v>0</v>
      </c>
      <c r="AT263" s="1072" t="str">
        <f t="shared" si="207"/>
        <v>Verificar principio de gratuidad y costos de reproducción de información solicitada, de acuerdo con los artículos 20 y 21 del Decreto 103 de 2015</v>
      </c>
      <c r="AU263" s="529">
        <v>0</v>
      </c>
      <c r="AV263" s="825">
        <v>0</v>
      </c>
      <c r="AW263" s="739">
        <v>0</v>
      </c>
      <c r="AX263" s="1069" t="e">
        <f t="shared" si="240"/>
        <v>#DIV/0!</v>
      </c>
      <c r="AY263" s="1069" t="e">
        <f t="shared" si="208"/>
        <v>#DIV/0!</v>
      </c>
      <c r="AZ263" s="1069">
        <f t="shared" si="194"/>
        <v>1</v>
      </c>
      <c r="BA263" s="1069" t="e">
        <f t="shared" si="209"/>
        <v>#DIV/0!</v>
      </c>
      <c r="BB263" s="856"/>
      <c r="BC263" s="722">
        <v>0</v>
      </c>
      <c r="BD263" s="1072" t="str">
        <f t="shared" si="210"/>
        <v>Verificar principio de gratuidad y costos de reproducción de información solicitada, de acuerdo con los artículos 20 y 21 del Decreto 103 de 2015</v>
      </c>
      <c r="BE263" s="529">
        <v>0</v>
      </c>
      <c r="BF263" s="1089">
        <v>0</v>
      </c>
      <c r="BG263" s="1054">
        <v>0</v>
      </c>
      <c r="BH263" s="1075" t="e">
        <f t="shared" si="241"/>
        <v>#DIV/0!</v>
      </c>
      <c r="BI263" s="1075" t="e">
        <f t="shared" si="211"/>
        <v>#DIV/0!</v>
      </c>
      <c r="BJ263" s="1075">
        <f t="shared" si="195"/>
        <v>1</v>
      </c>
      <c r="BK263" s="1075" t="e">
        <f t="shared" si="212"/>
        <v>#DIV/0!</v>
      </c>
      <c r="BL263" s="1072"/>
      <c r="BM263" s="708">
        <f t="shared" si="196"/>
        <v>1</v>
      </c>
      <c r="BN263" s="708" t="str">
        <f t="shared" si="197"/>
        <v>No Prog ni Ejec</v>
      </c>
      <c r="BO263" s="708" t="str">
        <f t="shared" si="198"/>
        <v>No Prog ni Ejec</v>
      </c>
      <c r="BP263" s="708" t="str">
        <f t="shared" si="213"/>
        <v>No Prog ni Ejec</v>
      </c>
      <c r="BQ263" s="708" t="str">
        <f t="shared" si="199"/>
        <v>No Prog ni Ejec</v>
      </c>
      <c r="BR263" s="708" t="str">
        <f t="shared" si="214"/>
        <v>No Prog ni Ejec</v>
      </c>
      <c r="BS263" s="708" t="str">
        <f t="shared" si="200"/>
        <v>No Prog ni Ejec</v>
      </c>
      <c r="BT263" s="829" t="str">
        <f t="shared" si="215"/>
        <v>No Prog ni Ejec</v>
      </c>
    </row>
    <row r="264" spans="1:72" s="958" customFormat="1" ht="89.25" x14ac:dyDescent="0.2">
      <c r="A264" s="1091">
        <v>11200</v>
      </c>
      <c r="B264" s="1068" t="s">
        <v>3</v>
      </c>
      <c r="C264" s="1068" t="s">
        <v>1340</v>
      </c>
      <c r="D264" s="1059" t="s">
        <v>152</v>
      </c>
      <c r="E264" s="1068" t="s">
        <v>256</v>
      </c>
      <c r="F264" s="1085" t="s">
        <v>1657</v>
      </c>
      <c r="G264" s="1068" t="s">
        <v>1658</v>
      </c>
      <c r="H264" s="1089" t="s">
        <v>124</v>
      </c>
      <c r="I264" s="1085">
        <v>1</v>
      </c>
      <c r="J264" s="1085" t="s">
        <v>1488</v>
      </c>
      <c r="K264" s="1068" t="s">
        <v>1659</v>
      </c>
      <c r="L264" s="529">
        <v>0</v>
      </c>
      <c r="M264" s="1078">
        <v>1</v>
      </c>
      <c r="N264" s="1068" t="s">
        <v>48</v>
      </c>
      <c r="O264" s="1068" t="s">
        <v>62</v>
      </c>
      <c r="P264" s="1068" t="s">
        <v>21</v>
      </c>
      <c r="Q264" s="1068" t="s">
        <v>23</v>
      </c>
      <c r="R264" s="1068" t="s">
        <v>792</v>
      </c>
      <c r="S264" s="1068" t="s">
        <v>1660</v>
      </c>
      <c r="T264" s="1068" t="s">
        <v>98</v>
      </c>
      <c r="U264" s="1085">
        <v>1</v>
      </c>
      <c r="V264" s="1071" t="str">
        <f t="shared" ref="V264:W268" si="243">+K264</f>
        <v>Estructurar un Esquema de Publicación para ADRES.</v>
      </c>
      <c r="W264" s="699">
        <f t="shared" si="243"/>
        <v>0</v>
      </c>
      <c r="X264" s="1086" t="s">
        <v>117</v>
      </c>
      <c r="Y264" s="722">
        <v>0</v>
      </c>
      <c r="Z264" s="1072" t="str">
        <f t="shared" si="202"/>
        <v>Estructurar un Esquema de Publicación para ADRES.</v>
      </c>
      <c r="AA264" s="529">
        <v>0</v>
      </c>
      <c r="AB264" s="776"/>
      <c r="AC264" s="529"/>
      <c r="AD264" s="1069" t="e">
        <f t="shared" si="242"/>
        <v>#DIV/0!</v>
      </c>
      <c r="AE264" s="1069" t="e">
        <f t="shared" si="191"/>
        <v>#DIV/0!</v>
      </c>
      <c r="AF264" s="1069">
        <f t="shared" si="192"/>
        <v>0</v>
      </c>
      <c r="AG264" s="1069" t="e">
        <f t="shared" si="203"/>
        <v>#DIV/0!</v>
      </c>
      <c r="AH264" s="846"/>
      <c r="AI264" s="1090">
        <v>0</v>
      </c>
      <c r="AJ264" s="1072" t="str">
        <f t="shared" si="204"/>
        <v>Estructurar un Esquema de Publicación para ADRES.</v>
      </c>
      <c r="AK264" s="529">
        <v>0</v>
      </c>
      <c r="AL264" s="700"/>
      <c r="AM264" s="700"/>
      <c r="AN264" s="1069" t="e">
        <f t="shared" si="239"/>
        <v>#DIV/0!</v>
      </c>
      <c r="AO264" s="1069" t="e">
        <f t="shared" si="205"/>
        <v>#DIV/0!</v>
      </c>
      <c r="AP264" s="1069">
        <f t="shared" si="193"/>
        <v>0</v>
      </c>
      <c r="AQ264" s="1069" t="e">
        <f t="shared" si="206"/>
        <v>#DIV/0!</v>
      </c>
      <c r="AR264" s="845"/>
      <c r="AS264" s="1090">
        <v>0</v>
      </c>
      <c r="AT264" s="1072" t="str">
        <f t="shared" si="207"/>
        <v>Estructurar un Esquema de Publicación para ADRES.</v>
      </c>
      <c r="AU264" s="529">
        <v>0</v>
      </c>
      <c r="AV264" s="700">
        <v>0</v>
      </c>
      <c r="AW264" s="702">
        <v>0</v>
      </c>
      <c r="AX264" s="1069" t="e">
        <f t="shared" si="240"/>
        <v>#DIV/0!</v>
      </c>
      <c r="AY264" s="1069" t="e">
        <f t="shared" si="208"/>
        <v>#DIV/0!</v>
      </c>
      <c r="AZ264" s="1069">
        <f t="shared" si="194"/>
        <v>0</v>
      </c>
      <c r="BA264" s="1069" t="e">
        <f t="shared" si="209"/>
        <v>#DIV/0!</v>
      </c>
      <c r="BB264" s="1068" t="s">
        <v>2006</v>
      </c>
      <c r="BC264" s="1090">
        <v>1</v>
      </c>
      <c r="BD264" s="1072" t="str">
        <f t="shared" si="210"/>
        <v>Estructurar un Esquema de Publicación para ADRES.</v>
      </c>
      <c r="BE264" s="529">
        <v>0</v>
      </c>
      <c r="BF264" s="1089">
        <v>1</v>
      </c>
      <c r="BG264" s="1054">
        <v>0</v>
      </c>
      <c r="BH264" s="1075">
        <f t="shared" si="241"/>
        <v>1</v>
      </c>
      <c r="BI264" s="1075" t="e">
        <f t="shared" si="211"/>
        <v>#DIV/0!</v>
      </c>
      <c r="BJ264" s="1075">
        <f t="shared" si="195"/>
        <v>1</v>
      </c>
      <c r="BK264" s="1075" t="e">
        <f t="shared" si="212"/>
        <v>#DIV/0!</v>
      </c>
      <c r="BL264" s="1068" t="s">
        <v>2102</v>
      </c>
      <c r="BM264" s="708" t="str">
        <f t="shared" si="196"/>
        <v>No Prog ni Ejec</v>
      </c>
      <c r="BN264" s="708" t="str">
        <f t="shared" si="197"/>
        <v>No Prog ni Ejec</v>
      </c>
      <c r="BO264" s="708" t="str">
        <f t="shared" si="198"/>
        <v>No Prog ni Ejec</v>
      </c>
      <c r="BP264" s="708" t="str">
        <f t="shared" si="213"/>
        <v>No Prog ni Ejec</v>
      </c>
      <c r="BQ264" s="708" t="str">
        <f t="shared" si="199"/>
        <v>No Prog ni Ejec</v>
      </c>
      <c r="BR264" s="708" t="str">
        <f t="shared" si="214"/>
        <v>No Prog ni Ejec</v>
      </c>
      <c r="BS264" s="708">
        <f t="shared" si="200"/>
        <v>1</v>
      </c>
      <c r="BT264" s="829" t="str">
        <f t="shared" si="215"/>
        <v>No Prog ni Ejec</v>
      </c>
    </row>
    <row r="265" spans="1:72" s="958" customFormat="1" ht="89.25" x14ac:dyDescent="0.2">
      <c r="A265" s="1092">
        <v>11700</v>
      </c>
      <c r="B265" s="1060" t="s">
        <v>29</v>
      </c>
      <c r="C265" s="1068" t="s">
        <v>1340</v>
      </c>
      <c r="D265" s="1059" t="s">
        <v>328</v>
      </c>
      <c r="E265" s="1068" t="s">
        <v>256</v>
      </c>
      <c r="F265" s="1085" t="s">
        <v>1661</v>
      </c>
      <c r="G265" s="1068" t="s">
        <v>1662</v>
      </c>
      <c r="H265" s="1089" t="s">
        <v>124</v>
      </c>
      <c r="I265" s="1090">
        <v>1</v>
      </c>
      <c r="J265" s="1085" t="s">
        <v>1663</v>
      </c>
      <c r="K265" s="1068" t="s">
        <v>1664</v>
      </c>
      <c r="L265" s="529">
        <v>0</v>
      </c>
      <c r="M265" s="1078">
        <v>1</v>
      </c>
      <c r="N265" s="1068" t="s">
        <v>48</v>
      </c>
      <c r="O265" s="1068" t="s">
        <v>62</v>
      </c>
      <c r="P265" s="1068" t="s">
        <v>21</v>
      </c>
      <c r="Q265" s="1068" t="s">
        <v>23</v>
      </c>
      <c r="R265" s="1068" t="s">
        <v>221</v>
      </c>
      <c r="S265" s="1068" t="s">
        <v>1665</v>
      </c>
      <c r="T265" s="1068" t="s">
        <v>98</v>
      </c>
      <c r="U265" s="1090">
        <v>1</v>
      </c>
      <c r="V265" s="1071" t="str">
        <f t="shared" si="243"/>
        <v>Elaborar y publicar en página web el Programa de Gestión Documental de acuerdo con el Capítulo IV del Decreto 103 de 2015</v>
      </c>
      <c r="W265" s="699">
        <f t="shared" si="243"/>
        <v>0</v>
      </c>
      <c r="X265" s="1086" t="s">
        <v>117</v>
      </c>
      <c r="Y265" s="722">
        <v>0</v>
      </c>
      <c r="Z265" s="1072" t="str">
        <f t="shared" si="202"/>
        <v>Elaborar y publicar en página web el Programa de Gestión Documental de acuerdo con el Capítulo IV del Decreto 103 de 2015</v>
      </c>
      <c r="AA265" s="529">
        <v>0</v>
      </c>
      <c r="AB265" s="776"/>
      <c r="AC265" s="529"/>
      <c r="AD265" s="1069" t="e">
        <f t="shared" si="242"/>
        <v>#DIV/0!</v>
      </c>
      <c r="AE265" s="1069" t="e">
        <f t="shared" si="191"/>
        <v>#DIV/0!</v>
      </c>
      <c r="AF265" s="1069">
        <f t="shared" si="192"/>
        <v>0</v>
      </c>
      <c r="AG265" s="1069" t="e">
        <f t="shared" si="203"/>
        <v>#DIV/0!</v>
      </c>
      <c r="AH265" s="1068"/>
      <c r="AI265" s="1090">
        <v>0</v>
      </c>
      <c r="AJ265" s="1072" t="str">
        <f t="shared" si="204"/>
        <v>Elaborar y publicar en página web el Programa de Gestión Documental de acuerdo con el Capítulo IV del Decreto 103 de 2015</v>
      </c>
      <c r="AK265" s="529">
        <v>0</v>
      </c>
      <c r="AL265" s="700"/>
      <c r="AM265" s="700"/>
      <c r="AN265" s="1069" t="e">
        <f t="shared" si="239"/>
        <v>#DIV/0!</v>
      </c>
      <c r="AO265" s="1069" t="e">
        <f t="shared" si="205"/>
        <v>#DIV/0!</v>
      </c>
      <c r="AP265" s="1069">
        <f t="shared" si="193"/>
        <v>0</v>
      </c>
      <c r="AQ265" s="1069" t="e">
        <f t="shared" si="206"/>
        <v>#DIV/0!</v>
      </c>
      <c r="AR265" s="845"/>
      <c r="AS265" s="1090">
        <v>1</v>
      </c>
      <c r="AT265" s="1072" t="str">
        <f t="shared" si="207"/>
        <v>Elaborar y publicar en página web el Programa de Gestión Documental de acuerdo con el Capítulo IV del Decreto 103 de 2015</v>
      </c>
      <c r="AU265" s="529">
        <v>0</v>
      </c>
      <c r="AV265" s="700">
        <v>1</v>
      </c>
      <c r="AW265" s="702">
        <v>0</v>
      </c>
      <c r="AX265" s="1069">
        <f t="shared" si="240"/>
        <v>1</v>
      </c>
      <c r="AY265" s="1069" t="e">
        <f t="shared" si="208"/>
        <v>#DIV/0!</v>
      </c>
      <c r="AZ265" s="1069">
        <f t="shared" si="194"/>
        <v>1</v>
      </c>
      <c r="BA265" s="1069" t="e">
        <f t="shared" si="209"/>
        <v>#DIV/0!</v>
      </c>
      <c r="BB265" s="857"/>
      <c r="BC265" s="722">
        <v>0</v>
      </c>
      <c r="BD265" s="1072" t="str">
        <f t="shared" si="210"/>
        <v>Elaborar y publicar en página web el Programa de Gestión Documental de acuerdo con el Capítulo IV del Decreto 103 de 2015</v>
      </c>
      <c r="BE265" s="529">
        <v>0</v>
      </c>
      <c r="BF265" s="1089">
        <v>0</v>
      </c>
      <c r="BG265" s="1054">
        <v>0</v>
      </c>
      <c r="BH265" s="1075" t="e">
        <f t="shared" si="241"/>
        <v>#DIV/0!</v>
      </c>
      <c r="BI265" s="1075" t="e">
        <f t="shared" si="211"/>
        <v>#DIV/0!</v>
      </c>
      <c r="BJ265" s="1075">
        <f t="shared" si="195"/>
        <v>1</v>
      </c>
      <c r="BK265" s="1075" t="e">
        <f t="shared" si="212"/>
        <v>#DIV/0!</v>
      </c>
      <c r="BL265" s="1072"/>
      <c r="BM265" s="708" t="str">
        <f t="shared" si="196"/>
        <v>No Prog ni Ejec</v>
      </c>
      <c r="BN265" s="708" t="str">
        <f t="shared" si="197"/>
        <v>No Prog ni Ejec</v>
      </c>
      <c r="BO265" s="708" t="str">
        <f t="shared" si="198"/>
        <v>No Prog ni Ejec</v>
      </c>
      <c r="BP265" s="708" t="str">
        <f t="shared" si="213"/>
        <v>No Prog ni Ejec</v>
      </c>
      <c r="BQ265" s="708">
        <f t="shared" si="199"/>
        <v>1</v>
      </c>
      <c r="BR265" s="708" t="str">
        <f t="shared" si="214"/>
        <v>No Prog ni Ejec</v>
      </c>
      <c r="BS265" s="708" t="str">
        <f t="shared" si="200"/>
        <v>No Prog ni Ejec</v>
      </c>
      <c r="BT265" s="829" t="str">
        <f t="shared" si="215"/>
        <v>No Prog ni Ejec</v>
      </c>
    </row>
    <row r="266" spans="1:72" s="958" customFormat="1" ht="89.25" x14ac:dyDescent="0.2">
      <c r="A266" s="1092">
        <v>11700</v>
      </c>
      <c r="B266" s="1060" t="s">
        <v>29</v>
      </c>
      <c r="C266" s="1068" t="s">
        <v>1340</v>
      </c>
      <c r="D266" s="1059" t="s">
        <v>328</v>
      </c>
      <c r="E266" s="1068" t="s">
        <v>256</v>
      </c>
      <c r="F266" s="1085" t="s">
        <v>1666</v>
      </c>
      <c r="G266" s="1068" t="s">
        <v>1667</v>
      </c>
      <c r="H266" s="1089" t="s">
        <v>124</v>
      </c>
      <c r="I266" s="1090">
        <v>1</v>
      </c>
      <c r="J266" s="1085" t="s">
        <v>1668</v>
      </c>
      <c r="K266" s="1068" t="s">
        <v>1669</v>
      </c>
      <c r="L266" s="529">
        <v>0</v>
      </c>
      <c r="M266" s="1078">
        <v>1</v>
      </c>
      <c r="N266" s="1068" t="s">
        <v>48</v>
      </c>
      <c r="O266" s="1068" t="s">
        <v>62</v>
      </c>
      <c r="P266" s="1068" t="s">
        <v>21</v>
      </c>
      <c r="Q266" s="1068" t="s">
        <v>23</v>
      </c>
      <c r="R266" s="1068" t="s">
        <v>220</v>
      </c>
      <c r="S266" s="1068" t="s">
        <v>1670</v>
      </c>
      <c r="T266" s="1068" t="s">
        <v>98</v>
      </c>
      <c r="U266" s="1090">
        <v>1</v>
      </c>
      <c r="V266" s="1071" t="str">
        <f t="shared" si="243"/>
        <v>Verificación de accesibilidad en punto de atención a personas en condición de discapacidad</v>
      </c>
      <c r="W266" s="699">
        <f t="shared" si="243"/>
        <v>0</v>
      </c>
      <c r="X266" s="1086" t="s">
        <v>117</v>
      </c>
      <c r="Y266" s="722">
        <v>1</v>
      </c>
      <c r="Z266" s="1072" t="str">
        <f t="shared" si="202"/>
        <v>Verificación de accesibilidad en punto de atención a personas en condición de discapacidad</v>
      </c>
      <c r="AA266" s="529">
        <v>0</v>
      </c>
      <c r="AB266" s="825">
        <v>1</v>
      </c>
      <c r="AC266" s="1690" t="s">
        <v>1914</v>
      </c>
      <c r="AD266" s="1069">
        <f t="shared" si="242"/>
        <v>1</v>
      </c>
      <c r="AE266" s="1069" t="e">
        <f t="shared" si="191"/>
        <v>#VALUE!</v>
      </c>
      <c r="AF266" s="1069">
        <f t="shared" si="192"/>
        <v>1</v>
      </c>
      <c r="AG266" s="1069" t="e">
        <f t="shared" si="203"/>
        <v>#VALUE!</v>
      </c>
      <c r="AH266" s="1068" t="s">
        <v>1940</v>
      </c>
      <c r="AI266" s="1090">
        <v>0</v>
      </c>
      <c r="AJ266" s="1072" t="str">
        <f t="shared" si="204"/>
        <v>Verificación de accesibilidad en punto de atención a personas en condición de discapacidad</v>
      </c>
      <c r="AK266" s="529">
        <v>0</v>
      </c>
      <c r="AL266" s="700"/>
      <c r="AM266" s="700"/>
      <c r="AN266" s="1069" t="e">
        <f t="shared" si="239"/>
        <v>#DIV/0!</v>
      </c>
      <c r="AO266" s="1069" t="e">
        <f t="shared" si="205"/>
        <v>#DIV/0!</v>
      </c>
      <c r="AP266" s="1069">
        <f t="shared" si="193"/>
        <v>1</v>
      </c>
      <c r="AQ266" s="1069" t="e">
        <f t="shared" si="206"/>
        <v>#VALUE!</v>
      </c>
      <c r="AR266" s="845"/>
      <c r="AS266" s="1090">
        <v>0</v>
      </c>
      <c r="AT266" s="1072" t="str">
        <f t="shared" si="207"/>
        <v>Verificación de accesibilidad en punto de atención a personas en condición de discapacidad</v>
      </c>
      <c r="AU266" s="529">
        <v>0</v>
      </c>
      <c r="AV266" s="825">
        <v>0</v>
      </c>
      <c r="AW266" s="739">
        <v>0</v>
      </c>
      <c r="AX266" s="1069" t="e">
        <f t="shared" si="240"/>
        <v>#DIV/0!</v>
      </c>
      <c r="AY266" s="1069" t="e">
        <f t="shared" si="208"/>
        <v>#DIV/0!</v>
      </c>
      <c r="AZ266" s="1069">
        <f t="shared" si="194"/>
        <v>1</v>
      </c>
      <c r="BA266" s="1069" t="e">
        <f t="shared" si="209"/>
        <v>#VALUE!</v>
      </c>
      <c r="BB266" s="845"/>
      <c r="BC266" s="722">
        <v>0</v>
      </c>
      <c r="BD266" s="1072" t="str">
        <f t="shared" si="210"/>
        <v>Verificación de accesibilidad en punto de atención a personas en condición de discapacidad</v>
      </c>
      <c r="BE266" s="529">
        <v>0</v>
      </c>
      <c r="BF266" s="1089">
        <v>0</v>
      </c>
      <c r="BG266" s="1054">
        <v>0</v>
      </c>
      <c r="BH266" s="1075" t="e">
        <f t="shared" si="241"/>
        <v>#DIV/0!</v>
      </c>
      <c r="BI266" s="1075" t="e">
        <f t="shared" si="211"/>
        <v>#DIV/0!</v>
      </c>
      <c r="BJ266" s="1075">
        <f t="shared" si="195"/>
        <v>1</v>
      </c>
      <c r="BK266" s="1075" t="e">
        <f t="shared" si="212"/>
        <v>#VALUE!</v>
      </c>
      <c r="BL266" s="1072"/>
      <c r="BM266" s="708">
        <f t="shared" si="196"/>
        <v>1</v>
      </c>
      <c r="BN266" s="708" t="str">
        <f t="shared" si="197"/>
        <v>No Prog, Ejec=   $                                     - </v>
      </c>
      <c r="BO266" s="708" t="str">
        <f t="shared" si="198"/>
        <v>No Prog ni Ejec</v>
      </c>
      <c r="BP266" s="708" t="str">
        <f t="shared" si="213"/>
        <v>No Prog ni Ejec</v>
      </c>
      <c r="BQ266" s="708" t="str">
        <f t="shared" si="199"/>
        <v>No Prog ni Ejec</v>
      </c>
      <c r="BR266" s="708" t="str">
        <f t="shared" si="214"/>
        <v>No Prog ni Ejec</v>
      </c>
      <c r="BS266" s="708" t="str">
        <f t="shared" si="200"/>
        <v>No Prog ni Ejec</v>
      </c>
      <c r="BT266" s="829" t="str">
        <f t="shared" si="215"/>
        <v>No Prog ni Ejec</v>
      </c>
    </row>
    <row r="267" spans="1:72" s="958" customFormat="1" ht="140.25" x14ac:dyDescent="0.2">
      <c r="A267" s="1092">
        <v>11700</v>
      </c>
      <c r="B267" s="1060" t="s">
        <v>29</v>
      </c>
      <c r="C267" s="1068" t="s">
        <v>1340</v>
      </c>
      <c r="D267" s="1059" t="s">
        <v>328</v>
      </c>
      <c r="E267" s="1068" t="s">
        <v>256</v>
      </c>
      <c r="F267" s="1085" t="s">
        <v>1671</v>
      </c>
      <c r="G267" s="1068" t="s">
        <v>1672</v>
      </c>
      <c r="H267" s="1089" t="s">
        <v>124</v>
      </c>
      <c r="I267" s="1090">
        <v>2</v>
      </c>
      <c r="J267" s="1085" t="s">
        <v>1673</v>
      </c>
      <c r="K267" s="1068" t="s">
        <v>1674</v>
      </c>
      <c r="L267" s="529">
        <v>0</v>
      </c>
      <c r="M267" s="1078">
        <v>1</v>
      </c>
      <c r="N267" s="1068" t="s">
        <v>48</v>
      </c>
      <c r="O267" s="1068" t="s">
        <v>62</v>
      </c>
      <c r="P267" s="1068" t="s">
        <v>21</v>
      </c>
      <c r="Q267" s="1068" t="s">
        <v>23</v>
      </c>
      <c r="R267" s="1068" t="s">
        <v>220</v>
      </c>
      <c r="S267" s="1068" t="s">
        <v>1675</v>
      </c>
      <c r="T267" s="1068" t="s">
        <v>98</v>
      </c>
      <c r="U267" s="1090">
        <v>2</v>
      </c>
      <c r="V267" s="1071" t="str">
        <f t="shared" si="243"/>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W267" s="699">
        <f t="shared" si="243"/>
        <v>0</v>
      </c>
      <c r="X267" s="1086" t="s">
        <v>117</v>
      </c>
      <c r="Y267" s="722">
        <v>1</v>
      </c>
      <c r="Z267" s="1072" t="str">
        <f t="shared" si="202"/>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A267" s="529">
        <v>0</v>
      </c>
      <c r="AB267" s="825">
        <v>1</v>
      </c>
      <c r="AC267" s="1690" t="s">
        <v>1914</v>
      </c>
      <c r="AD267" s="1069">
        <f t="shared" si="242"/>
        <v>1</v>
      </c>
      <c r="AE267" s="1069" t="e">
        <f t="shared" si="191"/>
        <v>#VALUE!</v>
      </c>
      <c r="AF267" s="1069">
        <f t="shared" si="192"/>
        <v>0.5</v>
      </c>
      <c r="AG267" s="1069" t="e">
        <f t="shared" si="203"/>
        <v>#VALUE!</v>
      </c>
      <c r="AH267" s="1068" t="s">
        <v>1941</v>
      </c>
      <c r="AI267" s="1090">
        <v>0</v>
      </c>
      <c r="AJ267" s="1072" t="str">
        <f t="shared" si="204"/>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K267" s="529">
        <v>0</v>
      </c>
      <c r="AL267" s="825">
        <v>0</v>
      </c>
      <c r="AM267" s="1626">
        <v>0</v>
      </c>
      <c r="AN267" s="1069" t="e">
        <f t="shared" si="239"/>
        <v>#DIV/0!</v>
      </c>
      <c r="AO267" s="1069" t="e">
        <f t="shared" si="205"/>
        <v>#DIV/0!</v>
      </c>
      <c r="AP267" s="1069">
        <f t="shared" si="193"/>
        <v>0.5</v>
      </c>
      <c r="AQ267" s="1069" t="e">
        <f t="shared" si="206"/>
        <v>#VALUE!</v>
      </c>
      <c r="AR267" s="845"/>
      <c r="AS267" s="1090">
        <v>1</v>
      </c>
      <c r="AT267" s="1072" t="str">
        <f t="shared" si="207"/>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U267" s="529">
        <v>0</v>
      </c>
      <c r="AV267" s="1636">
        <v>1</v>
      </c>
      <c r="AW267" s="1637">
        <v>0</v>
      </c>
      <c r="AX267" s="1069">
        <f t="shared" si="240"/>
        <v>1</v>
      </c>
      <c r="AY267" s="1069" t="e">
        <f t="shared" si="208"/>
        <v>#DIV/0!</v>
      </c>
      <c r="AZ267" s="1069">
        <f t="shared" si="194"/>
        <v>1</v>
      </c>
      <c r="BA267" s="1069" t="e">
        <f t="shared" si="209"/>
        <v>#VALUE!</v>
      </c>
      <c r="BB267" s="1691" t="s">
        <v>1941</v>
      </c>
      <c r="BC267" s="722">
        <v>0</v>
      </c>
      <c r="BD267" s="1072" t="str">
        <f t="shared" si="210"/>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E267" s="529">
        <v>0</v>
      </c>
      <c r="BF267" s="1089">
        <v>0</v>
      </c>
      <c r="BG267" s="1054">
        <v>0</v>
      </c>
      <c r="BH267" s="1075" t="e">
        <f t="shared" si="241"/>
        <v>#DIV/0!</v>
      </c>
      <c r="BI267" s="1075" t="e">
        <f t="shared" si="211"/>
        <v>#DIV/0!</v>
      </c>
      <c r="BJ267" s="1075">
        <f t="shared" si="195"/>
        <v>1</v>
      </c>
      <c r="BK267" s="1075" t="e">
        <f t="shared" si="212"/>
        <v>#VALUE!</v>
      </c>
      <c r="BL267" s="1072"/>
      <c r="BM267" s="708">
        <f t="shared" si="196"/>
        <v>1</v>
      </c>
      <c r="BN267" s="708" t="str">
        <f t="shared" si="197"/>
        <v>No Prog, Ejec=   $                                     - </v>
      </c>
      <c r="BO267" s="708" t="str">
        <f t="shared" si="198"/>
        <v>No Prog ni Ejec</v>
      </c>
      <c r="BP267" s="708" t="str">
        <f t="shared" si="213"/>
        <v>No Prog ni Ejec</v>
      </c>
      <c r="BQ267" s="708">
        <f t="shared" si="199"/>
        <v>1</v>
      </c>
      <c r="BR267" s="708" t="str">
        <f t="shared" si="214"/>
        <v>No Prog ni Ejec</v>
      </c>
      <c r="BS267" s="708" t="str">
        <f t="shared" si="200"/>
        <v>No Prog ni Ejec</v>
      </c>
      <c r="BT267" s="829" t="str">
        <f t="shared" si="215"/>
        <v>No Prog ni Ejec</v>
      </c>
    </row>
    <row r="268" spans="1:72" s="1627" customFormat="1" ht="89.25" x14ac:dyDescent="0.2">
      <c r="A268" s="1092">
        <v>11200</v>
      </c>
      <c r="B268" s="1060" t="s">
        <v>3</v>
      </c>
      <c r="C268" s="1060" t="s">
        <v>1340</v>
      </c>
      <c r="D268" s="1059" t="s">
        <v>152</v>
      </c>
      <c r="E268" s="1060" t="s">
        <v>256</v>
      </c>
      <c r="F268" s="1059" t="s">
        <v>1066</v>
      </c>
      <c r="G268" s="1060" t="s">
        <v>1858</v>
      </c>
      <c r="H268" s="1079" t="s">
        <v>123</v>
      </c>
      <c r="I268" s="1056">
        <v>1</v>
      </c>
      <c r="J268" s="1059" t="s">
        <v>1067</v>
      </c>
      <c r="K268" s="1060" t="s">
        <v>1857</v>
      </c>
      <c r="L268" s="443">
        <v>30821034</v>
      </c>
      <c r="M268" s="722">
        <v>1</v>
      </c>
      <c r="N268" s="1068" t="s">
        <v>48</v>
      </c>
      <c r="O268" s="1068" t="s">
        <v>62</v>
      </c>
      <c r="P268" s="1068" t="s">
        <v>21</v>
      </c>
      <c r="Q268" s="1068" t="s">
        <v>23</v>
      </c>
      <c r="R268" s="1068" t="s">
        <v>792</v>
      </c>
      <c r="S268" s="1060" t="s">
        <v>1859</v>
      </c>
      <c r="T268" s="1060" t="s">
        <v>98</v>
      </c>
      <c r="U268" s="722">
        <v>1</v>
      </c>
      <c r="V268" s="1058" t="str">
        <f t="shared" si="243"/>
        <v xml:space="preserve">Definir las necesidades y estructurar anexo técnico que permitirá adaptar la página Web de la entidad a la NTC 5854, que establece los requisitos de accesibilidad aplicables a páginas Web </v>
      </c>
      <c r="W268" s="445">
        <f t="shared" si="243"/>
        <v>30821034</v>
      </c>
      <c r="X268" s="1097" t="s">
        <v>114</v>
      </c>
      <c r="Y268" s="722">
        <v>0</v>
      </c>
      <c r="Z268" s="1072" t="str">
        <f t="shared" si="202"/>
        <v xml:space="preserve">Definir las necesidades y estructurar anexo técnico que permitirá adaptar la página Web de la entidad a la NTC 5854, que establece los requisitos de accesibilidad aplicables a páginas Web </v>
      </c>
      <c r="AA268" s="443">
        <v>0</v>
      </c>
      <c r="AB268" s="493"/>
      <c r="AC268" s="443"/>
      <c r="AD268" s="1064" t="e">
        <f t="shared" si="242"/>
        <v>#DIV/0!</v>
      </c>
      <c r="AE268" s="1064" t="e">
        <f t="shared" si="191"/>
        <v>#DIV/0!</v>
      </c>
      <c r="AF268" s="1064">
        <f t="shared" si="192"/>
        <v>0</v>
      </c>
      <c r="AG268" s="1064">
        <f t="shared" si="203"/>
        <v>0</v>
      </c>
      <c r="AH268" s="1061"/>
      <c r="AI268" s="722">
        <v>0</v>
      </c>
      <c r="AJ268" s="1072" t="str">
        <f t="shared" si="204"/>
        <v xml:space="preserve">Definir las necesidades y estructurar anexo técnico que permitirá adaptar la página Web de la entidad a la NTC 5854, que establece los requisitos de accesibilidad aplicables a páginas Web </v>
      </c>
      <c r="AK268" s="443">
        <v>0</v>
      </c>
      <c r="AL268" s="447">
        <v>0</v>
      </c>
      <c r="AM268" s="446">
        <v>0</v>
      </c>
      <c r="AN268" s="1064" t="e">
        <f t="shared" si="239"/>
        <v>#DIV/0!</v>
      </c>
      <c r="AO268" s="1064" t="e">
        <f t="shared" si="205"/>
        <v>#DIV/0!</v>
      </c>
      <c r="AP268" s="1064">
        <f t="shared" si="193"/>
        <v>0</v>
      </c>
      <c r="AQ268" s="1064">
        <f t="shared" si="206"/>
        <v>0</v>
      </c>
      <c r="AR268" s="527"/>
      <c r="AS268" s="722">
        <v>0</v>
      </c>
      <c r="AT268" s="1083" t="str">
        <f t="shared" si="207"/>
        <v xml:space="preserve">Definir las necesidades y estructurar anexo técnico que permitirá adaptar la página Web de la entidad a la NTC 5854, que establece los requisitos de accesibilidad aplicables a páginas Web </v>
      </c>
      <c r="AU268" s="443">
        <f>+W268*0.5</f>
        <v>15410517</v>
      </c>
      <c r="AV268" s="803">
        <v>0</v>
      </c>
      <c r="AW268" s="1626">
        <v>4794384</v>
      </c>
      <c r="AX268" s="1064" t="e">
        <f t="shared" si="240"/>
        <v>#DIV/0!</v>
      </c>
      <c r="AY268" s="1064">
        <f t="shared" si="208"/>
        <v>0.31111117167581076</v>
      </c>
      <c r="AZ268" s="1064">
        <f t="shared" si="194"/>
        <v>0</v>
      </c>
      <c r="BA268" s="1064">
        <f t="shared" si="209"/>
        <v>0.15555558583790538</v>
      </c>
      <c r="BB268" s="1068" t="s">
        <v>2006</v>
      </c>
      <c r="BC268" s="1090">
        <v>1</v>
      </c>
      <c r="BD268" s="1083" t="str">
        <f t="shared" si="210"/>
        <v xml:space="preserve">Definir las necesidades y estructurar anexo técnico que permitirá adaptar la página Web de la entidad a la NTC 5854, que establece los requisitos de accesibilidad aplicables a páginas Web </v>
      </c>
      <c r="BE268" s="443">
        <f>+W268*0.5</f>
        <v>15410517</v>
      </c>
      <c r="BF268" s="1089">
        <v>1</v>
      </c>
      <c r="BG268" s="744">
        <v>18492621</v>
      </c>
      <c r="BH268" s="1056">
        <f t="shared" si="241"/>
        <v>1</v>
      </c>
      <c r="BI268" s="1056">
        <f t="shared" si="211"/>
        <v>1.2000000389344498</v>
      </c>
      <c r="BJ268" s="1056">
        <f t="shared" si="195"/>
        <v>1</v>
      </c>
      <c r="BK268" s="1056">
        <f t="shared" si="212"/>
        <v>0.75555560530513022</v>
      </c>
      <c r="BL268" s="1068" t="s">
        <v>2103</v>
      </c>
      <c r="BM268" s="477" t="str">
        <f t="shared" si="196"/>
        <v>No Prog ni Ejec</v>
      </c>
      <c r="BN268" s="477" t="str">
        <f t="shared" si="197"/>
        <v>No Prog ni Ejec</v>
      </c>
      <c r="BO268" s="477" t="str">
        <f t="shared" si="198"/>
        <v>No Prog ni Ejec</v>
      </c>
      <c r="BP268" s="477" t="str">
        <f t="shared" si="213"/>
        <v>No Prog ni Ejec</v>
      </c>
      <c r="BQ268" s="477" t="str">
        <f t="shared" si="199"/>
        <v>No Prog ni Ejec</v>
      </c>
      <c r="BR268" s="477">
        <f t="shared" si="214"/>
        <v>0.31111117167581076</v>
      </c>
      <c r="BS268" s="477">
        <f t="shared" si="200"/>
        <v>1</v>
      </c>
      <c r="BT268" s="828">
        <f t="shared" si="215"/>
        <v>1.2000000389344498</v>
      </c>
    </row>
    <row r="269" spans="1:72" s="958" customFormat="1" ht="89.25" x14ac:dyDescent="0.2">
      <c r="A269" s="1091">
        <v>11900</v>
      </c>
      <c r="B269" s="1068" t="s">
        <v>349</v>
      </c>
      <c r="C269" s="1068" t="s">
        <v>1340</v>
      </c>
      <c r="D269" s="1059" t="s">
        <v>351</v>
      </c>
      <c r="E269" s="1068" t="s">
        <v>256</v>
      </c>
      <c r="F269" s="1085" t="s">
        <v>1676</v>
      </c>
      <c r="G269" s="1068" t="s">
        <v>1677</v>
      </c>
      <c r="H269" s="1089" t="s">
        <v>124</v>
      </c>
      <c r="I269" s="1085">
        <v>1</v>
      </c>
      <c r="J269" s="1085" t="s">
        <v>1678</v>
      </c>
      <c r="K269" s="1068" t="s">
        <v>1679</v>
      </c>
      <c r="L269" s="529">
        <v>0</v>
      </c>
      <c r="M269" s="1078">
        <v>1</v>
      </c>
      <c r="N269" s="1068" t="s">
        <v>48</v>
      </c>
      <c r="O269" s="1068" t="s">
        <v>62</v>
      </c>
      <c r="P269" s="1068" t="s">
        <v>21</v>
      </c>
      <c r="Q269" s="1068" t="s">
        <v>23</v>
      </c>
      <c r="R269" s="1068" t="s">
        <v>792</v>
      </c>
      <c r="S269" s="1068" t="s">
        <v>1680</v>
      </c>
      <c r="T269" s="1068" t="s">
        <v>98</v>
      </c>
      <c r="U269" s="1085">
        <v>1</v>
      </c>
      <c r="V269" s="1071" t="str">
        <f>+K269</f>
        <v>Definir el Índice de Información Reservada y Confidencial para ADRES.</v>
      </c>
      <c r="W269" s="699">
        <f>+L269</f>
        <v>0</v>
      </c>
      <c r="X269" s="1086" t="s">
        <v>117</v>
      </c>
      <c r="Y269" s="722">
        <v>0</v>
      </c>
      <c r="Z269" s="1072" t="str">
        <f t="shared" ref="Z269:Z274" si="244">+V269</f>
        <v>Definir el Índice de Información Reservada y Confidencial para ADRES.</v>
      </c>
      <c r="AA269" s="529">
        <v>0</v>
      </c>
      <c r="AB269" s="776"/>
      <c r="AC269" s="529"/>
      <c r="AD269" s="1069" t="e">
        <f>+(AB269/Y269)</f>
        <v>#DIV/0!</v>
      </c>
      <c r="AE269" s="1069" t="e">
        <f>+(AC269/AA269)</f>
        <v>#DIV/0!</v>
      </c>
      <c r="AF269" s="1069">
        <f>+(AB269/U269)</f>
        <v>0</v>
      </c>
      <c r="AG269" s="1069" t="e">
        <f>+(AC269/W269)</f>
        <v>#DIV/0!</v>
      </c>
      <c r="AH269" s="1068"/>
      <c r="AI269" s="1090">
        <v>0</v>
      </c>
      <c r="AJ269" s="1072" t="str">
        <f t="shared" ref="AJ269:AJ274" si="245">+V269</f>
        <v>Definir el Índice de Información Reservada y Confidencial para ADRES.</v>
      </c>
      <c r="AK269" s="529">
        <v>0</v>
      </c>
      <c r="AL269" s="700"/>
      <c r="AM269" s="700"/>
      <c r="AN269" s="1069" t="e">
        <f>+(AL269/AI269)</f>
        <v>#DIV/0!</v>
      </c>
      <c r="AO269" s="1069" t="e">
        <f>+(AM269/AK269)</f>
        <v>#DIV/0!</v>
      </c>
      <c r="AP269" s="1069">
        <f>+(AL269+AB269)/U269</f>
        <v>0</v>
      </c>
      <c r="AQ269" s="1069" t="e">
        <f>+(AM269+AC269)/W269</f>
        <v>#DIV/0!</v>
      </c>
      <c r="AR269" s="845"/>
      <c r="AS269" s="1090">
        <v>0</v>
      </c>
      <c r="AT269" s="1072" t="str">
        <f t="shared" ref="AT269:AT274" si="246">+V269</f>
        <v>Definir el Índice de Información Reservada y Confidencial para ADRES.</v>
      </c>
      <c r="AU269" s="529">
        <v>0</v>
      </c>
      <c r="AV269" s="825">
        <v>1</v>
      </c>
      <c r="AW269" s="1626">
        <v>0</v>
      </c>
      <c r="AX269" s="1069" t="e">
        <f>+(AV269/AS269)</f>
        <v>#DIV/0!</v>
      </c>
      <c r="AY269" s="1069" t="e">
        <f>+(AW269/AU269)</f>
        <v>#DIV/0!</v>
      </c>
      <c r="AZ269" s="1069">
        <f>+(AL269+AB269+AV269)/U269</f>
        <v>1</v>
      </c>
      <c r="BA269" s="1069" t="e">
        <f>+(AM269+AC269+AW269)/W269</f>
        <v>#DIV/0!</v>
      </c>
      <c r="BB269" s="1072" t="s">
        <v>2337</v>
      </c>
      <c r="BC269" s="1090">
        <v>1</v>
      </c>
      <c r="BD269" s="1072" t="str">
        <f t="shared" ref="BD269:BD274" si="247">+V269</f>
        <v>Definir el Índice de Información Reservada y Confidencial para ADRES.</v>
      </c>
      <c r="BE269" s="529">
        <v>0</v>
      </c>
      <c r="BF269" s="1089">
        <v>0</v>
      </c>
      <c r="BG269" s="1054">
        <v>0</v>
      </c>
      <c r="BH269" s="1075">
        <f>+(BF269/BC269)</f>
        <v>0</v>
      </c>
      <c r="BI269" s="1075" t="e">
        <f>+(BG269/BE269)</f>
        <v>#DIV/0!</v>
      </c>
      <c r="BJ269" s="1075">
        <f>+(AL269+AB269+AV269+BF269)/U269</f>
        <v>1</v>
      </c>
      <c r="BK269" s="1075" t="e">
        <f>+(AM269+AC269+AW269+BG269)/W269</f>
        <v>#DIV/0!</v>
      </c>
      <c r="BL269" s="1068" t="s">
        <v>2093</v>
      </c>
      <c r="BM269" s="708" t="str">
        <f>IF(AND(Y269=0,AB269=0),"No Prog ni Ejec",IF(Y269=0,CONCATENATE("No Prog, Ejec=  ",AB269),AB269/Y269))</f>
        <v>No Prog ni Ejec</v>
      </c>
      <c r="BN269" s="708" t="str">
        <f>IF(AND(AA269=0,AC269=0),"No Prog ni Ejec",IF(AA269=0,CONCATENATE("No Prog, Ejec=  ",AC269),AC269/AA269))</f>
        <v>No Prog ni Ejec</v>
      </c>
      <c r="BO269" s="708" t="str">
        <f>IF(AND(AI269=0,AL269=0),"No Prog ni Ejec",IF(AI269=0,CONCATENATE("No Prog, Ejec=  ",AL269),AL269/AI269))</f>
        <v>No Prog ni Ejec</v>
      </c>
      <c r="BP269" s="708" t="str">
        <f>IF(AND(AK269=0,AM269=0),"No Prog ni Ejec",IF(AK269=0,CONCATENATE("No Prog, Ejec=  ",AM269),AM269/AK269))</f>
        <v>No Prog ni Ejec</v>
      </c>
      <c r="BQ269" s="708" t="str">
        <f>IF(AND(AS269=0,AV269=0),"No Prog ni Ejec",IF(AS269=0,CONCATENATE("No Prog, Ejec=  ",AV269),AV269/AS269))</f>
        <v>No Prog, Ejec=  1</v>
      </c>
      <c r="BR269" s="708" t="str">
        <f>IF(AND(AU269=0,AW269=0),"No Prog ni Ejec",IF(AU269=0,CONCATENATE("No Prog, Ejec=  ",AW269),AW269/AU269))</f>
        <v>No Prog ni Ejec</v>
      </c>
      <c r="BS269" s="708">
        <f>IF(AND(BC269=0,BF269=0),"No Prog ni Ejec",IF(BC269=0,CONCATENATE("No Prog, Ejec=  ",BF269),BF269/BC269))</f>
        <v>0</v>
      </c>
      <c r="BT269" s="829" t="str">
        <f>IF(AND(BE269=0,BG269=0),"No Prog ni Ejec",IF(BE269=0,CONCATENATE("No Prog, Ejec=  ",BG269),BG269/BE269))</f>
        <v>No Prog ni Ejec</v>
      </c>
    </row>
    <row r="270" spans="1:72" s="958" customFormat="1" ht="89.25" x14ac:dyDescent="0.2">
      <c r="A270" s="1092">
        <v>11700</v>
      </c>
      <c r="B270" s="1060" t="s">
        <v>29</v>
      </c>
      <c r="C270" s="1068" t="s">
        <v>1340</v>
      </c>
      <c r="D270" s="1059" t="s">
        <v>328</v>
      </c>
      <c r="E270" s="1068" t="s">
        <v>256</v>
      </c>
      <c r="F270" s="1085" t="s">
        <v>1681</v>
      </c>
      <c r="G270" s="1068" t="s">
        <v>1682</v>
      </c>
      <c r="H270" s="1089" t="s">
        <v>123</v>
      </c>
      <c r="I270" s="1075">
        <v>1</v>
      </c>
      <c r="J270" s="1085" t="s">
        <v>1683</v>
      </c>
      <c r="K270" s="1068" t="s">
        <v>1684</v>
      </c>
      <c r="L270" s="529">
        <v>0</v>
      </c>
      <c r="M270" s="1078">
        <v>1</v>
      </c>
      <c r="N270" s="1068" t="s">
        <v>45</v>
      </c>
      <c r="O270" s="1068" t="s">
        <v>54</v>
      </c>
      <c r="P270" s="1068" t="s">
        <v>37</v>
      </c>
      <c r="Q270" s="1068" t="s">
        <v>38</v>
      </c>
      <c r="R270" s="1068" t="s">
        <v>218</v>
      </c>
      <c r="S270" s="1068" t="s">
        <v>1685</v>
      </c>
      <c r="T270" s="1068" t="s">
        <v>104</v>
      </c>
      <c r="U270" s="1078">
        <v>1</v>
      </c>
      <c r="V270" s="1071" t="str">
        <f t="shared" ref="V270:W273" si="248">+K270</f>
        <v>Capacitar a servidores en relación con sus funciones y las herramientas existentes para el fortalecimiento de la cultura ética y el cambio comportamental, con el fin de que se apropie el concepto del cuidado de lo público.</v>
      </c>
      <c r="W270" s="699">
        <f t="shared" si="248"/>
        <v>0</v>
      </c>
      <c r="X270" s="1086" t="s">
        <v>117</v>
      </c>
      <c r="Y270" s="1078">
        <v>0</v>
      </c>
      <c r="Z270" s="1072" t="str">
        <f t="shared" si="244"/>
        <v>Capacitar a servidores en relación con sus funciones y las herramientas existentes para el fortalecimiento de la cultura ética y el cambio comportamental, con el fin de que se apropie el concepto del cuidado de lo público.</v>
      </c>
      <c r="AA270" s="529">
        <v>0</v>
      </c>
      <c r="AB270" s="776"/>
      <c r="AC270" s="529"/>
      <c r="AD270" s="1069" t="e">
        <f t="shared" ref="AD270:AD289" si="249">+(AB270/Y270)</f>
        <v>#DIV/0!</v>
      </c>
      <c r="AE270" s="1069" t="e">
        <f>+(AC270/AA270)</f>
        <v>#DIV/0!</v>
      </c>
      <c r="AF270" s="1069">
        <f t="shared" ref="AF270:AF289" si="250">+(AB270/U270)</f>
        <v>0</v>
      </c>
      <c r="AG270" s="1069" t="e">
        <f>+(AC270/W270)</f>
        <v>#DIV/0!</v>
      </c>
      <c r="AH270" s="1068"/>
      <c r="AI270" s="1078">
        <v>1</v>
      </c>
      <c r="AJ270" s="1072" t="str">
        <f t="shared" si="245"/>
        <v>Capacitar a servidores en relación con sus funciones y las herramientas existentes para el fortalecimiento de la cultura ética y el cambio comportamental, con el fin de que se apropie el concepto del cuidado de lo público.</v>
      </c>
      <c r="AK270" s="529">
        <v>0</v>
      </c>
      <c r="AL270" s="745">
        <f>151/186</f>
        <v>0.81182795698924726</v>
      </c>
      <c r="AM270" s="529">
        <v>0</v>
      </c>
      <c r="AN270" s="1069">
        <f t="shared" ref="AN270:AN289" si="251">+(AL270/AI270)</f>
        <v>0.81182795698924726</v>
      </c>
      <c r="AO270" s="1069" t="e">
        <f>+(AM270/AK270)</f>
        <v>#DIV/0!</v>
      </c>
      <c r="AP270" s="1069">
        <f t="shared" ref="AP270:AP289" si="252">+(AL270+AB270)/U270</f>
        <v>0.81182795698924726</v>
      </c>
      <c r="AQ270" s="1069" t="e">
        <f>+(AM270+AC270)/W270</f>
        <v>#DIV/0!</v>
      </c>
      <c r="AR270" s="526" t="s">
        <v>1969</v>
      </c>
      <c r="AS270" s="1078">
        <v>0</v>
      </c>
      <c r="AT270" s="1072" t="str">
        <f t="shared" si="246"/>
        <v>Capacitar a servidores en relación con sus funciones y las herramientas existentes para el fortalecimiento de la cultura ética y el cambio comportamental, con el fin de que se apropie el concepto del cuidado de lo público.</v>
      </c>
      <c r="AU270" s="529">
        <v>0</v>
      </c>
      <c r="AV270" s="701">
        <v>0</v>
      </c>
      <c r="AW270" s="702">
        <v>0</v>
      </c>
      <c r="AX270" s="1069" t="e">
        <f t="shared" ref="AX270:AX289" si="253">+(AV270/AS270)</f>
        <v>#DIV/0!</v>
      </c>
      <c r="AY270" s="1069" t="e">
        <f>+(AW270/AU270)</f>
        <v>#DIV/0!</v>
      </c>
      <c r="AZ270" s="1069">
        <f t="shared" ref="AZ270:AZ289" si="254">+(AL270+AB270+AV270)/U270</f>
        <v>0.81182795698924726</v>
      </c>
      <c r="BA270" s="1069" t="e">
        <f>+(AM270+AC270+AW270)/W270</f>
        <v>#DIV/0!</v>
      </c>
      <c r="BB270" s="845"/>
      <c r="BC270" s="1078">
        <v>0</v>
      </c>
      <c r="BD270" s="1072" t="str">
        <f t="shared" si="247"/>
        <v>Capacitar a servidores en relación con sus funciones y las herramientas existentes para el fortalecimiento de la cultura ética y el cambio comportamental, con el fin de que se apropie el concepto del cuidado de lo público.</v>
      </c>
      <c r="BE270" s="529">
        <v>0</v>
      </c>
      <c r="BF270" s="943">
        <f>(81+33+68+99 )/(163+37+134+130)</f>
        <v>0.6056034482758621</v>
      </c>
      <c r="BG270" s="1054">
        <v>0</v>
      </c>
      <c r="BH270" s="1075" t="e">
        <f t="shared" ref="BH270:BH289" si="255">+(BF270/BC270)</f>
        <v>#DIV/0!</v>
      </c>
      <c r="BI270" s="1075" t="e">
        <f>+(BG270/BE270)</f>
        <v>#DIV/0!</v>
      </c>
      <c r="BJ270" s="1075">
        <f t="shared" ref="BJ270:BJ289" si="256">+(AL270+AB270+AV270+BF270)/U270</f>
        <v>1.4174314052651094</v>
      </c>
      <c r="BK270" s="1075" t="e">
        <f>+(AM270+AC270+AW270+BG270)/W270</f>
        <v>#DIV/0!</v>
      </c>
      <c r="BL270" s="1053" t="s">
        <v>2159</v>
      </c>
      <c r="BM270" s="708" t="str">
        <f t="shared" ref="BM270:BM289" si="257">IF(AND(Y270=0,AB270=0),"No Prog ni Ejec",IF(Y270=0,CONCATENATE("No Prog, Ejec=  ",AB270),AB270/Y270))</f>
        <v>No Prog ni Ejec</v>
      </c>
      <c r="BN270" s="708" t="str">
        <f>IF(AND(AA270=0,AC270=0),"No Prog ni Ejec",IF(AA270=0,CONCATENATE("No Prog, Ejec=  ",AC270),AC270/AA270))</f>
        <v>No Prog ni Ejec</v>
      </c>
      <c r="BO270" s="708">
        <f t="shared" ref="BO270:BO289" si="258">IF(AND(AI270=0,AL270=0),"No Prog ni Ejec",IF(AI270=0,CONCATENATE("No Prog, Ejec=  ",AL270),AL270/AI270))</f>
        <v>0.81182795698924726</v>
      </c>
      <c r="BP270" s="708" t="str">
        <f>IF(AND(AK270=0,AM270=0),"No Prog ni Ejec",IF(AK270=0,CONCATENATE("No Prog, Ejec=  ",AM270),AM270/AK270))</f>
        <v>No Prog ni Ejec</v>
      </c>
      <c r="BQ270" s="708" t="str">
        <f t="shared" ref="BQ270:BQ289" si="259">IF(AND(AS270=0,AV270=0),"No Prog ni Ejec",IF(AS270=0,CONCATENATE("No Prog, Ejec=  ",AV270),AV270/AS270))</f>
        <v>No Prog ni Ejec</v>
      </c>
      <c r="BR270" s="708" t="str">
        <f>IF(AND(AU270=0,AW270=0),"No Prog ni Ejec",IF(AU270=0,CONCATENATE("No Prog, Ejec=  ",AW270),AW270/AU270))</f>
        <v>No Prog ni Ejec</v>
      </c>
      <c r="BS270" s="708" t="str">
        <f t="shared" ref="BS270:BS289" si="260">IF(AND(BC270=0,BF270=0),"No Prog ni Ejec",IF(BC270=0,CONCATENATE("No Prog, Ejec=  ",BF270),BF270/BC270))</f>
        <v>No Prog, Ejec=  0,605603448275862</v>
      </c>
      <c r="BT270" s="829" t="str">
        <f>IF(AND(BE270=0,BG270=0),"No Prog ni Ejec",IF(BE270=0,CONCATENATE("No Prog, Ejec=  ",BG270),BG270/BE270))</f>
        <v>No Prog ni Ejec</v>
      </c>
    </row>
    <row r="271" spans="1:72" s="958" customFormat="1" ht="89.25" x14ac:dyDescent="0.2">
      <c r="A271" s="1092">
        <v>11700</v>
      </c>
      <c r="B271" s="1060" t="s">
        <v>29</v>
      </c>
      <c r="C271" s="1068" t="s">
        <v>1340</v>
      </c>
      <c r="D271" s="1059" t="s">
        <v>328</v>
      </c>
      <c r="E271" s="1068" t="s">
        <v>256</v>
      </c>
      <c r="F271" s="1085" t="s">
        <v>1686</v>
      </c>
      <c r="G271" s="1068" t="s">
        <v>1687</v>
      </c>
      <c r="H271" s="1089" t="s">
        <v>124</v>
      </c>
      <c r="I271" s="1090">
        <v>1</v>
      </c>
      <c r="J271" s="1085" t="s">
        <v>1688</v>
      </c>
      <c r="K271" s="1068" t="s">
        <v>1689</v>
      </c>
      <c r="L271" s="529">
        <v>0</v>
      </c>
      <c r="M271" s="1078">
        <v>1</v>
      </c>
      <c r="N271" s="1068" t="s">
        <v>45</v>
      </c>
      <c r="O271" s="1068" t="s">
        <v>54</v>
      </c>
      <c r="P271" s="1068" t="s">
        <v>37</v>
      </c>
      <c r="Q271" s="1068" t="s">
        <v>38</v>
      </c>
      <c r="R271" s="1068" t="s">
        <v>218</v>
      </c>
      <c r="S271" s="1068" t="s">
        <v>1690</v>
      </c>
      <c r="T271" s="1068" t="s">
        <v>104</v>
      </c>
      <c r="U271" s="1090">
        <v>1</v>
      </c>
      <c r="V271" s="1071" t="str">
        <f t="shared" si="248"/>
        <v>Capacitar a la Alta Dirección de ADRES en relación con el fortalecimiento de la cultura ética de la entidad.</v>
      </c>
      <c r="W271" s="699">
        <f t="shared" si="248"/>
        <v>0</v>
      </c>
      <c r="X271" s="1086" t="s">
        <v>117</v>
      </c>
      <c r="Y271" s="722">
        <v>0</v>
      </c>
      <c r="Z271" s="1072" t="str">
        <f t="shared" si="244"/>
        <v>Capacitar a la Alta Dirección de ADRES en relación con el fortalecimiento de la cultura ética de la entidad.</v>
      </c>
      <c r="AA271" s="529">
        <v>0</v>
      </c>
      <c r="AB271" s="776"/>
      <c r="AC271" s="529"/>
      <c r="AD271" s="1069" t="e">
        <f t="shared" si="249"/>
        <v>#DIV/0!</v>
      </c>
      <c r="AE271" s="1069" t="e">
        <f>+(AC271/AA271)</f>
        <v>#DIV/0!</v>
      </c>
      <c r="AF271" s="1069">
        <f t="shared" si="250"/>
        <v>0</v>
      </c>
      <c r="AG271" s="1069" t="e">
        <f>+(AC271/W271)</f>
        <v>#DIV/0!</v>
      </c>
      <c r="AH271" s="1068"/>
      <c r="AI271" s="1090">
        <v>0</v>
      </c>
      <c r="AJ271" s="1072" t="str">
        <f t="shared" si="245"/>
        <v>Capacitar a la Alta Dirección de ADRES en relación con el fortalecimiento de la cultura ética de la entidad.</v>
      </c>
      <c r="AK271" s="529">
        <v>0</v>
      </c>
      <c r="AL271" s="700"/>
      <c r="AM271" s="700"/>
      <c r="AN271" s="1069" t="e">
        <f t="shared" si="251"/>
        <v>#DIV/0!</v>
      </c>
      <c r="AO271" s="1069" t="e">
        <f>+(AM271/AK271)</f>
        <v>#DIV/0!</v>
      </c>
      <c r="AP271" s="1069">
        <f t="shared" si="252"/>
        <v>0</v>
      </c>
      <c r="AQ271" s="1069" t="e">
        <f>+(AM271+AC271)/W271</f>
        <v>#DIV/0!</v>
      </c>
      <c r="AR271" s="845"/>
      <c r="AS271" s="1090">
        <v>0</v>
      </c>
      <c r="AT271" s="1072" t="str">
        <f t="shared" si="246"/>
        <v>Capacitar a la Alta Dirección de ADRES en relación con el fortalecimiento de la cultura ética de la entidad.</v>
      </c>
      <c r="AU271" s="529">
        <v>0</v>
      </c>
      <c r="AV271" s="701">
        <v>0</v>
      </c>
      <c r="AW271" s="702">
        <v>0</v>
      </c>
      <c r="AX271" s="1069" t="e">
        <f t="shared" si="253"/>
        <v>#DIV/0!</v>
      </c>
      <c r="AY271" s="1069" t="e">
        <f>+(AW271/AU271)</f>
        <v>#DIV/0!</v>
      </c>
      <c r="AZ271" s="1069">
        <f t="shared" si="254"/>
        <v>0</v>
      </c>
      <c r="BA271" s="1069" t="e">
        <f>+(AM271+AC271+AW271)/W271</f>
        <v>#DIV/0!</v>
      </c>
      <c r="BB271" s="845"/>
      <c r="BC271" s="722">
        <v>1</v>
      </c>
      <c r="BD271" s="1072" t="str">
        <f t="shared" si="247"/>
        <v>Capacitar a la Alta Dirección de ADRES en relación con el fortalecimiento de la cultura ética de la entidad.</v>
      </c>
      <c r="BE271" s="529">
        <v>0</v>
      </c>
      <c r="BF271" s="1089">
        <v>1</v>
      </c>
      <c r="BG271" s="1054">
        <v>0</v>
      </c>
      <c r="BH271" s="1075">
        <f t="shared" si="255"/>
        <v>1</v>
      </c>
      <c r="BI271" s="1075" t="e">
        <f>+(BG271/BE271)</f>
        <v>#DIV/0!</v>
      </c>
      <c r="BJ271" s="1075">
        <f t="shared" si="256"/>
        <v>1</v>
      </c>
      <c r="BK271" s="1075" t="e">
        <f>+(AM271+AC271+AW271+BG271)/W271</f>
        <v>#DIV/0!</v>
      </c>
      <c r="BL271" s="1053" t="s">
        <v>2282</v>
      </c>
      <c r="BM271" s="708" t="str">
        <f t="shared" si="257"/>
        <v>No Prog ni Ejec</v>
      </c>
      <c r="BN271" s="708" t="str">
        <f>IF(AND(AA271=0,AC271=0),"No Prog ni Ejec",IF(AA271=0,CONCATENATE("No Prog, Ejec=  ",AC271),AC271/AA271))</f>
        <v>No Prog ni Ejec</v>
      </c>
      <c r="BO271" s="708" t="str">
        <f t="shared" si="258"/>
        <v>No Prog ni Ejec</v>
      </c>
      <c r="BP271" s="708" t="str">
        <f>IF(AND(AK271=0,AM271=0),"No Prog ni Ejec",IF(AK271=0,CONCATENATE("No Prog, Ejec=  ",AM271),AM271/AK271))</f>
        <v>No Prog ni Ejec</v>
      </c>
      <c r="BQ271" s="708" t="str">
        <f t="shared" si="259"/>
        <v>No Prog ni Ejec</v>
      </c>
      <c r="BR271" s="708" t="str">
        <f>IF(AND(AU271=0,AW271=0),"No Prog ni Ejec",IF(AU271=0,CONCATENATE("No Prog, Ejec=  ",AW271),AW271/AU271))</f>
        <v>No Prog ni Ejec</v>
      </c>
      <c r="BS271" s="708">
        <f t="shared" si="260"/>
        <v>1</v>
      </c>
      <c r="BT271" s="829" t="str">
        <f>IF(AND(BE271=0,BG271=0),"No Prog ni Ejec",IF(BE271=0,CONCATENATE("No Prog, Ejec=  ",BG271),BG271/BE271))</f>
        <v>No Prog ni Ejec</v>
      </c>
    </row>
    <row r="272" spans="1:72" s="958" customFormat="1" ht="89.25" x14ac:dyDescent="0.2">
      <c r="A272" s="1092">
        <v>11700</v>
      </c>
      <c r="B272" s="1060" t="s">
        <v>29</v>
      </c>
      <c r="C272" s="1068" t="s">
        <v>1340</v>
      </c>
      <c r="D272" s="1059" t="s">
        <v>328</v>
      </c>
      <c r="E272" s="1068" t="s">
        <v>256</v>
      </c>
      <c r="F272" s="1085" t="s">
        <v>1691</v>
      </c>
      <c r="G272" s="1068" t="s">
        <v>1692</v>
      </c>
      <c r="H272" s="1089" t="s">
        <v>124</v>
      </c>
      <c r="I272" s="1090">
        <v>1</v>
      </c>
      <c r="J272" s="1085" t="s">
        <v>1693</v>
      </c>
      <c r="K272" s="1068" t="s">
        <v>1694</v>
      </c>
      <c r="L272" s="529">
        <v>0</v>
      </c>
      <c r="M272" s="1078">
        <v>1</v>
      </c>
      <c r="N272" s="1068" t="s">
        <v>45</v>
      </c>
      <c r="O272" s="1068" t="s">
        <v>54</v>
      </c>
      <c r="P272" s="1068" t="s">
        <v>37</v>
      </c>
      <c r="Q272" s="1068" t="s">
        <v>38</v>
      </c>
      <c r="R272" s="1068" t="s">
        <v>218</v>
      </c>
      <c r="S272" s="1068" t="s">
        <v>1695</v>
      </c>
      <c r="T272" s="1068" t="s">
        <v>104</v>
      </c>
      <c r="U272" s="1090">
        <v>1</v>
      </c>
      <c r="V272" s="1071" t="str">
        <f t="shared" si="248"/>
        <v>Identificar y establecer comportamientos deseables en el desarrollo de las acciones cotidianas, asociados a los valores institucionales, que permitan la apropiación de lo público.</v>
      </c>
      <c r="W272" s="699">
        <f t="shared" si="248"/>
        <v>0</v>
      </c>
      <c r="X272" s="1086" t="s">
        <v>117</v>
      </c>
      <c r="Y272" s="722">
        <v>0</v>
      </c>
      <c r="Z272" s="1072" t="str">
        <f t="shared" si="244"/>
        <v>Identificar y establecer comportamientos deseables en el desarrollo de las acciones cotidianas, asociados a los valores institucionales, que permitan la apropiación de lo público.</v>
      </c>
      <c r="AA272" s="529">
        <v>0</v>
      </c>
      <c r="AB272" s="776"/>
      <c r="AC272" s="529"/>
      <c r="AD272" s="1069" t="e">
        <f t="shared" si="249"/>
        <v>#DIV/0!</v>
      </c>
      <c r="AE272" s="1069" t="e">
        <f>+(AC272/AA272)</f>
        <v>#DIV/0!</v>
      </c>
      <c r="AF272" s="1069">
        <f t="shared" si="250"/>
        <v>0</v>
      </c>
      <c r="AG272" s="1069" t="e">
        <f>+(AC272/W272)</f>
        <v>#DIV/0!</v>
      </c>
      <c r="AH272" s="1068"/>
      <c r="AI272" s="1090">
        <v>1</v>
      </c>
      <c r="AJ272" s="1072" t="str">
        <f t="shared" si="245"/>
        <v>Identificar y establecer comportamientos deseables en el desarrollo de las acciones cotidianas, asociados a los valores institucionales, que permitan la apropiación de lo público.</v>
      </c>
      <c r="AK272" s="529">
        <v>0</v>
      </c>
      <c r="AL272" s="700">
        <v>1</v>
      </c>
      <c r="AM272" s="700">
        <v>0</v>
      </c>
      <c r="AN272" s="1069">
        <f t="shared" si="251"/>
        <v>1</v>
      </c>
      <c r="AO272" s="1069" t="e">
        <f>+(AM272/AK272)</f>
        <v>#DIV/0!</v>
      </c>
      <c r="AP272" s="1069">
        <f t="shared" si="252"/>
        <v>1</v>
      </c>
      <c r="AQ272" s="1069" t="e">
        <f>+(AM272+AC272)/W272</f>
        <v>#DIV/0!</v>
      </c>
      <c r="AR272" s="845" t="s">
        <v>2338</v>
      </c>
      <c r="AS272" s="1090">
        <v>0</v>
      </c>
      <c r="AT272" s="1072" t="str">
        <f t="shared" si="246"/>
        <v>Identificar y establecer comportamientos deseables en el desarrollo de las acciones cotidianas, asociados a los valores institucionales, que permitan la apropiación de lo público.</v>
      </c>
      <c r="AU272" s="529">
        <v>0</v>
      </c>
      <c r="AV272" s="700">
        <v>0</v>
      </c>
      <c r="AW272" s="702">
        <v>0</v>
      </c>
      <c r="AX272" s="1069" t="e">
        <f t="shared" si="253"/>
        <v>#DIV/0!</v>
      </c>
      <c r="AY272" s="1069" t="e">
        <f>+(AW272/AU272)</f>
        <v>#DIV/0!</v>
      </c>
      <c r="AZ272" s="1069">
        <f t="shared" si="254"/>
        <v>1</v>
      </c>
      <c r="BA272" s="1069" t="e">
        <f>+(AM272+AC272+AW272)/W272</f>
        <v>#DIV/0!</v>
      </c>
      <c r="BB272" s="845"/>
      <c r="BC272" s="722">
        <v>0</v>
      </c>
      <c r="BD272" s="1072" t="str">
        <f t="shared" si="247"/>
        <v>Identificar y establecer comportamientos deseables en el desarrollo de las acciones cotidianas, asociados a los valores institucionales, que permitan la apropiación de lo público.</v>
      </c>
      <c r="BE272" s="529">
        <v>0</v>
      </c>
      <c r="BF272" s="1089">
        <v>0</v>
      </c>
      <c r="BG272" s="1054">
        <v>0</v>
      </c>
      <c r="BH272" s="1075" t="e">
        <f t="shared" si="255"/>
        <v>#DIV/0!</v>
      </c>
      <c r="BI272" s="1075" t="e">
        <f>+(BG272/BE272)</f>
        <v>#DIV/0!</v>
      </c>
      <c r="BJ272" s="1075">
        <f t="shared" si="256"/>
        <v>1</v>
      </c>
      <c r="BK272" s="1075" t="e">
        <f>+(AM272+AC272+AW272+BG272)/W272</f>
        <v>#DIV/0!</v>
      </c>
      <c r="BL272" s="1072" t="s">
        <v>2160</v>
      </c>
      <c r="BM272" s="708" t="str">
        <f t="shared" si="257"/>
        <v>No Prog ni Ejec</v>
      </c>
      <c r="BN272" s="708" t="str">
        <f>IF(AND(AA272=0,AC272=0),"No Prog ni Ejec",IF(AA272=0,CONCATENATE("No Prog, Ejec=  ",AC272),AC272/AA272))</f>
        <v>No Prog ni Ejec</v>
      </c>
      <c r="BO272" s="708">
        <f t="shared" si="258"/>
        <v>1</v>
      </c>
      <c r="BP272" s="708" t="str">
        <f>IF(AND(AK272=0,AM272=0),"No Prog ni Ejec",IF(AK272=0,CONCATENATE("No Prog, Ejec=  ",AM272),AM272/AK272))</f>
        <v>No Prog ni Ejec</v>
      </c>
      <c r="BQ272" s="708" t="str">
        <f t="shared" si="259"/>
        <v>No Prog ni Ejec</v>
      </c>
      <c r="BR272" s="708" t="str">
        <f>IF(AND(AU272=0,AW272=0),"No Prog ni Ejec",IF(AU272=0,CONCATENATE("No Prog, Ejec=  ",AW272),AW272/AU272))</f>
        <v>No Prog ni Ejec</v>
      </c>
      <c r="BS272" s="708" t="str">
        <f t="shared" si="260"/>
        <v>No Prog ni Ejec</v>
      </c>
      <c r="BT272" s="829" t="str">
        <f>IF(AND(BE272=0,BG272=0),"No Prog ni Ejec",IF(BE272=0,CONCATENATE("No Prog, Ejec=  ",BG272),BG272/BE272))</f>
        <v>No Prog ni Ejec</v>
      </c>
    </row>
    <row r="273" spans="1:72" s="958" customFormat="1" ht="127.5" x14ac:dyDescent="0.2">
      <c r="A273" s="1092">
        <v>11700</v>
      </c>
      <c r="B273" s="1060" t="s">
        <v>29</v>
      </c>
      <c r="C273" s="1068" t="s">
        <v>1340</v>
      </c>
      <c r="D273" s="1059" t="s">
        <v>328</v>
      </c>
      <c r="E273" s="1068" t="s">
        <v>256</v>
      </c>
      <c r="F273" s="1085" t="s">
        <v>1696</v>
      </c>
      <c r="G273" s="1068" t="s">
        <v>1697</v>
      </c>
      <c r="H273" s="1089" t="s">
        <v>124</v>
      </c>
      <c r="I273" s="1090">
        <v>1</v>
      </c>
      <c r="J273" s="1085" t="s">
        <v>1698</v>
      </c>
      <c r="K273" s="1068" t="s">
        <v>1699</v>
      </c>
      <c r="L273" s="529">
        <v>0</v>
      </c>
      <c r="M273" s="1078">
        <v>1</v>
      </c>
      <c r="N273" s="1068" t="s">
        <v>45</v>
      </c>
      <c r="O273" s="1068" t="s">
        <v>54</v>
      </c>
      <c r="P273" s="1068" t="s">
        <v>37</v>
      </c>
      <c r="Q273" s="1068" t="s">
        <v>38</v>
      </c>
      <c r="R273" s="1068" t="s">
        <v>218</v>
      </c>
      <c r="S273" s="1068" t="s">
        <v>1700</v>
      </c>
      <c r="T273" s="1068" t="s">
        <v>104</v>
      </c>
      <c r="U273" s="1090">
        <v>1</v>
      </c>
      <c r="V273" s="1071" t="str">
        <f t="shared" si="248"/>
        <v>Promocionar e incentivar los comportamientos deseables a través de piezas o actividades lúdicas.</v>
      </c>
      <c r="W273" s="699">
        <f t="shared" si="248"/>
        <v>0</v>
      </c>
      <c r="X273" s="1086" t="s">
        <v>117</v>
      </c>
      <c r="Y273" s="722">
        <v>0</v>
      </c>
      <c r="Z273" s="1072" t="str">
        <f t="shared" si="244"/>
        <v>Promocionar e incentivar los comportamientos deseables a través de piezas o actividades lúdicas.</v>
      </c>
      <c r="AA273" s="529">
        <v>0</v>
      </c>
      <c r="AB273" s="776"/>
      <c r="AC273" s="529"/>
      <c r="AD273" s="1069" t="e">
        <f t="shared" si="249"/>
        <v>#DIV/0!</v>
      </c>
      <c r="AE273" s="1069" t="e">
        <f>+(AC273/AA273)</f>
        <v>#DIV/0!</v>
      </c>
      <c r="AF273" s="1069">
        <f t="shared" si="250"/>
        <v>0</v>
      </c>
      <c r="AG273" s="1069" t="e">
        <f>+(AC273/W273)</f>
        <v>#DIV/0!</v>
      </c>
      <c r="AH273" s="1068"/>
      <c r="AI273" s="1090">
        <v>1</v>
      </c>
      <c r="AJ273" s="1072" t="str">
        <f t="shared" si="245"/>
        <v>Promocionar e incentivar los comportamientos deseables a través de piezas o actividades lúdicas.</v>
      </c>
      <c r="AK273" s="529">
        <v>0</v>
      </c>
      <c r="AL273" s="700"/>
      <c r="AM273" s="700"/>
      <c r="AN273" s="1069">
        <f t="shared" si="251"/>
        <v>0</v>
      </c>
      <c r="AO273" s="1069" t="e">
        <f>+(AM273/AK273)</f>
        <v>#DIV/0!</v>
      </c>
      <c r="AP273" s="1069">
        <f t="shared" si="252"/>
        <v>0</v>
      </c>
      <c r="AQ273" s="1069" t="e">
        <f>+(AM273+AC273)/W273</f>
        <v>#DIV/0!</v>
      </c>
      <c r="AR273" s="845"/>
      <c r="AS273" s="1090">
        <v>0</v>
      </c>
      <c r="AT273" s="1072" t="str">
        <f t="shared" si="246"/>
        <v>Promocionar e incentivar los comportamientos deseables a través de piezas o actividades lúdicas.</v>
      </c>
      <c r="AU273" s="529">
        <v>0</v>
      </c>
      <c r="AV273" s="700">
        <v>1</v>
      </c>
      <c r="AW273" s="702">
        <v>0</v>
      </c>
      <c r="AX273" s="1069" t="e">
        <f t="shared" si="253"/>
        <v>#DIV/0!</v>
      </c>
      <c r="AY273" s="1069" t="e">
        <f>+(AW273/AU273)</f>
        <v>#DIV/0!</v>
      </c>
      <c r="AZ273" s="1069">
        <f t="shared" si="254"/>
        <v>1</v>
      </c>
      <c r="BA273" s="1069" t="e">
        <f>+(AM273+AC273+AW273)/W273</f>
        <v>#DIV/0!</v>
      </c>
      <c r="BB273" s="526" t="s">
        <v>1968</v>
      </c>
      <c r="BC273" s="722">
        <v>0</v>
      </c>
      <c r="BD273" s="1072" t="str">
        <f t="shared" si="247"/>
        <v>Promocionar e incentivar los comportamientos deseables a través de piezas o actividades lúdicas.</v>
      </c>
      <c r="BE273" s="529">
        <v>0</v>
      </c>
      <c r="BF273" s="1089">
        <v>0</v>
      </c>
      <c r="BG273" s="1054">
        <v>0</v>
      </c>
      <c r="BH273" s="1075" t="e">
        <f t="shared" si="255"/>
        <v>#DIV/0!</v>
      </c>
      <c r="BI273" s="1075" t="e">
        <f>+(BG273/BE273)</f>
        <v>#DIV/0!</v>
      </c>
      <c r="BJ273" s="1075">
        <f t="shared" si="256"/>
        <v>1</v>
      </c>
      <c r="BK273" s="1075" t="e">
        <f>+(AM273+AC273+AW273+BG273)/W273</f>
        <v>#DIV/0!</v>
      </c>
      <c r="BL273" s="1053" t="s">
        <v>2161</v>
      </c>
      <c r="BM273" s="708" t="str">
        <f t="shared" si="257"/>
        <v>No Prog ni Ejec</v>
      </c>
      <c r="BN273" s="708" t="str">
        <f>IF(AND(AA273=0,AC273=0),"No Prog ni Ejec",IF(AA273=0,CONCATENATE("No Prog, Ejec=  ",AC273),AC273/AA273))</f>
        <v>No Prog ni Ejec</v>
      </c>
      <c r="BO273" s="708">
        <f t="shared" si="258"/>
        <v>0</v>
      </c>
      <c r="BP273" s="708" t="str">
        <f>IF(AND(AK273=0,AM273=0),"No Prog ni Ejec",IF(AK273=0,CONCATENATE("No Prog, Ejec=  ",AM273),AM273/AK273))</f>
        <v>No Prog ni Ejec</v>
      </c>
      <c r="BQ273" s="708" t="str">
        <f t="shared" si="259"/>
        <v>No Prog, Ejec=  1</v>
      </c>
      <c r="BR273" s="708" t="str">
        <f>IF(AND(AU273=0,AW273=0),"No Prog ni Ejec",IF(AU273=0,CONCATENATE("No Prog, Ejec=  ",AW273),AW273/AU273))</f>
        <v>No Prog ni Ejec</v>
      </c>
      <c r="BS273" s="708" t="str">
        <f t="shared" si="260"/>
        <v>No Prog ni Ejec</v>
      </c>
      <c r="BT273" s="829" t="str">
        <f>IF(AND(BE273=0,BG273=0),"No Prog ni Ejec",IF(BE273=0,CONCATENATE("No Prog, Ejec=  ",BG273),BG273/BE273))</f>
        <v>No Prog ni Ejec</v>
      </c>
    </row>
    <row r="274" spans="1:72" s="958" customFormat="1" ht="38.25" customHeight="1" x14ac:dyDescent="0.2">
      <c r="A274" s="1244">
        <v>11700</v>
      </c>
      <c r="B274" s="1218" t="s">
        <v>29</v>
      </c>
      <c r="C274" s="1161" t="s">
        <v>1340</v>
      </c>
      <c r="D274" s="1245" t="s">
        <v>328</v>
      </c>
      <c r="E274" s="1161" t="s">
        <v>256</v>
      </c>
      <c r="F274" s="1162" t="s">
        <v>1701</v>
      </c>
      <c r="G274" s="1161" t="s">
        <v>1702</v>
      </c>
      <c r="H274" s="1253" t="s">
        <v>124</v>
      </c>
      <c r="I274" s="1254">
        <v>1</v>
      </c>
      <c r="J274" s="1162" t="s">
        <v>1703</v>
      </c>
      <c r="K274" s="1161" t="s">
        <v>1704</v>
      </c>
      <c r="L274" s="1138">
        <v>0</v>
      </c>
      <c r="M274" s="1166">
        <v>1</v>
      </c>
      <c r="N274" s="1263" t="s">
        <v>45</v>
      </c>
      <c r="O274" s="1263" t="s">
        <v>54</v>
      </c>
      <c r="P274" s="1247" t="s">
        <v>37</v>
      </c>
      <c r="Q274" s="1161" t="s">
        <v>38</v>
      </c>
      <c r="R274" s="1161" t="s">
        <v>218</v>
      </c>
      <c r="S274" s="1068" t="s">
        <v>1705</v>
      </c>
      <c r="T274" s="1068" t="s">
        <v>104</v>
      </c>
      <c r="U274" s="1090">
        <v>1</v>
      </c>
      <c r="V274" s="1169" t="str">
        <f>+K274</f>
        <v>Elaborar un documento lúdico con el Código de Integridad del Servidor Público y socializarlo a los colaboradores de la entidad.</v>
      </c>
      <c r="W274" s="1160">
        <f>+L274</f>
        <v>0</v>
      </c>
      <c r="X274" s="1136" t="s">
        <v>117</v>
      </c>
      <c r="Y274" s="722">
        <v>0</v>
      </c>
      <c r="Z274" s="1137" t="str">
        <f t="shared" si="244"/>
        <v>Elaborar un documento lúdico con el Código de Integridad del Servidor Público y socializarlo a los colaboradores de la entidad.</v>
      </c>
      <c r="AA274" s="1138">
        <v>0</v>
      </c>
      <c r="AB274" s="776"/>
      <c r="AC274" s="1138"/>
      <c r="AD274" s="1069" t="e">
        <f t="shared" si="249"/>
        <v>#DIV/0!</v>
      </c>
      <c r="AE274" s="1221" t="e">
        <f>+(AC274/AA273)</f>
        <v>#DIV/0!</v>
      </c>
      <c r="AF274" s="1069">
        <f t="shared" si="250"/>
        <v>0</v>
      </c>
      <c r="AG274" s="1221" t="e">
        <f>+(AC274/W273)</f>
        <v>#DIV/0!</v>
      </c>
      <c r="AH274" s="1068"/>
      <c r="AI274" s="1090">
        <v>0</v>
      </c>
      <c r="AJ274" s="1137" t="str">
        <f t="shared" si="245"/>
        <v>Elaborar un documento lúdico con el Código de Integridad del Servidor Público y socializarlo a los colaboradores de la entidad.</v>
      </c>
      <c r="AK274" s="1138">
        <v>0</v>
      </c>
      <c r="AL274" s="700"/>
      <c r="AM274" s="700"/>
      <c r="AN274" s="1069" t="e">
        <f t="shared" si="251"/>
        <v>#DIV/0!</v>
      </c>
      <c r="AO274" s="1221" t="e">
        <f>+(AM274/AK273)</f>
        <v>#DIV/0!</v>
      </c>
      <c r="AP274" s="1069">
        <f t="shared" si="252"/>
        <v>0</v>
      </c>
      <c r="AQ274" s="1221" t="e">
        <f>+(AM274+AC274)/W273</f>
        <v>#DIV/0!</v>
      </c>
      <c r="AR274" s="845"/>
      <c r="AS274" s="1090">
        <v>0</v>
      </c>
      <c r="AT274" s="1137" t="str">
        <f t="shared" si="246"/>
        <v>Elaborar un documento lúdico con el Código de Integridad del Servidor Público y socializarlo a los colaboradores de la entidad.</v>
      </c>
      <c r="AU274" s="1138">
        <v>0</v>
      </c>
      <c r="AV274" s="700">
        <v>1</v>
      </c>
      <c r="AW274" s="702">
        <v>0</v>
      </c>
      <c r="AX274" s="1069" t="e">
        <f t="shared" si="253"/>
        <v>#DIV/0!</v>
      </c>
      <c r="AY274" s="1221" t="e">
        <f>+(AW274/AU273)</f>
        <v>#DIV/0!</v>
      </c>
      <c r="AZ274" s="1069">
        <f t="shared" si="254"/>
        <v>1</v>
      </c>
      <c r="BA274" s="1221" t="e">
        <f>+(AM274+AC274+AW274)/W273</f>
        <v>#DIV/0!</v>
      </c>
      <c r="BB274" s="526" t="s">
        <v>2339</v>
      </c>
      <c r="BC274" s="722">
        <v>1</v>
      </c>
      <c r="BD274" s="1137" t="str">
        <f t="shared" si="247"/>
        <v>Elaborar un documento lúdico con el Código de Integridad del Servidor Público y socializarlo a los colaboradores de la entidad.</v>
      </c>
      <c r="BE274" s="1138">
        <v>0</v>
      </c>
      <c r="BF274" s="1089">
        <v>1</v>
      </c>
      <c r="BG274" s="1683">
        <v>0</v>
      </c>
      <c r="BH274" s="1075">
        <f t="shared" si="255"/>
        <v>1</v>
      </c>
      <c r="BI274" s="1229" t="e">
        <f>+(BG274/BE273)</f>
        <v>#DIV/0!</v>
      </c>
      <c r="BJ274" s="1075">
        <f t="shared" si="256"/>
        <v>2</v>
      </c>
      <c r="BK274" s="1229" t="e">
        <f>+(AM274+AC274+AW274+BG274)/W273</f>
        <v>#DIV/0!</v>
      </c>
      <c r="BL274" s="1053" t="s">
        <v>2221</v>
      </c>
      <c r="BM274" s="708" t="str">
        <f t="shared" si="257"/>
        <v>No Prog ni Ejec</v>
      </c>
      <c r="BN274" s="708" t="str">
        <f>IF(AND(AA273=0,AC274=0),"No Prog ni Ejec",IF(AA273=0,CONCATENATE("No Prog, Ejec=  ",AC274),AC274/AA273))</f>
        <v>No Prog ni Ejec</v>
      </c>
      <c r="BO274" s="708" t="str">
        <f t="shared" si="258"/>
        <v>No Prog ni Ejec</v>
      </c>
      <c r="BP274" s="708" t="str">
        <f>IF(AND(AK273=0,AM274=0),"No Prog ni Ejec",IF(AK273=0,CONCATENATE("No Prog, Ejec=  ",AM274),AM274/AK273))</f>
        <v>No Prog ni Ejec</v>
      </c>
      <c r="BQ274" s="708" t="str">
        <f t="shared" si="259"/>
        <v>No Prog, Ejec=  1</v>
      </c>
      <c r="BR274" s="708" t="str">
        <f>IF(AND(AU273=0,AW274=0),"No Prog ni Ejec",IF(AU273=0,CONCATENATE("No Prog, Ejec=  ",AW274),AW274/AU273))</f>
        <v>No Prog ni Ejec</v>
      </c>
      <c r="BS274" s="708">
        <f t="shared" si="260"/>
        <v>1</v>
      </c>
      <c r="BT274" s="829" t="str">
        <f>IF(AND(BE273=0,BG274=0),"No Prog ni Ejec",IF(BE273=0,CONCATENATE("No Prog, Ejec=  ",BG274),BG274/BE273))</f>
        <v>No Prog ni Ejec</v>
      </c>
    </row>
    <row r="275" spans="1:72" s="958" customFormat="1" ht="38.25" x14ac:dyDescent="0.2">
      <c r="A275" s="1244"/>
      <c r="B275" s="1218"/>
      <c r="C275" s="1161"/>
      <c r="D275" s="1245"/>
      <c r="E275" s="1161"/>
      <c r="F275" s="1162"/>
      <c r="G275" s="1161"/>
      <c r="H275" s="1253"/>
      <c r="I275" s="1254"/>
      <c r="J275" s="1162"/>
      <c r="K275" s="1161"/>
      <c r="L275" s="1138"/>
      <c r="M275" s="1166"/>
      <c r="N275" s="1263"/>
      <c r="O275" s="1263"/>
      <c r="P275" s="1247"/>
      <c r="Q275" s="1161"/>
      <c r="R275" s="1161"/>
      <c r="S275" s="1068" t="s">
        <v>1706</v>
      </c>
      <c r="T275" s="1068" t="s">
        <v>104</v>
      </c>
      <c r="U275" s="1090">
        <v>1</v>
      </c>
      <c r="V275" s="1169"/>
      <c r="W275" s="1160"/>
      <c r="X275" s="1136"/>
      <c r="Y275" s="722">
        <v>0</v>
      </c>
      <c r="Z275" s="1137"/>
      <c r="AA275" s="1138"/>
      <c r="AB275" s="776"/>
      <c r="AC275" s="1138"/>
      <c r="AD275" s="1069" t="e">
        <f t="shared" si="249"/>
        <v>#DIV/0!</v>
      </c>
      <c r="AE275" s="1221"/>
      <c r="AF275" s="1069">
        <f t="shared" si="250"/>
        <v>0</v>
      </c>
      <c r="AG275" s="1221"/>
      <c r="AH275" s="846"/>
      <c r="AI275" s="1090">
        <v>0</v>
      </c>
      <c r="AJ275" s="1137"/>
      <c r="AK275" s="1138"/>
      <c r="AL275" s="700"/>
      <c r="AM275" s="700"/>
      <c r="AN275" s="1069" t="e">
        <f t="shared" si="251"/>
        <v>#DIV/0!</v>
      </c>
      <c r="AO275" s="1221"/>
      <c r="AP275" s="1069">
        <f t="shared" si="252"/>
        <v>0</v>
      </c>
      <c r="AQ275" s="1221"/>
      <c r="AR275" s="845"/>
      <c r="AS275" s="1090">
        <v>0</v>
      </c>
      <c r="AT275" s="1137"/>
      <c r="AU275" s="1138"/>
      <c r="AV275" s="700">
        <v>0</v>
      </c>
      <c r="AW275" s="702">
        <v>0</v>
      </c>
      <c r="AX275" s="1069" t="e">
        <f t="shared" si="253"/>
        <v>#DIV/0!</v>
      </c>
      <c r="AY275" s="1221"/>
      <c r="AZ275" s="1069">
        <f t="shared" si="254"/>
        <v>0</v>
      </c>
      <c r="BA275" s="1221"/>
      <c r="BB275" s="845"/>
      <c r="BC275" s="722">
        <v>1</v>
      </c>
      <c r="BD275" s="1137"/>
      <c r="BE275" s="1138"/>
      <c r="BF275" s="1089">
        <v>1</v>
      </c>
      <c r="BG275" s="1684"/>
      <c r="BH275" s="1075">
        <f t="shared" si="255"/>
        <v>1</v>
      </c>
      <c r="BI275" s="1229"/>
      <c r="BJ275" s="1075">
        <f t="shared" si="256"/>
        <v>1</v>
      </c>
      <c r="BK275" s="1229"/>
      <c r="BL275" s="1053" t="s">
        <v>2283</v>
      </c>
      <c r="BM275" s="708" t="str">
        <f t="shared" si="257"/>
        <v>No Prog ni Ejec</v>
      </c>
      <c r="BN275" s="708" t="str">
        <f>IF(AND(AA274=0,AC275=0),"No Prog ni Ejec",IF(AA274=0,CONCATENATE("No Prog, Ejec=  ",AC275),AC275/AA274))</f>
        <v>No Prog ni Ejec</v>
      </c>
      <c r="BO275" s="708" t="str">
        <f t="shared" si="258"/>
        <v>No Prog ni Ejec</v>
      </c>
      <c r="BP275" s="708" t="str">
        <f>IF(AND(AK274=0,AM275=0),"No Prog ni Ejec",IF(AK274=0,CONCATENATE("No Prog, Ejec=  ",AM275),AM275/AK274))</f>
        <v>No Prog ni Ejec</v>
      </c>
      <c r="BQ275" s="708" t="str">
        <f t="shared" si="259"/>
        <v>No Prog ni Ejec</v>
      </c>
      <c r="BR275" s="708" t="str">
        <f>IF(AND(AU274=0,AW275=0),"No Prog ni Ejec",IF(AU274=0,CONCATENATE("No Prog, Ejec=  ",AW275),AW275/AU274))</f>
        <v>No Prog ni Ejec</v>
      </c>
      <c r="BS275" s="708">
        <f t="shared" si="260"/>
        <v>1</v>
      </c>
      <c r="BT275" s="829" t="str">
        <f>IF(AND(BE274=0,BG275=0),"No Prog ni Ejec",IF(BE274=0,CONCATENATE("No Prog, Ejec=  ",BG275),BG275/BE274))</f>
        <v>No Prog ni Ejec</v>
      </c>
    </row>
    <row r="276" spans="1:72" s="958" customFormat="1" ht="51" x14ac:dyDescent="0.2">
      <c r="A276" s="1244">
        <v>11700</v>
      </c>
      <c r="B276" s="1218" t="s">
        <v>29</v>
      </c>
      <c r="C276" s="1161" t="s">
        <v>1340</v>
      </c>
      <c r="D276" s="1245" t="s">
        <v>328</v>
      </c>
      <c r="E276" s="1161" t="s">
        <v>256</v>
      </c>
      <c r="F276" s="1162" t="s">
        <v>1707</v>
      </c>
      <c r="G276" s="1161" t="s">
        <v>1708</v>
      </c>
      <c r="H276" s="1089" t="s">
        <v>123</v>
      </c>
      <c r="I276" s="1078">
        <v>1</v>
      </c>
      <c r="J276" s="1162" t="s">
        <v>1709</v>
      </c>
      <c r="K276" s="1161" t="s">
        <v>1710</v>
      </c>
      <c r="L276" s="1138">
        <v>0</v>
      </c>
      <c r="M276" s="1166">
        <v>1</v>
      </c>
      <c r="N276" s="1263" t="s">
        <v>45</v>
      </c>
      <c r="O276" s="1263" t="s">
        <v>54</v>
      </c>
      <c r="P276" s="1247" t="s">
        <v>37</v>
      </c>
      <c r="Q276" s="1161" t="s">
        <v>38</v>
      </c>
      <c r="R276" s="1161" t="s">
        <v>218</v>
      </c>
      <c r="S276" s="1068" t="s">
        <v>1711</v>
      </c>
      <c r="T276" s="1068" t="s">
        <v>104</v>
      </c>
      <c r="U276" s="1078">
        <v>1</v>
      </c>
      <c r="V276" s="1169" t="str">
        <f>+K276</f>
        <v>Promover en los servidores y contratistas de ADRES, la NO tolerancia con la corrupción.</v>
      </c>
      <c r="W276" s="1160">
        <f>+L276</f>
        <v>0</v>
      </c>
      <c r="X276" s="1136" t="s">
        <v>117</v>
      </c>
      <c r="Y276" s="1078">
        <v>0</v>
      </c>
      <c r="Z276" s="1137" t="str">
        <f>+V276</f>
        <v>Promover en los servidores y contratistas de ADRES, la NO tolerancia con la corrupción.</v>
      </c>
      <c r="AA276" s="1138">
        <v>0</v>
      </c>
      <c r="AB276" s="776"/>
      <c r="AC276" s="529"/>
      <c r="AD276" s="1069" t="e">
        <f t="shared" si="249"/>
        <v>#DIV/0!</v>
      </c>
      <c r="AE276" s="1139" t="e">
        <f>+(AC276/AA275)</f>
        <v>#DIV/0!</v>
      </c>
      <c r="AF276" s="1069">
        <f t="shared" si="250"/>
        <v>0</v>
      </c>
      <c r="AG276" s="1139" t="e">
        <f>+(AC276/W275)</f>
        <v>#DIV/0!</v>
      </c>
      <c r="AH276" s="1068"/>
      <c r="AI276" s="1078">
        <v>0</v>
      </c>
      <c r="AJ276" s="1137" t="str">
        <f>+V276</f>
        <v>Promover en los servidores y contratistas de ADRES, la NO tolerancia con la corrupción.</v>
      </c>
      <c r="AK276" s="1138">
        <v>0</v>
      </c>
      <c r="AL276" s="701">
        <f>151/186</f>
        <v>0.81182795698924726</v>
      </c>
      <c r="AM276" s="702">
        <v>0</v>
      </c>
      <c r="AN276" s="1069" t="e">
        <f t="shared" si="251"/>
        <v>#DIV/0!</v>
      </c>
      <c r="AO276" s="1221" t="e">
        <f>+(AM276/AK275)</f>
        <v>#DIV/0!</v>
      </c>
      <c r="AP276" s="1069">
        <f t="shared" si="252"/>
        <v>0.81182795698924726</v>
      </c>
      <c r="AQ276" s="1221" t="e">
        <f>+(AM276+AC276)/W275</f>
        <v>#DIV/0!</v>
      </c>
      <c r="AR276" s="526" t="s">
        <v>1969</v>
      </c>
      <c r="AS276" s="1078">
        <v>0.5</v>
      </c>
      <c r="AT276" s="1137" t="str">
        <f>+V276</f>
        <v>Promover en los servidores y contratistas de ADRES, la NO tolerancia con la corrupción.</v>
      </c>
      <c r="AU276" s="1138">
        <v>0</v>
      </c>
      <c r="AV276" s="701">
        <v>0</v>
      </c>
      <c r="AW276" s="702">
        <v>0</v>
      </c>
      <c r="AX276" s="1069">
        <f t="shared" si="253"/>
        <v>0</v>
      </c>
      <c r="AY276" s="1139" t="e">
        <f>+(AW276/AU275)</f>
        <v>#DIV/0!</v>
      </c>
      <c r="AZ276" s="1069">
        <f t="shared" si="254"/>
        <v>0.81182795698924726</v>
      </c>
      <c r="BA276" s="1139" t="e">
        <f>+(AM276+AC276+AW276)/W275</f>
        <v>#DIV/0!</v>
      </c>
      <c r="BB276" s="526"/>
      <c r="BC276" s="1078">
        <v>0.5</v>
      </c>
      <c r="BD276" s="1137" t="str">
        <f>+V276</f>
        <v>Promover en los servidores y contratistas de ADRES, la NO tolerancia con la corrupción.</v>
      </c>
      <c r="BE276" s="1138">
        <v>0</v>
      </c>
      <c r="BF276" s="943">
        <f>(17+5+20)/185</f>
        <v>0.22702702702702704</v>
      </c>
      <c r="BG276" s="1683">
        <v>0</v>
      </c>
      <c r="BH276" s="1075">
        <f t="shared" si="255"/>
        <v>0.45405405405405408</v>
      </c>
      <c r="BI276" s="1227" t="e">
        <f>+(BG276/BE275)</f>
        <v>#DIV/0!</v>
      </c>
      <c r="BJ276" s="1075">
        <f t="shared" si="256"/>
        <v>1.0388549840162744</v>
      </c>
      <c r="BK276" s="1227" t="e">
        <f>+(AM276+AC276+AW276+BG276)/W275</f>
        <v>#DIV/0!</v>
      </c>
      <c r="BL276" s="1053" t="s">
        <v>2162</v>
      </c>
      <c r="BM276" s="708" t="str">
        <f t="shared" si="257"/>
        <v>No Prog ni Ejec</v>
      </c>
      <c r="BN276" s="708" t="str">
        <f>IF(AND(AA275=0,AC276=0),"No Prog ni Ejec",IF(AA275=0,CONCATENATE("No Prog, Ejec=  ",AC276),AC276/AA275))</f>
        <v>No Prog ni Ejec</v>
      </c>
      <c r="BO276" s="708" t="str">
        <f t="shared" si="258"/>
        <v>No Prog, Ejec=  0,811827956989247</v>
      </c>
      <c r="BP276" s="708" t="str">
        <f>IF(AND(AK275=0,AM276=0),"No Prog ni Ejec",IF(AK275=0,CONCATENATE("No Prog, Ejec=  ",AM276),AM276/AK275))</f>
        <v>No Prog ni Ejec</v>
      </c>
      <c r="BQ276" s="708">
        <f t="shared" si="259"/>
        <v>0</v>
      </c>
      <c r="BR276" s="708" t="str">
        <f>IF(AND(AU275=0,AW276=0),"No Prog ni Ejec",IF(AU275=0,CONCATENATE("No Prog, Ejec=  ",AW276),AW276/AU275))</f>
        <v>No Prog ni Ejec</v>
      </c>
      <c r="BS276" s="708">
        <f t="shared" si="260"/>
        <v>0.45405405405405408</v>
      </c>
      <c r="BT276" s="829" t="str">
        <f>IF(AND(BE275=0,BG276=0),"No Prog ni Ejec",IF(BE275=0,CONCATENATE("No Prog, Ejec=  ",BG276),BG276/BE275))</f>
        <v>No Prog ni Ejec</v>
      </c>
    </row>
    <row r="277" spans="1:72" s="958" customFormat="1" ht="66.75" customHeight="1" x14ac:dyDescent="0.2">
      <c r="A277" s="1244"/>
      <c r="B277" s="1218"/>
      <c r="C277" s="1161"/>
      <c r="D277" s="1245"/>
      <c r="E277" s="1161"/>
      <c r="F277" s="1162"/>
      <c r="G277" s="1161"/>
      <c r="H277" s="1089" t="s">
        <v>124</v>
      </c>
      <c r="I277" s="1090">
        <v>2</v>
      </c>
      <c r="J277" s="1162"/>
      <c r="K277" s="1161"/>
      <c r="L277" s="1138"/>
      <c r="M277" s="1166"/>
      <c r="N277" s="1263"/>
      <c r="O277" s="1263"/>
      <c r="P277" s="1247"/>
      <c r="Q277" s="1161"/>
      <c r="R277" s="1161"/>
      <c r="S277" s="1068" t="s">
        <v>1712</v>
      </c>
      <c r="T277" s="1068" t="s">
        <v>104</v>
      </c>
      <c r="U277" s="1090">
        <v>2</v>
      </c>
      <c r="V277" s="1169"/>
      <c r="W277" s="1160"/>
      <c r="X277" s="1136"/>
      <c r="Y277" s="722">
        <v>0</v>
      </c>
      <c r="Z277" s="1137"/>
      <c r="AA277" s="1138"/>
      <c r="AB277" s="776"/>
      <c r="AC277" s="529"/>
      <c r="AD277" s="1069" t="e">
        <f t="shared" si="249"/>
        <v>#DIV/0!</v>
      </c>
      <c r="AE277" s="1139"/>
      <c r="AF277" s="1069">
        <f t="shared" si="250"/>
        <v>0</v>
      </c>
      <c r="AG277" s="1139"/>
      <c r="AH277" s="846"/>
      <c r="AI277" s="1090">
        <v>0</v>
      </c>
      <c r="AJ277" s="1137"/>
      <c r="AK277" s="1138"/>
      <c r="AL277" s="700"/>
      <c r="AM277" s="700"/>
      <c r="AN277" s="1069" t="e">
        <f t="shared" si="251"/>
        <v>#DIV/0!</v>
      </c>
      <c r="AO277" s="1221"/>
      <c r="AP277" s="1069">
        <f t="shared" si="252"/>
        <v>0</v>
      </c>
      <c r="AQ277" s="1221"/>
      <c r="AR277" s="845"/>
      <c r="AS277" s="1090">
        <v>1</v>
      </c>
      <c r="AT277" s="1137"/>
      <c r="AU277" s="1138"/>
      <c r="AV277" s="700">
        <v>1</v>
      </c>
      <c r="AW277" s="702">
        <v>0</v>
      </c>
      <c r="AX277" s="1069">
        <f t="shared" si="253"/>
        <v>1</v>
      </c>
      <c r="AY277" s="1139"/>
      <c r="AZ277" s="1069">
        <f t="shared" si="254"/>
        <v>0.5</v>
      </c>
      <c r="BA277" s="1139"/>
      <c r="BB277" s="526" t="s">
        <v>2340</v>
      </c>
      <c r="BC277" s="722">
        <v>1</v>
      </c>
      <c r="BD277" s="1137"/>
      <c r="BE277" s="1138"/>
      <c r="BF277" s="1089"/>
      <c r="BG277" s="1684"/>
      <c r="BH277" s="1075">
        <f t="shared" si="255"/>
        <v>0</v>
      </c>
      <c r="BI277" s="1227"/>
      <c r="BJ277" s="1075">
        <f t="shared" si="256"/>
        <v>0.5</v>
      </c>
      <c r="BK277" s="1227"/>
      <c r="BL277" s="1072"/>
      <c r="BM277" s="708" t="str">
        <f t="shared" si="257"/>
        <v>No Prog ni Ejec</v>
      </c>
      <c r="BN277" s="708" t="str">
        <f>IF(AND(AA276=0,AC277=0),"No Prog ni Ejec",IF(AA276=0,CONCATENATE("No Prog, Ejec=  ",AC277),AC277/AA276))</f>
        <v>No Prog ni Ejec</v>
      </c>
      <c r="BO277" s="708" t="str">
        <f t="shared" si="258"/>
        <v>No Prog ni Ejec</v>
      </c>
      <c r="BP277" s="708" t="str">
        <f>IF(AND(AK276=0,AM277=0),"No Prog ni Ejec",IF(AK276=0,CONCATENATE("No Prog, Ejec=  ",AM277),AM277/AK276))</f>
        <v>No Prog ni Ejec</v>
      </c>
      <c r="BQ277" s="708">
        <f t="shared" si="259"/>
        <v>1</v>
      </c>
      <c r="BR277" s="708" t="str">
        <f>IF(AND(AU276=0,AW277=0),"No Prog ni Ejec",IF(AU276=0,CONCATENATE("No Prog, Ejec=  ",AW277),AW277/AU276))</f>
        <v>No Prog ni Ejec</v>
      </c>
      <c r="BS277" s="708">
        <f t="shared" si="260"/>
        <v>0</v>
      </c>
      <c r="BT277" s="829" t="str">
        <f>IF(AND(BE276=0,BG277=0),"No Prog ni Ejec",IF(BE276=0,CONCATENATE("No Prog, Ejec=  ",BG277),BG277/BE276))</f>
        <v>No Prog ni Ejec</v>
      </c>
    </row>
    <row r="278" spans="1:72" s="958" customFormat="1" ht="89.25" x14ac:dyDescent="0.2">
      <c r="A278" s="1092">
        <v>11300</v>
      </c>
      <c r="B278" s="1060" t="s">
        <v>4</v>
      </c>
      <c r="C278" s="1068" t="s">
        <v>1340</v>
      </c>
      <c r="D278" s="1059" t="s">
        <v>157</v>
      </c>
      <c r="E278" s="1060" t="s">
        <v>256</v>
      </c>
      <c r="F278" s="1059" t="s">
        <v>1713</v>
      </c>
      <c r="G278" s="1068" t="s">
        <v>1714</v>
      </c>
      <c r="H278" s="1089" t="s">
        <v>124</v>
      </c>
      <c r="I278" s="1090">
        <v>2</v>
      </c>
      <c r="J278" s="1085" t="s">
        <v>1715</v>
      </c>
      <c r="K278" s="1068" t="s">
        <v>1716</v>
      </c>
      <c r="L278" s="529">
        <v>0</v>
      </c>
      <c r="M278" s="1078">
        <v>1</v>
      </c>
      <c r="N278" s="1068" t="s">
        <v>46</v>
      </c>
      <c r="O278" s="1068" t="s">
        <v>70</v>
      </c>
      <c r="P278" s="1068" t="s">
        <v>37</v>
      </c>
      <c r="Q278" s="1068" t="s">
        <v>38</v>
      </c>
      <c r="R278" s="1068" t="s">
        <v>792</v>
      </c>
      <c r="S278" s="1068" t="s">
        <v>1717</v>
      </c>
      <c r="T278" s="1068" t="s">
        <v>100</v>
      </c>
      <c r="U278" s="1090">
        <v>2</v>
      </c>
      <c r="V278" s="1071" t="str">
        <f t="shared" ref="V278:W284" si="261">+K278</f>
        <v>Desarrollar e implementar los trámites y otros procedimientos administrativos - OPA identificados, para así poner a disposición de los usuarios a través de la página web de la entidad.</v>
      </c>
      <c r="W278" s="699">
        <f t="shared" si="261"/>
        <v>0</v>
      </c>
      <c r="X278" s="1086" t="s">
        <v>117</v>
      </c>
      <c r="Y278" s="1090">
        <v>0</v>
      </c>
      <c r="Z278" s="1072" t="str">
        <f t="shared" ref="Z278:Z284" si="262">+V278</f>
        <v>Desarrollar e implementar los trámites y otros procedimientos administrativos - OPA identificados, para así poner a disposición de los usuarios a través de la página web de la entidad.</v>
      </c>
      <c r="AA278" s="529">
        <v>0</v>
      </c>
      <c r="AB278" s="776"/>
      <c r="AC278" s="529"/>
      <c r="AD278" s="1069" t="e">
        <f t="shared" si="249"/>
        <v>#DIV/0!</v>
      </c>
      <c r="AE278" s="1069" t="e">
        <f t="shared" ref="AE278:AE289" si="263">+(AC278/AA278)</f>
        <v>#DIV/0!</v>
      </c>
      <c r="AF278" s="1069">
        <f t="shared" si="250"/>
        <v>0</v>
      </c>
      <c r="AG278" s="1069" t="e">
        <f t="shared" ref="AG278:AG289" si="264">+(AC278/W278)</f>
        <v>#DIV/0!</v>
      </c>
      <c r="AH278" s="1068"/>
      <c r="AI278" s="1090">
        <v>0</v>
      </c>
      <c r="AJ278" s="1072" t="str">
        <f t="shared" ref="AJ278:AJ284" si="265">+V278</f>
        <v>Desarrollar e implementar los trámites y otros procedimientos administrativos - OPA identificados, para así poner a disposición de los usuarios a través de la página web de la entidad.</v>
      </c>
      <c r="AK278" s="529">
        <v>0</v>
      </c>
      <c r="AL278" s="700"/>
      <c r="AM278" s="700"/>
      <c r="AN278" s="1069" t="e">
        <f t="shared" si="251"/>
        <v>#DIV/0!</v>
      </c>
      <c r="AO278" s="1069" t="e">
        <f t="shared" ref="AO278:AO289" si="266">+(AM278/AK278)</f>
        <v>#DIV/0!</v>
      </c>
      <c r="AP278" s="1069">
        <f t="shared" si="252"/>
        <v>0</v>
      </c>
      <c r="AQ278" s="1069" t="e">
        <f t="shared" ref="AQ278:AQ289" si="267">+(AM278+AC278)/W278</f>
        <v>#DIV/0!</v>
      </c>
      <c r="AR278" s="845"/>
      <c r="AS278" s="1090">
        <v>0</v>
      </c>
      <c r="AT278" s="1072" t="str">
        <f t="shared" ref="AT278:AT284" si="268">+V278</f>
        <v>Desarrollar e implementar los trámites y otros procedimientos administrativos - OPA identificados, para así poner a disposición de los usuarios a través de la página web de la entidad.</v>
      </c>
      <c r="AU278" s="529">
        <v>0</v>
      </c>
      <c r="AV278" s="700">
        <v>2</v>
      </c>
      <c r="AW278" s="739">
        <v>0</v>
      </c>
      <c r="AX278" s="1069" t="e">
        <f>+(AV278/AS278)</f>
        <v>#DIV/0!</v>
      </c>
      <c r="AY278" s="1069" t="e">
        <f t="shared" ref="AY278:AY289" si="269">+(AW278/AU278)</f>
        <v>#DIV/0!</v>
      </c>
      <c r="AZ278" s="1069">
        <f>+(AL278+AB278+AV278)/U278</f>
        <v>1</v>
      </c>
      <c r="BA278" s="1069" t="e">
        <f t="shared" ref="BA278:BA289" si="270">+(AM278+AC278+AW278)/W278</f>
        <v>#DIV/0!</v>
      </c>
      <c r="BB278" s="1068" t="s">
        <v>2341</v>
      </c>
      <c r="BC278" s="1090">
        <v>2</v>
      </c>
      <c r="BD278" s="1072" t="str">
        <f t="shared" ref="BD278:BD284" si="271">+V278</f>
        <v>Desarrollar e implementar los trámites y otros procedimientos administrativos - OPA identificados, para así poner a disposición de los usuarios a través de la página web de la entidad.</v>
      </c>
      <c r="BE278" s="529">
        <v>0</v>
      </c>
      <c r="BF278" s="1067">
        <v>0</v>
      </c>
      <c r="BG278" s="744">
        <v>0</v>
      </c>
      <c r="BH278" s="1075">
        <f t="shared" si="255"/>
        <v>0</v>
      </c>
      <c r="BI278" s="1075" t="e">
        <f t="shared" ref="BI278:BI289" si="272">+(BG278/BE278)</f>
        <v>#DIV/0!</v>
      </c>
      <c r="BJ278" s="1075">
        <f t="shared" si="256"/>
        <v>1</v>
      </c>
      <c r="BK278" s="1075" t="e">
        <f t="shared" ref="BK278:BK289" si="273">+(AM278+AC278+AW278+BG278)/W278</f>
        <v>#DIV/0!</v>
      </c>
      <c r="BL278" s="1068" t="s">
        <v>2085</v>
      </c>
      <c r="BM278" s="708" t="str">
        <f t="shared" si="257"/>
        <v>No Prog ni Ejec</v>
      </c>
      <c r="BN278" s="708" t="str">
        <f t="shared" ref="BN278:BN289" si="274">IF(AND(AA278=0,AC278=0),"No Prog ni Ejec",IF(AA278=0,CONCATENATE("No Prog, Ejec=  ",AC278),AC278/AA278))</f>
        <v>No Prog ni Ejec</v>
      </c>
      <c r="BO278" s="708" t="str">
        <f t="shared" si="258"/>
        <v>No Prog ni Ejec</v>
      </c>
      <c r="BP278" s="708" t="str">
        <f t="shared" ref="BP278:BP289" si="275">IF(AND(AK278=0,AM278=0),"No Prog ni Ejec",IF(AK278=0,CONCATENATE("No Prog, Ejec=  ",AM278),AM278/AK278))</f>
        <v>No Prog ni Ejec</v>
      </c>
      <c r="BQ278" s="708" t="str">
        <f t="shared" si="259"/>
        <v>No Prog, Ejec=  2</v>
      </c>
      <c r="BR278" s="708" t="str">
        <f t="shared" ref="BR278:BR289" si="276">IF(AND(AU278=0,AW278=0),"No Prog ni Ejec",IF(AU278=0,CONCATENATE("No Prog, Ejec=  ",AW278),AW278/AU278))</f>
        <v>No Prog ni Ejec</v>
      </c>
      <c r="BS278" s="708">
        <f t="shared" si="260"/>
        <v>0</v>
      </c>
      <c r="BT278" s="829" t="str">
        <f t="shared" ref="BT278:BT289" si="277">IF(AND(BE278=0,BG278=0),"No Prog ni Ejec",IF(BE278=0,CONCATENATE("No Prog, Ejec=  ",BG278),BG278/BE278))</f>
        <v>No Prog ni Ejec</v>
      </c>
    </row>
    <row r="279" spans="1:72" s="958" customFormat="1" ht="89.25" x14ac:dyDescent="0.2">
      <c r="A279" s="1092">
        <v>12000</v>
      </c>
      <c r="B279" s="1068" t="s">
        <v>831</v>
      </c>
      <c r="C279" s="1068" t="s">
        <v>1340</v>
      </c>
      <c r="D279" s="1059" t="s">
        <v>355</v>
      </c>
      <c r="E279" s="1060" t="s">
        <v>256</v>
      </c>
      <c r="F279" s="1059" t="s">
        <v>1718</v>
      </c>
      <c r="G279" s="1068" t="s">
        <v>1719</v>
      </c>
      <c r="H279" s="1089" t="s">
        <v>123</v>
      </c>
      <c r="I279" s="722">
        <v>1</v>
      </c>
      <c r="J279" s="1085" t="s">
        <v>1720</v>
      </c>
      <c r="K279" s="1068" t="s">
        <v>1721</v>
      </c>
      <c r="L279" s="529">
        <v>0</v>
      </c>
      <c r="M279" s="1078">
        <v>1</v>
      </c>
      <c r="N279" s="1068" t="s">
        <v>46</v>
      </c>
      <c r="O279" s="1068" t="s">
        <v>70</v>
      </c>
      <c r="P279" s="1068" t="s">
        <v>37</v>
      </c>
      <c r="Q279" s="1068" t="s">
        <v>38</v>
      </c>
      <c r="R279" s="1068" t="s">
        <v>792</v>
      </c>
      <c r="S279" s="1068" t="s">
        <v>1722</v>
      </c>
      <c r="T279" s="1068" t="s">
        <v>100</v>
      </c>
      <c r="U279" s="722">
        <v>1</v>
      </c>
      <c r="V279" s="1071" t="str">
        <f t="shared" si="261"/>
        <v>Identificar e inventariar los trámites y otros procedimientos administrativos - OPA de ADRES de conformidad con la estructura de la entidad y a su modelo de operación.</v>
      </c>
      <c r="W279" s="699">
        <f t="shared" si="261"/>
        <v>0</v>
      </c>
      <c r="X279" s="1086" t="s">
        <v>117</v>
      </c>
      <c r="Y279" s="1090">
        <v>0</v>
      </c>
      <c r="Z279" s="1072" t="str">
        <f t="shared" si="262"/>
        <v>Identificar e inventariar los trámites y otros procedimientos administrativos - OPA de ADRES de conformidad con la estructura de la entidad y a su modelo de operación.</v>
      </c>
      <c r="AA279" s="529">
        <v>0</v>
      </c>
      <c r="AB279" s="776"/>
      <c r="AC279" s="529"/>
      <c r="AD279" s="1069" t="e">
        <f t="shared" si="249"/>
        <v>#DIV/0!</v>
      </c>
      <c r="AE279" s="1069" t="e">
        <f t="shared" si="263"/>
        <v>#DIV/0!</v>
      </c>
      <c r="AF279" s="1069">
        <f t="shared" si="250"/>
        <v>0</v>
      </c>
      <c r="AG279" s="1069" t="e">
        <f t="shared" si="264"/>
        <v>#DIV/0!</v>
      </c>
      <c r="AH279" s="1068"/>
      <c r="AI279" s="1090">
        <v>1</v>
      </c>
      <c r="AJ279" s="1072" t="str">
        <f t="shared" si="265"/>
        <v>Identificar e inventariar los trámites y otros procedimientos administrativos - OPA de ADRES de conformidad con la estructura de la entidad y a su modelo de operación.</v>
      </c>
      <c r="AK279" s="529">
        <v>0</v>
      </c>
      <c r="AL279" s="825">
        <v>1</v>
      </c>
      <c r="AM279" s="825" t="s">
        <v>1896</v>
      </c>
      <c r="AN279" s="1069">
        <f t="shared" si="251"/>
        <v>1</v>
      </c>
      <c r="AO279" s="1069" t="e">
        <f t="shared" si="266"/>
        <v>#VALUE!</v>
      </c>
      <c r="AP279" s="1069">
        <f t="shared" si="252"/>
        <v>1</v>
      </c>
      <c r="AQ279" s="1069" t="e">
        <f t="shared" si="267"/>
        <v>#VALUE!</v>
      </c>
      <c r="AR279" s="1068" t="s">
        <v>1922</v>
      </c>
      <c r="AS279" s="1090">
        <v>0</v>
      </c>
      <c r="AT279" s="1072" t="str">
        <f t="shared" si="268"/>
        <v>Identificar e inventariar los trámites y otros procedimientos administrativos - OPA de ADRES de conformidad con la estructura de la entidad y a su modelo de operación.</v>
      </c>
      <c r="AU279" s="529">
        <v>0</v>
      </c>
      <c r="AV279" s="700">
        <v>0</v>
      </c>
      <c r="AW279" s="702">
        <v>0</v>
      </c>
      <c r="AX279" s="1069" t="e">
        <f t="shared" si="253"/>
        <v>#DIV/0!</v>
      </c>
      <c r="AY279" s="1069" t="e">
        <f t="shared" si="269"/>
        <v>#DIV/0!</v>
      </c>
      <c r="AZ279" s="1069">
        <f t="shared" si="254"/>
        <v>1</v>
      </c>
      <c r="BA279" s="1069" t="e">
        <f t="shared" si="270"/>
        <v>#VALUE!</v>
      </c>
      <c r="BB279" s="845"/>
      <c r="BC279" s="1090">
        <v>0</v>
      </c>
      <c r="BD279" s="1072" t="str">
        <f t="shared" si="271"/>
        <v>Identificar e inventariar los trámites y otros procedimientos administrativos - OPA de ADRES de conformidad con la estructura de la entidad y a su modelo de operación.</v>
      </c>
      <c r="BE279" s="529">
        <v>0</v>
      </c>
      <c r="BF279" s="1089">
        <v>0</v>
      </c>
      <c r="BG279" s="1054">
        <v>0</v>
      </c>
      <c r="BH279" s="1075" t="e">
        <f t="shared" si="255"/>
        <v>#DIV/0!</v>
      </c>
      <c r="BI279" s="1075" t="e">
        <f t="shared" si="272"/>
        <v>#DIV/0!</v>
      </c>
      <c r="BJ279" s="1075">
        <f t="shared" si="256"/>
        <v>1</v>
      </c>
      <c r="BK279" s="1075" t="e">
        <f t="shared" si="273"/>
        <v>#VALUE!</v>
      </c>
      <c r="BL279" s="1072"/>
      <c r="BM279" s="708" t="str">
        <f t="shared" si="257"/>
        <v>No Prog ni Ejec</v>
      </c>
      <c r="BN279" s="708" t="str">
        <f t="shared" si="274"/>
        <v>No Prog ni Ejec</v>
      </c>
      <c r="BO279" s="708">
        <f t="shared" si="258"/>
        <v>1</v>
      </c>
      <c r="BP279" s="708" t="str">
        <f t="shared" si="275"/>
        <v>No Prog, Ejec=   $                                - </v>
      </c>
      <c r="BQ279" s="708" t="str">
        <f t="shared" si="259"/>
        <v>No Prog ni Ejec</v>
      </c>
      <c r="BR279" s="708" t="str">
        <f t="shared" si="276"/>
        <v>No Prog ni Ejec</v>
      </c>
      <c r="BS279" s="708" t="str">
        <f t="shared" si="260"/>
        <v>No Prog ni Ejec</v>
      </c>
      <c r="BT279" s="829" t="str">
        <f t="shared" si="277"/>
        <v>No Prog ni Ejec</v>
      </c>
    </row>
    <row r="280" spans="1:72" s="958" customFormat="1" ht="165.75" x14ac:dyDescent="0.2">
      <c r="A280" s="1092">
        <v>11600</v>
      </c>
      <c r="B280" s="1068" t="s">
        <v>6</v>
      </c>
      <c r="C280" s="1068" t="s">
        <v>1340</v>
      </c>
      <c r="D280" s="1059" t="s">
        <v>267</v>
      </c>
      <c r="E280" s="1060" t="s">
        <v>256</v>
      </c>
      <c r="F280" s="1059" t="s">
        <v>1723</v>
      </c>
      <c r="G280" s="1068" t="s">
        <v>1714</v>
      </c>
      <c r="H280" s="1089" t="s">
        <v>124</v>
      </c>
      <c r="I280" s="1090">
        <v>1</v>
      </c>
      <c r="J280" s="1085" t="s">
        <v>1724</v>
      </c>
      <c r="K280" s="1068" t="s">
        <v>1716</v>
      </c>
      <c r="L280" s="529">
        <v>0</v>
      </c>
      <c r="M280" s="1078">
        <v>1</v>
      </c>
      <c r="N280" s="1068" t="s">
        <v>46</v>
      </c>
      <c r="O280" s="1068" t="s">
        <v>70</v>
      </c>
      <c r="P280" s="1068" t="s">
        <v>37</v>
      </c>
      <c r="Q280" s="1068" t="s">
        <v>38</v>
      </c>
      <c r="R280" s="1068" t="s">
        <v>792</v>
      </c>
      <c r="S280" s="1068" t="s">
        <v>1725</v>
      </c>
      <c r="T280" s="1068" t="s">
        <v>100</v>
      </c>
      <c r="U280" s="722">
        <v>1</v>
      </c>
      <c r="V280" s="1071" t="str">
        <f t="shared" si="261"/>
        <v>Desarrollar e implementar los trámites y otros procedimientos administrativos - OPA identificados, para así poner a disposición de los usuarios a través de la página web de la entidad.</v>
      </c>
      <c r="W280" s="699">
        <f t="shared" si="261"/>
        <v>0</v>
      </c>
      <c r="X280" s="1086" t="s">
        <v>117</v>
      </c>
      <c r="Y280" s="1090">
        <v>1</v>
      </c>
      <c r="Z280" s="1072" t="str">
        <f t="shared" si="262"/>
        <v>Desarrollar e implementar los trámites y otros procedimientos administrativos - OPA identificados, para así poner a disposición de los usuarios a través de la página web de la entidad.</v>
      </c>
      <c r="AA280" s="529">
        <v>0</v>
      </c>
      <c r="AB280" s="776"/>
      <c r="AC280" s="529"/>
      <c r="AD280" s="1069">
        <f t="shared" si="249"/>
        <v>0</v>
      </c>
      <c r="AE280" s="1069" t="e">
        <f t="shared" si="263"/>
        <v>#DIV/0!</v>
      </c>
      <c r="AF280" s="1069">
        <f t="shared" si="250"/>
        <v>0</v>
      </c>
      <c r="AG280" s="1069" t="e">
        <f t="shared" si="264"/>
        <v>#DIV/0!</v>
      </c>
      <c r="AH280" s="1068"/>
      <c r="AI280" s="1090">
        <v>0</v>
      </c>
      <c r="AJ280" s="1072" t="str">
        <f t="shared" si="265"/>
        <v>Desarrollar e implementar los trámites y otros procedimientos administrativos - OPA identificados, para así poner a disposición de los usuarios a través de la página web de la entidad.</v>
      </c>
      <c r="AK280" s="529">
        <v>0</v>
      </c>
      <c r="AL280" s="700"/>
      <c r="AM280" s="700"/>
      <c r="AN280" s="1069" t="e">
        <f t="shared" si="251"/>
        <v>#DIV/0!</v>
      </c>
      <c r="AO280" s="1069" t="e">
        <f t="shared" si="266"/>
        <v>#DIV/0!</v>
      </c>
      <c r="AP280" s="1069">
        <f t="shared" si="252"/>
        <v>0</v>
      </c>
      <c r="AQ280" s="1069" t="e">
        <f t="shared" si="267"/>
        <v>#DIV/0!</v>
      </c>
      <c r="AR280" s="845"/>
      <c r="AS280" s="1090">
        <v>0</v>
      </c>
      <c r="AT280" s="1072" t="str">
        <f t="shared" si="268"/>
        <v>Desarrollar e implementar los trámites y otros procedimientos administrativos - OPA identificados, para así poner a disposición de los usuarios a través de la página web de la entidad.</v>
      </c>
      <c r="AU280" s="529">
        <v>0</v>
      </c>
      <c r="AV280" s="700">
        <v>0</v>
      </c>
      <c r="AW280" s="1626">
        <v>0</v>
      </c>
      <c r="AX280" s="1069" t="e">
        <f t="shared" si="253"/>
        <v>#DIV/0!</v>
      </c>
      <c r="AY280" s="1069" t="e">
        <f t="shared" si="269"/>
        <v>#DIV/0!</v>
      </c>
      <c r="AZ280" s="1069">
        <f t="shared" si="254"/>
        <v>0</v>
      </c>
      <c r="BA280" s="1069" t="e">
        <f t="shared" si="270"/>
        <v>#DIV/0!</v>
      </c>
      <c r="BB280" s="1068" t="s">
        <v>2004</v>
      </c>
      <c r="BC280" s="1090">
        <v>0</v>
      </c>
      <c r="BD280" s="1072" t="str">
        <f t="shared" si="271"/>
        <v>Desarrollar e implementar los trámites y otros procedimientos administrativos - OPA identificados, para así poner a disposición de los usuarios a través de la página web de la entidad.</v>
      </c>
      <c r="BE280" s="529">
        <v>0</v>
      </c>
      <c r="BF280" s="1067">
        <v>1</v>
      </c>
      <c r="BG280" s="1054">
        <v>0</v>
      </c>
      <c r="BH280" s="1075" t="e">
        <f t="shared" si="255"/>
        <v>#DIV/0!</v>
      </c>
      <c r="BI280" s="1075" t="e">
        <f t="shared" si="272"/>
        <v>#DIV/0!</v>
      </c>
      <c r="BJ280" s="1075">
        <f t="shared" si="256"/>
        <v>1</v>
      </c>
      <c r="BK280" s="1075" t="e">
        <f t="shared" si="273"/>
        <v>#DIV/0!</v>
      </c>
      <c r="BL280" s="1048" t="s">
        <v>2118</v>
      </c>
      <c r="BM280" s="708">
        <f t="shared" si="257"/>
        <v>0</v>
      </c>
      <c r="BN280" s="708" t="str">
        <f t="shared" si="274"/>
        <v>No Prog ni Ejec</v>
      </c>
      <c r="BO280" s="708" t="str">
        <f t="shared" si="258"/>
        <v>No Prog ni Ejec</v>
      </c>
      <c r="BP280" s="708" t="str">
        <f t="shared" si="275"/>
        <v>No Prog ni Ejec</v>
      </c>
      <c r="BQ280" s="708" t="str">
        <f t="shared" si="259"/>
        <v>No Prog ni Ejec</v>
      </c>
      <c r="BR280" s="708" t="str">
        <f t="shared" si="276"/>
        <v>No Prog ni Ejec</v>
      </c>
      <c r="BS280" s="708" t="str">
        <f t="shared" si="260"/>
        <v>No Prog, Ejec=  1</v>
      </c>
      <c r="BT280" s="829" t="str">
        <f t="shared" si="277"/>
        <v>No Prog ni Ejec</v>
      </c>
    </row>
    <row r="281" spans="1:72" s="958" customFormat="1" ht="89.25" x14ac:dyDescent="0.2">
      <c r="A281" s="1092">
        <v>12000</v>
      </c>
      <c r="B281" s="1068" t="s">
        <v>831</v>
      </c>
      <c r="C281" s="1068" t="s">
        <v>1340</v>
      </c>
      <c r="D281" s="1059" t="s">
        <v>355</v>
      </c>
      <c r="E281" s="1060" t="s">
        <v>256</v>
      </c>
      <c r="F281" s="1059" t="s">
        <v>1726</v>
      </c>
      <c r="G281" s="1068" t="s">
        <v>1727</v>
      </c>
      <c r="H281" s="1089" t="s">
        <v>123</v>
      </c>
      <c r="I281" s="1075">
        <v>1</v>
      </c>
      <c r="J281" s="1085" t="s">
        <v>1728</v>
      </c>
      <c r="K281" s="1068" t="s">
        <v>1729</v>
      </c>
      <c r="L281" s="529">
        <v>0</v>
      </c>
      <c r="M281" s="1078">
        <v>1</v>
      </c>
      <c r="N281" s="1068" t="s">
        <v>46</v>
      </c>
      <c r="O281" s="1068" t="s">
        <v>70</v>
      </c>
      <c r="P281" s="1068" t="s">
        <v>37</v>
      </c>
      <c r="Q281" s="1068" t="s">
        <v>38</v>
      </c>
      <c r="R281" s="1068" t="s">
        <v>792</v>
      </c>
      <c r="S281" s="1068" t="s">
        <v>1730</v>
      </c>
      <c r="T281" s="1068" t="s">
        <v>100</v>
      </c>
      <c r="U281" s="741">
        <v>1</v>
      </c>
      <c r="V281" s="1071" t="str">
        <f t="shared" si="261"/>
        <v>Gestión ante el DAFP para inscripción en el SUIT, de los trámites identificados en ADRES</v>
      </c>
      <c r="W281" s="699">
        <f t="shared" si="261"/>
        <v>0</v>
      </c>
      <c r="X281" s="1086" t="s">
        <v>117</v>
      </c>
      <c r="Y281" s="1078">
        <v>0</v>
      </c>
      <c r="Z281" s="1072" t="str">
        <f t="shared" si="262"/>
        <v>Gestión ante el DAFP para inscripción en el SUIT, de los trámites identificados en ADRES</v>
      </c>
      <c r="AA281" s="529">
        <v>0</v>
      </c>
      <c r="AB281" s="776"/>
      <c r="AC281" s="529"/>
      <c r="AD281" s="1069" t="e">
        <f t="shared" si="249"/>
        <v>#DIV/0!</v>
      </c>
      <c r="AE281" s="1069" t="e">
        <f t="shared" si="263"/>
        <v>#DIV/0!</v>
      </c>
      <c r="AF281" s="1069">
        <f t="shared" si="250"/>
        <v>0</v>
      </c>
      <c r="AG281" s="1069" t="e">
        <f t="shared" si="264"/>
        <v>#DIV/0!</v>
      </c>
      <c r="AH281" s="1068"/>
      <c r="AI281" s="1078">
        <v>0</v>
      </c>
      <c r="AJ281" s="1072" t="str">
        <f t="shared" si="265"/>
        <v>Gestión ante el DAFP para inscripción en el SUIT, de los trámites identificados en ADRES</v>
      </c>
      <c r="AK281" s="529">
        <v>0</v>
      </c>
      <c r="AL281" s="700"/>
      <c r="AM281" s="700"/>
      <c r="AN281" s="1069" t="e">
        <f t="shared" si="251"/>
        <v>#DIV/0!</v>
      </c>
      <c r="AO281" s="1069" t="e">
        <f t="shared" si="266"/>
        <v>#DIV/0!</v>
      </c>
      <c r="AP281" s="1069">
        <f t="shared" si="252"/>
        <v>0</v>
      </c>
      <c r="AQ281" s="1069" t="e">
        <f t="shared" si="267"/>
        <v>#DIV/0!</v>
      </c>
      <c r="AR281" s="845"/>
      <c r="AS281" s="1078">
        <v>0</v>
      </c>
      <c r="AT281" s="1072" t="str">
        <f t="shared" si="268"/>
        <v>Gestión ante el DAFP para inscripción en el SUIT, de los trámites identificados en ADRES</v>
      </c>
      <c r="AU281" s="529">
        <v>0</v>
      </c>
      <c r="AV281" s="700">
        <v>0</v>
      </c>
      <c r="AW281" s="702">
        <v>0</v>
      </c>
      <c r="AX281" s="1069" t="e">
        <f t="shared" si="253"/>
        <v>#DIV/0!</v>
      </c>
      <c r="AY281" s="1069" t="e">
        <f t="shared" si="269"/>
        <v>#DIV/0!</v>
      </c>
      <c r="AZ281" s="1069">
        <f t="shared" si="254"/>
        <v>0</v>
      </c>
      <c r="BA281" s="1069" t="e">
        <f t="shared" si="270"/>
        <v>#DIV/0!</v>
      </c>
      <c r="BB281" s="845"/>
      <c r="BC281" s="1078">
        <v>1</v>
      </c>
      <c r="BD281" s="1072" t="str">
        <f t="shared" si="271"/>
        <v>Gestión ante el DAFP para inscripción en el SUIT, de los trámites identificados en ADRES</v>
      </c>
      <c r="BE281" s="529">
        <v>0</v>
      </c>
      <c r="BF281" s="943">
        <f>(5/5)*BC281</f>
        <v>1</v>
      </c>
      <c r="BG281" s="1054">
        <v>0</v>
      </c>
      <c r="BH281" s="1075">
        <f t="shared" si="255"/>
        <v>1</v>
      </c>
      <c r="BI281" s="1075" t="e">
        <f t="shared" si="272"/>
        <v>#DIV/0!</v>
      </c>
      <c r="BJ281" s="1075">
        <f t="shared" si="256"/>
        <v>1</v>
      </c>
      <c r="BK281" s="1075" t="e">
        <f t="shared" si="273"/>
        <v>#DIV/0!</v>
      </c>
      <c r="BL281" s="1053" t="s">
        <v>2062</v>
      </c>
      <c r="BM281" s="708" t="str">
        <f t="shared" si="257"/>
        <v>No Prog ni Ejec</v>
      </c>
      <c r="BN281" s="708" t="str">
        <f t="shared" si="274"/>
        <v>No Prog ni Ejec</v>
      </c>
      <c r="BO281" s="708" t="str">
        <f t="shared" si="258"/>
        <v>No Prog ni Ejec</v>
      </c>
      <c r="BP281" s="708" t="str">
        <f t="shared" si="275"/>
        <v>No Prog ni Ejec</v>
      </c>
      <c r="BQ281" s="708" t="str">
        <f t="shared" si="259"/>
        <v>No Prog ni Ejec</v>
      </c>
      <c r="BR281" s="708" t="str">
        <f t="shared" si="276"/>
        <v>No Prog ni Ejec</v>
      </c>
      <c r="BS281" s="708">
        <f t="shared" si="260"/>
        <v>1</v>
      </c>
      <c r="BT281" s="829" t="str">
        <f t="shared" si="277"/>
        <v>No Prog ni Ejec</v>
      </c>
    </row>
    <row r="282" spans="1:72" s="958" customFormat="1" ht="89.25" x14ac:dyDescent="0.2">
      <c r="A282" s="1091">
        <v>11400</v>
      </c>
      <c r="B282" s="1068" t="s">
        <v>26</v>
      </c>
      <c r="C282" s="1068" t="s">
        <v>1340</v>
      </c>
      <c r="D282" s="1059" t="s">
        <v>184</v>
      </c>
      <c r="E282" s="1060" t="s">
        <v>256</v>
      </c>
      <c r="F282" s="1059" t="s">
        <v>1731</v>
      </c>
      <c r="G282" s="1068" t="s">
        <v>1714</v>
      </c>
      <c r="H282" s="1089" t="s">
        <v>124</v>
      </c>
      <c r="I282" s="1090">
        <v>4</v>
      </c>
      <c r="J282" s="1085" t="s">
        <v>1732</v>
      </c>
      <c r="K282" s="1068" t="s">
        <v>1716</v>
      </c>
      <c r="L282" s="529">
        <v>0</v>
      </c>
      <c r="M282" s="1078">
        <v>1</v>
      </c>
      <c r="N282" s="1068" t="s">
        <v>46</v>
      </c>
      <c r="O282" s="1068" t="s">
        <v>70</v>
      </c>
      <c r="P282" s="1068" t="s">
        <v>37</v>
      </c>
      <c r="Q282" s="1068" t="s">
        <v>38</v>
      </c>
      <c r="R282" s="1068" t="s">
        <v>792</v>
      </c>
      <c r="S282" s="1068" t="s">
        <v>1717</v>
      </c>
      <c r="T282" s="1068" t="s">
        <v>100</v>
      </c>
      <c r="U282" s="1090">
        <v>4</v>
      </c>
      <c r="V282" s="1071" t="str">
        <f t="shared" si="261"/>
        <v>Desarrollar e implementar los trámites y otros procedimientos administrativos - OPA identificados, para así poner a disposición de los usuarios a través de la página web de la entidad.</v>
      </c>
      <c r="W282" s="699">
        <f t="shared" si="261"/>
        <v>0</v>
      </c>
      <c r="X282" s="1086" t="s">
        <v>117</v>
      </c>
      <c r="Y282" s="1090">
        <v>0</v>
      </c>
      <c r="Z282" s="1072" t="str">
        <f t="shared" si="262"/>
        <v>Desarrollar e implementar los trámites y otros procedimientos administrativos - OPA identificados, para así poner a disposición de los usuarios a través de la página web de la entidad.</v>
      </c>
      <c r="AA282" s="529">
        <v>0</v>
      </c>
      <c r="AB282" s="776"/>
      <c r="AC282" s="529"/>
      <c r="AD282" s="1069" t="e">
        <f t="shared" si="249"/>
        <v>#DIV/0!</v>
      </c>
      <c r="AE282" s="1069" t="e">
        <f t="shared" si="263"/>
        <v>#DIV/0!</v>
      </c>
      <c r="AF282" s="1069">
        <f t="shared" si="250"/>
        <v>0</v>
      </c>
      <c r="AG282" s="1069" t="e">
        <f t="shared" si="264"/>
        <v>#DIV/0!</v>
      </c>
      <c r="AH282" s="1068"/>
      <c r="AI282" s="1090">
        <v>0</v>
      </c>
      <c r="AJ282" s="1072" t="str">
        <f t="shared" si="265"/>
        <v>Desarrollar e implementar los trámites y otros procedimientos administrativos - OPA identificados, para así poner a disposición de los usuarios a través de la página web de la entidad.</v>
      </c>
      <c r="AK282" s="529">
        <v>0</v>
      </c>
      <c r="AL282" s="700"/>
      <c r="AM282" s="700"/>
      <c r="AN282" s="1069" t="e">
        <f t="shared" si="251"/>
        <v>#DIV/0!</v>
      </c>
      <c r="AO282" s="1069" t="e">
        <f t="shared" si="266"/>
        <v>#DIV/0!</v>
      </c>
      <c r="AP282" s="1069">
        <f t="shared" si="252"/>
        <v>0</v>
      </c>
      <c r="AQ282" s="1069" t="e">
        <f t="shared" si="267"/>
        <v>#DIV/0!</v>
      </c>
      <c r="AR282" s="845"/>
      <c r="AS282" s="1090">
        <v>0</v>
      </c>
      <c r="AT282" s="1072" t="str">
        <f t="shared" si="268"/>
        <v>Desarrollar e implementar los trámites y otros procedimientos administrativos - OPA identificados, para así poner a disposición de los usuarios a través de la página web de la entidad.</v>
      </c>
      <c r="AU282" s="529">
        <v>0</v>
      </c>
      <c r="AV282" s="700">
        <v>0</v>
      </c>
      <c r="AW282" s="739">
        <v>0</v>
      </c>
      <c r="AX282" s="1069" t="e">
        <f t="shared" si="253"/>
        <v>#DIV/0!</v>
      </c>
      <c r="AY282" s="1069" t="e">
        <f t="shared" si="269"/>
        <v>#DIV/0!</v>
      </c>
      <c r="AZ282" s="1069">
        <f t="shared" si="254"/>
        <v>0</v>
      </c>
      <c r="BA282" s="1069" t="e">
        <f t="shared" si="270"/>
        <v>#DIV/0!</v>
      </c>
      <c r="BB282" s="845"/>
      <c r="BC282" s="1090">
        <v>4</v>
      </c>
      <c r="BD282" s="1072" t="str">
        <f t="shared" si="271"/>
        <v>Desarrollar e implementar los trámites y otros procedimientos administrativos - OPA identificados, para así poner a disposición de los usuarios a través de la página web de la entidad.</v>
      </c>
      <c r="BE282" s="529">
        <v>0</v>
      </c>
      <c r="BF282" s="1089">
        <v>2</v>
      </c>
      <c r="BG282" s="1054">
        <v>0</v>
      </c>
      <c r="BH282" s="1075">
        <f t="shared" si="255"/>
        <v>0.5</v>
      </c>
      <c r="BI282" s="1075" t="e">
        <f t="shared" si="272"/>
        <v>#DIV/0!</v>
      </c>
      <c r="BJ282" s="1075">
        <f t="shared" si="256"/>
        <v>0.5</v>
      </c>
      <c r="BK282" s="1075" t="e">
        <f t="shared" si="273"/>
        <v>#DIV/0!</v>
      </c>
      <c r="BL282" s="1099" t="s">
        <v>2342</v>
      </c>
      <c r="BM282" s="708" t="str">
        <f t="shared" si="257"/>
        <v>No Prog ni Ejec</v>
      </c>
      <c r="BN282" s="708" t="str">
        <f t="shared" si="274"/>
        <v>No Prog ni Ejec</v>
      </c>
      <c r="BO282" s="708" t="str">
        <f t="shared" si="258"/>
        <v>No Prog ni Ejec</v>
      </c>
      <c r="BP282" s="708" t="str">
        <f t="shared" si="275"/>
        <v>No Prog ni Ejec</v>
      </c>
      <c r="BQ282" s="708" t="str">
        <f t="shared" si="259"/>
        <v>No Prog ni Ejec</v>
      </c>
      <c r="BR282" s="708" t="str">
        <f t="shared" si="276"/>
        <v>No Prog ni Ejec</v>
      </c>
      <c r="BS282" s="708">
        <f t="shared" si="260"/>
        <v>0.5</v>
      </c>
      <c r="BT282" s="829" t="str">
        <f t="shared" si="277"/>
        <v>No Prog ni Ejec</v>
      </c>
    </row>
    <row r="283" spans="1:72" s="958" customFormat="1" ht="89.25" x14ac:dyDescent="0.2">
      <c r="A283" s="1091">
        <v>11500</v>
      </c>
      <c r="B283" s="1068" t="s">
        <v>28</v>
      </c>
      <c r="C283" s="1068" t="s">
        <v>1340</v>
      </c>
      <c r="D283" s="1059" t="s">
        <v>260</v>
      </c>
      <c r="E283" s="1060" t="s">
        <v>256</v>
      </c>
      <c r="F283" s="1059" t="s">
        <v>1733</v>
      </c>
      <c r="G283" s="1068" t="s">
        <v>1714</v>
      </c>
      <c r="H283" s="1089" t="s">
        <v>123</v>
      </c>
      <c r="I283" s="1090">
        <v>3</v>
      </c>
      <c r="J283" s="1085" t="s">
        <v>1734</v>
      </c>
      <c r="K283" s="1068" t="s">
        <v>1716</v>
      </c>
      <c r="L283" s="529">
        <v>0</v>
      </c>
      <c r="M283" s="1078">
        <v>1</v>
      </c>
      <c r="N283" s="1068" t="s">
        <v>46</v>
      </c>
      <c r="O283" s="1068" t="s">
        <v>70</v>
      </c>
      <c r="P283" s="1068" t="s">
        <v>37</v>
      </c>
      <c r="Q283" s="1068" t="s">
        <v>38</v>
      </c>
      <c r="R283" s="1068" t="s">
        <v>792</v>
      </c>
      <c r="S283" s="1068" t="s">
        <v>1717</v>
      </c>
      <c r="T283" s="1068" t="s">
        <v>101</v>
      </c>
      <c r="U283" s="1090">
        <v>3</v>
      </c>
      <c r="V283" s="1071" t="str">
        <f t="shared" si="261"/>
        <v>Desarrollar e implementar los trámites y otros procedimientos administrativos - OPA identificados, para así poner a disposición de los usuarios a través de la página web de la entidad.</v>
      </c>
      <c r="W283" s="699">
        <f t="shared" si="261"/>
        <v>0</v>
      </c>
      <c r="X283" s="1086" t="s">
        <v>117</v>
      </c>
      <c r="Y283" s="1090">
        <v>0</v>
      </c>
      <c r="Z283" s="1072" t="str">
        <f t="shared" si="262"/>
        <v>Desarrollar e implementar los trámites y otros procedimientos administrativos - OPA identificados, para así poner a disposición de los usuarios a través de la página web de la entidad.</v>
      </c>
      <c r="AA283" s="529">
        <v>0</v>
      </c>
      <c r="AB283" s="776"/>
      <c r="AC283" s="529"/>
      <c r="AD283" s="1069" t="e">
        <f t="shared" si="249"/>
        <v>#DIV/0!</v>
      </c>
      <c r="AE283" s="1069" t="e">
        <f t="shared" si="263"/>
        <v>#DIV/0!</v>
      </c>
      <c r="AF283" s="1069">
        <f t="shared" si="250"/>
        <v>0</v>
      </c>
      <c r="AG283" s="1069" t="e">
        <f t="shared" si="264"/>
        <v>#DIV/0!</v>
      </c>
      <c r="AH283" s="1068"/>
      <c r="AI283" s="1090">
        <v>0</v>
      </c>
      <c r="AJ283" s="1072" t="str">
        <f t="shared" si="265"/>
        <v>Desarrollar e implementar los trámites y otros procedimientos administrativos - OPA identificados, para así poner a disposición de los usuarios a través de la página web de la entidad.</v>
      </c>
      <c r="AK283" s="529">
        <v>0</v>
      </c>
      <c r="AL283" s="700"/>
      <c r="AM283" s="700"/>
      <c r="AN283" s="1069" t="e">
        <f t="shared" si="251"/>
        <v>#DIV/0!</v>
      </c>
      <c r="AO283" s="1069" t="e">
        <f t="shared" si="266"/>
        <v>#DIV/0!</v>
      </c>
      <c r="AP283" s="1069">
        <f t="shared" si="252"/>
        <v>0</v>
      </c>
      <c r="AQ283" s="1069" t="e">
        <f t="shared" si="267"/>
        <v>#DIV/0!</v>
      </c>
      <c r="AR283" s="845"/>
      <c r="AS283" s="1090">
        <v>0</v>
      </c>
      <c r="AT283" s="1072" t="str">
        <f t="shared" si="268"/>
        <v>Desarrollar e implementar los trámites y otros procedimientos administrativos - OPA identificados, para así poner a disposición de los usuarios a través de la página web de la entidad.</v>
      </c>
      <c r="AU283" s="529">
        <v>0</v>
      </c>
      <c r="AV283" s="700">
        <v>0</v>
      </c>
      <c r="AW283" s="702">
        <v>0</v>
      </c>
      <c r="AX283" s="1069" t="e">
        <f t="shared" si="253"/>
        <v>#DIV/0!</v>
      </c>
      <c r="AY283" s="1069" t="e">
        <f t="shared" si="269"/>
        <v>#DIV/0!</v>
      </c>
      <c r="AZ283" s="1069">
        <f t="shared" si="254"/>
        <v>0</v>
      </c>
      <c r="BA283" s="1069" t="e">
        <f t="shared" si="270"/>
        <v>#DIV/0!</v>
      </c>
      <c r="BB283" s="1068" t="s">
        <v>1950</v>
      </c>
      <c r="BC283" s="1090">
        <v>3</v>
      </c>
      <c r="BD283" s="1072" t="str">
        <f t="shared" si="271"/>
        <v>Desarrollar e implementar los trámites y otros procedimientos administrativos - OPA identificados, para así poner a disposición de los usuarios a través de la página web de la entidad.</v>
      </c>
      <c r="BE283" s="529">
        <v>0</v>
      </c>
      <c r="BF283" s="1089">
        <v>1</v>
      </c>
      <c r="BG283" s="1054">
        <v>0</v>
      </c>
      <c r="BH283" s="1075">
        <f t="shared" si="255"/>
        <v>0.33333333333333331</v>
      </c>
      <c r="BI283" s="1075" t="e">
        <f t="shared" si="272"/>
        <v>#DIV/0!</v>
      </c>
      <c r="BJ283" s="1075">
        <f t="shared" si="256"/>
        <v>0.33333333333333331</v>
      </c>
      <c r="BK283" s="1075" t="e">
        <f t="shared" si="273"/>
        <v>#DIV/0!</v>
      </c>
      <c r="BL283" s="1068" t="s">
        <v>2284</v>
      </c>
      <c r="BM283" s="708" t="str">
        <f t="shared" si="257"/>
        <v>No Prog ni Ejec</v>
      </c>
      <c r="BN283" s="708" t="str">
        <f t="shared" si="274"/>
        <v>No Prog ni Ejec</v>
      </c>
      <c r="BO283" s="708" t="str">
        <f t="shared" si="258"/>
        <v>No Prog ni Ejec</v>
      </c>
      <c r="BP283" s="708" t="str">
        <f t="shared" si="275"/>
        <v>No Prog ni Ejec</v>
      </c>
      <c r="BQ283" s="708" t="str">
        <f t="shared" si="259"/>
        <v>No Prog ni Ejec</v>
      </c>
      <c r="BR283" s="708" t="str">
        <f t="shared" si="276"/>
        <v>No Prog ni Ejec</v>
      </c>
      <c r="BS283" s="708">
        <f t="shared" si="260"/>
        <v>0.33333333333333331</v>
      </c>
      <c r="BT283" s="829" t="str">
        <f t="shared" si="277"/>
        <v>No Prog ni Ejec</v>
      </c>
    </row>
    <row r="284" spans="1:72" s="958" customFormat="1" ht="191.25" x14ac:dyDescent="0.2">
      <c r="A284" s="1092">
        <v>11700</v>
      </c>
      <c r="B284" s="1060" t="s">
        <v>29</v>
      </c>
      <c r="C284" s="1068" t="s">
        <v>1340</v>
      </c>
      <c r="D284" s="1059" t="s">
        <v>328</v>
      </c>
      <c r="E284" s="1060" t="s">
        <v>256</v>
      </c>
      <c r="F284" s="1059" t="s">
        <v>1735</v>
      </c>
      <c r="G284" s="1068" t="s">
        <v>1736</v>
      </c>
      <c r="H284" s="1089" t="s">
        <v>124</v>
      </c>
      <c r="I284" s="1090">
        <v>1</v>
      </c>
      <c r="J284" s="1085" t="s">
        <v>1737</v>
      </c>
      <c r="K284" s="1068" t="s">
        <v>1738</v>
      </c>
      <c r="L284" s="529">
        <v>0</v>
      </c>
      <c r="M284" s="1078">
        <v>1</v>
      </c>
      <c r="N284" s="1068" t="s">
        <v>46</v>
      </c>
      <c r="O284" s="1068" t="s">
        <v>70</v>
      </c>
      <c r="P284" s="1068" t="s">
        <v>37</v>
      </c>
      <c r="Q284" s="1068" t="s">
        <v>38</v>
      </c>
      <c r="R284" s="1068" t="s">
        <v>792</v>
      </c>
      <c r="S284" s="1068" t="s">
        <v>1739</v>
      </c>
      <c r="T284" s="1068" t="s">
        <v>100</v>
      </c>
      <c r="U284" s="1090">
        <v>1</v>
      </c>
      <c r="V284" s="1071" t="str">
        <f t="shared" si="261"/>
        <v>Realizar un diagnóstico y análisis de los trámites y otros procedimientos administrativos – OPA´s, de la entidad para su priorización.</v>
      </c>
      <c r="W284" s="699">
        <f t="shared" si="261"/>
        <v>0</v>
      </c>
      <c r="X284" s="1086" t="s">
        <v>117</v>
      </c>
      <c r="Y284" s="722">
        <v>0</v>
      </c>
      <c r="Z284" s="1072" t="str">
        <f t="shared" si="262"/>
        <v>Realizar un diagnóstico y análisis de los trámites y otros procedimientos administrativos – OPA´s, de la entidad para su priorización.</v>
      </c>
      <c r="AA284" s="529">
        <v>0</v>
      </c>
      <c r="AB284" s="776"/>
      <c r="AC284" s="529"/>
      <c r="AD284" s="1069" t="e">
        <f t="shared" si="249"/>
        <v>#DIV/0!</v>
      </c>
      <c r="AE284" s="1069" t="e">
        <f t="shared" si="263"/>
        <v>#DIV/0!</v>
      </c>
      <c r="AF284" s="1069">
        <f t="shared" si="250"/>
        <v>0</v>
      </c>
      <c r="AG284" s="1069" t="e">
        <f t="shared" si="264"/>
        <v>#DIV/0!</v>
      </c>
      <c r="AH284" s="1068"/>
      <c r="AI284" s="1090">
        <v>0</v>
      </c>
      <c r="AJ284" s="1072" t="str">
        <f t="shared" si="265"/>
        <v>Realizar un diagnóstico y análisis de los trámites y otros procedimientos administrativos – OPA´s, de la entidad para su priorización.</v>
      </c>
      <c r="AK284" s="529">
        <v>0</v>
      </c>
      <c r="AL284" s="700"/>
      <c r="AM284" s="700"/>
      <c r="AN284" s="1069" t="e">
        <f t="shared" si="251"/>
        <v>#DIV/0!</v>
      </c>
      <c r="AO284" s="1069" t="e">
        <f t="shared" si="266"/>
        <v>#DIV/0!</v>
      </c>
      <c r="AP284" s="1069">
        <f t="shared" si="252"/>
        <v>0</v>
      </c>
      <c r="AQ284" s="1069" t="e">
        <f t="shared" si="267"/>
        <v>#DIV/0!</v>
      </c>
      <c r="AR284" s="845"/>
      <c r="AS284" s="1090">
        <v>0</v>
      </c>
      <c r="AT284" s="1072" t="str">
        <f t="shared" si="268"/>
        <v>Realizar un diagnóstico y análisis de los trámites y otros procedimientos administrativos – OPA´s, de la entidad para su priorización.</v>
      </c>
      <c r="AU284" s="529">
        <v>0</v>
      </c>
      <c r="AV284" s="825">
        <v>0</v>
      </c>
      <c r="AW284" s="739">
        <v>0</v>
      </c>
      <c r="AX284" s="1069" t="e">
        <f t="shared" si="253"/>
        <v>#DIV/0!</v>
      </c>
      <c r="AY284" s="1069" t="e">
        <f t="shared" si="269"/>
        <v>#DIV/0!</v>
      </c>
      <c r="AZ284" s="1069">
        <f t="shared" si="254"/>
        <v>0</v>
      </c>
      <c r="BA284" s="1069" t="e">
        <f t="shared" si="270"/>
        <v>#DIV/0!</v>
      </c>
      <c r="BB284" s="857"/>
      <c r="BC284" s="1090">
        <v>1</v>
      </c>
      <c r="BD284" s="1072" t="str">
        <f t="shared" si="271"/>
        <v>Realizar un diagnóstico y análisis de los trámites y otros procedimientos administrativos – OPA´s, de la entidad para su priorización.</v>
      </c>
      <c r="BE284" s="529">
        <v>0</v>
      </c>
      <c r="BF284" s="1089">
        <v>1</v>
      </c>
      <c r="BG284" s="1054">
        <v>0</v>
      </c>
      <c r="BH284" s="1075">
        <f t="shared" si="255"/>
        <v>1</v>
      </c>
      <c r="BI284" s="1075" t="e">
        <f t="shared" si="272"/>
        <v>#DIV/0!</v>
      </c>
      <c r="BJ284" s="1075">
        <f t="shared" si="256"/>
        <v>1</v>
      </c>
      <c r="BK284" s="1075" t="e">
        <f t="shared" si="273"/>
        <v>#DIV/0!</v>
      </c>
      <c r="BL284" s="1053" t="s">
        <v>2293</v>
      </c>
      <c r="BM284" s="708" t="str">
        <f t="shared" si="257"/>
        <v>No Prog ni Ejec</v>
      </c>
      <c r="BN284" s="708" t="str">
        <f t="shared" si="274"/>
        <v>No Prog ni Ejec</v>
      </c>
      <c r="BO284" s="708" t="str">
        <f t="shared" si="258"/>
        <v>No Prog ni Ejec</v>
      </c>
      <c r="BP284" s="708" t="str">
        <f t="shared" si="275"/>
        <v>No Prog ni Ejec</v>
      </c>
      <c r="BQ284" s="708" t="str">
        <f t="shared" si="259"/>
        <v>No Prog ni Ejec</v>
      </c>
      <c r="BR284" s="708" t="str">
        <f t="shared" si="276"/>
        <v>No Prog ni Ejec</v>
      </c>
      <c r="BS284" s="708">
        <f t="shared" si="260"/>
        <v>1</v>
      </c>
      <c r="BT284" s="829" t="str">
        <f t="shared" si="277"/>
        <v>No Prog ni Ejec</v>
      </c>
    </row>
    <row r="285" spans="1:72" s="958" customFormat="1" ht="89.25" x14ac:dyDescent="0.2">
      <c r="A285" s="1092">
        <v>11700</v>
      </c>
      <c r="B285" s="1060" t="s">
        <v>29</v>
      </c>
      <c r="C285" s="1068" t="s">
        <v>1740</v>
      </c>
      <c r="D285" s="1059" t="s">
        <v>328</v>
      </c>
      <c r="E285" s="1060" t="s">
        <v>256</v>
      </c>
      <c r="F285" s="1059" t="s">
        <v>1741</v>
      </c>
      <c r="G285" s="1068" t="s">
        <v>1861</v>
      </c>
      <c r="H285" s="1068" t="s">
        <v>123</v>
      </c>
      <c r="I285" s="1078">
        <v>1</v>
      </c>
      <c r="J285" s="1059" t="s">
        <v>1742</v>
      </c>
      <c r="K285" s="1068" t="s">
        <v>1743</v>
      </c>
      <c r="L285" s="735">
        <v>0</v>
      </c>
      <c r="M285" s="1078">
        <v>1</v>
      </c>
      <c r="N285" s="1068" t="s">
        <v>48</v>
      </c>
      <c r="O285" s="1068" t="s">
        <v>61</v>
      </c>
      <c r="P285" s="1068" t="s">
        <v>37</v>
      </c>
      <c r="Q285" s="1068" t="s">
        <v>40</v>
      </c>
      <c r="R285" s="1068" t="s">
        <v>221</v>
      </c>
      <c r="S285" s="1068" t="s">
        <v>1744</v>
      </c>
      <c r="T285" s="1068" t="s">
        <v>107</v>
      </c>
      <c r="U285" s="1075">
        <v>1</v>
      </c>
      <c r="V285" s="1071" t="str">
        <f>+K285</f>
        <v>Elaborar, revisar las TRD por parte de la dependencias de la ADRES, para aprobación  del Comité Institucional de Gestión y Desempeño</v>
      </c>
      <c r="W285" s="1640">
        <f>+L285</f>
        <v>0</v>
      </c>
      <c r="X285" s="1086" t="s">
        <v>117</v>
      </c>
      <c r="Y285" s="1075">
        <v>0</v>
      </c>
      <c r="Z285" s="1071" t="str">
        <f t="shared" ref="Z285:Z292" si="278">+V285</f>
        <v>Elaborar, revisar las TRD por parte de la dependencias de la ADRES, para aprobación  del Comité Institucional de Gestión y Desempeño</v>
      </c>
      <c r="AA285" s="529">
        <v>0</v>
      </c>
      <c r="AB285" s="700"/>
      <c r="AC285" s="700"/>
      <c r="AD285" s="1069" t="e">
        <f t="shared" si="249"/>
        <v>#DIV/0!</v>
      </c>
      <c r="AE285" s="1069" t="e">
        <f t="shared" si="263"/>
        <v>#DIV/0!</v>
      </c>
      <c r="AF285" s="1069">
        <f t="shared" si="250"/>
        <v>0</v>
      </c>
      <c r="AG285" s="1069" t="e">
        <f t="shared" si="264"/>
        <v>#DIV/0!</v>
      </c>
      <c r="AH285" s="1653"/>
      <c r="AI285" s="1075">
        <v>0</v>
      </c>
      <c r="AJ285" s="1071" t="str">
        <f>+Z285</f>
        <v>Elaborar, revisar las TRD por parte de la dependencias de la ADRES, para aprobación  del Comité Institucional de Gestión y Desempeño</v>
      </c>
      <c r="AK285" s="529">
        <v>0</v>
      </c>
      <c r="AL285" s="700"/>
      <c r="AM285" s="700"/>
      <c r="AN285" s="1069" t="e">
        <f t="shared" si="251"/>
        <v>#DIV/0!</v>
      </c>
      <c r="AO285" s="1069" t="e">
        <f t="shared" si="266"/>
        <v>#DIV/0!</v>
      </c>
      <c r="AP285" s="1069">
        <f t="shared" si="252"/>
        <v>0</v>
      </c>
      <c r="AQ285" s="1069" t="e">
        <f t="shared" si="267"/>
        <v>#DIV/0!</v>
      </c>
      <c r="AR285" s="1086"/>
      <c r="AS285" s="1075">
        <v>0</v>
      </c>
      <c r="AT285" s="1071" t="str">
        <f>+V285</f>
        <v>Elaborar, revisar las TRD por parte de la dependencias de la ADRES, para aprobación  del Comité Institucional de Gestión y Desempeño</v>
      </c>
      <c r="AU285" s="529">
        <v>0</v>
      </c>
      <c r="AV285" s="1634">
        <f>8/8</f>
        <v>1</v>
      </c>
      <c r="AW285" s="825" t="s">
        <v>1896</v>
      </c>
      <c r="AX285" s="1069" t="e">
        <f t="shared" si="253"/>
        <v>#DIV/0!</v>
      </c>
      <c r="AY285" s="1069" t="e">
        <f t="shared" si="269"/>
        <v>#VALUE!</v>
      </c>
      <c r="AZ285" s="1069">
        <f t="shared" si="254"/>
        <v>1</v>
      </c>
      <c r="BA285" s="1069" t="e">
        <f t="shared" si="270"/>
        <v>#VALUE!</v>
      </c>
      <c r="BB285" s="1086" t="s">
        <v>2022</v>
      </c>
      <c r="BC285" s="1075">
        <v>1</v>
      </c>
      <c r="BD285" s="1071" t="str">
        <f>+V285</f>
        <v>Elaborar, revisar las TRD por parte de la dependencias de la ADRES, para aprobación  del Comité Institucional de Gestión y Desempeño</v>
      </c>
      <c r="BE285" s="529">
        <v>0</v>
      </c>
      <c r="BF285" s="943">
        <v>0</v>
      </c>
      <c r="BG285" s="1054">
        <v>0</v>
      </c>
      <c r="BH285" s="1075">
        <f t="shared" si="255"/>
        <v>0</v>
      </c>
      <c r="BI285" s="1075" t="e">
        <f t="shared" si="272"/>
        <v>#DIV/0!</v>
      </c>
      <c r="BJ285" s="1075">
        <f t="shared" si="256"/>
        <v>1</v>
      </c>
      <c r="BK285" s="1075" t="e">
        <f t="shared" si="273"/>
        <v>#VALUE!</v>
      </c>
      <c r="BL285" s="1086" t="s">
        <v>2233</v>
      </c>
      <c r="BM285" s="708" t="str">
        <f t="shared" si="257"/>
        <v>No Prog ni Ejec</v>
      </c>
      <c r="BN285" s="708" t="str">
        <f t="shared" si="274"/>
        <v>No Prog ni Ejec</v>
      </c>
      <c r="BO285" s="708" t="str">
        <f t="shared" si="258"/>
        <v>No Prog ni Ejec</v>
      </c>
      <c r="BP285" s="708" t="str">
        <f t="shared" si="275"/>
        <v>No Prog ni Ejec</v>
      </c>
      <c r="BQ285" s="708" t="str">
        <f t="shared" si="259"/>
        <v>No Prog, Ejec=  1</v>
      </c>
      <c r="BR285" s="708" t="str">
        <f t="shared" si="276"/>
        <v>No Prog, Ejec=   $                                - </v>
      </c>
      <c r="BS285" s="708">
        <f t="shared" si="260"/>
        <v>0</v>
      </c>
      <c r="BT285" s="829" t="str">
        <f t="shared" si="277"/>
        <v>No Prog ni Ejec</v>
      </c>
    </row>
    <row r="286" spans="1:72" s="958" customFormat="1" ht="153" x14ac:dyDescent="0.2">
      <c r="A286" s="1092">
        <v>11700</v>
      </c>
      <c r="B286" s="1060" t="s">
        <v>29</v>
      </c>
      <c r="C286" s="1068" t="s">
        <v>1740</v>
      </c>
      <c r="D286" s="1059" t="s">
        <v>328</v>
      </c>
      <c r="E286" s="1060" t="s">
        <v>256</v>
      </c>
      <c r="F286" s="1059" t="s">
        <v>1745</v>
      </c>
      <c r="G286" s="1068" t="s">
        <v>1746</v>
      </c>
      <c r="H286" s="1068" t="s">
        <v>123</v>
      </c>
      <c r="I286" s="1078">
        <v>1</v>
      </c>
      <c r="J286" s="1059" t="s">
        <v>1747</v>
      </c>
      <c r="K286" s="1068" t="s">
        <v>1748</v>
      </c>
      <c r="L286" s="782">
        <v>120000000</v>
      </c>
      <c r="M286" s="1078">
        <v>1</v>
      </c>
      <c r="N286" s="1068" t="s">
        <v>48</v>
      </c>
      <c r="O286" s="1068" t="s">
        <v>61</v>
      </c>
      <c r="P286" s="1068" t="s">
        <v>37</v>
      </c>
      <c r="Q286" s="1068" t="s">
        <v>40</v>
      </c>
      <c r="R286" s="1068" t="s">
        <v>221</v>
      </c>
      <c r="S286" s="1068" t="s">
        <v>1749</v>
      </c>
      <c r="T286" s="1068" t="s">
        <v>99</v>
      </c>
      <c r="U286" s="1075">
        <v>1</v>
      </c>
      <c r="V286" s="1071" t="str">
        <f>+K286</f>
        <v xml:space="preserve">Organizar y transferir las unidades documentales del archivo de gestión ubicados en las instalaciones de la ADRES, anteriores a 30 de septiembre de 2018, con excepción de los expedientes jurídicos. </v>
      </c>
      <c r="W286" s="735">
        <f>+L286</f>
        <v>120000000</v>
      </c>
      <c r="X286" s="998" t="s">
        <v>114</v>
      </c>
      <c r="Y286" s="1075">
        <v>0</v>
      </c>
      <c r="Z286" s="1071" t="str">
        <f t="shared" si="278"/>
        <v xml:space="preserve">Organizar y transferir las unidades documentales del archivo de gestión ubicados en las instalaciones de la ADRES, anteriores a 30 de septiembre de 2018, con excepción de los expedientes jurídicos. </v>
      </c>
      <c r="AA286" s="529">
        <v>0</v>
      </c>
      <c r="AB286" s="700"/>
      <c r="AC286" s="700"/>
      <c r="AD286" s="1069" t="e">
        <f t="shared" si="249"/>
        <v>#DIV/0!</v>
      </c>
      <c r="AE286" s="1069" t="e">
        <f t="shared" si="263"/>
        <v>#DIV/0!</v>
      </c>
      <c r="AF286" s="1069">
        <f t="shared" si="250"/>
        <v>0</v>
      </c>
      <c r="AG286" s="1069">
        <f t="shared" si="264"/>
        <v>0</v>
      </c>
      <c r="AH286" s="1086"/>
      <c r="AI286" s="1075">
        <v>0</v>
      </c>
      <c r="AJ286" s="1071" t="str">
        <f>+V286</f>
        <v xml:space="preserve">Organizar y transferir las unidades documentales del archivo de gestión ubicados en las instalaciones de la ADRES, anteriores a 30 de septiembre de 2018, con excepción de los expedientes jurídicos. </v>
      </c>
      <c r="AK286" s="529">
        <v>0</v>
      </c>
      <c r="AL286" s="700"/>
      <c r="AM286" s="700"/>
      <c r="AN286" s="1069" t="e">
        <f t="shared" si="251"/>
        <v>#DIV/0!</v>
      </c>
      <c r="AO286" s="1069" t="e">
        <f t="shared" si="266"/>
        <v>#DIV/0!</v>
      </c>
      <c r="AP286" s="1069">
        <f t="shared" si="252"/>
        <v>0</v>
      </c>
      <c r="AQ286" s="1069">
        <f t="shared" si="267"/>
        <v>0</v>
      </c>
      <c r="AR286" s="1086"/>
      <c r="AS286" s="1075">
        <v>0.5</v>
      </c>
      <c r="AT286" s="1071" t="str">
        <f>+V286</f>
        <v xml:space="preserve">Organizar y transferir las unidades documentales del archivo de gestión ubicados en las instalaciones de la ADRES, anteriores a 30 de septiembre de 2018, con excepción de los expedientes jurídicos. </v>
      </c>
      <c r="AU286" s="529">
        <v>60000000</v>
      </c>
      <c r="AV286" s="701">
        <f>(25014/49576)*AS286</f>
        <v>0.25227932870743908</v>
      </c>
      <c r="AW286" s="702">
        <v>18047889</v>
      </c>
      <c r="AX286" s="1069">
        <f t="shared" si="253"/>
        <v>0.50455865741487815</v>
      </c>
      <c r="AY286" s="1069">
        <f t="shared" si="269"/>
        <v>0.30079814999999999</v>
      </c>
      <c r="AZ286" s="1069">
        <f t="shared" si="254"/>
        <v>0.25227932870743908</v>
      </c>
      <c r="BA286" s="1069">
        <f t="shared" si="270"/>
        <v>0.15039907499999999</v>
      </c>
      <c r="BB286" s="1068" t="s">
        <v>2343</v>
      </c>
      <c r="BC286" s="1075">
        <v>0.5</v>
      </c>
      <c r="BD286" s="1071" t="str">
        <f>+V286</f>
        <v xml:space="preserve">Organizar y transferir las unidades documentales del archivo de gestión ubicados en las instalaciones de la ADRES, anteriores a 30 de septiembre de 2018, con excepción de los expedientes jurídicos. </v>
      </c>
      <c r="BE286" s="529">
        <v>60000000</v>
      </c>
      <c r="BF286" s="943">
        <f>(24150/49576)*BC286</f>
        <v>0.24356543488784896</v>
      </c>
      <c r="BG286" s="1054">
        <v>49096506</v>
      </c>
      <c r="BH286" s="1075">
        <f t="shared" si="255"/>
        <v>0.48713086977569792</v>
      </c>
      <c r="BI286" s="1075">
        <f t="shared" si="272"/>
        <v>0.81827510000000003</v>
      </c>
      <c r="BJ286" s="1075">
        <f t="shared" si="256"/>
        <v>0.49584476359528806</v>
      </c>
      <c r="BK286" s="1075">
        <f t="shared" si="273"/>
        <v>0.55953662500000001</v>
      </c>
      <c r="BL286" s="1086"/>
      <c r="BM286" s="708" t="str">
        <f t="shared" si="257"/>
        <v>No Prog ni Ejec</v>
      </c>
      <c r="BN286" s="708" t="str">
        <f t="shared" si="274"/>
        <v>No Prog ni Ejec</v>
      </c>
      <c r="BO286" s="708" t="str">
        <f t="shared" si="258"/>
        <v>No Prog ni Ejec</v>
      </c>
      <c r="BP286" s="708" t="str">
        <f t="shared" si="275"/>
        <v>No Prog ni Ejec</v>
      </c>
      <c r="BQ286" s="708">
        <f t="shared" si="259"/>
        <v>0.50455865741487815</v>
      </c>
      <c r="BR286" s="708">
        <f t="shared" si="276"/>
        <v>0.30079814999999999</v>
      </c>
      <c r="BS286" s="708">
        <f t="shared" si="260"/>
        <v>0.48713086977569792</v>
      </c>
      <c r="BT286" s="829">
        <f t="shared" si="277"/>
        <v>0.81827510000000003</v>
      </c>
    </row>
    <row r="287" spans="1:72" s="958" customFormat="1" ht="89.25" x14ac:dyDescent="0.2">
      <c r="A287" s="1092">
        <v>11700</v>
      </c>
      <c r="B287" s="1060" t="s">
        <v>29</v>
      </c>
      <c r="C287" s="1068" t="s">
        <v>1740</v>
      </c>
      <c r="D287" s="1059" t="s">
        <v>328</v>
      </c>
      <c r="E287" s="1060" t="s">
        <v>256</v>
      </c>
      <c r="F287" s="1059" t="s">
        <v>1750</v>
      </c>
      <c r="G287" s="1068" t="s">
        <v>1751</v>
      </c>
      <c r="H287" s="1068" t="s">
        <v>124</v>
      </c>
      <c r="I287" s="783">
        <v>1</v>
      </c>
      <c r="J287" s="1059" t="s">
        <v>1752</v>
      </c>
      <c r="K287" s="1068" t="s">
        <v>1753</v>
      </c>
      <c r="L287" s="735">
        <v>0</v>
      </c>
      <c r="M287" s="1078">
        <v>1</v>
      </c>
      <c r="N287" s="1068" t="s">
        <v>48</v>
      </c>
      <c r="O287" s="1068" t="s">
        <v>61</v>
      </c>
      <c r="P287" s="1068" t="s">
        <v>37</v>
      </c>
      <c r="Q287" s="1068" t="s">
        <v>40</v>
      </c>
      <c r="R287" s="1068" t="s">
        <v>221</v>
      </c>
      <c r="S287" s="1068" t="s">
        <v>1754</v>
      </c>
      <c r="T287" s="1068" t="s">
        <v>99</v>
      </c>
      <c r="U287" s="1075">
        <v>1</v>
      </c>
      <c r="V287" s="1071" t="str">
        <f>+K287</f>
        <v>Proponer, presentar y aprobar las mejoras del Sistema de Gestión Documental para reducir el uso del papel e incorporar los instrumentos archivísticos a que haya lugar.</v>
      </c>
      <c r="W287" s="735">
        <v>0</v>
      </c>
      <c r="X287" s="1086" t="s">
        <v>117</v>
      </c>
      <c r="Y287" s="1090">
        <v>0</v>
      </c>
      <c r="Z287" s="1071" t="str">
        <f t="shared" si="278"/>
        <v>Proponer, presentar y aprobar las mejoras del Sistema de Gestión Documental para reducir el uso del papel e incorporar los instrumentos archivísticos a que haya lugar.</v>
      </c>
      <c r="AA287" s="529">
        <v>0</v>
      </c>
      <c r="AB287" s="700"/>
      <c r="AC287" s="700"/>
      <c r="AD287" s="1069" t="e">
        <f t="shared" si="249"/>
        <v>#DIV/0!</v>
      </c>
      <c r="AE287" s="1069" t="e">
        <f t="shared" si="263"/>
        <v>#DIV/0!</v>
      </c>
      <c r="AF287" s="1069">
        <f t="shared" si="250"/>
        <v>0</v>
      </c>
      <c r="AG287" s="1069" t="e">
        <f t="shared" si="264"/>
        <v>#DIV/0!</v>
      </c>
      <c r="AH287" s="1086"/>
      <c r="AI287" s="1090">
        <v>0</v>
      </c>
      <c r="AJ287" s="1071" t="str">
        <f>+V287</f>
        <v>Proponer, presentar y aprobar las mejoras del Sistema de Gestión Documental para reducir el uso del papel e incorporar los instrumentos archivísticos a que haya lugar.</v>
      </c>
      <c r="AK287" s="529">
        <v>0</v>
      </c>
      <c r="AL287" s="700"/>
      <c r="AM287" s="700"/>
      <c r="AN287" s="1069" t="e">
        <f t="shared" si="251"/>
        <v>#DIV/0!</v>
      </c>
      <c r="AO287" s="1069" t="e">
        <f t="shared" si="266"/>
        <v>#DIV/0!</v>
      </c>
      <c r="AP287" s="1069">
        <f t="shared" si="252"/>
        <v>0</v>
      </c>
      <c r="AQ287" s="1069" t="e">
        <f t="shared" si="267"/>
        <v>#DIV/0!</v>
      </c>
      <c r="AR287" s="1086"/>
      <c r="AS287" s="1090">
        <v>1</v>
      </c>
      <c r="AT287" s="1071" t="str">
        <f>+V287</f>
        <v>Proponer, presentar y aprobar las mejoras del Sistema de Gestión Documental para reducir el uso del papel e incorporar los instrumentos archivísticos a que haya lugar.</v>
      </c>
      <c r="AU287" s="529">
        <v>0</v>
      </c>
      <c r="AV287" s="734">
        <v>1</v>
      </c>
      <c r="AW287" s="734">
        <v>0</v>
      </c>
      <c r="AX287" s="1069">
        <f t="shared" si="253"/>
        <v>1</v>
      </c>
      <c r="AY287" s="1069" t="e">
        <f t="shared" si="269"/>
        <v>#DIV/0!</v>
      </c>
      <c r="AZ287" s="1069">
        <f t="shared" si="254"/>
        <v>1</v>
      </c>
      <c r="BA287" s="1069" t="e">
        <f t="shared" si="270"/>
        <v>#DIV/0!</v>
      </c>
      <c r="BB287" s="1660"/>
      <c r="BC287" s="1090">
        <v>0</v>
      </c>
      <c r="BD287" s="1071" t="str">
        <f>+V287</f>
        <v>Proponer, presentar y aprobar las mejoras del Sistema de Gestión Documental para reducir el uso del papel e incorporar los instrumentos archivísticos a que haya lugar.</v>
      </c>
      <c r="BE287" s="529">
        <v>0</v>
      </c>
      <c r="BF287" s="1089">
        <v>0</v>
      </c>
      <c r="BG287" s="1054">
        <v>0</v>
      </c>
      <c r="BH287" s="1075" t="e">
        <f t="shared" si="255"/>
        <v>#DIV/0!</v>
      </c>
      <c r="BI287" s="1075" t="e">
        <f t="shared" si="272"/>
        <v>#DIV/0!</v>
      </c>
      <c r="BJ287" s="1075">
        <f t="shared" si="256"/>
        <v>1</v>
      </c>
      <c r="BK287" s="1075" t="e">
        <f t="shared" si="273"/>
        <v>#DIV/0!</v>
      </c>
      <c r="BL287" s="1086"/>
      <c r="BM287" s="708" t="str">
        <f t="shared" si="257"/>
        <v>No Prog ni Ejec</v>
      </c>
      <c r="BN287" s="708" t="str">
        <f t="shared" si="274"/>
        <v>No Prog ni Ejec</v>
      </c>
      <c r="BO287" s="708" t="str">
        <f t="shared" si="258"/>
        <v>No Prog ni Ejec</v>
      </c>
      <c r="BP287" s="708" t="str">
        <f t="shared" si="275"/>
        <v>No Prog ni Ejec</v>
      </c>
      <c r="BQ287" s="708">
        <f t="shared" si="259"/>
        <v>1</v>
      </c>
      <c r="BR287" s="708" t="str">
        <f t="shared" si="276"/>
        <v>No Prog ni Ejec</v>
      </c>
      <c r="BS287" s="708" t="str">
        <f t="shared" si="260"/>
        <v>No Prog ni Ejec</v>
      </c>
      <c r="BT287" s="829" t="str">
        <f t="shared" si="277"/>
        <v>No Prog ni Ejec</v>
      </c>
    </row>
    <row r="288" spans="1:72" s="958" customFormat="1" ht="102" x14ac:dyDescent="0.2">
      <c r="A288" s="1091">
        <v>11200</v>
      </c>
      <c r="B288" s="1068" t="s">
        <v>1060</v>
      </c>
      <c r="C288" s="1068" t="s">
        <v>1340</v>
      </c>
      <c r="D288" s="1059" t="s">
        <v>152</v>
      </c>
      <c r="E288" s="1068" t="s">
        <v>256</v>
      </c>
      <c r="F288" s="1085" t="s">
        <v>1755</v>
      </c>
      <c r="G288" s="1068" t="s">
        <v>1756</v>
      </c>
      <c r="H288" s="1089" t="s">
        <v>124</v>
      </c>
      <c r="I288" s="1085">
        <v>1</v>
      </c>
      <c r="J288" s="1085" t="s">
        <v>1757</v>
      </c>
      <c r="K288" s="1068" t="s">
        <v>1758</v>
      </c>
      <c r="L288" s="529">
        <v>0</v>
      </c>
      <c r="M288" s="1078">
        <v>1</v>
      </c>
      <c r="N288" s="1068" t="s">
        <v>48</v>
      </c>
      <c r="O288" s="1068" t="s">
        <v>62</v>
      </c>
      <c r="P288" s="1068" t="s">
        <v>37</v>
      </c>
      <c r="Q288" s="1068" t="s">
        <v>40</v>
      </c>
      <c r="R288" s="1068" t="s">
        <v>792</v>
      </c>
      <c r="S288" s="1068" t="s">
        <v>1759</v>
      </c>
      <c r="T288" s="1068" t="s">
        <v>98</v>
      </c>
      <c r="U288" s="722">
        <v>1</v>
      </c>
      <c r="V288" s="1071" t="str">
        <f>+K288</f>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W288" s="699">
        <f>+L288</f>
        <v>0</v>
      </c>
      <c r="X288" s="1086" t="s">
        <v>117</v>
      </c>
      <c r="Y288" s="1090">
        <v>0</v>
      </c>
      <c r="Z288" s="1072" t="str">
        <f t="shared" si="278"/>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AA288" s="529">
        <v>0</v>
      </c>
      <c r="AB288" s="776"/>
      <c r="AC288" s="529"/>
      <c r="AD288" s="1069" t="e">
        <f t="shared" si="249"/>
        <v>#DIV/0!</v>
      </c>
      <c r="AE288" s="1069" t="e">
        <f t="shared" si="263"/>
        <v>#DIV/0!</v>
      </c>
      <c r="AF288" s="1069">
        <f t="shared" si="250"/>
        <v>0</v>
      </c>
      <c r="AG288" s="1069" t="e">
        <f t="shared" si="264"/>
        <v>#DIV/0!</v>
      </c>
      <c r="AH288" s="1068"/>
      <c r="AI288" s="1090">
        <v>0</v>
      </c>
      <c r="AJ288" s="1072" t="str">
        <f>+V288</f>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AK288" s="529">
        <v>0</v>
      </c>
      <c r="AL288" s="700"/>
      <c r="AM288" s="700"/>
      <c r="AN288" s="1069" t="e">
        <f t="shared" si="251"/>
        <v>#DIV/0!</v>
      </c>
      <c r="AO288" s="1069" t="e">
        <f t="shared" si="266"/>
        <v>#DIV/0!</v>
      </c>
      <c r="AP288" s="1069">
        <f t="shared" si="252"/>
        <v>0</v>
      </c>
      <c r="AQ288" s="1069" t="e">
        <f t="shared" si="267"/>
        <v>#DIV/0!</v>
      </c>
      <c r="AR288" s="845"/>
      <c r="AS288" s="1090">
        <v>1</v>
      </c>
      <c r="AT288" s="1072" t="str">
        <f>+V288</f>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AU288" s="529">
        <v>0</v>
      </c>
      <c r="AV288" s="700">
        <v>1</v>
      </c>
      <c r="AW288" s="702">
        <v>0</v>
      </c>
      <c r="AX288" s="1069">
        <f t="shared" si="253"/>
        <v>1</v>
      </c>
      <c r="AY288" s="1069" t="e">
        <f t="shared" si="269"/>
        <v>#DIV/0!</v>
      </c>
      <c r="AZ288" s="1069">
        <f t="shared" si="254"/>
        <v>1</v>
      </c>
      <c r="BA288" s="1069" t="e">
        <f t="shared" si="270"/>
        <v>#DIV/0!</v>
      </c>
      <c r="BB288" s="845"/>
      <c r="BC288" s="1090">
        <v>0</v>
      </c>
      <c r="BD288" s="1072" t="str">
        <f>+V288</f>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BE288" s="529">
        <v>0</v>
      </c>
      <c r="BF288" s="1067">
        <v>0</v>
      </c>
      <c r="BG288" s="1054">
        <v>0</v>
      </c>
      <c r="BH288" s="1075" t="e">
        <f t="shared" si="255"/>
        <v>#DIV/0!</v>
      </c>
      <c r="BI288" s="1075" t="e">
        <f t="shared" si="272"/>
        <v>#DIV/0!</v>
      </c>
      <c r="BJ288" s="1075">
        <f t="shared" si="256"/>
        <v>1</v>
      </c>
      <c r="BK288" s="1075" t="e">
        <f t="shared" si="273"/>
        <v>#DIV/0!</v>
      </c>
      <c r="BL288" s="1068" t="s">
        <v>2104</v>
      </c>
      <c r="BM288" s="708" t="str">
        <f t="shared" si="257"/>
        <v>No Prog ni Ejec</v>
      </c>
      <c r="BN288" s="708" t="str">
        <f t="shared" si="274"/>
        <v>No Prog ni Ejec</v>
      </c>
      <c r="BO288" s="708" t="str">
        <f t="shared" si="258"/>
        <v>No Prog ni Ejec</v>
      </c>
      <c r="BP288" s="708" t="str">
        <f t="shared" si="275"/>
        <v>No Prog ni Ejec</v>
      </c>
      <c r="BQ288" s="708">
        <f t="shared" si="259"/>
        <v>1</v>
      </c>
      <c r="BR288" s="708" t="str">
        <f t="shared" si="276"/>
        <v>No Prog ni Ejec</v>
      </c>
      <c r="BS288" s="708" t="str">
        <f t="shared" si="260"/>
        <v>No Prog ni Ejec</v>
      </c>
      <c r="BT288" s="829" t="str">
        <f t="shared" si="277"/>
        <v>No Prog ni Ejec</v>
      </c>
    </row>
    <row r="289" spans="1:72" s="958" customFormat="1" ht="89.25" x14ac:dyDescent="0.2">
      <c r="A289" s="1091">
        <v>11200</v>
      </c>
      <c r="B289" s="1068" t="s">
        <v>1060</v>
      </c>
      <c r="C289" s="1068" t="s">
        <v>1340</v>
      </c>
      <c r="D289" s="1059" t="s">
        <v>152</v>
      </c>
      <c r="E289" s="1068" t="s">
        <v>256</v>
      </c>
      <c r="F289" s="1085" t="s">
        <v>1760</v>
      </c>
      <c r="G289" s="1068" t="s">
        <v>1761</v>
      </c>
      <c r="H289" s="1089" t="s">
        <v>124</v>
      </c>
      <c r="I289" s="1085">
        <v>1</v>
      </c>
      <c r="J289" s="1085" t="s">
        <v>1645</v>
      </c>
      <c r="K289" s="1068" t="s">
        <v>1762</v>
      </c>
      <c r="L289" s="529">
        <v>0</v>
      </c>
      <c r="M289" s="1078">
        <v>1</v>
      </c>
      <c r="N289" s="1068" t="s">
        <v>48</v>
      </c>
      <c r="O289" s="1068" t="s">
        <v>62</v>
      </c>
      <c r="P289" s="1068" t="s">
        <v>21</v>
      </c>
      <c r="Q289" s="1068" t="s">
        <v>23</v>
      </c>
      <c r="R289" s="1068" t="s">
        <v>792</v>
      </c>
      <c r="S289" s="1068" t="s">
        <v>1763</v>
      </c>
      <c r="T289" s="1068" t="s">
        <v>98</v>
      </c>
      <c r="U289" s="722">
        <v>1</v>
      </c>
      <c r="V289" s="1068" t="str">
        <f>+K289</f>
        <v>Comunicar los resultados del ejercicio de Rendición de Cuentas a los servidores de la ADRES.</v>
      </c>
      <c r="W289" s="699">
        <f>+L289</f>
        <v>0</v>
      </c>
      <c r="X289" s="1086" t="s">
        <v>117</v>
      </c>
      <c r="Y289" s="1090">
        <v>0</v>
      </c>
      <c r="Z289" s="1072" t="str">
        <f t="shared" si="278"/>
        <v>Comunicar los resultados del ejercicio de Rendición de Cuentas a los servidores de la ADRES.</v>
      </c>
      <c r="AA289" s="529">
        <v>0</v>
      </c>
      <c r="AB289" s="776"/>
      <c r="AC289" s="529"/>
      <c r="AD289" s="1069" t="e">
        <f t="shared" si="249"/>
        <v>#DIV/0!</v>
      </c>
      <c r="AE289" s="1069" t="e">
        <f t="shared" si="263"/>
        <v>#DIV/0!</v>
      </c>
      <c r="AF289" s="1069">
        <f t="shared" si="250"/>
        <v>0</v>
      </c>
      <c r="AG289" s="1069" t="e">
        <f t="shared" si="264"/>
        <v>#DIV/0!</v>
      </c>
      <c r="AH289" s="1068"/>
      <c r="AI289" s="1090">
        <v>0</v>
      </c>
      <c r="AJ289" s="1072" t="str">
        <f>+V289</f>
        <v>Comunicar los resultados del ejercicio de Rendición de Cuentas a los servidores de la ADRES.</v>
      </c>
      <c r="AK289" s="529">
        <v>0</v>
      </c>
      <c r="AL289" s="700"/>
      <c r="AM289" s="700"/>
      <c r="AN289" s="1069" t="e">
        <f t="shared" si="251"/>
        <v>#DIV/0!</v>
      </c>
      <c r="AO289" s="1069" t="e">
        <f t="shared" si="266"/>
        <v>#DIV/0!</v>
      </c>
      <c r="AP289" s="1069">
        <f t="shared" si="252"/>
        <v>0</v>
      </c>
      <c r="AQ289" s="1069" t="e">
        <f t="shared" si="267"/>
        <v>#DIV/0!</v>
      </c>
      <c r="AR289" s="845"/>
      <c r="AS289" s="1090">
        <v>0</v>
      </c>
      <c r="AT289" s="1072" t="str">
        <f>+V289</f>
        <v>Comunicar los resultados del ejercicio de Rendición de Cuentas a los servidores de la ADRES.</v>
      </c>
      <c r="AU289" s="529">
        <v>0</v>
      </c>
      <c r="AV289" s="700">
        <v>0</v>
      </c>
      <c r="AW289" s="702">
        <v>0</v>
      </c>
      <c r="AX289" s="1069" t="e">
        <f t="shared" si="253"/>
        <v>#DIV/0!</v>
      </c>
      <c r="AY289" s="1069" t="e">
        <f t="shared" si="269"/>
        <v>#DIV/0!</v>
      </c>
      <c r="AZ289" s="1069">
        <f t="shared" si="254"/>
        <v>0</v>
      </c>
      <c r="BA289" s="1069" t="e">
        <f t="shared" si="270"/>
        <v>#DIV/0!</v>
      </c>
      <c r="BB289" s="1068" t="s">
        <v>2006</v>
      </c>
      <c r="BC289" s="722">
        <v>1</v>
      </c>
      <c r="BD289" s="1072" t="str">
        <f>+V289</f>
        <v>Comunicar los resultados del ejercicio de Rendición de Cuentas a los servidores de la ADRES.</v>
      </c>
      <c r="BE289" s="529">
        <v>0</v>
      </c>
      <c r="BF289" s="1067">
        <v>1</v>
      </c>
      <c r="BG289" s="1054">
        <v>0</v>
      </c>
      <c r="BH289" s="1075">
        <f t="shared" si="255"/>
        <v>1</v>
      </c>
      <c r="BI289" s="1075" t="e">
        <f t="shared" si="272"/>
        <v>#DIV/0!</v>
      </c>
      <c r="BJ289" s="1075">
        <f t="shared" si="256"/>
        <v>1</v>
      </c>
      <c r="BK289" s="1075" t="e">
        <f t="shared" si="273"/>
        <v>#DIV/0!</v>
      </c>
      <c r="BL289" s="1068" t="s">
        <v>2285</v>
      </c>
      <c r="BM289" s="708" t="str">
        <f t="shared" si="257"/>
        <v>No Prog ni Ejec</v>
      </c>
      <c r="BN289" s="708" t="str">
        <f t="shared" si="274"/>
        <v>No Prog ni Ejec</v>
      </c>
      <c r="BO289" s="708" t="str">
        <f t="shared" si="258"/>
        <v>No Prog ni Ejec</v>
      </c>
      <c r="BP289" s="708" t="str">
        <f t="shared" si="275"/>
        <v>No Prog ni Ejec</v>
      </c>
      <c r="BQ289" s="708" t="str">
        <f t="shared" si="259"/>
        <v>No Prog ni Ejec</v>
      </c>
      <c r="BR289" s="708" t="str">
        <f t="shared" si="276"/>
        <v>No Prog ni Ejec</v>
      </c>
      <c r="BS289" s="708">
        <f t="shared" si="260"/>
        <v>1</v>
      </c>
      <c r="BT289" s="829" t="str">
        <f t="shared" si="277"/>
        <v>No Prog ni Ejec</v>
      </c>
    </row>
    <row r="290" spans="1:72" s="1627" customFormat="1" ht="127.5" x14ac:dyDescent="0.2">
      <c r="A290" s="1092">
        <v>11600</v>
      </c>
      <c r="B290" s="1060" t="s">
        <v>6</v>
      </c>
      <c r="C290" s="1060" t="s">
        <v>1209</v>
      </c>
      <c r="D290" s="1059" t="s">
        <v>278</v>
      </c>
      <c r="E290" s="1060" t="s">
        <v>147</v>
      </c>
      <c r="F290" s="1059" t="s">
        <v>1031</v>
      </c>
      <c r="G290" s="1097" t="s">
        <v>1032</v>
      </c>
      <c r="H290" s="1079" t="s">
        <v>123</v>
      </c>
      <c r="I290" s="1056">
        <v>1</v>
      </c>
      <c r="J290" s="1059" t="s">
        <v>1033</v>
      </c>
      <c r="K290" s="1097" t="s">
        <v>1034</v>
      </c>
      <c r="L290" s="475">
        <v>102000000</v>
      </c>
      <c r="M290" s="488">
        <v>1</v>
      </c>
      <c r="N290" s="1060" t="s">
        <v>46</v>
      </c>
      <c r="O290" s="1060" t="s">
        <v>73</v>
      </c>
      <c r="P290" s="1060" t="s">
        <v>37</v>
      </c>
      <c r="Q290" s="1060" t="s">
        <v>40</v>
      </c>
      <c r="R290" s="1060" t="s">
        <v>228</v>
      </c>
      <c r="S290" s="1060" t="s">
        <v>379</v>
      </c>
      <c r="T290" s="1060" t="s">
        <v>99</v>
      </c>
      <c r="U290" s="478">
        <v>1</v>
      </c>
      <c r="V290" s="1097" t="str">
        <f t="shared" ref="V290:W299" si="279">+K290</f>
        <v>Apoyo técnico para la implementación de la red de almacenamiento de información.</v>
      </c>
      <c r="W290" s="516">
        <f t="shared" si="279"/>
        <v>102000000</v>
      </c>
      <c r="X290" s="1097" t="s">
        <v>114</v>
      </c>
      <c r="Y290" s="478">
        <v>0</v>
      </c>
      <c r="Z290" s="1097" t="str">
        <f t="shared" si="278"/>
        <v>Apoyo técnico para la implementación de la red de almacenamiento de información.</v>
      </c>
      <c r="AA290" s="443">
        <f>+L290*Y290</f>
        <v>0</v>
      </c>
      <c r="AB290" s="486"/>
      <c r="AC290" s="485"/>
      <c r="AD290" s="444" t="e">
        <f t="shared" ref="AD290:AD301" si="280">+(AB290/Y290)</f>
        <v>#DIV/0!</v>
      </c>
      <c r="AE290" s="444" t="e">
        <f t="shared" ref="AE290:AE301" si="281">+(AC290/AA290)</f>
        <v>#DIV/0!</v>
      </c>
      <c r="AF290" s="444">
        <f t="shared" ref="AF290:AF301" si="282">+(AB290/U290)</f>
        <v>0</v>
      </c>
      <c r="AG290" s="444">
        <f t="shared" ref="AG290:AG301" si="283">+(AC290/W290)</f>
        <v>0</v>
      </c>
      <c r="AH290" s="1060"/>
      <c r="AI290" s="478">
        <v>0</v>
      </c>
      <c r="AJ290" s="816" t="str">
        <f t="shared" si="158"/>
        <v>Apoyo técnico para la implementación de la red de almacenamiento de información.</v>
      </c>
      <c r="AK290" s="817">
        <v>0</v>
      </c>
      <c r="AL290" s="447">
        <v>0</v>
      </c>
      <c r="AM290" s="448">
        <v>0</v>
      </c>
      <c r="AN290" s="444">
        <v>0</v>
      </c>
      <c r="AO290" s="444">
        <v>0</v>
      </c>
      <c r="AP290" s="444">
        <f>+IFERROR((AL290+AB290)/U290,"")</f>
        <v>0</v>
      </c>
      <c r="AQ290" s="444">
        <f>+IFERROR((AM290+AC290)/W290,"")</f>
        <v>0</v>
      </c>
      <c r="AR290" s="1060" t="s">
        <v>1035</v>
      </c>
      <c r="AS290" s="478">
        <v>1</v>
      </c>
      <c r="AT290" s="1097" t="str">
        <f t="shared" si="161"/>
        <v>Apoyo técnico para la implementación de la red de almacenamiento de información.</v>
      </c>
      <c r="AU290" s="817">
        <v>102000000</v>
      </c>
      <c r="AV290" s="953">
        <v>0</v>
      </c>
      <c r="AW290" s="1626">
        <v>0</v>
      </c>
      <c r="AX290" s="444">
        <f t="shared" ref="AX290:AX301" si="284">+(AV290/AS290)</f>
        <v>0</v>
      </c>
      <c r="AY290" s="444">
        <f t="shared" ref="AY290:AY301" si="285">+(AW290/AU290)</f>
        <v>0</v>
      </c>
      <c r="AZ290" s="444">
        <f t="shared" ref="AZ290:AZ300" si="286">+(AL290+AB290+AV290)/U290</f>
        <v>0</v>
      </c>
      <c r="BA290" s="444">
        <f t="shared" ref="BA290:BA301" si="287">+(AM290+AC290+AW290)/W290</f>
        <v>0</v>
      </c>
      <c r="BB290" s="846" t="s">
        <v>2016</v>
      </c>
      <c r="BC290" s="478">
        <v>0</v>
      </c>
      <c r="BD290" s="1097" t="str">
        <f t="shared" si="162"/>
        <v>Apoyo técnico para la implementación de la red de almacenamiento de información.</v>
      </c>
      <c r="BE290" s="446">
        <v>0</v>
      </c>
      <c r="BF290" s="1087">
        <v>0</v>
      </c>
      <c r="BG290" s="942">
        <v>0</v>
      </c>
      <c r="BH290" s="1056" t="e">
        <f t="shared" ref="BH290:BH301" si="288">+(BF290/BC290)</f>
        <v>#DIV/0!</v>
      </c>
      <c r="BI290" s="1056" t="e">
        <f t="shared" ref="BI290:BI301" si="289">+(BG290/BE290)</f>
        <v>#DIV/0!</v>
      </c>
      <c r="BJ290" s="1056">
        <f t="shared" ref="BJ290:BJ301" si="290">+(AL290+AB290+AV290+BF290)/U290</f>
        <v>0</v>
      </c>
      <c r="BK290" s="1056">
        <f t="shared" ref="BK290:BK301" si="291">+(AM290+AC290+AW290+BG290)/W290</f>
        <v>0</v>
      </c>
      <c r="BL290" s="1060" t="s">
        <v>2203</v>
      </c>
      <c r="BM290" s="494" t="str">
        <f t="shared" ref="BM290:BM301" si="292">IF(AND(Y290=0,AB290=0),"No Prog ni Ejec",IF(Y290=0,CONCATENATE("No Prog, Ejec=  ",AB290),AB290/Y290))</f>
        <v>No Prog ni Ejec</v>
      </c>
      <c r="BN290" s="494" t="str">
        <f t="shared" ref="BN290:BN301" si="293">IF(AND(AA290=0,AC290=0),"No Prog ni Ejec",IF(AA290=0,CONCATENATE("No Prog, Ejec=  ",AC290),AC290/AA290))</f>
        <v>No Prog ni Ejec</v>
      </c>
      <c r="BO290" s="494" t="str">
        <f t="shared" ref="BO290:BO301" si="294">IF(AND(AI290=0,AL290=0),"No Prog ni Ejec",IF(AI290=0,CONCATENATE("No Prog, Ejec=  ",AL290),AL290/AI290))</f>
        <v>No Prog ni Ejec</v>
      </c>
      <c r="BP290" s="494" t="str">
        <f t="shared" ref="BP290:BP301" si="295">IF(AND(AK290=0,AM290=0),"No Prog ni Ejec",IF(AK290=0,CONCATENATE("No Prog, Ejec=  ",AM290),AM290/AK290))</f>
        <v>No Prog ni Ejec</v>
      </c>
      <c r="BQ290" s="494">
        <f t="shared" ref="BQ290:BQ301" si="296">IF(AND(AS290=0,AV290=0),"No Prog ni Ejec",IF(AS290=0,CONCATENATE("No Prog, Ejec=  ",AV290),AV290/AS290))</f>
        <v>0</v>
      </c>
      <c r="BR290" s="494">
        <f t="shared" ref="BR290:BR301" si="297">IF(AND(AU290=0,AW290=0),"No Prog ni Ejec",IF(AU290=0,CONCATENATE("No Prog, Ejec=  ",AW290),AW290/AU290))</f>
        <v>0</v>
      </c>
      <c r="BS290" s="494" t="str">
        <f t="shared" ref="BS290:BS301" si="298">IF(AND(BC290=0,BF290=0),"No Prog ni Ejec",IF(BC290=0,CONCATENATE("No Prog, Ejec=  ",BF290),BF290/BC290))</f>
        <v>No Prog ni Ejec</v>
      </c>
      <c r="BT290" s="832" t="str">
        <f t="shared" ref="BT290:BT301" si="299">IF(AND(BE290=0,BG290=0),"No Prog ni Ejec",IF(BE290=0,CONCATENATE("No Prog, Ejec=  ",BG290),BG290/BE290))</f>
        <v>No Prog ni Ejec</v>
      </c>
    </row>
    <row r="291" spans="1:72" s="1627" customFormat="1" ht="165.75" x14ac:dyDescent="0.2">
      <c r="A291" s="1092">
        <v>11600</v>
      </c>
      <c r="B291" s="1060" t="s">
        <v>6</v>
      </c>
      <c r="C291" s="1060" t="s">
        <v>1209</v>
      </c>
      <c r="D291" s="1059" t="s">
        <v>278</v>
      </c>
      <c r="E291" s="1060" t="s">
        <v>147</v>
      </c>
      <c r="F291" s="1059" t="s">
        <v>1036</v>
      </c>
      <c r="G291" s="1097" t="s">
        <v>1037</v>
      </c>
      <c r="H291" s="1079" t="s">
        <v>123</v>
      </c>
      <c r="I291" s="1056">
        <v>1</v>
      </c>
      <c r="J291" s="1059" t="s">
        <v>1038</v>
      </c>
      <c r="K291" s="1097" t="s">
        <v>1039</v>
      </c>
      <c r="L291" s="475">
        <v>30821034</v>
      </c>
      <c r="M291" s="488">
        <v>1</v>
      </c>
      <c r="N291" s="1060" t="s">
        <v>46</v>
      </c>
      <c r="O291" s="1060" t="s">
        <v>73</v>
      </c>
      <c r="P291" s="1060" t="s">
        <v>37</v>
      </c>
      <c r="Q291" s="1060" t="s">
        <v>40</v>
      </c>
      <c r="R291" s="1060" t="s">
        <v>228</v>
      </c>
      <c r="S291" s="1060" t="s">
        <v>379</v>
      </c>
      <c r="T291" s="1060" t="s">
        <v>99</v>
      </c>
      <c r="U291" s="478">
        <v>1</v>
      </c>
      <c r="V291" s="1097" t="str">
        <f t="shared" si="279"/>
        <v>Administración y desarrollo de soluciones en la plataforma SharePoint requeridas para el portal web y portal intranet de la ADRES</v>
      </c>
      <c r="W291" s="516">
        <f t="shared" si="279"/>
        <v>30821034</v>
      </c>
      <c r="X291" s="1097" t="s">
        <v>114</v>
      </c>
      <c r="Y291" s="478">
        <v>0</v>
      </c>
      <c r="Z291" s="1097" t="str">
        <f t="shared" si="278"/>
        <v>Administración y desarrollo de soluciones en la plataforma SharePoint requeridas para el portal web y portal intranet de la ADRES</v>
      </c>
      <c r="AA291" s="443">
        <f>+L291*Y291</f>
        <v>0</v>
      </c>
      <c r="AB291" s="486"/>
      <c r="AC291" s="485"/>
      <c r="AD291" s="444" t="e">
        <f t="shared" si="280"/>
        <v>#DIV/0!</v>
      </c>
      <c r="AE291" s="444" t="e">
        <f t="shared" si="281"/>
        <v>#DIV/0!</v>
      </c>
      <c r="AF291" s="444">
        <f t="shared" si="282"/>
        <v>0</v>
      </c>
      <c r="AG291" s="444">
        <f t="shared" si="283"/>
        <v>0</v>
      </c>
      <c r="AH291" s="1060"/>
      <c r="AI291" s="478">
        <v>0.17</v>
      </c>
      <c r="AJ291" s="816" t="str">
        <f t="shared" si="158"/>
        <v>Administración y desarrollo de soluciones en la plataforma SharePoint requeridas para el portal web y portal intranet de la ADRES</v>
      </c>
      <c r="AK291" s="817">
        <f>+W291*AI291</f>
        <v>5239575.78</v>
      </c>
      <c r="AL291" s="447">
        <v>0</v>
      </c>
      <c r="AM291" s="448">
        <v>0</v>
      </c>
      <c r="AN291" s="444">
        <f>+IFERROR((AL291/AI291),"")</f>
        <v>0</v>
      </c>
      <c r="AO291" s="444">
        <f>+IFERROR((AM291/AK291),"")</f>
        <v>0</v>
      </c>
      <c r="AP291" s="444">
        <f>+IFERROR((AL291+AB291)/U291,"")</f>
        <v>0</v>
      </c>
      <c r="AQ291" s="444">
        <f>+IFERROR((AM291+AC291)/W291,"")</f>
        <v>0</v>
      </c>
      <c r="AR291" s="1060" t="s">
        <v>1160</v>
      </c>
      <c r="AS291" s="478">
        <v>0.66</v>
      </c>
      <c r="AT291" s="1097" t="str">
        <f t="shared" si="161"/>
        <v>Administración y desarrollo de soluciones en la plataforma SharePoint requeridas para el portal web y portal intranet de la ADRES</v>
      </c>
      <c r="AU291" s="817">
        <f>+W291*AS291</f>
        <v>20341882.440000001</v>
      </c>
      <c r="AV291" s="803">
        <f>+AW291/W291</f>
        <v>0.16666666666666666</v>
      </c>
      <c r="AW291" s="1626">
        <v>5136839</v>
      </c>
      <c r="AX291" s="444">
        <f t="shared" si="284"/>
        <v>0.25252525252525249</v>
      </c>
      <c r="AY291" s="444">
        <f t="shared" si="285"/>
        <v>0.25252525252525249</v>
      </c>
      <c r="AZ291" s="444">
        <f t="shared" si="286"/>
        <v>0.16666666666666666</v>
      </c>
      <c r="BA291" s="444">
        <f t="shared" si="287"/>
        <v>0.16666666666666666</v>
      </c>
      <c r="BB291" s="1068" t="s">
        <v>2005</v>
      </c>
      <c r="BC291" s="478">
        <v>0.17</v>
      </c>
      <c r="BD291" s="1097" t="str">
        <f t="shared" si="162"/>
        <v>Administración y desarrollo de soluciones en la plataforma SharePoint requeridas para el portal web y portal intranet de la ADRES</v>
      </c>
      <c r="BE291" s="448">
        <f>+W291*BC291</f>
        <v>5239575.78</v>
      </c>
      <c r="BF291" s="1100">
        <f>(BG291/BE291)*BC291</f>
        <v>0.5</v>
      </c>
      <c r="BG291" s="942">
        <f>5136839+5136839+5136839</f>
        <v>15410517</v>
      </c>
      <c r="BH291" s="1056">
        <f t="shared" si="288"/>
        <v>2.9411764705882351</v>
      </c>
      <c r="BI291" s="1056">
        <f t="shared" si="289"/>
        <v>2.9411764705882351</v>
      </c>
      <c r="BJ291" s="1056">
        <f t="shared" si="290"/>
        <v>0.66666666666666663</v>
      </c>
      <c r="BK291" s="1056">
        <f t="shared" si="291"/>
        <v>0.66666666666666663</v>
      </c>
      <c r="BL291" s="1060" t="s">
        <v>2286</v>
      </c>
      <c r="BM291" s="494" t="str">
        <f t="shared" si="292"/>
        <v>No Prog ni Ejec</v>
      </c>
      <c r="BN291" s="494" t="str">
        <f t="shared" si="293"/>
        <v>No Prog ni Ejec</v>
      </c>
      <c r="BO291" s="494">
        <f t="shared" si="294"/>
        <v>0</v>
      </c>
      <c r="BP291" s="494">
        <f t="shared" si="295"/>
        <v>0</v>
      </c>
      <c r="BQ291" s="494">
        <f t="shared" si="296"/>
        <v>0.25252525252525249</v>
      </c>
      <c r="BR291" s="494">
        <f t="shared" si="297"/>
        <v>0.25252525252525249</v>
      </c>
      <c r="BS291" s="494">
        <f t="shared" si="298"/>
        <v>2.9411764705882351</v>
      </c>
      <c r="BT291" s="832">
        <f t="shared" si="299"/>
        <v>2.9411764705882351</v>
      </c>
    </row>
    <row r="292" spans="1:72" s="958" customFormat="1" ht="89.25" x14ac:dyDescent="0.2">
      <c r="A292" s="1092">
        <v>11700</v>
      </c>
      <c r="B292" s="1060" t="s">
        <v>29</v>
      </c>
      <c r="C292" s="1068" t="s">
        <v>1764</v>
      </c>
      <c r="D292" s="1059" t="s">
        <v>328</v>
      </c>
      <c r="E292" s="1060" t="s">
        <v>256</v>
      </c>
      <c r="F292" s="1059" t="s">
        <v>1765</v>
      </c>
      <c r="G292" s="1102" t="s">
        <v>1766</v>
      </c>
      <c r="H292" s="1089" t="s">
        <v>124</v>
      </c>
      <c r="I292" s="784">
        <v>1</v>
      </c>
      <c r="J292" s="1059" t="s">
        <v>1767</v>
      </c>
      <c r="K292" s="1102" t="s">
        <v>1768</v>
      </c>
      <c r="L292" s="735">
        <v>0</v>
      </c>
      <c r="M292" s="1078">
        <v>1</v>
      </c>
      <c r="N292" s="1068" t="s">
        <v>45</v>
      </c>
      <c r="O292" s="1068" t="s">
        <v>54</v>
      </c>
      <c r="P292" s="1068" t="s">
        <v>37</v>
      </c>
      <c r="Q292" s="1068" t="s">
        <v>38</v>
      </c>
      <c r="R292" s="1068" t="s">
        <v>218</v>
      </c>
      <c r="S292" s="1068" t="s">
        <v>1769</v>
      </c>
      <c r="T292" s="1068" t="s">
        <v>104</v>
      </c>
      <c r="U292" s="1090">
        <v>1</v>
      </c>
      <c r="V292" s="1071" t="str">
        <f t="shared" si="279"/>
        <v>Realizar una  evaluación inicial de los componentes  del  SG-SST</v>
      </c>
      <c r="W292" s="811">
        <f t="shared" si="279"/>
        <v>0</v>
      </c>
      <c r="X292" s="1086" t="s">
        <v>117</v>
      </c>
      <c r="Y292" s="1090">
        <v>0</v>
      </c>
      <c r="Z292" s="1071" t="str">
        <f t="shared" si="278"/>
        <v>Realizar una  evaluación inicial de los componentes  del  SG-SST</v>
      </c>
      <c r="AA292" s="529">
        <v>0</v>
      </c>
      <c r="AB292" s="700"/>
      <c r="AC292" s="700"/>
      <c r="AD292" s="1069" t="e">
        <f t="shared" si="280"/>
        <v>#DIV/0!</v>
      </c>
      <c r="AE292" s="1069" t="e">
        <f t="shared" si="281"/>
        <v>#DIV/0!</v>
      </c>
      <c r="AF292" s="1069">
        <f t="shared" si="282"/>
        <v>0</v>
      </c>
      <c r="AG292" s="1069" t="e">
        <f t="shared" si="283"/>
        <v>#DIV/0!</v>
      </c>
      <c r="AH292" s="1086"/>
      <c r="AI292" s="1090">
        <v>0</v>
      </c>
      <c r="AJ292" s="1071" t="str">
        <f t="shared" si="158"/>
        <v>Realizar una  evaluación inicial de los componentes  del  SG-SST</v>
      </c>
      <c r="AK292" s="529">
        <v>0</v>
      </c>
      <c r="AL292" s="700"/>
      <c r="AM292" s="700"/>
      <c r="AN292" s="1069" t="e">
        <f t="shared" ref="AN292:AN299" si="300">+(AL292/AI292)</f>
        <v>#DIV/0!</v>
      </c>
      <c r="AO292" s="1069" t="e">
        <f t="shared" ref="AO292:AO299" si="301">+(AM292/AK292)</f>
        <v>#DIV/0!</v>
      </c>
      <c r="AP292" s="1069">
        <f t="shared" ref="AP292:AP299" si="302">+(AL292+AB292)/U292</f>
        <v>0</v>
      </c>
      <c r="AQ292" s="1069" t="e">
        <f t="shared" ref="AQ292:AQ299" si="303">+(AM292+AC292)/W292</f>
        <v>#DIV/0!</v>
      </c>
      <c r="AR292" s="1086"/>
      <c r="AS292" s="1090">
        <v>0</v>
      </c>
      <c r="AT292" s="1071" t="str">
        <f t="shared" si="161"/>
        <v>Realizar una  evaluación inicial de los componentes  del  SG-SST</v>
      </c>
      <c r="AU292" s="529">
        <v>0</v>
      </c>
      <c r="AV292" s="700">
        <v>0</v>
      </c>
      <c r="AW292" s="702">
        <v>0</v>
      </c>
      <c r="AX292" s="1069" t="e">
        <f t="shared" si="284"/>
        <v>#DIV/0!</v>
      </c>
      <c r="AY292" s="1069" t="e">
        <f t="shared" si="285"/>
        <v>#DIV/0!</v>
      </c>
      <c r="AZ292" s="1069">
        <f t="shared" si="286"/>
        <v>0</v>
      </c>
      <c r="BA292" s="1069" t="e">
        <f t="shared" si="287"/>
        <v>#DIV/0!</v>
      </c>
      <c r="BB292" s="1086"/>
      <c r="BC292" s="1090">
        <v>1</v>
      </c>
      <c r="BD292" s="1071" t="str">
        <f t="shared" si="162"/>
        <v>Realizar una  evaluación inicial de los componentes  del  SG-SST</v>
      </c>
      <c r="BE292" s="529">
        <v>0</v>
      </c>
      <c r="BF292" s="1089">
        <v>1</v>
      </c>
      <c r="BG292" s="1054">
        <v>0</v>
      </c>
      <c r="BH292" s="1075">
        <f t="shared" si="288"/>
        <v>1</v>
      </c>
      <c r="BI292" s="1075" t="e">
        <f t="shared" si="289"/>
        <v>#DIV/0!</v>
      </c>
      <c r="BJ292" s="1075">
        <f t="shared" si="290"/>
        <v>1</v>
      </c>
      <c r="BK292" s="1075" t="e">
        <f t="shared" si="291"/>
        <v>#DIV/0!</v>
      </c>
      <c r="BL292" s="1060" t="s">
        <v>2163</v>
      </c>
      <c r="BM292" s="708" t="str">
        <f t="shared" si="292"/>
        <v>No Prog ni Ejec</v>
      </c>
      <c r="BN292" s="708" t="str">
        <f t="shared" si="293"/>
        <v>No Prog ni Ejec</v>
      </c>
      <c r="BO292" s="708" t="str">
        <f t="shared" si="294"/>
        <v>No Prog ni Ejec</v>
      </c>
      <c r="BP292" s="708" t="str">
        <f t="shared" si="295"/>
        <v>No Prog ni Ejec</v>
      </c>
      <c r="BQ292" s="708" t="str">
        <f t="shared" si="296"/>
        <v>No Prog ni Ejec</v>
      </c>
      <c r="BR292" s="708" t="str">
        <f t="shared" si="297"/>
        <v>No Prog ni Ejec</v>
      </c>
      <c r="BS292" s="708">
        <f t="shared" si="298"/>
        <v>1</v>
      </c>
      <c r="BT292" s="829" t="str">
        <f t="shared" si="299"/>
        <v>No Prog ni Ejec</v>
      </c>
    </row>
    <row r="293" spans="1:72" s="958" customFormat="1" ht="89.25" x14ac:dyDescent="0.2">
      <c r="A293" s="1092">
        <v>11700</v>
      </c>
      <c r="B293" s="1060" t="s">
        <v>29</v>
      </c>
      <c r="C293" s="1068" t="s">
        <v>1764</v>
      </c>
      <c r="D293" s="1059" t="s">
        <v>328</v>
      </c>
      <c r="E293" s="1060" t="s">
        <v>256</v>
      </c>
      <c r="F293" s="1059" t="s">
        <v>1770</v>
      </c>
      <c r="G293" s="1102" t="s">
        <v>1771</v>
      </c>
      <c r="H293" s="1089" t="s">
        <v>124</v>
      </c>
      <c r="I293" s="784">
        <v>1</v>
      </c>
      <c r="J293" s="1059" t="s">
        <v>1772</v>
      </c>
      <c r="K293" s="1102" t="s">
        <v>1773</v>
      </c>
      <c r="L293" s="735">
        <v>0</v>
      </c>
      <c r="M293" s="1078">
        <v>1</v>
      </c>
      <c r="N293" s="1068" t="s">
        <v>45</v>
      </c>
      <c r="O293" s="1068" t="s">
        <v>54</v>
      </c>
      <c r="P293" s="1068" t="s">
        <v>37</v>
      </c>
      <c r="Q293" s="1068" t="s">
        <v>38</v>
      </c>
      <c r="R293" s="1068" t="s">
        <v>218</v>
      </c>
      <c r="S293" s="1068" t="s">
        <v>1774</v>
      </c>
      <c r="T293" s="1068" t="s">
        <v>104</v>
      </c>
      <c r="U293" s="1090">
        <v>1</v>
      </c>
      <c r="V293" s="1071" t="str">
        <f t="shared" si="279"/>
        <v>Elaboración de política de SST.</v>
      </c>
      <c r="W293" s="811">
        <f t="shared" si="279"/>
        <v>0</v>
      </c>
      <c r="X293" s="1086" t="s">
        <v>117</v>
      </c>
      <c r="Y293" s="1090">
        <v>0</v>
      </c>
      <c r="Z293" s="1071" t="str">
        <f t="shared" ref="Z293:Z299" si="304">+V293</f>
        <v>Elaboración de política de SST.</v>
      </c>
      <c r="AA293" s="529">
        <v>0</v>
      </c>
      <c r="AB293" s="700"/>
      <c r="AC293" s="700"/>
      <c r="AD293" s="1069" t="e">
        <f t="shared" si="280"/>
        <v>#DIV/0!</v>
      </c>
      <c r="AE293" s="1069" t="e">
        <f t="shared" si="281"/>
        <v>#DIV/0!</v>
      </c>
      <c r="AF293" s="1069">
        <f t="shared" si="282"/>
        <v>0</v>
      </c>
      <c r="AG293" s="1069" t="e">
        <f t="shared" si="283"/>
        <v>#DIV/0!</v>
      </c>
      <c r="AH293" s="1086"/>
      <c r="AI293" s="1090">
        <v>0</v>
      </c>
      <c r="AJ293" s="1071" t="str">
        <f t="shared" si="158"/>
        <v>Elaboración de política de SST.</v>
      </c>
      <c r="AK293" s="529">
        <v>0</v>
      </c>
      <c r="AL293" s="700"/>
      <c r="AM293" s="700"/>
      <c r="AN293" s="1069" t="e">
        <f t="shared" si="300"/>
        <v>#DIV/0!</v>
      </c>
      <c r="AO293" s="1069" t="e">
        <f t="shared" si="301"/>
        <v>#DIV/0!</v>
      </c>
      <c r="AP293" s="1069">
        <f t="shared" si="302"/>
        <v>0</v>
      </c>
      <c r="AQ293" s="1069" t="e">
        <f t="shared" si="303"/>
        <v>#DIV/0!</v>
      </c>
      <c r="AR293" s="1086"/>
      <c r="AS293" s="1090">
        <v>0</v>
      </c>
      <c r="AT293" s="1071" t="str">
        <f t="shared" si="161"/>
        <v>Elaboración de política de SST.</v>
      </c>
      <c r="AU293" s="529">
        <v>0</v>
      </c>
      <c r="AV293" s="700">
        <v>0</v>
      </c>
      <c r="AW293" s="702">
        <v>0</v>
      </c>
      <c r="AX293" s="1069" t="e">
        <f t="shared" si="284"/>
        <v>#DIV/0!</v>
      </c>
      <c r="AY293" s="1069" t="e">
        <f t="shared" si="285"/>
        <v>#DIV/0!</v>
      </c>
      <c r="AZ293" s="1069">
        <f t="shared" si="286"/>
        <v>0</v>
      </c>
      <c r="BA293" s="1069" t="e">
        <f t="shared" si="287"/>
        <v>#DIV/0!</v>
      </c>
      <c r="BB293" s="1086"/>
      <c r="BC293" s="1090">
        <v>1</v>
      </c>
      <c r="BD293" s="1071" t="str">
        <f t="shared" si="162"/>
        <v>Elaboración de política de SST.</v>
      </c>
      <c r="BE293" s="529">
        <v>0</v>
      </c>
      <c r="BF293" s="1089">
        <v>1</v>
      </c>
      <c r="BG293" s="1054">
        <v>0</v>
      </c>
      <c r="BH293" s="1075">
        <f t="shared" si="288"/>
        <v>1</v>
      </c>
      <c r="BI293" s="1075" t="e">
        <f t="shared" si="289"/>
        <v>#DIV/0!</v>
      </c>
      <c r="BJ293" s="1075">
        <f t="shared" si="290"/>
        <v>1</v>
      </c>
      <c r="BK293" s="1075" t="e">
        <f t="shared" si="291"/>
        <v>#DIV/0!</v>
      </c>
      <c r="BL293" s="1097"/>
      <c r="BM293" s="708" t="str">
        <f t="shared" si="292"/>
        <v>No Prog ni Ejec</v>
      </c>
      <c r="BN293" s="708" t="str">
        <f t="shared" si="293"/>
        <v>No Prog ni Ejec</v>
      </c>
      <c r="BO293" s="708" t="str">
        <f t="shared" si="294"/>
        <v>No Prog ni Ejec</v>
      </c>
      <c r="BP293" s="708" t="str">
        <f t="shared" si="295"/>
        <v>No Prog ni Ejec</v>
      </c>
      <c r="BQ293" s="708" t="str">
        <f t="shared" si="296"/>
        <v>No Prog ni Ejec</v>
      </c>
      <c r="BR293" s="708" t="str">
        <f t="shared" si="297"/>
        <v>No Prog ni Ejec</v>
      </c>
      <c r="BS293" s="708">
        <f t="shared" si="298"/>
        <v>1</v>
      </c>
      <c r="BT293" s="829" t="str">
        <f t="shared" si="299"/>
        <v>No Prog ni Ejec</v>
      </c>
    </row>
    <row r="294" spans="1:72" s="958" customFormat="1" ht="89.25" x14ac:dyDescent="0.2">
      <c r="A294" s="1092">
        <v>11700</v>
      </c>
      <c r="B294" s="1060" t="s">
        <v>29</v>
      </c>
      <c r="C294" s="1068" t="s">
        <v>1764</v>
      </c>
      <c r="D294" s="1059" t="s">
        <v>328</v>
      </c>
      <c r="E294" s="1060" t="s">
        <v>256</v>
      </c>
      <c r="F294" s="1059" t="s">
        <v>1775</v>
      </c>
      <c r="G294" s="1102" t="s">
        <v>1776</v>
      </c>
      <c r="H294" s="1089" t="s">
        <v>124</v>
      </c>
      <c r="I294" s="784">
        <v>1</v>
      </c>
      <c r="J294" s="1059" t="s">
        <v>1777</v>
      </c>
      <c r="K294" s="1102" t="s">
        <v>1778</v>
      </c>
      <c r="L294" s="735">
        <v>0</v>
      </c>
      <c r="M294" s="1078">
        <v>1</v>
      </c>
      <c r="N294" s="1068" t="s">
        <v>45</v>
      </c>
      <c r="O294" s="1068" t="s">
        <v>54</v>
      </c>
      <c r="P294" s="1068" t="s">
        <v>37</v>
      </c>
      <c r="Q294" s="1068" t="s">
        <v>38</v>
      </c>
      <c r="R294" s="1068" t="s">
        <v>218</v>
      </c>
      <c r="S294" s="1068" t="s">
        <v>1779</v>
      </c>
      <c r="T294" s="1068" t="s">
        <v>104</v>
      </c>
      <c r="U294" s="1090">
        <v>1</v>
      </c>
      <c r="V294" s="1071" t="str">
        <f t="shared" si="279"/>
        <v>Elaboración de política de prevención de alcohol y drogas</v>
      </c>
      <c r="W294" s="811">
        <f t="shared" si="279"/>
        <v>0</v>
      </c>
      <c r="X294" s="1086" t="s">
        <v>117</v>
      </c>
      <c r="Y294" s="1090">
        <v>0</v>
      </c>
      <c r="Z294" s="1071" t="str">
        <f t="shared" si="304"/>
        <v>Elaboración de política de prevención de alcohol y drogas</v>
      </c>
      <c r="AA294" s="529">
        <v>0</v>
      </c>
      <c r="AB294" s="700"/>
      <c r="AC294" s="700"/>
      <c r="AD294" s="1069" t="e">
        <f t="shared" si="280"/>
        <v>#DIV/0!</v>
      </c>
      <c r="AE294" s="1069" t="e">
        <f t="shared" si="281"/>
        <v>#DIV/0!</v>
      </c>
      <c r="AF294" s="1069">
        <f t="shared" si="282"/>
        <v>0</v>
      </c>
      <c r="AG294" s="1069" t="e">
        <f t="shared" si="283"/>
        <v>#DIV/0!</v>
      </c>
      <c r="AH294" s="1086"/>
      <c r="AI294" s="1090">
        <v>0</v>
      </c>
      <c r="AJ294" s="1071" t="str">
        <f t="shared" si="158"/>
        <v>Elaboración de política de prevención de alcohol y drogas</v>
      </c>
      <c r="AK294" s="529">
        <v>0</v>
      </c>
      <c r="AL294" s="700"/>
      <c r="AM294" s="700"/>
      <c r="AN294" s="1069" t="e">
        <f t="shared" si="300"/>
        <v>#DIV/0!</v>
      </c>
      <c r="AO294" s="1069" t="e">
        <f t="shared" si="301"/>
        <v>#DIV/0!</v>
      </c>
      <c r="AP294" s="1069">
        <f t="shared" si="302"/>
        <v>0</v>
      </c>
      <c r="AQ294" s="1069" t="e">
        <f t="shared" si="303"/>
        <v>#DIV/0!</v>
      </c>
      <c r="AR294" s="1086"/>
      <c r="AS294" s="1090">
        <v>0</v>
      </c>
      <c r="AT294" s="1071" t="str">
        <f t="shared" si="161"/>
        <v>Elaboración de política de prevención de alcohol y drogas</v>
      </c>
      <c r="AU294" s="529">
        <v>0</v>
      </c>
      <c r="AV294" s="700">
        <v>0</v>
      </c>
      <c r="AW294" s="702">
        <v>0</v>
      </c>
      <c r="AX294" s="1069" t="e">
        <f t="shared" si="284"/>
        <v>#DIV/0!</v>
      </c>
      <c r="AY294" s="1069" t="e">
        <f t="shared" si="285"/>
        <v>#DIV/0!</v>
      </c>
      <c r="AZ294" s="1069">
        <f t="shared" si="286"/>
        <v>0</v>
      </c>
      <c r="BA294" s="1069" t="e">
        <f t="shared" si="287"/>
        <v>#DIV/0!</v>
      </c>
      <c r="BB294" s="1086"/>
      <c r="BC294" s="1090">
        <v>1</v>
      </c>
      <c r="BD294" s="1071" t="str">
        <f t="shared" si="162"/>
        <v>Elaboración de política de prevención de alcohol y drogas</v>
      </c>
      <c r="BE294" s="529">
        <v>0</v>
      </c>
      <c r="BF294" s="1089">
        <v>1</v>
      </c>
      <c r="BG294" s="1054">
        <v>0</v>
      </c>
      <c r="BH294" s="1075">
        <f t="shared" si="288"/>
        <v>1</v>
      </c>
      <c r="BI294" s="1075" t="e">
        <f t="shared" si="289"/>
        <v>#DIV/0!</v>
      </c>
      <c r="BJ294" s="1075">
        <f t="shared" si="290"/>
        <v>1</v>
      </c>
      <c r="BK294" s="1075" t="e">
        <f t="shared" si="291"/>
        <v>#DIV/0!</v>
      </c>
      <c r="BL294" s="1060" t="s">
        <v>2164</v>
      </c>
      <c r="BM294" s="708" t="str">
        <f t="shared" si="292"/>
        <v>No Prog ni Ejec</v>
      </c>
      <c r="BN294" s="708" t="str">
        <f t="shared" si="293"/>
        <v>No Prog ni Ejec</v>
      </c>
      <c r="BO294" s="708" t="str">
        <f t="shared" si="294"/>
        <v>No Prog ni Ejec</v>
      </c>
      <c r="BP294" s="708" t="str">
        <f t="shared" si="295"/>
        <v>No Prog ni Ejec</v>
      </c>
      <c r="BQ294" s="708" t="str">
        <f t="shared" si="296"/>
        <v>No Prog ni Ejec</v>
      </c>
      <c r="BR294" s="708" t="str">
        <f t="shared" si="297"/>
        <v>No Prog ni Ejec</v>
      </c>
      <c r="BS294" s="708">
        <f t="shared" si="298"/>
        <v>1</v>
      </c>
      <c r="BT294" s="829" t="str">
        <f t="shared" si="299"/>
        <v>No Prog ni Ejec</v>
      </c>
    </row>
    <row r="295" spans="1:72" s="958" customFormat="1" ht="89.25" x14ac:dyDescent="0.2">
      <c r="A295" s="1092">
        <v>11700</v>
      </c>
      <c r="B295" s="1060" t="s">
        <v>29</v>
      </c>
      <c r="C295" s="1068" t="s">
        <v>1764</v>
      </c>
      <c r="D295" s="1059" t="s">
        <v>328</v>
      </c>
      <c r="E295" s="1060" t="s">
        <v>256</v>
      </c>
      <c r="F295" s="1059" t="s">
        <v>1780</v>
      </c>
      <c r="G295" s="1102" t="s">
        <v>1781</v>
      </c>
      <c r="H295" s="1089" t="s">
        <v>124</v>
      </c>
      <c r="I295" s="784">
        <v>1</v>
      </c>
      <c r="J295" s="1059" t="s">
        <v>1782</v>
      </c>
      <c r="K295" s="1102" t="s">
        <v>1783</v>
      </c>
      <c r="L295" s="735">
        <v>0</v>
      </c>
      <c r="M295" s="1078">
        <v>1</v>
      </c>
      <c r="N295" s="1068" t="s">
        <v>45</v>
      </c>
      <c r="O295" s="1068" t="s">
        <v>54</v>
      </c>
      <c r="P295" s="1068" t="s">
        <v>37</v>
      </c>
      <c r="Q295" s="1068" t="s">
        <v>38</v>
      </c>
      <c r="R295" s="1068" t="s">
        <v>218</v>
      </c>
      <c r="S295" s="1068" t="s">
        <v>1784</v>
      </c>
      <c r="T295" s="1068" t="s">
        <v>104</v>
      </c>
      <c r="U295" s="1090">
        <v>1</v>
      </c>
      <c r="V295" s="1071" t="str">
        <f t="shared" si="279"/>
        <v>Elaboración del reglamento de higiene y seguridad industrial</v>
      </c>
      <c r="W295" s="811">
        <f t="shared" si="279"/>
        <v>0</v>
      </c>
      <c r="X295" s="1086" t="s">
        <v>117</v>
      </c>
      <c r="Y295" s="1090">
        <v>0</v>
      </c>
      <c r="Z295" s="1071" t="str">
        <f t="shared" si="304"/>
        <v>Elaboración del reglamento de higiene y seguridad industrial</v>
      </c>
      <c r="AA295" s="529">
        <v>0</v>
      </c>
      <c r="AB295" s="700"/>
      <c r="AC295" s="700"/>
      <c r="AD295" s="1069" t="e">
        <f t="shared" si="280"/>
        <v>#DIV/0!</v>
      </c>
      <c r="AE295" s="1069" t="e">
        <f t="shared" si="281"/>
        <v>#DIV/0!</v>
      </c>
      <c r="AF295" s="1069">
        <f t="shared" si="282"/>
        <v>0</v>
      </c>
      <c r="AG295" s="1069" t="e">
        <f t="shared" si="283"/>
        <v>#DIV/0!</v>
      </c>
      <c r="AH295" s="1086"/>
      <c r="AI295" s="1090">
        <v>0</v>
      </c>
      <c r="AJ295" s="1071" t="str">
        <f t="shared" si="158"/>
        <v>Elaboración del reglamento de higiene y seguridad industrial</v>
      </c>
      <c r="AK295" s="529">
        <v>0</v>
      </c>
      <c r="AL295" s="700"/>
      <c r="AM295" s="700"/>
      <c r="AN295" s="1069" t="e">
        <f t="shared" si="300"/>
        <v>#DIV/0!</v>
      </c>
      <c r="AO295" s="1069" t="e">
        <f t="shared" si="301"/>
        <v>#DIV/0!</v>
      </c>
      <c r="AP295" s="1069">
        <f t="shared" si="302"/>
        <v>0</v>
      </c>
      <c r="AQ295" s="1069" t="e">
        <f t="shared" si="303"/>
        <v>#DIV/0!</v>
      </c>
      <c r="AR295" s="1086"/>
      <c r="AS295" s="1090">
        <v>0</v>
      </c>
      <c r="AT295" s="1071" t="str">
        <f t="shared" si="161"/>
        <v>Elaboración del reglamento de higiene y seguridad industrial</v>
      </c>
      <c r="AU295" s="529">
        <v>0</v>
      </c>
      <c r="AV295" s="700">
        <v>0</v>
      </c>
      <c r="AW295" s="702">
        <v>0</v>
      </c>
      <c r="AX295" s="1069" t="e">
        <f t="shared" si="284"/>
        <v>#DIV/0!</v>
      </c>
      <c r="AY295" s="1069" t="e">
        <f t="shared" si="285"/>
        <v>#DIV/0!</v>
      </c>
      <c r="AZ295" s="1069">
        <f t="shared" si="286"/>
        <v>0</v>
      </c>
      <c r="BA295" s="1069" t="e">
        <f t="shared" si="287"/>
        <v>#DIV/0!</v>
      </c>
      <c r="BB295" s="1086"/>
      <c r="BC295" s="1090">
        <v>1</v>
      </c>
      <c r="BD295" s="1071" t="str">
        <f t="shared" si="162"/>
        <v>Elaboración del reglamento de higiene y seguridad industrial</v>
      </c>
      <c r="BE295" s="529">
        <v>0</v>
      </c>
      <c r="BF295" s="1089">
        <v>1</v>
      </c>
      <c r="BG295" s="1054">
        <v>0</v>
      </c>
      <c r="BH295" s="1075">
        <f t="shared" si="288"/>
        <v>1</v>
      </c>
      <c r="BI295" s="1075" t="e">
        <f t="shared" si="289"/>
        <v>#DIV/0!</v>
      </c>
      <c r="BJ295" s="1075">
        <f t="shared" si="290"/>
        <v>1</v>
      </c>
      <c r="BK295" s="1075" t="e">
        <f t="shared" si="291"/>
        <v>#DIV/0!</v>
      </c>
      <c r="BL295" s="1097"/>
      <c r="BM295" s="708" t="str">
        <f t="shared" si="292"/>
        <v>No Prog ni Ejec</v>
      </c>
      <c r="BN295" s="708" t="str">
        <f t="shared" si="293"/>
        <v>No Prog ni Ejec</v>
      </c>
      <c r="BO295" s="708" t="str">
        <f t="shared" si="294"/>
        <v>No Prog ni Ejec</v>
      </c>
      <c r="BP295" s="708" t="str">
        <f t="shared" si="295"/>
        <v>No Prog ni Ejec</v>
      </c>
      <c r="BQ295" s="708" t="str">
        <f t="shared" si="296"/>
        <v>No Prog ni Ejec</v>
      </c>
      <c r="BR295" s="708" t="str">
        <f t="shared" si="297"/>
        <v>No Prog ni Ejec</v>
      </c>
      <c r="BS295" s="708">
        <f t="shared" si="298"/>
        <v>1</v>
      </c>
      <c r="BT295" s="829" t="str">
        <f t="shared" si="299"/>
        <v>No Prog ni Ejec</v>
      </c>
    </row>
    <row r="296" spans="1:72" s="958" customFormat="1" ht="89.25" x14ac:dyDescent="0.2">
      <c r="A296" s="1092">
        <v>11700</v>
      </c>
      <c r="B296" s="1060" t="s">
        <v>29</v>
      </c>
      <c r="C296" s="1068" t="s">
        <v>1764</v>
      </c>
      <c r="D296" s="1059" t="s">
        <v>328</v>
      </c>
      <c r="E296" s="1060" t="s">
        <v>256</v>
      </c>
      <c r="F296" s="1059" t="s">
        <v>1785</v>
      </c>
      <c r="G296" s="1102" t="s">
        <v>1786</v>
      </c>
      <c r="H296" s="1089" t="s">
        <v>124</v>
      </c>
      <c r="I296" s="784">
        <v>1</v>
      </c>
      <c r="J296" s="1059" t="s">
        <v>1787</v>
      </c>
      <c r="K296" s="1102" t="s">
        <v>1788</v>
      </c>
      <c r="L296" s="735">
        <v>0</v>
      </c>
      <c r="M296" s="1078">
        <v>1</v>
      </c>
      <c r="N296" s="1068" t="s">
        <v>45</v>
      </c>
      <c r="O296" s="1068" t="s">
        <v>54</v>
      </c>
      <c r="P296" s="1068" t="s">
        <v>37</v>
      </c>
      <c r="Q296" s="1068" t="s">
        <v>38</v>
      </c>
      <c r="R296" s="1068" t="s">
        <v>218</v>
      </c>
      <c r="S296" s="1068" t="s">
        <v>1789</v>
      </c>
      <c r="T296" s="1068" t="s">
        <v>104</v>
      </c>
      <c r="U296" s="1090">
        <v>1</v>
      </c>
      <c r="V296" s="1071" t="str">
        <f t="shared" si="279"/>
        <v>Designación del responsable del SST</v>
      </c>
      <c r="W296" s="811">
        <f t="shared" si="279"/>
        <v>0</v>
      </c>
      <c r="X296" s="1086" t="s">
        <v>117</v>
      </c>
      <c r="Y296" s="1090">
        <v>0</v>
      </c>
      <c r="Z296" s="1071" t="str">
        <f t="shared" si="304"/>
        <v>Designación del responsable del SST</v>
      </c>
      <c r="AA296" s="529">
        <v>0</v>
      </c>
      <c r="AB296" s="700"/>
      <c r="AC296" s="700"/>
      <c r="AD296" s="1069" t="e">
        <f t="shared" si="280"/>
        <v>#DIV/0!</v>
      </c>
      <c r="AE296" s="1069" t="e">
        <f t="shared" si="281"/>
        <v>#DIV/0!</v>
      </c>
      <c r="AF296" s="1069">
        <f t="shared" si="282"/>
        <v>0</v>
      </c>
      <c r="AG296" s="1069" t="e">
        <f t="shared" si="283"/>
        <v>#DIV/0!</v>
      </c>
      <c r="AH296" s="1086"/>
      <c r="AI296" s="1090">
        <v>0</v>
      </c>
      <c r="AJ296" s="1071" t="str">
        <f t="shared" si="158"/>
        <v>Designación del responsable del SST</v>
      </c>
      <c r="AK296" s="529">
        <v>0</v>
      </c>
      <c r="AL296" s="700"/>
      <c r="AM296" s="700"/>
      <c r="AN296" s="1069" t="e">
        <f t="shared" si="300"/>
        <v>#DIV/0!</v>
      </c>
      <c r="AO296" s="1069" t="e">
        <f t="shared" si="301"/>
        <v>#DIV/0!</v>
      </c>
      <c r="AP296" s="1069">
        <f t="shared" si="302"/>
        <v>0</v>
      </c>
      <c r="AQ296" s="1069" t="e">
        <f t="shared" si="303"/>
        <v>#DIV/0!</v>
      </c>
      <c r="AR296" s="1086"/>
      <c r="AS296" s="1090">
        <v>0</v>
      </c>
      <c r="AT296" s="1071" t="str">
        <f t="shared" si="161"/>
        <v>Designación del responsable del SST</v>
      </c>
      <c r="AU296" s="529">
        <v>0</v>
      </c>
      <c r="AV296" s="700">
        <v>0</v>
      </c>
      <c r="AW296" s="702">
        <v>0</v>
      </c>
      <c r="AX296" s="1069" t="e">
        <f t="shared" si="284"/>
        <v>#DIV/0!</v>
      </c>
      <c r="AY296" s="1069" t="e">
        <f t="shared" si="285"/>
        <v>#DIV/0!</v>
      </c>
      <c r="AZ296" s="1069">
        <f t="shared" si="286"/>
        <v>0</v>
      </c>
      <c r="BA296" s="1069" t="e">
        <f t="shared" si="287"/>
        <v>#DIV/0!</v>
      </c>
      <c r="BB296" s="1086"/>
      <c r="BC296" s="1090">
        <v>1</v>
      </c>
      <c r="BD296" s="1071" t="str">
        <f t="shared" si="162"/>
        <v>Designación del responsable del SST</v>
      </c>
      <c r="BE296" s="529">
        <v>0</v>
      </c>
      <c r="BF296" s="1089">
        <v>1</v>
      </c>
      <c r="BG296" s="1054">
        <v>0</v>
      </c>
      <c r="BH296" s="1075">
        <f t="shared" si="288"/>
        <v>1</v>
      </c>
      <c r="BI296" s="1075" t="e">
        <f t="shared" si="289"/>
        <v>#DIV/0!</v>
      </c>
      <c r="BJ296" s="1075">
        <f t="shared" si="290"/>
        <v>1</v>
      </c>
      <c r="BK296" s="1075" t="e">
        <f t="shared" si="291"/>
        <v>#DIV/0!</v>
      </c>
      <c r="BL296" s="1060" t="s">
        <v>2165</v>
      </c>
      <c r="BM296" s="708" t="str">
        <f t="shared" si="292"/>
        <v>No Prog ni Ejec</v>
      </c>
      <c r="BN296" s="708" t="str">
        <f t="shared" si="293"/>
        <v>No Prog ni Ejec</v>
      </c>
      <c r="BO296" s="708" t="str">
        <f t="shared" si="294"/>
        <v>No Prog ni Ejec</v>
      </c>
      <c r="BP296" s="708" t="str">
        <f t="shared" si="295"/>
        <v>No Prog ni Ejec</v>
      </c>
      <c r="BQ296" s="708" t="str">
        <f t="shared" si="296"/>
        <v>No Prog ni Ejec</v>
      </c>
      <c r="BR296" s="708" t="str">
        <f t="shared" si="297"/>
        <v>No Prog ni Ejec</v>
      </c>
      <c r="BS296" s="708">
        <f t="shared" si="298"/>
        <v>1</v>
      </c>
      <c r="BT296" s="829" t="str">
        <f t="shared" si="299"/>
        <v>No Prog ni Ejec</v>
      </c>
    </row>
    <row r="297" spans="1:72" s="958" customFormat="1" ht="89.25" x14ac:dyDescent="0.2">
      <c r="A297" s="1092">
        <v>11700</v>
      </c>
      <c r="B297" s="1060" t="s">
        <v>29</v>
      </c>
      <c r="C297" s="1068" t="s">
        <v>1764</v>
      </c>
      <c r="D297" s="1059" t="s">
        <v>328</v>
      </c>
      <c r="E297" s="1060" t="s">
        <v>256</v>
      </c>
      <c r="F297" s="1059" t="s">
        <v>1790</v>
      </c>
      <c r="G297" s="1102" t="s">
        <v>1791</v>
      </c>
      <c r="H297" s="1089" t="s">
        <v>124</v>
      </c>
      <c r="I297" s="784">
        <v>1</v>
      </c>
      <c r="J297" s="1059" t="s">
        <v>1792</v>
      </c>
      <c r="K297" s="1102" t="s">
        <v>1793</v>
      </c>
      <c r="L297" s="735">
        <v>0</v>
      </c>
      <c r="M297" s="1078">
        <v>1</v>
      </c>
      <c r="N297" s="1068" t="s">
        <v>45</v>
      </c>
      <c r="O297" s="1068" t="s">
        <v>54</v>
      </c>
      <c r="P297" s="1068" t="s">
        <v>37</v>
      </c>
      <c r="Q297" s="1068" t="s">
        <v>38</v>
      </c>
      <c r="R297" s="1068" t="s">
        <v>218</v>
      </c>
      <c r="S297" s="1068" t="s">
        <v>1794</v>
      </c>
      <c r="T297" s="1068" t="s">
        <v>104</v>
      </c>
      <c r="U297" s="1090">
        <v>1</v>
      </c>
      <c r="V297" s="1071" t="str">
        <f t="shared" si="279"/>
        <v>Elaboración del plan de emergencia</v>
      </c>
      <c r="W297" s="811">
        <f t="shared" si="279"/>
        <v>0</v>
      </c>
      <c r="X297" s="1086" t="s">
        <v>117</v>
      </c>
      <c r="Y297" s="1090">
        <v>0</v>
      </c>
      <c r="Z297" s="1071" t="str">
        <f t="shared" si="304"/>
        <v>Elaboración del plan de emergencia</v>
      </c>
      <c r="AA297" s="529">
        <v>0</v>
      </c>
      <c r="AB297" s="700"/>
      <c r="AC297" s="700"/>
      <c r="AD297" s="1069" t="e">
        <f t="shared" si="280"/>
        <v>#DIV/0!</v>
      </c>
      <c r="AE297" s="1069" t="e">
        <f t="shared" si="281"/>
        <v>#DIV/0!</v>
      </c>
      <c r="AF297" s="1069">
        <f t="shared" si="282"/>
        <v>0</v>
      </c>
      <c r="AG297" s="1069" t="e">
        <f t="shared" si="283"/>
        <v>#DIV/0!</v>
      </c>
      <c r="AH297" s="1086"/>
      <c r="AI297" s="1090">
        <v>0</v>
      </c>
      <c r="AJ297" s="1071" t="str">
        <f t="shared" si="158"/>
        <v>Elaboración del plan de emergencia</v>
      </c>
      <c r="AK297" s="529">
        <v>0</v>
      </c>
      <c r="AL297" s="700"/>
      <c r="AM297" s="700"/>
      <c r="AN297" s="1069" t="e">
        <f t="shared" si="300"/>
        <v>#DIV/0!</v>
      </c>
      <c r="AO297" s="1069" t="e">
        <f t="shared" si="301"/>
        <v>#DIV/0!</v>
      </c>
      <c r="AP297" s="1069">
        <f t="shared" si="302"/>
        <v>0</v>
      </c>
      <c r="AQ297" s="1069" t="e">
        <f t="shared" si="303"/>
        <v>#DIV/0!</v>
      </c>
      <c r="AR297" s="1086"/>
      <c r="AS297" s="1090">
        <v>0</v>
      </c>
      <c r="AT297" s="1071" t="str">
        <f t="shared" si="161"/>
        <v>Elaboración del plan de emergencia</v>
      </c>
      <c r="AU297" s="529">
        <v>0</v>
      </c>
      <c r="AV297" s="700">
        <v>0</v>
      </c>
      <c r="AW297" s="702">
        <v>0</v>
      </c>
      <c r="AX297" s="1069" t="e">
        <f t="shared" si="284"/>
        <v>#DIV/0!</v>
      </c>
      <c r="AY297" s="1069" t="e">
        <f t="shared" si="285"/>
        <v>#DIV/0!</v>
      </c>
      <c r="AZ297" s="1069">
        <f t="shared" si="286"/>
        <v>0</v>
      </c>
      <c r="BA297" s="1069" t="e">
        <f t="shared" si="287"/>
        <v>#DIV/0!</v>
      </c>
      <c r="BB297" s="1086"/>
      <c r="BC297" s="1090">
        <v>1</v>
      </c>
      <c r="BD297" s="1071" t="str">
        <f t="shared" si="162"/>
        <v>Elaboración del plan de emergencia</v>
      </c>
      <c r="BE297" s="529">
        <v>0</v>
      </c>
      <c r="BF297" s="1089">
        <v>1</v>
      </c>
      <c r="BG297" s="1054">
        <v>0</v>
      </c>
      <c r="BH297" s="1075">
        <f t="shared" si="288"/>
        <v>1</v>
      </c>
      <c r="BI297" s="1075" t="e">
        <f t="shared" si="289"/>
        <v>#DIV/0!</v>
      </c>
      <c r="BJ297" s="1075">
        <f t="shared" si="290"/>
        <v>1</v>
      </c>
      <c r="BK297" s="1075" t="e">
        <f t="shared" si="291"/>
        <v>#DIV/0!</v>
      </c>
      <c r="BL297" s="1097"/>
      <c r="BM297" s="708" t="str">
        <f t="shared" si="292"/>
        <v>No Prog ni Ejec</v>
      </c>
      <c r="BN297" s="708" t="str">
        <f t="shared" si="293"/>
        <v>No Prog ni Ejec</v>
      </c>
      <c r="BO297" s="708" t="str">
        <f t="shared" si="294"/>
        <v>No Prog ni Ejec</v>
      </c>
      <c r="BP297" s="708" t="str">
        <f t="shared" si="295"/>
        <v>No Prog ni Ejec</v>
      </c>
      <c r="BQ297" s="708" t="str">
        <f t="shared" si="296"/>
        <v>No Prog ni Ejec</v>
      </c>
      <c r="BR297" s="708" t="str">
        <f t="shared" si="297"/>
        <v>No Prog ni Ejec</v>
      </c>
      <c r="BS297" s="708">
        <f t="shared" si="298"/>
        <v>1</v>
      </c>
      <c r="BT297" s="829" t="str">
        <f t="shared" si="299"/>
        <v>No Prog ni Ejec</v>
      </c>
    </row>
    <row r="298" spans="1:72" s="958" customFormat="1" ht="89.25" x14ac:dyDescent="0.2">
      <c r="A298" s="1092">
        <v>11700</v>
      </c>
      <c r="B298" s="1060" t="s">
        <v>29</v>
      </c>
      <c r="C298" s="1068" t="s">
        <v>1764</v>
      </c>
      <c r="D298" s="1059" t="s">
        <v>328</v>
      </c>
      <c r="E298" s="1060" t="s">
        <v>256</v>
      </c>
      <c r="F298" s="1059" t="s">
        <v>1795</v>
      </c>
      <c r="G298" s="1102" t="s">
        <v>1796</v>
      </c>
      <c r="H298" s="1089" t="s">
        <v>124</v>
      </c>
      <c r="I298" s="784">
        <v>1</v>
      </c>
      <c r="J298" s="1059" t="s">
        <v>1797</v>
      </c>
      <c r="K298" s="1102" t="s">
        <v>1798</v>
      </c>
      <c r="L298" s="735">
        <v>0</v>
      </c>
      <c r="M298" s="1078">
        <v>1</v>
      </c>
      <c r="N298" s="1068" t="s">
        <v>45</v>
      </c>
      <c r="O298" s="1068" t="s">
        <v>54</v>
      </c>
      <c r="P298" s="1068" t="s">
        <v>37</v>
      </c>
      <c r="Q298" s="1068" t="s">
        <v>38</v>
      </c>
      <c r="R298" s="1068" t="s">
        <v>218</v>
      </c>
      <c r="S298" s="1068" t="s">
        <v>1799</v>
      </c>
      <c r="T298" s="1068" t="s">
        <v>104</v>
      </c>
      <c r="U298" s="1090">
        <v>1</v>
      </c>
      <c r="V298" s="1071" t="str">
        <f t="shared" si="279"/>
        <v>Elaboración de programa de mantenimiento</v>
      </c>
      <c r="W298" s="811">
        <f t="shared" si="279"/>
        <v>0</v>
      </c>
      <c r="X298" s="1086" t="s">
        <v>117</v>
      </c>
      <c r="Y298" s="1090">
        <v>0</v>
      </c>
      <c r="Z298" s="1071" t="str">
        <f t="shared" si="304"/>
        <v>Elaboración de programa de mantenimiento</v>
      </c>
      <c r="AA298" s="529">
        <v>0</v>
      </c>
      <c r="AB298" s="700"/>
      <c r="AC298" s="700"/>
      <c r="AD298" s="1069" t="e">
        <f t="shared" si="280"/>
        <v>#DIV/0!</v>
      </c>
      <c r="AE298" s="1069" t="e">
        <f t="shared" si="281"/>
        <v>#DIV/0!</v>
      </c>
      <c r="AF298" s="1069">
        <f t="shared" si="282"/>
        <v>0</v>
      </c>
      <c r="AG298" s="1069" t="e">
        <f t="shared" si="283"/>
        <v>#DIV/0!</v>
      </c>
      <c r="AH298" s="1086"/>
      <c r="AI298" s="1090">
        <v>0</v>
      </c>
      <c r="AJ298" s="1071" t="str">
        <f t="shared" si="158"/>
        <v>Elaboración de programa de mantenimiento</v>
      </c>
      <c r="AK298" s="529">
        <v>0</v>
      </c>
      <c r="AL298" s="700"/>
      <c r="AM298" s="700"/>
      <c r="AN298" s="1069" t="e">
        <f t="shared" si="300"/>
        <v>#DIV/0!</v>
      </c>
      <c r="AO298" s="1069" t="e">
        <f t="shared" si="301"/>
        <v>#DIV/0!</v>
      </c>
      <c r="AP298" s="1069">
        <f t="shared" si="302"/>
        <v>0</v>
      </c>
      <c r="AQ298" s="1069" t="e">
        <f t="shared" si="303"/>
        <v>#DIV/0!</v>
      </c>
      <c r="AR298" s="1086"/>
      <c r="AS298" s="1090">
        <v>0</v>
      </c>
      <c r="AT298" s="1071" t="str">
        <f t="shared" si="161"/>
        <v>Elaboración de programa de mantenimiento</v>
      </c>
      <c r="AU298" s="529">
        <v>0</v>
      </c>
      <c r="AV298" s="700">
        <v>0</v>
      </c>
      <c r="AW298" s="702">
        <v>0</v>
      </c>
      <c r="AX298" s="1069" t="e">
        <f t="shared" si="284"/>
        <v>#DIV/0!</v>
      </c>
      <c r="AY298" s="1069" t="e">
        <f t="shared" si="285"/>
        <v>#DIV/0!</v>
      </c>
      <c r="AZ298" s="1069">
        <f t="shared" si="286"/>
        <v>0</v>
      </c>
      <c r="BA298" s="1069" t="e">
        <f t="shared" si="287"/>
        <v>#DIV/0!</v>
      </c>
      <c r="BB298" s="1086"/>
      <c r="BC298" s="1090">
        <v>1</v>
      </c>
      <c r="BD298" s="1071" t="str">
        <f t="shared" si="162"/>
        <v>Elaboración de programa de mantenimiento</v>
      </c>
      <c r="BE298" s="529">
        <v>0</v>
      </c>
      <c r="BF298" s="1089">
        <v>1</v>
      </c>
      <c r="BG298" s="1054">
        <v>0</v>
      </c>
      <c r="BH298" s="1075">
        <f t="shared" si="288"/>
        <v>1</v>
      </c>
      <c r="BI298" s="1075" t="e">
        <f t="shared" si="289"/>
        <v>#DIV/0!</v>
      </c>
      <c r="BJ298" s="1075">
        <f t="shared" si="290"/>
        <v>1</v>
      </c>
      <c r="BK298" s="1075" t="e">
        <f t="shared" si="291"/>
        <v>#DIV/0!</v>
      </c>
      <c r="BL298" s="1060" t="s">
        <v>2287</v>
      </c>
      <c r="BM298" s="708" t="str">
        <f t="shared" si="292"/>
        <v>No Prog ni Ejec</v>
      </c>
      <c r="BN298" s="708" t="str">
        <f t="shared" si="293"/>
        <v>No Prog ni Ejec</v>
      </c>
      <c r="BO298" s="708" t="str">
        <f t="shared" si="294"/>
        <v>No Prog ni Ejec</v>
      </c>
      <c r="BP298" s="708" t="str">
        <f t="shared" si="295"/>
        <v>No Prog ni Ejec</v>
      </c>
      <c r="BQ298" s="708" t="str">
        <f t="shared" si="296"/>
        <v>No Prog ni Ejec</v>
      </c>
      <c r="BR298" s="708" t="str">
        <f t="shared" si="297"/>
        <v>No Prog ni Ejec</v>
      </c>
      <c r="BS298" s="708">
        <f t="shared" si="298"/>
        <v>1</v>
      </c>
      <c r="BT298" s="829" t="str">
        <f t="shared" si="299"/>
        <v>No Prog ni Ejec</v>
      </c>
    </row>
    <row r="299" spans="1:72" s="958" customFormat="1" ht="89.25" x14ac:dyDescent="0.2">
      <c r="A299" s="1091">
        <v>11700</v>
      </c>
      <c r="B299" s="1068" t="s">
        <v>29</v>
      </c>
      <c r="C299" s="1068" t="s">
        <v>1764</v>
      </c>
      <c r="D299" s="1085" t="s">
        <v>328</v>
      </c>
      <c r="E299" s="1068" t="s">
        <v>256</v>
      </c>
      <c r="F299" s="1085" t="s">
        <v>1800</v>
      </c>
      <c r="G299" s="825" t="s">
        <v>1801</v>
      </c>
      <c r="H299" s="1086" t="s">
        <v>123</v>
      </c>
      <c r="I299" s="1072">
        <v>1</v>
      </c>
      <c r="J299" s="1085" t="s">
        <v>1802</v>
      </c>
      <c r="K299" s="825" t="s">
        <v>1803</v>
      </c>
      <c r="L299" s="1054">
        <f>57147718-57147718</f>
        <v>0</v>
      </c>
      <c r="M299" s="1078">
        <v>1</v>
      </c>
      <c r="N299" s="1068" t="s">
        <v>45</v>
      </c>
      <c r="O299" s="1068" t="s">
        <v>54</v>
      </c>
      <c r="P299" s="1068" t="s">
        <v>37</v>
      </c>
      <c r="Q299" s="1068" t="s">
        <v>38</v>
      </c>
      <c r="R299" s="1068" t="s">
        <v>218</v>
      </c>
      <c r="S299" s="1068" t="s">
        <v>1804</v>
      </c>
      <c r="T299" s="1068" t="s">
        <v>104</v>
      </c>
      <c r="U299" s="802">
        <v>1</v>
      </c>
      <c r="V299" s="1071" t="str">
        <f t="shared" si="279"/>
        <v>Realizar otras actividades  relacionadas  con  todo  el  plan del SST</v>
      </c>
      <c r="W299" s="736">
        <f t="shared" si="279"/>
        <v>0</v>
      </c>
      <c r="X299" s="1086" t="s">
        <v>114</v>
      </c>
      <c r="Y299" s="1078">
        <v>0</v>
      </c>
      <c r="Z299" s="1071" t="str">
        <f t="shared" si="304"/>
        <v>Realizar otras actividades  relacionadas  con  todo  el  plan del SST</v>
      </c>
      <c r="AA299" s="529">
        <v>0</v>
      </c>
      <c r="AB299" s="700"/>
      <c r="AC299" s="700"/>
      <c r="AD299" s="1069" t="e">
        <f t="shared" si="280"/>
        <v>#DIV/0!</v>
      </c>
      <c r="AE299" s="1069" t="e">
        <f t="shared" si="281"/>
        <v>#DIV/0!</v>
      </c>
      <c r="AF299" s="1069">
        <f t="shared" si="282"/>
        <v>0</v>
      </c>
      <c r="AG299" s="1069" t="e">
        <f t="shared" si="283"/>
        <v>#DIV/0!</v>
      </c>
      <c r="AH299" s="1086"/>
      <c r="AI299" s="1078">
        <v>0</v>
      </c>
      <c r="AJ299" s="1071" t="str">
        <f t="shared" si="158"/>
        <v>Realizar otras actividades  relacionadas  con  todo  el  plan del SST</v>
      </c>
      <c r="AK299" s="529">
        <v>0</v>
      </c>
      <c r="AL299" s="700"/>
      <c r="AM299" s="700"/>
      <c r="AN299" s="1069" t="e">
        <f t="shared" si="300"/>
        <v>#DIV/0!</v>
      </c>
      <c r="AO299" s="1069" t="e">
        <f t="shared" si="301"/>
        <v>#DIV/0!</v>
      </c>
      <c r="AP299" s="1069">
        <f t="shared" si="302"/>
        <v>0</v>
      </c>
      <c r="AQ299" s="1069" t="e">
        <f t="shared" si="303"/>
        <v>#DIV/0!</v>
      </c>
      <c r="AR299" s="1086"/>
      <c r="AS299" s="1078">
        <v>0</v>
      </c>
      <c r="AT299" s="1071" t="str">
        <f t="shared" si="161"/>
        <v>Realizar otras actividades  relacionadas  con  todo  el  plan del SST</v>
      </c>
      <c r="AU299" s="529">
        <v>0</v>
      </c>
      <c r="AV299" s="952">
        <v>0</v>
      </c>
      <c r="AW299" s="785">
        <v>0</v>
      </c>
      <c r="AX299" s="1069" t="e">
        <f t="shared" si="284"/>
        <v>#DIV/0!</v>
      </c>
      <c r="AY299" s="1069" t="e">
        <f t="shared" si="285"/>
        <v>#DIV/0!</v>
      </c>
      <c r="AZ299" s="1069">
        <f t="shared" si="286"/>
        <v>0</v>
      </c>
      <c r="BA299" s="1069" t="e">
        <f t="shared" si="287"/>
        <v>#DIV/0!</v>
      </c>
      <c r="BB299" s="1660"/>
      <c r="BC299" s="1078">
        <v>1</v>
      </c>
      <c r="BD299" s="1071" t="str">
        <f t="shared" si="162"/>
        <v>Realizar otras actividades  relacionadas  con  todo  el  plan del SST</v>
      </c>
      <c r="BE299" s="736">
        <f>57147718-57147718</f>
        <v>0</v>
      </c>
      <c r="BF299" s="943">
        <v>0</v>
      </c>
      <c r="BG299" s="1692">
        <v>0</v>
      </c>
      <c r="BH299" s="1075">
        <f t="shared" si="288"/>
        <v>0</v>
      </c>
      <c r="BI299" s="1075" t="e">
        <f t="shared" si="289"/>
        <v>#DIV/0!</v>
      </c>
      <c r="BJ299" s="1075">
        <f t="shared" si="290"/>
        <v>0</v>
      </c>
      <c r="BK299" s="1075" t="e">
        <f t="shared" si="291"/>
        <v>#DIV/0!</v>
      </c>
      <c r="BL299" s="1060" t="s">
        <v>2288</v>
      </c>
      <c r="BM299" s="708" t="str">
        <f t="shared" si="292"/>
        <v>No Prog ni Ejec</v>
      </c>
      <c r="BN299" s="708" t="str">
        <f t="shared" si="293"/>
        <v>No Prog ni Ejec</v>
      </c>
      <c r="BO299" s="708" t="str">
        <f t="shared" si="294"/>
        <v>No Prog ni Ejec</v>
      </c>
      <c r="BP299" s="708" t="str">
        <f t="shared" si="295"/>
        <v>No Prog ni Ejec</v>
      </c>
      <c r="BQ299" s="708" t="str">
        <f t="shared" si="296"/>
        <v>No Prog ni Ejec</v>
      </c>
      <c r="BR299" s="708" t="str">
        <f t="shared" si="297"/>
        <v>No Prog ni Ejec</v>
      </c>
      <c r="BS299" s="708">
        <f t="shared" si="298"/>
        <v>0</v>
      </c>
      <c r="BT299" s="829" t="str">
        <f t="shared" si="299"/>
        <v>No Prog ni Ejec</v>
      </c>
    </row>
    <row r="300" spans="1:72" s="1627" customFormat="1" ht="89.25" x14ac:dyDescent="0.2">
      <c r="A300" s="1092">
        <v>11200</v>
      </c>
      <c r="B300" s="1060" t="s">
        <v>1060</v>
      </c>
      <c r="C300" s="1060" t="s">
        <v>1209</v>
      </c>
      <c r="D300" s="1059" t="s">
        <v>152</v>
      </c>
      <c r="E300" s="1060" t="s">
        <v>256</v>
      </c>
      <c r="F300" s="1059" t="s">
        <v>1061</v>
      </c>
      <c r="G300" s="1060" t="s">
        <v>1062</v>
      </c>
      <c r="H300" s="1079" t="s">
        <v>124</v>
      </c>
      <c r="I300" s="1059">
        <v>6</v>
      </c>
      <c r="J300" s="1059" t="s">
        <v>1816</v>
      </c>
      <c r="K300" s="1060" t="s">
        <v>1064</v>
      </c>
      <c r="L300" s="443">
        <v>38642460</v>
      </c>
      <c r="M300" s="444">
        <v>1</v>
      </c>
      <c r="N300" s="1060" t="s">
        <v>48</v>
      </c>
      <c r="O300" s="1060" t="s">
        <v>62</v>
      </c>
      <c r="P300" s="1060" t="s">
        <v>21</v>
      </c>
      <c r="Q300" s="1060" t="s">
        <v>23</v>
      </c>
      <c r="R300" s="1060" t="s">
        <v>792</v>
      </c>
      <c r="S300" s="1060" t="s">
        <v>1065</v>
      </c>
      <c r="T300" s="1060" t="s">
        <v>98</v>
      </c>
      <c r="U300" s="464">
        <v>6</v>
      </c>
      <c r="V300" s="1060" t="str">
        <f>+K300</f>
        <v>Administrar los contenidos de los medios digitales de la ADRES</v>
      </c>
      <c r="W300" s="445">
        <v>38642460</v>
      </c>
      <c r="X300" s="1097" t="s">
        <v>114</v>
      </c>
      <c r="Y300" s="463">
        <v>0</v>
      </c>
      <c r="Z300" s="1083" t="str">
        <f t="shared" ref="Z300:Z306" si="305">+V300</f>
        <v>Administrar los contenidos de los medios digitales de la ADRES</v>
      </c>
      <c r="AA300" s="443">
        <v>0</v>
      </c>
      <c r="AB300" s="446"/>
      <c r="AC300" s="446"/>
      <c r="AD300" s="1064" t="e">
        <f t="shared" si="280"/>
        <v>#DIV/0!</v>
      </c>
      <c r="AE300" s="1064" t="e">
        <f t="shared" si="281"/>
        <v>#DIV/0!</v>
      </c>
      <c r="AF300" s="1064">
        <f t="shared" si="282"/>
        <v>0</v>
      </c>
      <c r="AG300" s="1064">
        <f t="shared" si="283"/>
        <v>0</v>
      </c>
      <c r="AH300" s="1060"/>
      <c r="AI300" s="463">
        <v>0</v>
      </c>
      <c r="AJ300" s="1083" t="str">
        <f t="shared" si="158"/>
        <v>Administrar los contenidos de los medios digitales de la ADRES</v>
      </c>
      <c r="AK300" s="443">
        <v>0</v>
      </c>
      <c r="AL300" s="446">
        <v>0</v>
      </c>
      <c r="AM300" s="446">
        <v>0</v>
      </c>
      <c r="AN300" s="1064" t="e">
        <f t="shared" ref="AN300:AN307" si="306">+(AL300/AI300)</f>
        <v>#DIV/0!</v>
      </c>
      <c r="AO300" s="1064" t="e">
        <f t="shared" ref="AO300:AO306" si="307">+(AM300/AK300)</f>
        <v>#DIV/0!</v>
      </c>
      <c r="AP300" s="1064">
        <f t="shared" ref="AP300:AP307" si="308">+(AL300+AB300)/U300</f>
        <v>0</v>
      </c>
      <c r="AQ300" s="1064">
        <f t="shared" ref="AQ300:AQ306" si="309">+(AM300+AC300)/W300</f>
        <v>0</v>
      </c>
      <c r="AR300" s="527"/>
      <c r="AS300" s="463">
        <v>3</v>
      </c>
      <c r="AT300" s="1083" t="str">
        <f t="shared" si="161"/>
        <v>Administrar los contenidos de los medios digitales de la ADRES</v>
      </c>
      <c r="AU300" s="475">
        <f>38642460/2</f>
        <v>19321230</v>
      </c>
      <c r="AV300" s="825">
        <v>3</v>
      </c>
      <c r="AW300" s="702">
        <v>15027620</v>
      </c>
      <c r="AX300" s="1064">
        <f t="shared" si="284"/>
        <v>1</v>
      </c>
      <c r="AY300" s="1064">
        <f t="shared" si="285"/>
        <v>0.77777760525598005</v>
      </c>
      <c r="AZ300" s="1064">
        <f t="shared" si="286"/>
        <v>0.5</v>
      </c>
      <c r="BA300" s="1064">
        <f t="shared" si="287"/>
        <v>0.38888880262799003</v>
      </c>
      <c r="BB300" s="527"/>
      <c r="BC300" s="464">
        <v>3</v>
      </c>
      <c r="BD300" s="1083" t="str">
        <f t="shared" si="162"/>
        <v>Administrar los contenidos de los medios digitales de la ADRES</v>
      </c>
      <c r="BE300" s="475">
        <f>38642460/2</f>
        <v>19321230</v>
      </c>
      <c r="BF300" s="1079">
        <v>3</v>
      </c>
      <c r="BG300" s="1077">
        <v>23185476</v>
      </c>
      <c r="BH300" s="1056">
        <f t="shared" si="288"/>
        <v>1</v>
      </c>
      <c r="BI300" s="1056">
        <f t="shared" si="289"/>
        <v>1.2</v>
      </c>
      <c r="BJ300" s="1056">
        <f t="shared" si="290"/>
        <v>1</v>
      </c>
      <c r="BK300" s="1056">
        <f t="shared" si="291"/>
        <v>0.98888880262799006</v>
      </c>
      <c r="BL300" s="1068" t="s">
        <v>2129</v>
      </c>
      <c r="BM300" s="477" t="str">
        <f t="shared" si="292"/>
        <v>No Prog ni Ejec</v>
      </c>
      <c r="BN300" s="477" t="str">
        <f t="shared" si="293"/>
        <v>No Prog ni Ejec</v>
      </c>
      <c r="BO300" s="477" t="str">
        <f t="shared" si="294"/>
        <v>No Prog ni Ejec</v>
      </c>
      <c r="BP300" s="477" t="str">
        <f t="shared" si="295"/>
        <v>No Prog ni Ejec</v>
      </c>
      <c r="BQ300" s="477">
        <f t="shared" si="296"/>
        <v>1</v>
      </c>
      <c r="BR300" s="477">
        <f t="shared" si="297"/>
        <v>0.77777760525598005</v>
      </c>
      <c r="BS300" s="477">
        <f t="shared" si="298"/>
        <v>1</v>
      </c>
      <c r="BT300" s="828">
        <f t="shared" si="299"/>
        <v>1.2</v>
      </c>
    </row>
    <row r="301" spans="1:72" s="1627" customFormat="1" ht="89.25" x14ac:dyDescent="0.2">
      <c r="A301" s="1092" t="s">
        <v>1074</v>
      </c>
      <c r="B301" s="1060" t="s">
        <v>1075</v>
      </c>
      <c r="C301" s="1060" t="s">
        <v>1209</v>
      </c>
      <c r="D301" s="1059" t="s">
        <v>1068</v>
      </c>
      <c r="E301" s="1060" t="s">
        <v>256</v>
      </c>
      <c r="F301" s="1059" t="s">
        <v>1069</v>
      </c>
      <c r="G301" s="1060" t="s">
        <v>1070</v>
      </c>
      <c r="H301" s="1097" t="s">
        <v>123</v>
      </c>
      <c r="I301" s="1082">
        <v>1</v>
      </c>
      <c r="J301" s="1059" t="s">
        <v>1071</v>
      </c>
      <c r="K301" s="1060" t="s">
        <v>1072</v>
      </c>
      <c r="L301" s="1055">
        <v>50000000</v>
      </c>
      <c r="M301" s="997">
        <v>1</v>
      </c>
      <c r="N301" s="1004" t="s">
        <v>46</v>
      </c>
      <c r="O301" s="1004" t="s">
        <v>68</v>
      </c>
      <c r="P301" s="1004" t="s">
        <v>21</v>
      </c>
      <c r="Q301" s="1004" t="s">
        <v>36</v>
      </c>
      <c r="R301" s="1004" t="s">
        <v>214</v>
      </c>
      <c r="S301" s="1060" t="s">
        <v>1073</v>
      </c>
      <c r="T301" s="1060" t="s">
        <v>99</v>
      </c>
      <c r="U301" s="444">
        <v>1</v>
      </c>
      <c r="V301" s="1058" t="str">
        <f>+K301</f>
        <v>Implementar las NIIF de acuerdo con la Resolución 553, el instructivo 002 de 2015 y sus modificaciones.</v>
      </c>
      <c r="W301" s="780">
        <f>+L301</f>
        <v>50000000</v>
      </c>
      <c r="X301" s="1097" t="s">
        <v>114</v>
      </c>
      <c r="Y301" s="1056">
        <v>0</v>
      </c>
      <c r="Z301" s="1003" t="str">
        <f t="shared" si="305"/>
        <v>Implementar las NIIF de acuerdo con la Resolución 553, el instructivo 002 de 2015 y sus modificaciones.</v>
      </c>
      <c r="AA301" s="1055">
        <v>0</v>
      </c>
      <c r="AB301" s="1097"/>
      <c r="AC301" s="1097"/>
      <c r="AD301" s="1064" t="e">
        <f t="shared" si="280"/>
        <v>#DIV/0!</v>
      </c>
      <c r="AE301" s="1064" t="e">
        <f t="shared" si="281"/>
        <v>#DIV/0!</v>
      </c>
      <c r="AF301" s="1064">
        <f t="shared" si="282"/>
        <v>0</v>
      </c>
      <c r="AG301" s="1064">
        <f t="shared" si="283"/>
        <v>0</v>
      </c>
      <c r="AH301" s="1097"/>
      <c r="AI301" s="1056">
        <v>0</v>
      </c>
      <c r="AJ301" s="1003" t="str">
        <f t="shared" si="158"/>
        <v>Implementar las NIIF de acuerdo con la Resolución 553, el instructivo 002 de 2015 y sus modificaciones.</v>
      </c>
      <c r="AK301" s="1055">
        <v>0</v>
      </c>
      <c r="AL301" s="447">
        <v>0</v>
      </c>
      <c r="AM301" s="446">
        <v>0</v>
      </c>
      <c r="AN301" s="1064" t="e">
        <f t="shared" si="306"/>
        <v>#DIV/0!</v>
      </c>
      <c r="AO301" s="1064" t="e">
        <f t="shared" si="307"/>
        <v>#DIV/0!</v>
      </c>
      <c r="AP301" s="1064">
        <f t="shared" si="308"/>
        <v>0</v>
      </c>
      <c r="AQ301" s="1064">
        <f t="shared" si="309"/>
        <v>0</v>
      </c>
      <c r="AR301" s="1097"/>
      <c r="AS301" s="1056">
        <v>0</v>
      </c>
      <c r="AT301" s="1058" t="str">
        <f t="shared" si="161"/>
        <v>Implementar las NIIF de acuerdo con la Resolución 553, el instructivo 002 de 2015 y sus modificaciones.</v>
      </c>
      <c r="AU301" s="1055">
        <v>0</v>
      </c>
      <c r="AV301" s="444">
        <v>0</v>
      </c>
      <c r="AW301" s="1055">
        <v>0</v>
      </c>
      <c r="AX301" s="1064" t="e">
        <f t="shared" si="284"/>
        <v>#DIV/0!</v>
      </c>
      <c r="AY301" s="1064" t="e">
        <f t="shared" si="285"/>
        <v>#DIV/0!</v>
      </c>
      <c r="AZ301" s="444">
        <f t="shared" ref="AZ301:AZ308" si="310">+(AL301+AB301+AV301)/U301</f>
        <v>0</v>
      </c>
      <c r="BA301" s="1064">
        <f t="shared" si="287"/>
        <v>0</v>
      </c>
      <c r="BB301" s="1068" t="s">
        <v>2344</v>
      </c>
      <c r="BC301" s="1056">
        <v>1</v>
      </c>
      <c r="BD301" s="1058" t="str">
        <f t="shared" si="162"/>
        <v>Implementar las NIIF de acuerdo con la Resolución 553, el instructivo 002 de 2015 y sus modificaciones.</v>
      </c>
      <c r="BE301" s="1055">
        <v>50000000</v>
      </c>
      <c r="BF301" s="1669">
        <v>1</v>
      </c>
      <c r="BG301" s="744">
        <v>25000000</v>
      </c>
      <c r="BH301" s="1056">
        <f t="shared" si="288"/>
        <v>1</v>
      </c>
      <c r="BI301" s="1056">
        <f t="shared" si="289"/>
        <v>0.5</v>
      </c>
      <c r="BJ301" s="1056">
        <f t="shared" si="290"/>
        <v>1</v>
      </c>
      <c r="BK301" s="1056">
        <f t="shared" si="291"/>
        <v>0.5</v>
      </c>
      <c r="BL301" s="1068" t="s">
        <v>2116</v>
      </c>
      <c r="BM301" s="477" t="str">
        <f t="shared" si="292"/>
        <v>No Prog ni Ejec</v>
      </c>
      <c r="BN301" s="477" t="str">
        <f t="shared" si="293"/>
        <v>No Prog ni Ejec</v>
      </c>
      <c r="BO301" s="477" t="str">
        <f t="shared" si="294"/>
        <v>No Prog ni Ejec</v>
      </c>
      <c r="BP301" s="477" t="str">
        <f t="shared" si="295"/>
        <v>No Prog ni Ejec</v>
      </c>
      <c r="BQ301" s="477" t="str">
        <f t="shared" si="296"/>
        <v>No Prog ni Ejec</v>
      </c>
      <c r="BR301" s="477" t="str">
        <f t="shared" si="297"/>
        <v>No Prog ni Ejec</v>
      </c>
      <c r="BS301" s="477">
        <f t="shared" si="298"/>
        <v>1</v>
      </c>
      <c r="BT301" s="828">
        <f t="shared" si="299"/>
        <v>0.5</v>
      </c>
    </row>
    <row r="302" spans="1:72" s="958" customFormat="1" ht="89.25" x14ac:dyDescent="0.2">
      <c r="A302" s="1091">
        <v>11700</v>
      </c>
      <c r="B302" s="1068" t="s">
        <v>29</v>
      </c>
      <c r="C302" s="1068" t="s">
        <v>1340</v>
      </c>
      <c r="D302" s="1059" t="s">
        <v>328</v>
      </c>
      <c r="E302" s="1068" t="s">
        <v>256</v>
      </c>
      <c r="F302" s="1059" t="s">
        <v>1805</v>
      </c>
      <c r="G302" s="1068" t="s">
        <v>1806</v>
      </c>
      <c r="H302" s="1089" t="s">
        <v>124</v>
      </c>
      <c r="I302" s="1085">
        <v>1</v>
      </c>
      <c r="J302" s="1085" t="s">
        <v>1807</v>
      </c>
      <c r="K302" s="1068" t="s">
        <v>1808</v>
      </c>
      <c r="L302" s="529">
        <v>0</v>
      </c>
      <c r="M302" s="1078">
        <v>1</v>
      </c>
      <c r="N302" s="1068" t="s">
        <v>46</v>
      </c>
      <c r="O302" s="1068" t="s">
        <v>59</v>
      </c>
      <c r="P302" s="1068" t="s">
        <v>37</v>
      </c>
      <c r="Q302" s="1068" t="s">
        <v>40</v>
      </c>
      <c r="R302" s="1068" t="s">
        <v>220</v>
      </c>
      <c r="S302" s="1068" t="s">
        <v>1809</v>
      </c>
      <c r="T302" s="1068" t="s">
        <v>101</v>
      </c>
      <c r="U302" s="1085">
        <v>1</v>
      </c>
      <c r="V302" s="1071" t="str">
        <f>+K302</f>
        <v xml:space="preserve">Adelantar la reglamentación Interna del manejo de las PQRS en la ADRES a través de la correspondiente resolución para dar cumplimiento a la ley 1755. </v>
      </c>
      <c r="W302" s="699">
        <f>+L302</f>
        <v>0</v>
      </c>
      <c r="X302" s="1086" t="s">
        <v>117</v>
      </c>
      <c r="Y302" s="722">
        <v>1</v>
      </c>
      <c r="Z302" s="1072" t="str">
        <f t="shared" si="305"/>
        <v xml:space="preserve">Adelantar la reglamentación Interna del manejo de las PQRS en la ADRES a través de la correspondiente resolución para dar cumplimiento a la ley 1755. </v>
      </c>
      <c r="AA302" s="529">
        <v>0</v>
      </c>
      <c r="AB302" s="825">
        <v>1</v>
      </c>
      <c r="AC302" s="739">
        <v>0</v>
      </c>
      <c r="AD302" s="1069">
        <f t="shared" ref="AD302:AD308" si="311">+(AB302/Y302)</f>
        <v>1</v>
      </c>
      <c r="AE302" s="1069" t="e">
        <f>+(AC302/AA302)</f>
        <v>#DIV/0!</v>
      </c>
      <c r="AF302" s="1069">
        <f t="shared" ref="AF302:AF308" si="312">+(AB302/U302)</f>
        <v>1</v>
      </c>
      <c r="AG302" s="1069" t="e">
        <f>+(AC302/W302)</f>
        <v>#DIV/0!</v>
      </c>
      <c r="AH302" s="1068" t="s">
        <v>1942</v>
      </c>
      <c r="AI302" s="722">
        <v>0</v>
      </c>
      <c r="AJ302" s="1072" t="str">
        <f>+V302</f>
        <v xml:space="preserve">Adelantar la reglamentación Interna del manejo de las PQRS en la ADRES a través de la correspondiente resolución para dar cumplimiento a la ley 1755. </v>
      </c>
      <c r="AK302" s="529">
        <v>0</v>
      </c>
      <c r="AL302" s="700"/>
      <c r="AM302" s="700"/>
      <c r="AN302" s="1069" t="e">
        <f t="shared" si="306"/>
        <v>#DIV/0!</v>
      </c>
      <c r="AO302" s="1069" t="e">
        <f t="shared" si="307"/>
        <v>#DIV/0!</v>
      </c>
      <c r="AP302" s="1069">
        <f t="shared" si="308"/>
        <v>1</v>
      </c>
      <c r="AQ302" s="1069" t="e">
        <f t="shared" si="309"/>
        <v>#DIV/0!</v>
      </c>
      <c r="AR302" s="845"/>
      <c r="AS302" s="722">
        <v>0</v>
      </c>
      <c r="AT302" s="1072" t="str">
        <f>+V302</f>
        <v xml:space="preserve">Adelantar la reglamentación Interna del manejo de las PQRS en la ADRES a través de la correspondiente resolución para dar cumplimiento a la ley 1755. </v>
      </c>
      <c r="AU302" s="529">
        <v>0</v>
      </c>
      <c r="AV302" s="825">
        <v>0</v>
      </c>
      <c r="AW302" s="739">
        <v>0</v>
      </c>
      <c r="AX302" s="1069" t="e">
        <f t="shared" ref="AX302:AX308" si="313">+(AV302/AS302)</f>
        <v>#DIV/0!</v>
      </c>
      <c r="AY302" s="1069" t="e">
        <f>+(AW302/AU302)</f>
        <v>#DIV/0!</v>
      </c>
      <c r="AZ302" s="1069">
        <f t="shared" si="310"/>
        <v>1</v>
      </c>
      <c r="BA302" s="1069" t="e">
        <f>+(AM302+AC302+AW302)/W302</f>
        <v>#DIV/0!</v>
      </c>
      <c r="BB302" s="845"/>
      <c r="BC302" s="722">
        <v>0</v>
      </c>
      <c r="BD302" s="1072" t="str">
        <f>+V302</f>
        <v xml:space="preserve">Adelantar la reglamentación Interna del manejo de las PQRS en la ADRES a través de la correspondiente resolución para dar cumplimiento a la ley 1755. </v>
      </c>
      <c r="BE302" s="529">
        <v>0</v>
      </c>
      <c r="BF302" s="1089">
        <v>0</v>
      </c>
      <c r="BG302" s="1054">
        <v>0</v>
      </c>
      <c r="BH302" s="1075" t="e">
        <f t="shared" ref="BH302:BH308" si="314">+(BF302/BC302)</f>
        <v>#DIV/0!</v>
      </c>
      <c r="BI302" s="1075" t="e">
        <f>+(BG302/BE302)</f>
        <v>#DIV/0!</v>
      </c>
      <c r="BJ302" s="1075">
        <f t="shared" ref="BJ302:BJ308" si="315">+(AL302+AB302+AV302+BF302)/U302</f>
        <v>1</v>
      </c>
      <c r="BK302" s="1075" t="e">
        <f>+(AM302+AC302+AW302+BG302)/W302</f>
        <v>#DIV/0!</v>
      </c>
      <c r="BL302" s="1072"/>
      <c r="BM302" s="708">
        <f t="shared" ref="BM302:BM308" si="316">IF(AND(Y302=0,AB302=0),"No Prog ni Ejec",IF(Y302=0,CONCATENATE("No Prog, Ejec=  ",AB302),AB302/Y302))</f>
        <v>1</v>
      </c>
      <c r="BN302" s="708" t="str">
        <f>IF(AND(AA302=0,AC302=0),"No Prog ni Ejec",IF(AA302=0,CONCATENATE("No Prog, Ejec=  ",AC302),AC302/AA302))</f>
        <v>No Prog ni Ejec</v>
      </c>
      <c r="BO302" s="708" t="str">
        <f t="shared" ref="BO302:BO308" si="317">IF(AND(AI302=0,AL302=0),"No Prog ni Ejec",IF(AI302=0,CONCATENATE("No Prog, Ejec=  ",AL302),AL302/AI302))</f>
        <v>No Prog ni Ejec</v>
      </c>
      <c r="BP302" s="708" t="str">
        <f>IF(AND(AK302=0,AM302=0),"No Prog ni Ejec",IF(AK302=0,CONCATENATE("No Prog, Ejec=  ",AM302),AM302/AK302))</f>
        <v>No Prog ni Ejec</v>
      </c>
      <c r="BQ302" s="708" t="str">
        <f t="shared" ref="BQ302:BQ308" si="318">IF(AND(AS302=0,AV302=0),"No Prog ni Ejec",IF(AS302=0,CONCATENATE("No Prog, Ejec=  ",AV302),AV302/AS302))</f>
        <v>No Prog ni Ejec</v>
      </c>
      <c r="BR302" s="708" t="str">
        <f>IF(AND(AU302=0,AW302=0),"No Prog ni Ejec",IF(AU302=0,CONCATENATE("No Prog, Ejec=  ",AW302),AW302/AU302))</f>
        <v>No Prog ni Ejec</v>
      </c>
      <c r="BS302" s="708" t="str">
        <f t="shared" ref="BS302:BS308" si="319">IF(AND(BC302=0,BF302=0),"No Prog ni Ejec",IF(BC302=0,CONCATENATE("No Prog, Ejec=  ",BF302),BF302/BC302))</f>
        <v>No Prog ni Ejec</v>
      </c>
      <c r="BT302" s="829" t="str">
        <f>IF(AND(BE302=0,BG302=0),"No Prog ni Ejec",IF(BE302=0,CONCATENATE("No Prog, Ejec=  ",BG302),BG302/BE302))</f>
        <v>No Prog ni Ejec</v>
      </c>
    </row>
    <row r="303" spans="1:72" s="1627" customFormat="1" ht="89.25" x14ac:dyDescent="0.2">
      <c r="A303" s="1092">
        <v>11200</v>
      </c>
      <c r="B303" s="1060" t="s">
        <v>1060</v>
      </c>
      <c r="C303" s="1060" t="s">
        <v>1209</v>
      </c>
      <c r="D303" s="1059" t="s">
        <v>152</v>
      </c>
      <c r="E303" s="1060" t="s">
        <v>256</v>
      </c>
      <c r="F303" s="1059" t="s">
        <v>1811</v>
      </c>
      <c r="G303" s="1060" t="s">
        <v>1813</v>
      </c>
      <c r="H303" s="1060" t="s">
        <v>123</v>
      </c>
      <c r="I303" s="1056">
        <v>1</v>
      </c>
      <c r="J303" s="1059" t="s">
        <v>1817</v>
      </c>
      <c r="K303" s="1060" t="s">
        <v>1812</v>
      </c>
      <c r="L303" s="1077">
        <v>4430413</v>
      </c>
      <c r="M303" s="444">
        <v>1</v>
      </c>
      <c r="N303" s="1060" t="s">
        <v>48</v>
      </c>
      <c r="O303" s="1060" t="s">
        <v>62</v>
      </c>
      <c r="P303" s="1060" t="s">
        <v>21</v>
      </c>
      <c r="Q303" s="1060" t="s">
        <v>23</v>
      </c>
      <c r="R303" s="1060" t="s">
        <v>792</v>
      </c>
      <c r="S303" s="1060" t="s">
        <v>943</v>
      </c>
      <c r="T303" s="1060" t="s">
        <v>98</v>
      </c>
      <c r="U303" s="1064">
        <v>1</v>
      </c>
      <c r="V303" s="1060" t="str">
        <f t="shared" ref="V303:W305" si="320">+K303</f>
        <v>Realización de diferentes piezas audiovisuales para la audiencia pública de rendición de cuentas de la ADRES</v>
      </c>
      <c r="W303" s="445">
        <f t="shared" si="320"/>
        <v>4430413</v>
      </c>
      <c r="X303" s="1097" t="s">
        <v>114</v>
      </c>
      <c r="Y303" s="463">
        <v>0</v>
      </c>
      <c r="Z303" s="1083" t="str">
        <f t="shared" si="305"/>
        <v>Realización de diferentes piezas audiovisuales para la audiencia pública de rendición de cuentas de la ADRES</v>
      </c>
      <c r="AA303" s="443">
        <v>0</v>
      </c>
      <c r="AB303" s="446"/>
      <c r="AC303" s="446"/>
      <c r="AD303" s="1064" t="e">
        <f t="shared" si="311"/>
        <v>#DIV/0!</v>
      </c>
      <c r="AE303" s="1064" t="e">
        <f>+(AC303/AA303)</f>
        <v>#DIV/0!</v>
      </c>
      <c r="AF303" s="1064">
        <f>+(AB303/U303)</f>
        <v>0</v>
      </c>
      <c r="AG303" s="1064">
        <f>+(AC303/W303)</f>
        <v>0</v>
      </c>
      <c r="AH303" s="1061"/>
      <c r="AI303" s="463">
        <v>0</v>
      </c>
      <c r="AJ303" s="1083" t="str">
        <f>+V303</f>
        <v>Realización de diferentes piezas audiovisuales para la audiencia pública de rendición de cuentas de la ADRES</v>
      </c>
      <c r="AK303" s="443">
        <v>0</v>
      </c>
      <c r="AL303" s="446"/>
      <c r="AM303" s="446"/>
      <c r="AN303" s="1064" t="e">
        <f t="shared" si="306"/>
        <v>#DIV/0!</v>
      </c>
      <c r="AO303" s="1064" t="e">
        <f t="shared" si="307"/>
        <v>#DIV/0!</v>
      </c>
      <c r="AP303" s="1064">
        <f t="shared" si="308"/>
        <v>0</v>
      </c>
      <c r="AQ303" s="1064">
        <f t="shared" si="309"/>
        <v>0</v>
      </c>
      <c r="AR303" s="527"/>
      <c r="AS303" s="1056">
        <v>1</v>
      </c>
      <c r="AT303" s="1083" t="str">
        <f>+V303</f>
        <v>Realización de diferentes piezas audiovisuales para la audiencia pública de rendición de cuentas de la ADRES</v>
      </c>
      <c r="AU303" s="475">
        <f>+L303*AS303</f>
        <v>4430413</v>
      </c>
      <c r="AV303" s="801">
        <f>(4430413/4430413)*1</f>
        <v>1</v>
      </c>
      <c r="AW303" s="1633">
        <v>4430407</v>
      </c>
      <c r="AX303" s="1064">
        <f t="shared" si="313"/>
        <v>1</v>
      </c>
      <c r="AY303" s="1064">
        <f>+(AW303/AU303)</f>
        <v>0.99999864572445052</v>
      </c>
      <c r="AZ303" s="1064">
        <f t="shared" si="310"/>
        <v>1</v>
      </c>
      <c r="BA303" s="1064">
        <f>+(AM303+AC303+AW303)/W303</f>
        <v>0.99999864572445052</v>
      </c>
      <c r="BB303" s="527"/>
      <c r="BC303" s="464">
        <v>0</v>
      </c>
      <c r="BD303" s="1083" t="str">
        <f>+V303</f>
        <v>Realización de diferentes piezas audiovisuales para la audiencia pública de rendición de cuentas de la ADRES</v>
      </c>
      <c r="BE303" s="475">
        <v>0</v>
      </c>
      <c r="BF303" s="1079">
        <v>0</v>
      </c>
      <c r="BG303" s="1077">
        <v>0</v>
      </c>
      <c r="BH303" s="1056" t="e">
        <f t="shared" si="314"/>
        <v>#DIV/0!</v>
      </c>
      <c r="BI303" s="1056" t="e">
        <f>+(BG303/BE303)</f>
        <v>#DIV/0!</v>
      </c>
      <c r="BJ303" s="1056">
        <f t="shared" si="315"/>
        <v>1</v>
      </c>
      <c r="BK303" s="1056">
        <f>+(AM303+AC303+AW303+BG303)/W303</f>
        <v>0.99999864572445052</v>
      </c>
      <c r="BL303" s="1068" t="s">
        <v>2130</v>
      </c>
      <c r="BM303" s="477" t="str">
        <f t="shared" si="316"/>
        <v>No Prog ni Ejec</v>
      </c>
      <c r="BN303" s="477" t="str">
        <f>IF(AND(AA303=0,AC303=0),"No Prog ni Ejec",IF(AA303=0,CONCATENATE("No Prog, Ejec=  ",AC303),AC303/AA303))</f>
        <v>No Prog ni Ejec</v>
      </c>
      <c r="BO303" s="477" t="str">
        <f t="shared" si="317"/>
        <v>No Prog ni Ejec</v>
      </c>
      <c r="BP303" s="477" t="str">
        <f>IF(AND(AK303=0,AM303=0),"No Prog ni Ejec",IF(AK303=0,CONCATENATE("No Prog, Ejec=  ",AM303),AM303/AK303))</f>
        <v>No Prog ni Ejec</v>
      </c>
      <c r="BQ303" s="477">
        <f t="shared" si="318"/>
        <v>1</v>
      </c>
      <c r="BR303" s="477">
        <f>IF(AND(AU303=0,AW303=0),"No Prog ni Ejec",IF(AU303=0,CONCATENATE("No Prog, Ejec=  ",AW303),AW303/AU303))</f>
        <v>0.99999864572445052</v>
      </c>
      <c r="BS303" s="477" t="str">
        <f t="shared" si="319"/>
        <v>No Prog ni Ejec</v>
      </c>
      <c r="BT303" s="828" t="str">
        <f>IF(AND(BE303=0,BG303=0),"No Prog ni Ejec",IF(BE303=0,CONCATENATE("No Prog, Ejec=  ",BG303),BG303/BE303))</f>
        <v>No Prog ni Ejec</v>
      </c>
    </row>
    <row r="304" spans="1:72" s="1627" customFormat="1" ht="89.25" x14ac:dyDescent="0.2">
      <c r="A304" s="1092">
        <v>11200</v>
      </c>
      <c r="B304" s="1060" t="s">
        <v>1060</v>
      </c>
      <c r="C304" s="1060" t="s">
        <v>1209</v>
      </c>
      <c r="D304" s="1059" t="s">
        <v>152</v>
      </c>
      <c r="E304" s="1060" t="s">
        <v>256</v>
      </c>
      <c r="F304" s="1059" t="s">
        <v>1814</v>
      </c>
      <c r="G304" s="1060" t="s">
        <v>1815</v>
      </c>
      <c r="H304" s="1060" t="s">
        <v>123</v>
      </c>
      <c r="I304" s="1056">
        <v>1</v>
      </c>
      <c r="J304" s="1059" t="s">
        <v>1818</v>
      </c>
      <c r="K304" s="1060" t="s">
        <v>1868</v>
      </c>
      <c r="L304" s="1077">
        <v>774000</v>
      </c>
      <c r="M304" s="444">
        <v>1</v>
      </c>
      <c r="N304" s="1060" t="s">
        <v>48</v>
      </c>
      <c r="O304" s="1060" t="s">
        <v>62</v>
      </c>
      <c r="P304" s="1060" t="s">
        <v>21</v>
      </c>
      <c r="Q304" s="1060" t="s">
        <v>23</v>
      </c>
      <c r="R304" s="1060" t="s">
        <v>792</v>
      </c>
      <c r="S304" s="1060" t="s">
        <v>943</v>
      </c>
      <c r="T304" s="1060" t="s">
        <v>98</v>
      </c>
      <c r="U304" s="1064">
        <v>1</v>
      </c>
      <c r="V304" s="1060" t="str">
        <f t="shared" si="320"/>
        <v>Realizar la suscripción al periódico El Tiempo, Portafolio y a la revista Semana para la Dirección General de la ADRES.</v>
      </c>
      <c r="W304" s="445">
        <f t="shared" si="320"/>
        <v>774000</v>
      </c>
      <c r="X304" s="1097" t="s">
        <v>114</v>
      </c>
      <c r="Y304" s="463">
        <v>0</v>
      </c>
      <c r="Z304" s="1083" t="str">
        <f t="shared" si="305"/>
        <v>Realizar la suscripción al periódico El Tiempo, Portafolio y a la revista Semana para la Dirección General de la ADRES.</v>
      </c>
      <c r="AA304" s="443">
        <v>0</v>
      </c>
      <c r="AB304" s="446"/>
      <c r="AC304" s="446"/>
      <c r="AD304" s="1064" t="e">
        <f t="shared" si="311"/>
        <v>#DIV/0!</v>
      </c>
      <c r="AE304" s="1064" t="e">
        <f>+(AC304/AA304)</f>
        <v>#DIV/0!</v>
      </c>
      <c r="AF304" s="1064">
        <f t="shared" si="312"/>
        <v>0</v>
      </c>
      <c r="AG304" s="1064">
        <f>+(AC304/W304)</f>
        <v>0</v>
      </c>
      <c r="AH304" s="1060"/>
      <c r="AI304" s="463">
        <v>0</v>
      </c>
      <c r="AJ304" s="1083" t="str">
        <f>+V304</f>
        <v>Realizar la suscripción al periódico El Tiempo, Portafolio y a la revista Semana para la Dirección General de la ADRES.</v>
      </c>
      <c r="AK304" s="443">
        <v>0</v>
      </c>
      <c r="AL304" s="446"/>
      <c r="AM304" s="446"/>
      <c r="AN304" s="1064" t="e">
        <f t="shared" si="306"/>
        <v>#DIV/0!</v>
      </c>
      <c r="AO304" s="1064" t="e">
        <f t="shared" si="307"/>
        <v>#DIV/0!</v>
      </c>
      <c r="AP304" s="1064">
        <f t="shared" si="308"/>
        <v>0</v>
      </c>
      <c r="AQ304" s="1064">
        <f t="shared" si="309"/>
        <v>0</v>
      </c>
      <c r="AR304" s="527"/>
      <c r="AS304" s="1056">
        <f>+AU304/W304</f>
        <v>0.5</v>
      </c>
      <c r="AT304" s="1083" t="str">
        <f>+V304</f>
        <v>Realizar la suscripción al periódico El Tiempo, Portafolio y a la revista Semana para la Dirección General de la ADRES.</v>
      </c>
      <c r="AU304" s="475">
        <f>+W304/2</f>
        <v>387000</v>
      </c>
      <c r="AV304" s="801">
        <f>((293779+479000)/774000)*1</f>
        <v>0.99842248062015504</v>
      </c>
      <c r="AW304" s="1633">
        <v>774000</v>
      </c>
      <c r="AX304" s="1064">
        <f t="shared" si="313"/>
        <v>1.9968449612403101</v>
      </c>
      <c r="AY304" s="1064">
        <f>+(AW304/AU304)</f>
        <v>2</v>
      </c>
      <c r="AZ304" s="1064">
        <f t="shared" si="310"/>
        <v>0.99842248062015504</v>
      </c>
      <c r="BA304" s="1064">
        <f>+(AM304+AC304+AW304)/W304</f>
        <v>1</v>
      </c>
      <c r="BB304" s="527"/>
      <c r="BC304" s="444">
        <f>+BE304/W304</f>
        <v>0.5</v>
      </c>
      <c r="BD304" s="1083" t="str">
        <f>+V304</f>
        <v>Realizar la suscripción al periódico El Tiempo, Portafolio y a la revista Semana para la Dirección General de la ADRES.</v>
      </c>
      <c r="BE304" s="475">
        <f>+W304/2</f>
        <v>387000</v>
      </c>
      <c r="BF304" s="1082">
        <v>0</v>
      </c>
      <c r="BG304" s="1077">
        <v>0</v>
      </c>
      <c r="BH304" s="1056">
        <f t="shared" si="314"/>
        <v>0</v>
      </c>
      <c r="BI304" s="1056">
        <f>+(BG304/BE304)</f>
        <v>0</v>
      </c>
      <c r="BJ304" s="1056">
        <f t="shared" si="315"/>
        <v>0.99842248062015504</v>
      </c>
      <c r="BK304" s="1056">
        <f>+(AM304+AC304+AW304+BG304)/W304</f>
        <v>1</v>
      </c>
      <c r="BL304" s="1068" t="s">
        <v>2130</v>
      </c>
      <c r="BM304" s="477" t="str">
        <f t="shared" si="316"/>
        <v>No Prog ni Ejec</v>
      </c>
      <c r="BN304" s="477" t="str">
        <f>IF(AND(AA304=0,AC304=0),"No Prog ni Ejec",IF(AA304=0,CONCATENATE("No Prog, Ejec=  ",AC304),AC304/AA304))</f>
        <v>No Prog ni Ejec</v>
      </c>
      <c r="BO304" s="477" t="str">
        <f t="shared" si="317"/>
        <v>No Prog ni Ejec</v>
      </c>
      <c r="BP304" s="477" t="str">
        <f>IF(AND(AK304=0,AM304=0),"No Prog ni Ejec",IF(AK304=0,CONCATENATE("No Prog, Ejec=  ",AM304),AM304/AK304))</f>
        <v>No Prog ni Ejec</v>
      </c>
      <c r="BQ304" s="477">
        <f t="shared" si="318"/>
        <v>1.9968449612403101</v>
      </c>
      <c r="BR304" s="477">
        <f>IF(AND(AU304=0,AW304=0),"No Prog ni Ejec",IF(AU304=0,CONCATENATE("No Prog, Ejec=  ",AW304),AW304/AU304))</f>
        <v>2</v>
      </c>
      <c r="BS304" s="477">
        <f t="shared" si="319"/>
        <v>0</v>
      </c>
      <c r="BT304" s="828">
        <f>IF(AND(BE304=0,BG304=0),"No Prog ni Ejec",IF(BE304=0,CONCATENATE("No Prog, Ejec=  ",BG304),BG304/BE304))</f>
        <v>0</v>
      </c>
    </row>
    <row r="305" spans="1:72" s="1627" customFormat="1" ht="89.25" x14ac:dyDescent="0.2">
      <c r="A305" s="1092">
        <v>11700</v>
      </c>
      <c r="B305" s="1060" t="s">
        <v>29</v>
      </c>
      <c r="C305" s="1060" t="s">
        <v>1209</v>
      </c>
      <c r="D305" s="1059" t="s">
        <v>328</v>
      </c>
      <c r="E305" s="1060" t="s">
        <v>256</v>
      </c>
      <c r="F305" s="1059" t="s">
        <v>1831</v>
      </c>
      <c r="G305" s="1060" t="s">
        <v>1829</v>
      </c>
      <c r="H305" s="1097" t="s">
        <v>123</v>
      </c>
      <c r="I305" s="1056">
        <v>1</v>
      </c>
      <c r="J305" s="1059" t="s">
        <v>1830</v>
      </c>
      <c r="K305" s="1060" t="s">
        <v>1828</v>
      </c>
      <c r="L305" s="475">
        <v>32125220</v>
      </c>
      <c r="M305" s="444">
        <v>1</v>
      </c>
      <c r="N305" s="1060" t="s">
        <v>46</v>
      </c>
      <c r="O305" s="1060" t="s">
        <v>64</v>
      </c>
      <c r="P305" s="1060" t="s">
        <v>37</v>
      </c>
      <c r="Q305" s="1060" t="s">
        <v>23</v>
      </c>
      <c r="R305" s="1060"/>
      <c r="S305" s="1060" t="s">
        <v>943</v>
      </c>
      <c r="T305" s="1060" t="s">
        <v>98</v>
      </c>
      <c r="U305" s="488">
        <v>1</v>
      </c>
      <c r="V305" s="1058" t="str">
        <f t="shared" si="320"/>
        <v>Apoyar la gestión de los procesos disciplinarios que se adelanten en la ADRES, ante la licencia de maternidad de la funcionaria que adelanta esta gestión, que por términos perentorios requiere la continuación del impulso procesal.</v>
      </c>
      <c r="W305" s="516">
        <f t="shared" si="320"/>
        <v>32125220</v>
      </c>
      <c r="X305" s="1097" t="s">
        <v>114</v>
      </c>
      <c r="Y305" s="444">
        <v>0</v>
      </c>
      <c r="Z305" s="1058" t="str">
        <f t="shared" si="305"/>
        <v>Apoyar la gestión de los procesos disciplinarios que se adelanten en la ADRES, ante la licencia de maternidad de la funcionaria que adelanta esta gestión, que por términos perentorios requiere la continuación del impulso procesal.</v>
      </c>
      <c r="AA305" s="443">
        <v>0</v>
      </c>
      <c r="AB305" s="493"/>
      <c r="AC305" s="443"/>
      <c r="AD305" s="1064" t="e">
        <f t="shared" si="311"/>
        <v>#DIV/0!</v>
      </c>
      <c r="AE305" s="1064" t="e">
        <f>+(AC305/AA305)</f>
        <v>#DIV/0!</v>
      </c>
      <c r="AF305" s="1064">
        <f t="shared" si="312"/>
        <v>0</v>
      </c>
      <c r="AG305" s="1064">
        <f>+(AC305/W305)</f>
        <v>0</v>
      </c>
      <c r="AH305" s="1060"/>
      <c r="AI305" s="444">
        <v>0</v>
      </c>
      <c r="AJ305" s="1058" t="str">
        <f>+V305</f>
        <v>Apoyar la gestión de los procesos disciplinarios que se adelanten en la ADRES, ante la licencia de maternidad de la funcionaria que adelanta esta gestión, que por términos perentorios requiere la continuación del impulso procesal.</v>
      </c>
      <c r="AK305" s="443">
        <v>0</v>
      </c>
      <c r="AL305" s="446"/>
      <c r="AM305" s="446"/>
      <c r="AN305" s="1064" t="e">
        <f t="shared" si="306"/>
        <v>#DIV/0!</v>
      </c>
      <c r="AO305" s="1064" t="e">
        <f t="shared" si="307"/>
        <v>#DIV/0!</v>
      </c>
      <c r="AP305" s="1064">
        <f t="shared" si="308"/>
        <v>0</v>
      </c>
      <c r="AQ305" s="1064">
        <f t="shared" si="309"/>
        <v>0</v>
      </c>
      <c r="AR305" s="527"/>
      <c r="AS305" s="444">
        <v>0</v>
      </c>
      <c r="AT305" s="1058" t="str">
        <f>+V305</f>
        <v>Apoyar la gestión de los procesos disciplinarios que se adelanten en la ADRES, ante la licencia de maternidad de la funcionaria que adelanta esta gestión, que por términos perentorios requiere la continuación del impulso procesal.</v>
      </c>
      <c r="AU305" s="817">
        <f>+AS305*W305</f>
        <v>0</v>
      </c>
      <c r="AV305" s="476">
        <v>0</v>
      </c>
      <c r="AW305" s="485">
        <v>0</v>
      </c>
      <c r="AX305" s="1064" t="e">
        <f t="shared" si="313"/>
        <v>#DIV/0!</v>
      </c>
      <c r="AY305" s="1064" t="e">
        <f>+(AW305/AU305)</f>
        <v>#DIV/0!</v>
      </c>
      <c r="AZ305" s="1064">
        <f t="shared" si="310"/>
        <v>0</v>
      </c>
      <c r="BA305" s="1064">
        <f>+(AM305+AC305+AW305)/W305</f>
        <v>0</v>
      </c>
      <c r="BB305" s="1661"/>
      <c r="BC305" s="444">
        <v>1</v>
      </c>
      <c r="BD305" s="1058" t="str">
        <f>+V305</f>
        <v>Apoyar la gestión de los procesos disciplinarios que se adelanten en la ADRES, ante la licencia de maternidad de la funcionaria que adelanta esta gestión, que por términos perentorios requiere la continuación del impulso procesal.</v>
      </c>
      <c r="BE305" s="817">
        <f>+BC305*L305</f>
        <v>32125220</v>
      </c>
      <c r="BF305" s="1088">
        <f>+BG305/BE305</f>
        <v>0.40833332814530143</v>
      </c>
      <c r="BG305" s="1077">
        <v>13117798</v>
      </c>
      <c r="BH305" s="1056">
        <f t="shared" si="314"/>
        <v>0.40833332814530143</v>
      </c>
      <c r="BI305" s="1056">
        <f>+(BG305/BE305)</f>
        <v>0.40833332814530143</v>
      </c>
      <c r="BJ305" s="1056">
        <f t="shared" si="315"/>
        <v>0.40833332814530143</v>
      </c>
      <c r="BK305" s="1056">
        <f>+(AM305+AC305+AW305+BG305)/W305</f>
        <v>0.40833332814530143</v>
      </c>
      <c r="BL305" s="1099" t="s">
        <v>2137</v>
      </c>
      <c r="BM305" s="477" t="str">
        <f t="shared" si="316"/>
        <v>No Prog ni Ejec</v>
      </c>
      <c r="BN305" s="477" t="str">
        <f>IF(AND(AA305=0,AC305=0),"No Prog ni Ejec",IF(AA305=0,CONCATENATE("No Prog, Ejec=  ",AC305),AC305/AA305))</f>
        <v>No Prog ni Ejec</v>
      </c>
      <c r="BO305" s="477" t="str">
        <f t="shared" si="317"/>
        <v>No Prog ni Ejec</v>
      </c>
      <c r="BP305" s="477" t="str">
        <f>IF(AND(AK305=0,AM305=0),"No Prog ni Ejec",IF(AK305=0,CONCATENATE("No Prog, Ejec=  ",AM305),AM305/AK305))</f>
        <v>No Prog ni Ejec</v>
      </c>
      <c r="BQ305" s="477" t="str">
        <f t="shared" si="318"/>
        <v>No Prog ni Ejec</v>
      </c>
      <c r="BR305" s="477" t="str">
        <f>IF(AND(AU305=0,AW305=0),"No Prog ni Ejec",IF(AU305=0,CONCATENATE("No Prog, Ejec=  ",AW305),AW305/AU305))</f>
        <v>No Prog ni Ejec</v>
      </c>
      <c r="BS305" s="477">
        <f t="shared" si="319"/>
        <v>0.40833332814530143</v>
      </c>
      <c r="BT305" s="828">
        <f>IF(AND(BE305=0,BG305=0),"No Prog ni Ejec",IF(BE305=0,CONCATENATE("No Prog, Ejec=  ",BG305),BG305/BE305))</f>
        <v>0.40833332814530143</v>
      </c>
    </row>
    <row r="306" spans="1:72" s="1627" customFormat="1" ht="75" customHeight="1" x14ac:dyDescent="0.2">
      <c r="A306" s="1245">
        <v>11900</v>
      </c>
      <c r="B306" s="1218" t="s">
        <v>349</v>
      </c>
      <c r="C306" s="1060" t="s">
        <v>1209</v>
      </c>
      <c r="D306" s="1245" t="s">
        <v>357</v>
      </c>
      <c r="E306" s="1218" t="s">
        <v>146</v>
      </c>
      <c r="F306" s="1245" t="s">
        <v>1835</v>
      </c>
      <c r="G306" s="1060" t="s">
        <v>1869</v>
      </c>
      <c r="H306" s="1097" t="s">
        <v>123</v>
      </c>
      <c r="I306" s="1056">
        <v>1</v>
      </c>
      <c r="J306" s="1245" t="s">
        <v>1836</v>
      </c>
      <c r="K306" s="1218" t="s">
        <v>1870</v>
      </c>
      <c r="L306" s="1250">
        <v>17721628</v>
      </c>
      <c r="M306" s="1056">
        <v>1</v>
      </c>
      <c r="N306" s="1218" t="s">
        <v>46</v>
      </c>
      <c r="O306" s="1218" t="s">
        <v>74</v>
      </c>
      <c r="P306" s="1218" t="s">
        <v>21</v>
      </c>
      <c r="Q306" s="1218" t="s">
        <v>36</v>
      </c>
      <c r="R306" s="1218" t="s">
        <v>229</v>
      </c>
      <c r="S306" s="1060" t="s">
        <v>1837</v>
      </c>
      <c r="T306" s="1060" t="s">
        <v>99</v>
      </c>
      <c r="U306" s="488">
        <v>1</v>
      </c>
      <c r="V306" s="1274" t="str">
        <f>+K306</f>
        <v xml:space="preserve">Apoyar a la Oficina Asesora Jurídica en la revisión, análisis y liquidación de sentencias condenatorias; así como rendir informes que sean solicitados conforme el manejo de las bases de datos del Grupo de Representación Judicial y Ekogui </v>
      </c>
      <c r="W306" s="1266">
        <v>17721628</v>
      </c>
      <c r="X306" s="493" t="s">
        <v>114</v>
      </c>
      <c r="Y306" s="1056">
        <v>0</v>
      </c>
      <c r="Z306" s="1083" t="str">
        <f t="shared" si="305"/>
        <v xml:space="preserve">Apoyar a la Oficina Asesora Jurídica en la revisión, análisis y liquidación de sentencias condenatorias; así como rendir informes que sean solicitados conforme el manejo de las bases de datos del Grupo de Representación Judicial y Ekogui </v>
      </c>
      <c r="AA306" s="1250">
        <v>0</v>
      </c>
      <c r="AB306" s="1097"/>
      <c r="AC306" s="1150"/>
      <c r="AD306" s="1064" t="e">
        <f t="shared" si="311"/>
        <v>#DIV/0!</v>
      </c>
      <c r="AE306" s="1270" t="e">
        <f>+(AC306/AA306)</f>
        <v>#DIV/0!</v>
      </c>
      <c r="AF306" s="1056">
        <f t="shared" si="312"/>
        <v>0</v>
      </c>
      <c r="AG306" s="1270">
        <f>+(AC306/W306)</f>
        <v>0</v>
      </c>
      <c r="AH306" s="1097"/>
      <c r="AI306" s="1056">
        <v>0</v>
      </c>
      <c r="AJ306" s="1274" t="str">
        <f>+V306</f>
        <v xml:space="preserve">Apoyar a la Oficina Asesora Jurídica en la revisión, análisis y liquidación de sentencias condenatorias; así como rendir informes que sean solicitados conforme el manejo de las bases de datos del Grupo de Representación Judicial y Ekogui </v>
      </c>
      <c r="AK306" s="1250">
        <v>0</v>
      </c>
      <c r="AL306" s="1097"/>
      <c r="AM306" s="1150"/>
      <c r="AN306" s="1056" t="e">
        <f t="shared" si="306"/>
        <v>#DIV/0!</v>
      </c>
      <c r="AO306" s="1270" t="e">
        <f t="shared" si="307"/>
        <v>#DIV/0!</v>
      </c>
      <c r="AP306" s="1056">
        <f t="shared" si="308"/>
        <v>0</v>
      </c>
      <c r="AQ306" s="1270">
        <f t="shared" si="309"/>
        <v>0</v>
      </c>
      <c r="AR306" s="1097"/>
      <c r="AS306" s="444">
        <v>0</v>
      </c>
      <c r="AT306" s="1274" t="str">
        <f>+V306</f>
        <v xml:space="preserve">Apoyar a la Oficina Asesora Jurídica en la revisión, análisis y liquidación de sentencias condenatorias; así como rendir informes que sean solicitados conforme el manejo de las bases de datos del Grupo de Representación Judicial y Ekogui </v>
      </c>
      <c r="AU306" s="1250">
        <v>1919843</v>
      </c>
      <c r="AV306" s="1641">
        <v>0</v>
      </c>
      <c r="AW306" s="1152">
        <v>2067523</v>
      </c>
      <c r="AX306" s="1064" t="e">
        <f t="shared" si="313"/>
        <v>#DIV/0!</v>
      </c>
      <c r="AY306" s="1272">
        <f>+(AW306/AU306)</f>
        <v>1.0769229567209402</v>
      </c>
      <c r="AZ306" s="1064">
        <f t="shared" si="310"/>
        <v>0</v>
      </c>
      <c r="BA306" s="1272">
        <f>+(AM306+AC306+AW306)/W306</f>
        <v>0.11666665161914018</v>
      </c>
      <c r="BB306" s="1097"/>
      <c r="BC306" s="1056">
        <v>1</v>
      </c>
      <c r="BD306" s="1274" t="str">
        <f>+V306</f>
        <v xml:space="preserve">Apoyar a la Oficina Asesora Jurídica en la revisión, análisis y liquidación de sentencias condenatorias; así como rendir informes que sean solicitados conforme el manejo de las bases de datos del Grupo de Representación Judicial y Ekogui </v>
      </c>
      <c r="BE306" s="1642">
        <f>+W306-AU306</f>
        <v>15801785</v>
      </c>
      <c r="BF306" s="1669">
        <v>0.69</v>
      </c>
      <c r="BG306" s="1687">
        <v>15654105</v>
      </c>
      <c r="BH306" s="1056">
        <f t="shared" si="314"/>
        <v>0.69</v>
      </c>
      <c r="BI306" s="1270">
        <f>+(BG306/BE306)</f>
        <v>0.99065422039345552</v>
      </c>
      <c r="BJ306" s="1056">
        <f t="shared" si="315"/>
        <v>0.69</v>
      </c>
      <c r="BK306" s="1270">
        <f>+(AM306+AC306+AW306+BG306)/W306</f>
        <v>1</v>
      </c>
      <c r="BL306" s="1097"/>
      <c r="BM306" s="477" t="str">
        <f t="shared" si="316"/>
        <v>No Prog ni Ejec</v>
      </c>
      <c r="BN306" s="1264" t="str">
        <f>IF(AND(AA306=0,AC306=0),"No Prog ni Ejec",IF(AA306=0,CONCATENATE("No Prog, Ejec=  ",AC306),AC306/AA306))</f>
        <v>No Prog ni Ejec</v>
      </c>
      <c r="BO306" s="1063" t="str">
        <f t="shared" si="317"/>
        <v>No Prog ni Ejec</v>
      </c>
      <c r="BP306" s="1264" t="str">
        <f>IF(AND(AK306=0,AM306=0),"No Prog ni Ejec",IF(AK306=0,CONCATENATE("No Prog, Ejec=  ",AM306),AM306/AK306))</f>
        <v>No Prog ni Ejec</v>
      </c>
      <c r="BQ306" s="1063" t="str">
        <f t="shared" si="318"/>
        <v>No Prog ni Ejec</v>
      </c>
      <c r="BR306" s="1264">
        <f>IF(AND(AU306=0,AW306=0),"No Prog ni Ejec",IF(AU306=0,CONCATENATE("No Prog, Ejec=  ",AW306),AW306/AU306))</f>
        <v>1.0769229567209402</v>
      </c>
      <c r="BS306" s="1063">
        <f t="shared" si="319"/>
        <v>0.69</v>
      </c>
      <c r="BT306" s="1264">
        <f>IF(AND(BE306=0,BG306=0),"No Prog ni Ejec",IF(BE306=0,CONCATENATE("No Prog, Ejec=  ",BG306),BG306/BE306))</f>
        <v>0.99065422039345552</v>
      </c>
    </row>
    <row r="307" spans="1:72" s="1627" customFormat="1" ht="63.75" x14ac:dyDescent="0.2">
      <c r="A307" s="1281"/>
      <c r="B307" s="1249"/>
      <c r="C307" s="1061" t="s">
        <v>1209</v>
      </c>
      <c r="D307" s="1268"/>
      <c r="E307" s="1249"/>
      <c r="F307" s="1268"/>
      <c r="G307" s="1061" t="s">
        <v>1840</v>
      </c>
      <c r="H307" s="1643" t="s">
        <v>1838</v>
      </c>
      <c r="I307" s="892">
        <v>0.01</v>
      </c>
      <c r="J307" s="1268"/>
      <c r="K307" s="1249"/>
      <c r="L307" s="1251"/>
      <c r="M307" s="892">
        <f>+I307</f>
        <v>0.01</v>
      </c>
      <c r="N307" s="1249"/>
      <c r="O307" s="1249"/>
      <c r="P307" s="1249"/>
      <c r="Q307" s="1249"/>
      <c r="R307" s="1249"/>
      <c r="S307" s="1061" t="s">
        <v>1839</v>
      </c>
      <c r="T307" s="1061" t="s">
        <v>99</v>
      </c>
      <c r="U307" s="893">
        <v>0.01</v>
      </c>
      <c r="V307" s="1275"/>
      <c r="W307" s="1267"/>
      <c r="X307" s="890" t="s">
        <v>114</v>
      </c>
      <c r="Y307" s="1062">
        <v>0</v>
      </c>
      <c r="Z307" s="953"/>
      <c r="AA307" s="1251"/>
      <c r="AB307" s="1644"/>
      <c r="AC307" s="1645"/>
      <c r="AD307" s="1065" t="e">
        <f t="shared" si="311"/>
        <v>#DIV/0!</v>
      </c>
      <c r="AE307" s="1271"/>
      <c r="AF307" s="1057">
        <f t="shared" si="312"/>
        <v>0</v>
      </c>
      <c r="AG307" s="1271"/>
      <c r="AH307" s="1643"/>
      <c r="AI307" s="1062">
        <v>0</v>
      </c>
      <c r="AJ307" s="1275"/>
      <c r="AK307" s="1251"/>
      <c r="AL307" s="1643"/>
      <c r="AM307" s="1645"/>
      <c r="AN307" s="1062" t="e">
        <f t="shared" si="306"/>
        <v>#DIV/0!</v>
      </c>
      <c r="AO307" s="1271"/>
      <c r="AP307" s="1057">
        <f t="shared" si="308"/>
        <v>0</v>
      </c>
      <c r="AQ307" s="1271"/>
      <c r="AR307" s="1643"/>
      <c r="AS307" s="1062">
        <v>0</v>
      </c>
      <c r="AT307" s="1275"/>
      <c r="AU307" s="1251"/>
      <c r="AV307" s="892">
        <v>0</v>
      </c>
      <c r="AW307" s="1142"/>
      <c r="AX307" s="1065" t="e">
        <f t="shared" si="313"/>
        <v>#DIV/0!</v>
      </c>
      <c r="AY307" s="1273"/>
      <c r="AZ307" s="1065">
        <f t="shared" si="310"/>
        <v>0</v>
      </c>
      <c r="BA307" s="1273"/>
      <c r="BB307" s="1643"/>
      <c r="BC307" s="1057">
        <v>1</v>
      </c>
      <c r="BD307" s="1275"/>
      <c r="BE307" s="1646"/>
      <c r="BF307" s="1067">
        <v>1</v>
      </c>
      <c r="BG307" s="1687"/>
      <c r="BH307" s="1057">
        <f t="shared" si="314"/>
        <v>1</v>
      </c>
      <c r="BI307" s="1271"/>
      <c r="BJ307" s="1057">
        <f t="shared" si="315"/>
        <v>100</v>
      </c>
      <c r="BK307" s="1271"/>
      <c r="BL307" s="1068" t="s">
        <v>2211</v>
      </c>
      <c r="BM307" s="894" t="str">
        <f t="shared" si="316"/>
        <v>No Prog ni Ejec</v>
      </c>
      <c r="BN307" s="1265"/>
      <c r="BO307" s="1066" t="str">
        <f t="shared" si="317"/>
        <v>No Prog ni Ejec</v>
      </c>
      <c r="BP307" s="1265"/>
      <c r="BQ307" s="1066" t="str">
        <f t="shared" si="318"/>
        <v>No Prog ni Ejec</v>
      </c>
      <c r="BR307" s="1265"/>
      <c r="BS307" s="1066">
        <f t="shared" si="319"/>
        <v>1</v>
      </c>
      <c r="BT307" s="1269"/>
    </row>
    <row r="308" spans="1:72" s="1649" customFormat="1" ht="153" x14ac:dyDescent="0.2">
      <c r="A308" s="1005">
        <v>11600</v>
      </c>
      <c r="B308" s="1004" t="s">
        <v>6</v>
      </c>
      <c r="C308" s="1004" t="s">
        <v>1209</v>
      </c>
      <c r="D308" s="1005" t="s">
        <v>278</v>
      </c>
      <c r="E308" s="1004" t="s">
        <v>147</v>
      </c>
      <c r="F308" s="1005" t="s">
        <v>2044</v>
      </c>
      <c r="G308" s="1004" t="s">
        <v>2046</v>
      </c>
      <c r="H308" s="996" t="s">
        <v>123</v>
      </c>
      <c r="I308" s="1002">
        <v>1</v>
      </c>
      <c r="J308" s="1005" t="s">
        <v>2045</v>
      </c>
      <c r="K308" s="1004" t="s">
        <v>2043</v>
      </c>
      <c r="L308" s="895">
        <v>23136029</v>
      </c>
      <c r="M308" s="997">
        <v>1</v>
      </c>
      <c r="N308" s="1004" t="s">
        <v>46</v>
      </c>
      <c r="O308" s="1004" t="s">
        <v>73</v>
      </c>
      <c r="P308" s="1004" t="s">
        <v>37</v>
      </c>
      <c r="Q308" s="1004" t="s">
        <v>40</v>
      </c>
      <c r="R308" s="1004" t="s">
        <v>228</v>
      </c>
      <c r="S308" s="1004" t="s">
        <v>379</v>
      </c>
      <c r="T308" s="1004" t="s">
        <v>99</v>
      </c>
      <c r="U308" s="896">
        <v>1</v>
      </c>
      <c r="V308" s="1003" t="str">
        <f t="shared" ref="V308:W311" si="321">+K308</f>
        <v>Asesorar y apoyar a la Dirección de Gestión de Tecnología de la Información y Comunicaciones de la Administradora de los Recursos del Sistema General de Seguridad Social en Salud – ADRES, en la construcción del modelo de Seguridad y Privacidad de la Información - MSPI definido por el Ministerio de Tecnologías de la Información y Comunicaciones – MINTIC.</v>
      </c>
      <c r="W308" s="897">
        <f t="shared" si="321"/>
        <v>23136029</v>
      </c>
      <c r="X308" s="998" t="s">
        <v>114</v>
      </c>
      <c r="Y308" s="896">
        <v>0</v>
      </c>
      <c r="Z308" s="998" t="str">
        <f t="shared" ref="Z308" si="322">+V308</f>
        <v>Asesorar y apoyar a la Dirección de Gestión de Tecnología de la Información y Comunicaciones de la Administradora de los Recursos del Sistema General de Seguridad Social en Salud – ADRES, en la construcción del modelo de Seguridad y Privacidad de la Información - MSPI definido por el Ministerio de Tecnologías de la Información y Comunicaciones – MINTIC.</v>
      </c>
      <c r="AA308" s="528">
        <f>+L308*Y308</f>
        <v>0</v>
      </c>
      <c r="AB308" s="898"/>
      <c r="AC308" s="899"/>
      <c r="AD308" s="997" t="e">
        <f t="shared" si="311"/>
        <v>#DIV/0!</v>
      </c>
      <c r="AE308" s="997" t="e">
        <f t="shared" ref="AE308" si="323">+(AC308/AA308)</f>
        <v>#DIV/0!</v>
      </c>
      <c r="AF308" s="997">
        <f t="shared" si="312"/>
        <v>0</v>
      </c>
      <c r="AG308" s="997">
        <f t="shared" ref="AG308" si="324">+(AC308/W308)</f>
        <v>0</v>
      </c>
      <c r="AH308" s="1004"/>
      <c r="AI308" s="896">
        <v>0</v>
      </c>
      <c r="AJ308" s="900" t="str">
        <f t="shared" ref="AJ308" si="325">+V308</f>
        <v>Asesorar y apoyar a la Dirección de Gestión de Tecnología de la Información y Comunicaciones de la Administradora de los Recursos del Sistema General de Seguridad Social en Salud – ADRES, en la construcción del modelo de Seguridad y Privacidad de la Información - MSPI definido por el Ministerio de Tecnologías de la Información y Comunicaciones – MINTIC.</v>
      </c>
      <c r="AK308" s="901">
        <f>+W308*AI308</f>
        <v>0</v>
      </c>
      <c r="AL308" s="902"/>
      <c r="AM308" s="818"/>
      <c r="AN308" s="997" t="str">
        <f>+IFERROR((AL308/AI308),"")</f>
        <v/>
      </c>
      <c r="AO308" s="997" t="str">
        <f>+IFERROR((AM308/AK308),"")</f>
        <v/>
      </c>
      <c r="AP308" s="997">
        <f>+IFERROR((AL308+AB308)/U308,"")</f>
        <v>0</v>
      </c>
      <c r="AQ308" s="997">
        <f>+IFERROR((AM308+AC308)/W308,"")</f>
        <v>0</v>
      </c>
      <c r="AR308" s="1004"/>
      <c r="AS308" s="896">
        <v>0</v>
      </c>
      <c r="AT308" s="998" t="str">
        <f t="shared" ref="AT308" si="326">+V308</f>
        <v>Asesorar y apoyar a la Dirección de Gestión de Tecnología de la Información y Comunicaciones de la Administradora de los Recursos del Sistema General de Seguridad Social en Salud – ADRES, en la construcción del modelo de Seguridad y Privacidad de la Información - MSPI definido por el Ministerio de Tecnologías de la Información y Comunicaciones – MINTIC.</v>
      </c>
      <c r="AU308" s="901">
        <f>+W308*AS308</f>
        <v>0</v>
      </c>
      <c r="AV308" s="1647"/>
      <c r="AW308" s="1648"/>
      <c r="AX308" s="997" t="e">
        <f t="shared" si="313"/>
        <v>#DIV/0!</v>
      </c>
      <c r="AY308" s="997" t="e">
        <f t="shared" ref="AY308" si="327">+(AW308/AU308)</f>
        <v>#DIV/0!</v>
      </c>
      <c r="AZ308" s="997">
        <f t="shared" si="310"/>
        <v>0</v>
      </c>
      <c r="BA308" s="997">
        <f t="shared" ref="BA308" si="328">+(AM308+AC308+AW308)/W308</f>
        <v>0</v>
      </c>
      <c r="BB308" s="1004"/>
      <c r="BC308" s="896">
        <v>1</v>
      </c>
      <c r="BD308" s="998" t="str">
        <f t="shared" ref="BD308" si="329">+V308</f>
        <v>Asesorar y apoyar a la Dirección de Gestión de Tecnología de la Información y Comunicaciones de la Administradora de los Recursos del Sistema General de Seguridad Social en Salud – ADRES, en la construcción del modelo de Seguridad y Privacidad de la Información - MSPI definido por el Ministerio de Tecnologías de la Información y Comunicaciones – MINTIC.</v>
      </c>
      <c r="BE308" s="818">
        <f>+W308*BC308</f>
        <v>23136029</v>
      </c>
      <c r="BF308" s="1100">
        <f>(BG308/BE308)*BC308</f>
        <v>0.46268657426043164</v>
      </c>
      <c r="BG308" s="942">
        <f>345314+10359416</f>
        <v>10704730</v>
      </c>
      <c r="BH308" s="1002">
        <f t="shared" si="314"/>
        <v>0.46268657426043164</v>
      </c>
      <c r="BI308" s="1002">
        <f t="shared" ref="BI308" si="330">+(BG308/BE308)</f>
        <v>0.46268657426043164</v>
      </c>
      <c r="BJ308" s="1002">
        <f t="shared" si="315"/>
        <v>0.46268657426043164</v>
      </c>
      <c r="BK308" s="1002">
        <f t="shared" ref="BK308" si="331">+(AM308+AC308+AW308+BG308)/W308</f>
        <v>0.46268657426043164</v>
      </c>
      <c r="BL308" s="1060" t="s">
        <v>2289</v>
      </c>
      <c r="BM308" s="903" t="str">
        <f t="shared" si="316"/>
        <v>No Prog ni Ejec</v>
      </c>
      <c r="BN308" s="903" t="str">
        <f t="shared" ref="BN308" si="332">IF(AND(AA308=0,AC308=0),"No Prog ni Ejec",IF(AA308=0,CONCATENATE("No Prog, Ejec=  ",AC308),AC308/AA308))</f>
        <v>No Prog ni Ejec</v>
      </c>
      <c r="BO308" s="903" t="str">
        <f t="shared" si="317"/>
        <v>No Prog ni Ejec</v>
      </c>
      <c r="BP308" s="903" t="str">
        <f t="shared" ref="BP308" si="333">IF(AND(AK308=0,AM308=0),"No Prog ni Ejec",IF(AK308=0,CONCATENATE("No Prog, Ejec=  ",AM308),AM308/AK308))</f>
        <v>No Prog ni Ejec</v>
      </c>
      <c r="BQ308" s="903" t="str">
        <f t="shared" si="318"/>
        <v>No Prog ni Ejec</v>
      </c>
      <c r="BR308" s="903" t="str">
        <f t="shared" ref="BR308" si="334">IF(AND(AU308=0,AW308=0),"No Prog ni Ejec",IF(AU308=0,CONCATENATE("No Prog, Ejec=  ",AW308),AW308/AU308))</f>
        <v>No Prog ni Ejec</v>
      </c>
      <c r="BS308" s="903">
        <f t="shared" si="319"/>
        <v>0.46268657426043164</v>
      </c>
      <c r="BT308" s="903">
        <f t="shared" ref="BT308" si="335">IF(AND(BE308=0,BG308=0),"No Prog ni Ejec",IF(BE308=0,CONCATENATE("No Prog, Ejec=  ",BG308),BG308/BE308))</f>
        <v>0.46268657426043164</v>
      </c>
    </row>
    <row r="309" spans="1:72" s="1649" customFormat="1" ht="216.75" x14ac:dyDescent="0.2">
      <c r="A309" s="1005">
        <v>11600</v>
      </c>
      <c r="B309" s="1004" t="s">
        <v>6</v>
      </c>
      <c r="C309" s="1004" t="s">
        <v>1209</v>
      </c>
      <c r="D309" s="1005" t="s">
        <v>278</v>
      </c>
      <c r="E309" s="1004" t="s">
        <v>147</v>
      </c>
      <c r="F309" s="1005" t="s">
        <v>2050</v>
      </c>
      <c r="G309" s="1004" t="s">
        <v>2049</v>
      </c>
      <c r="H309" s="996" t="s">
        <v>123</v>
      </c>
      <c r="I309" s="1002">
        <v>1</v>
      </c>
      <c r="J309" s="1005" t="s">
        <v>2051</v>
      </c>
      <c r="K309" s="1004" t="s">
        <v>2052</v>
      </c>
      <c r="L309" s="895">
        <v>10273678</v>
      </c>
      <c r="M309" s="997">
        <v>1</v>
      </c>
      <c r="N309" s="1004" t="s">
        <v>46</v>
      </c>
      <c r="O309" s="1004" t="s">
        <v>73</v>
      </c>
      <c r="P309" s="1004" t="s">
        <v>37</v>
      </c>
      <c r="Q309" s="1004" t="s">
        <v>40</v>
      </c>
      <c r="R309" s="1004" t="s">
        <v>228</v>
      </c>
      <c r="S309" s="1004" t="s">
        <v>379</v>
      </c>
      <c r="T309" s="1004" t="s">
        <v>99</v>
      </c>
      <c r="U309" s="896">
        <v>1</v>
      </c>
      <c r="V309" s="1003" t="str">
        <f t="shared" si="321"/>
        <v xml:space="preserve">
Apoyar a la Entidad en el proceso de soporte de operación de la plataforma de auditoría integral en salud, jurídica y financiera a los recobros por servicios y tecnología NO POS y reclamaciones por accidentes de tránsito y eventos catastróficos y terroristas. Apoyar la gestión de los procesos y procedimientos misionales y tecnológicos de la Base de Datos Única de Afiliados – BDUA brindando la asistencia necesaria a los actores del proceso bajo la normativa vigente.
</v>
      </c>
      <c r="W309" s="897">
        <f t="shared" si="321"/>
        <v>10273678</v>
      </c>
      <c r="X309" s="998" t="s">
        <v>114</v>
      </c>
      <c r="Y309" s="896">
        <v>0</v>
      </c>
      <c r="Z309" s="998" t="str">
        <f t="shared" ref="Z309" si="336">+V309</f>
        <v xml:space="preserve">
Apoyar a la Entidad en el proceso de soporte de operación de la plataforma de auditoría integral en salud, jurídica y financiera a los recobros por servicios y tecnología NO POS y reclamaciones por accidentes de tránsito y eventos catastróficos y terroristas. Apoyar la gestión de los procesos y procedimientos misionales y tecnológicos de la Base de Datos Única de Afiliados – BDUA brindando la asistencia necesaria a los actores del proceso bajo la normativa vigente.
</v>
      </c>
      <c r="AA309" s="528">
        <f>+L309*Y309</f>
        <v>0</v>
      </c>
      <c r="AB309" s="898"/>
      <c r="AC309" s="899"/>
      <c r="AD309" s="997" t="e">
        <f t="shared" ref="AD309" si="337">+(AB309/Y309)</f>
        <v>#DIV/0!</v>
      </c>
      <c r="AE309" s="997" t="e">
        <f t="shared" ref="AE309" si="338">+(AC309/AA309)</f>
        <v>#DIV/0!</v>
      </c>
      <c r="AF309" s="997">
        <f t="shared" ref="AF309" si="339">+(AB309/U309)</f>
        <v>0</v>
      </c>
      <c r="AG309" s="997">
        <f t="shared" ref="AG309" si="340">+(AC309/W309)</f>
        <v>0</v>
      </c>
      <c r="AH309" s="1004"/>
      <c r="AI309" s="896">
        <v>0</v>
      </c>
      <c r="AJ309" s="900" t="str">
        <f t="shared" ref="AJ309" si="341">+V309</f>
        <v xml:space="preserve">
Apoyar a la Entidad en el proceso de soporte de operación de la plataforma de auditoría integral en salud, jurídica y financiera a los recobros por servicios y tecnología NO POS y reclamaciones por accidentes de tránsito y eventos catastróficos y terroristas. Apoyar la gestión de los procesos y procedimientos misionales y tecnológicos de la Base de Datos Única de Afiliados – BDUA brindando la asistencia necesaria a los actores del proceso bajo la normativa vigente.
</v>
      </c>
      <c r="AK309" s="901">
        <f>+W309*AI309</f>
        <v>0</v>
      </c>
      <c r="AL309" s="902"/>
      <c r="AM309" s="818"/>
      <c r="AN309" s="997" t="str">
        <f>+IFERROR((AL309/AI309),"")</f>
        <v/>
      </c>
      <c r="AO309" s="997" t="str">
        <f>+IFERROR((AM309/AK309),"")</f>
        <v/>
      </c>
      <c r="AP309" s="997">
        <f>+IFERROR((AL309+AB309)/U309,"")</f>
        <v>0</v>
      </c>
      <c r="AQ309" s="997">
        <f>+IFERROR((AM309+AC309)/W309,"")</f>
        <v>0</v>
      </c>
      <c r="AR309" s="1004"/>
      <c r="AS309" s="896">
        <v>0</v>
      </c>
      <c r="AT309" s="998" t="str">
        <f t="shared" ref="AT309" si="342">+V309</f>
        <v xml:space="preserve">
Apoyar a la Entidad en el proceso de soporte de operación de la plataforma de auditoría integral en salud, jurídica y financiera a los recobros por servicios y tecnología NO POS y reclamaciones por accidentes de tránsito y eventos catastróficos y terroristas. Apoyar la gestión de los procesos y procedimientos misionales y tecnológicos de la Base de Datos Única de Afiliados – BDUA brindando la asistencia necesaria a los actores del proceso bajo la normativa vigente.
</v>
      </c>
      <c r="AU309" s="901">
        <f>+W309*AS309</f>
        <v>0</v>
      </c>
      <c r="AV309" s="1647"/>
      <c r="AW309" s="1648"/>
      <c r="AX309" s="997" t="e">
        <f t="shared" ref="AX309" si="343">+(AV309/AS309)</f>
        <v>#DIV/0!</v>
      </c>
      <c r="AY309" s="997" t="e">
        <f t="shared" ref="AY309" si="344">+(AW309/AU309)</f>
        <v>#DIV/0!</v>
      </c>
      <c r="AZ309" s="997">
        <f t="shared" ref="AZ309" si="345">+(AL309+AB309+AV309)/U309</f>
        <v>0</v>
      </c>
      <c r="BA309" s="997">
        <f t="shared" ref="BA309" si="346">+(AM309+AC309+AW309)/W309</f>
        <v>0</v>
      </c>
      <c r="BB309" s="1004"/>
      <c r="BC309" s="896">
        <v>1</v>
      </c>
      <c r="BD309" s="998" t="str">
        <f t="shared" ref="BD309" si="347">+V309</f>
        <v xml:space="preserve">
Apoyar a la Entidad en el proceso de soporte de operación de la plataforma de auditoría integral en salud, jurídica y financiera a los recobros por servicios y tecnología NO POS y reclamaciones por accidentes de tránsito y eventos catastróficos y terroristas. Apoyar la gestión de los procesos y procedimientos misionales y tecnológicos de la Base de Datos Única de Afiliados – BDUA brindando la asistencia necesaria a los actores del proceso bajo la normativa vigente.
</v>
      </c>
      <c r="BE309" s="818">
        <f>+W309*BC309</f>
        <v>10273678</v>
      </c>
      <c r="BF309" s="1100">
        <f>(BG309/BE309)*BC309</f>
        <v>6.6666679644816595E-2</v>
      </c>
      <c r="BG309" s="942">
        <v>684912</v>
      </c>
      <c r="BH309" s="1002">
        <f t="shared" ref="BH309" si="348">+(BF309/BC309)</f>
        <v>6.6666679644816595E-2</v>
      </c>
      <c r="BI309" s="1002">
        <f t="shared" ref="BI309" si="349">+(BG309/BE309)</f>
        <v>6.6666679644816595E-2</v>
      </c>
      <c r="BJ309" s="1002">
        <f t="shared" ref="BJ309" si="350">+(AL309+AB309+AV309+BF309)/U309</f>
        <v>6.6666679644816595E-2</v>
      </c>
      <c r="BK309" s="1002">
        <f t="shared" ref="BK309" si="351">+(AM309+AC309+AW309+BG309)/W309</f>
        <v>6.6666679644816595E-2</v>
      </c>
      <c r="BL309" s="1060" t="s">
        <v>2290</v>
      </c>
      <c r="BM309" s="903" t="str">
        <f t="shared" ref="BM309" si="352">IF(AND(Y309=0,AB309=0),"No Prog ni Ejec",IF(Y309=0,CONCATENATE("No Prog, Ejec=  ",AB309),AB309/Y309))</f>
        <v>No Prog ni Ejec</v>
      </c>
      <c r="BN309" s="903" t="str">
        <f t="shared" ref="BN309" si="353">IF(AND(AA309=0,AC309=0),"No Prog ni Ejec",IF(AA309=0,CONCATENATE("No Prog, Ejec=  ",AC309),AC309/AA309))</f>
        <v>No Prog ni Ejec</v>
      </c>
      <c r="BO309" s="903" t="str">
        <f t="shared" ref="BO309" si="354">IF(AND(AI309=0,AL309=0),"No Prog ni Ejec",IF(AI309=0,CONCATENATE("No Prog, Ejec=  ",AL309),AL309/AI309))</f>
        <v>No Prog ni Ejec</v>
      </c>
      <c r="BP309" s="903" t="str">
        <f t="shared" ref="BP309" si="355">IF(AND(AK309=0,AM309=0),"No Prog ni Ejec",IF(AK309=0,CONCATENATE("No Prog, Ejec=  ",AM309),AM309/AK309))</f>
        <v>No Prog ni Ejec</v>
      </c>
      <c r="BQ309" s="903" t="str">
        <f t="shared" ref="BQ309" si="356">IF(AND(AS309=0,AV309=0),"No Prog ni Ejec",IF(AS309=0,CONCATENATE("No Prog, Ejec=  ",AV309),AV309/AS309))</f>
        <v>No Prog ni Ejec</v>
      </c>
      <c r="BR309" s="903" t="str">
        <f t="shared" ref="BR309" si="357">IF(AND(AU309=0,AW309=0),"No Prog ni Ejec",IF(AU309=0,CONCATENATE("No Prog, Ejec=  ",AW309),AW309/AU309))</f>
        <v>No Prog ni Ejec</v>
      </c>
      <c r="BS309" s="903">
        <f t="shared" ref="BS309" si="358">IF(AND(BC309=0,BF309=0),"No Prog ni Ejec",IF(BC309=0,CONCATENATE("No Prog, Ejec=  ",BF309),BF309/BC309))</f>
        <v>6.6666679644816595E-2</v>
      </c>
      <c r="BT309" s="903">
        <f t="shared" ref="BT309" si="359">IF(AND(BE309=0,BG309=0),"No Prog ni Ejec",IF(BE309=0,CONCATENATE("No Prog, Ejec=  ",BG309),BG309/BE309))</f>
        <v>6.6666679644816595E-2</v>
      </c>
    </row>
    <row r="310" spans="1:72" s="1649" customFormat="1" ht="127.5" x14ac:dyDescent="0.2">
      <c r="A310" s="1005">
        <v>11600</v>
      </c>
      <c r="B310" s="1004" t="s">
        <v>6</v>
      </c>
      <c r="C310" s="1004" t="s">
        <v>1209</v>
      </c>
      <c r="D310" s="1005" t="s">
        <v>278</v>
      </c>
      <c r="E310" s="1004" t="s">
        <v>147</v>
      </c>
      <c r="F310" s="1005" t="s">
        <v>2053</v>
      </c>
      <c r="G310" s="1004" t="s">
        <v>2055</v>
      </c>
      <c r="H310" s="996" t="s">
        <v>123</v>
      </c>
      <c r="I310" s="1002">
        <v>1</v>
      </c>
      <c r="J310" s="1005" t="s">
        <v>2056</v>
      </c>
      <c r="K310" s="1004" t="s">
        <v>2054</v>
      </c>
      <c r="L310" s="895">
        <v>10273678</v>
      </c>
      <c r="M310" s="997">
        <v>1</v>
      </c>
      <c r="N310" s="1004" t="s">
        <v>46</v>
      </c>
      <c r="O310" s="1004" t="s">
        <v>73</v>
      </c>
      <c r="P310" s="1004" t="s">
        <v>37</v>
      </c>
      <c r="Q310" s="1004" t="s">
        <v>40</v>
      </c>
      <c r="R310" s="1004" t="s">
        <v>228</v>
      </c>
      <c r="S310" s="1004" t="s">
        <v>379</v>
      </c>
      <c r="T310" s="1004" t="s">
        <v>99</v>
      </c>
      <c r="U310" s="896">
        <v>1</v>
      </c>
      <c r="V310" s="1003" t="str">
        <f t="shared" si="321"/>
        <v>Apoyar a la Entidad en el proceso de desarrollo, mantenimiento, actualización e integración de los aplicativos que soportan las operaciones misionales de la Entidad.</v>
      </c>
      <c r="W310" s="897">
        <f t="shared" si="321"/>
        <v>10273678</v>
      </c>
      <c r="X310" s="998" t="s">
        <v>114</v>
      </c>
      <c r="Y310" s="896">
        <v>0</v>
      </c>
      <c r="Z310" s="998" t="str">
        <f t="shared" ref="Z310:Z313" si="360">+V310</f>
        <v>Apoyar a la Entidad en el proceso de desarrollo, mantenimiento, actualización e integración de los aplicativos que soportan las operaciones misionales de la Entidad.</v>
      </c>
      <c r="AA310" s="528">
        <f>+L310*Y310</f>
        <v>0</v>
      </c>
      <c r="AB310" s="898"/>
      <c r="AC310" s="899"/>
      <c r="AD310" s="997" t="e">
        <f t="shared" ref="AD310:AD313" si="361">+(AB310/Y310)</f>
        <v>#DIV/0!</v>
      </c>
      <c r="AE310" s="997" t="e">
        <f t="shared" ref="AE310" si="362">+(AC310/AA310)</f>
        <v>#DIV/0!</v>
      </c>
      <c r="AF310" s="997">
        <f t="shared" ref="AF310:AF313" si="363">+(AB310/U310)</f>
        <v>0</v>
      </c>
      <c r="AG310" s="997">
        <f t="shared" ref="AG310" si="364">+(AC310/W310)</f>
        <v>0</v>
      </c>
      <c r="AH310" s="1004"/>
      <c r="AI310" s="896">
        <v>0</v>
      </c>
      <c r="AJ310" s="900" t="str">
        <f t="shared" ref="AJ310" si="365">+V310</f>
        <v>Apoyar a la Entidad en el proceso de desarrollo, mantenimiento, actualización e integración de los aplicativos que soportan las operaciones misionales de la Entidad.</v>
      </c>
      <c r="AK310" s="901">
        <f>+W310*AI310</f>
        <v>0</v>
      </c>
      <c r="AL310" s="902"/>
      <c r="AM310" s="818"/>
      <c r="AN310" s="997" t="str">
        <f>+IFERROR((AL310/AI310),"")</f>
        <v/>
      </c>
      <c r="AO310" s="997" t="str">
        <f>+IFERROR((AM310/AK310),"")</f>
        <v/>
      </c>
      <c r="AP310" s="997">
        <f>+IFERROR((AL310+AB310)/U310,"")</f>
        <v>0</v>
      </c>
      <c r="AQ310" s="997">
        <f>+IFERROR((AM310+AC310)/W310,"")</f>
        <v>0</v>
      </c>
      <c r="AR310" s="1004"/>
      <c r="AS310" s="896">
        <v>0</v>
      </c>
      <c r="AT310" s="998" t="str">
        <f t="shared" ref="AT310" si="366">+V310</f>
        <v>Apoyar a la Entidad en el proceso de desarrollo, mantenimiento, actualización e integración de los aplicativos que soportan las operaciones misionales de la Entidad.</v>
      </c>
      <c r="AU310" s="901">
        <f>+W310*AS310</f>
        <v>0</v>
      </c>
      <c r="AV310" s="1647"/>
      <c r="AW310" s="1648"/>
      <c r="AX310" s="997" t="e">
        <f t="shared" ref="AX310:AX313" si="367">+(AV310/AS310)</f>
        <v>#DIV/0!</v>
      </c>
      <c r="AY310" s="997" t="e">
        <f t="shared" ref="AY310" si="368">+(AW310/AU310)</f>
        <v>#DIV/0!</v>
      </c>
      <c r="AZ310" s="997">
        <f t="shared" ref="AZ310:AZ313" si="369">+(AL310+AB310+AV310)/U310</f>
        <v>0</v>
      </c>
      <c r="BA310" s="997">
        <f t="shared" ref="BA310" si="370">+(AM310+AC310+AW310)/W310</f>
        <v>0</v>
      </c>
      <c r="BB310" s="1004"/>
      <c r="BC310" s="896">
        <v>1</v>
      </c>
      <c r="BD310" s="998" t="str">
        <f t="shared" ref="BD310" si="371">+V310</f>
        <v>Apoyar a la Entidad en el proceso de desarrollo, mantenimiento, actualización e integración de los aplicativos que soportan las operaciones misionales de la Entidad.</v>
      </c>
      <c r="BE310" s="818">
        <f>+W310*BC310</f>
        <v>10273678</v>
      </c>
      <c r="BF310" s="1100">
        <f>(BG310/BE310)*BC310</f>
        <v>5.000000973361244E-2</v>
      </c>
      <c r="BG310" s="942">
        <v>513684</v>
      </c>
      <c r="BH310" s="1002">
        <f t="shared" ref="BH310:BH313" si="372">+(BF310/BC310)</f>
        <v>5.000000973361244E-2</v>
      </c>
      <c r="BI310" s="1002">
        <f t="shared" ref="BI310" si="373">+(BG310/BE310)</f>
        <v>5.000000973361244E-2</v>
      </c>
      <c r="BJ310" s="1002">
        <f t="shared" ref="BJ310:BJ313" si="374">+(AL310+AB310+AV310+BF310)/U310</f>
        <v>5.000000973361244E-2</v>
      </c>
      <c r="BK310" s="1002">
        <f t="shared" ref="BK310" si="375">+(AM310+AC310+AW310+BG310)/W310</f>
        <v>5.000000973361244E-2</v>
      </c>
      <c r="BL310" s="1060" t="s">
        <v>2291</v>
      </c>
      <c r="BM310" s="903" t="str">
        <f t="shared" ref="BM310:BM313" si="376">IF(AND(Y310=0,AB310=0),"No Prog ni Ejec",IF(Y310=0,CONCATENATE("No Prog, Ejec=  ",AB310),AB310/Y310))</f>
        <v>No Prog ni Ejec</v>
      </c>
      <c r="BN310" s="903" t="str">
        <f t="shared" ref="BN310" si="377">IF(AND(AA310=0,AC310=0),"No Prog ni Ejec",IF(AA310=0,CONCATENATE("No Prog, Ejec=  ",AC310),AC310/AA310))</f>
        <v>No Prog ni Ejec</v>
      </c>
      <c r="BO310" s="903" t="str">
        <f t="shared" ref="BO310:BO313" si="378">IF(AND(AI310=0,AL310=0),"No Prog ni Ejec",IF(AI310=0,CONCATENATE("No Prog, Ejec=  ",AL310),AL310/AI310))</f>
        <v>No Prog ni Ejec</v>
      </c>
      <c r="BP310" s="903" t="str">
        <f t="shared" ref="BP310" si="379">IF(AND(AK310=0,AM310=0),"No Prog ni Ejec",IF(AK310=0,CONCATENATE("No Prog, Ejec=  ",AM310),AM310/AK310))</f>
        <v>No Prog ni Ejec</v>
      </c>
      <c r="BQ310" s="903" t="str">
        <f t="shared" ref="BQ310:BQ313" si="380">IF(AND(AS310=0,AV310=0),"No Prog ni Ejec",IF(AS310=0,CONCATENATE("No Prog, Ejec=  ",AV310),AV310/AS310))</f>
        <v>No Prog ni Ejec</v>
      </c>
      <c r="BR310" s="903" t="str">
        <f t="shared" ref="BR310" si="381">IF(AND(AU310=0,AW310=0),"No Prog ni Ejec",IF(AU310=0,CONCATENATE("No Prog, Ejec=  ",AW310),AW310/AU310))</f>
        <v>No Prog ni Ejec</v>
      </c>
      <c r="BS310" s="903">
        <f t="shared" ref="BS310:BS313" si="382">IF(AND(BC310=0,BF310=0),"No Prog ni Ejec",IF(BC310=0,CONCATENATE("No Prog, Ejec=  ",BF310),BF310/BC310))</f>
        <v>5.000000973361244E-2</v>
      </c>
      <c r="BT310" s="903">
        <f t="shared" ref="BT310" si="383">IF(AND(BE310=0,BG310=0),"No Prog ni Ejec",IF(BE310=0,CONCATENATE("No Prog, Ejec=  ",BG310),BG310/BE310))</f>
        <v>5.000000973361244E-2</v>
      </c>
    </row>
    <row r="311" spans="1:72" s="958" customFormat="1" ht="89.25" x14ac:dyDescent="0.2">
      <c r="A311" s="954">
        <v>11700</v>
      </c>
      <c r="B311" s="1004" t="s">
        <v>29</v>
      </c>
      <c r="C311" s="1004" t="s">
        <v>1764</v>
      </c>
      <c r="D311" s="1005" t="s">
        <v>328</v>
      </c>
      <c r="E311" s="1004" t="s">
        <v>256</v>
      </c>
      <c r="F311" s="1005" t="s">
        <v>2067</v>
      </c>
      <c r="G311" s="1004" t="s">
        <v>2068</v>
      </c>
      <c r="H311" s="998" t="s">
        <v>124</v>
      </c>
      <c r="I311" s="533">
        <v>2</v>
      </c>
      <c r="J311" s="1005" t="s">
        <v>2070</v>
      </c>
      <c r="K311" s="1004" t="s">
        <v>2069</v>
      </c>
      <c r="L311" s="782">
        <f>13291221*2</f>
        <v>26582442</v>
      </c>
      <c r="M311" s="997">
        <v>1</v>
      </c>
      <c r="N311" s="1004" t="s">
        <v>45</v>
      </c>
      <c r="O311" s="1004" t="s">
        <v>54</v>
      </c>
      <c r="P311" s="1004" t="s">
        <v>37</v>
      </c>
      <c r="Q311" s="1004" t="s">
        <v>38</v>
      </c>
      <c r="R311" s="1004" t="s">
        <v>218</v>
      </c>
      <c r="S311" s="1004" t="s">
        <v>2168</v>
      </c>
      <c r="T311" s="1004" t="s">
        <v>104</v>
      </c>
      <c r="U311" s="966">
        <v>2</v>
      </c>
      <c r="V311" s="1003" t="str">
        <f t="shared" si="321"/>
        <v>Prestar servicios profesionales en Salud Ocupacional para la estructuración e implementación del Sistema de Seguridad y Salud en el Trabajo - Decreto 1072 de 2015</v>
      </c>
      <c r="W311" s="955">
        <f t="shared" si="321"/>
        <v>26582442</v>
      </c>
      <c r="X311" s="998" t="s">
        <v>114</v>
      </c>
      <c r="Y311" s="532">
        <v>0</v>
      </c>
      <c r="Z311" s="1003" t="str">
        <f t="shared" si="360"/>
        <v>Prestar servicios profesionales en Salud Ocupacional para la estructuración e implementación del Sistema de Seguridad y Salud en el Trabajo - Decreto 1072 de 2015</v>
      </c>
      <c r="AA311" s="528">
        <v>0</v>
      </c>
      <c r="AB311" s="956"/>
      <c r="AC311" s="528"/>
      <c r="AD311" s="1006" t="e">
        <f t="shared" si="361"/>
        <v>#DIV/0!</v>
      </c>
      <c r="AE311" s="1006" t="e">
        <f>+(AC311/AA311)</f>
        <v>#DIV/0!</v>
      </c>
      <c r="AF311" s="1006">
        <f t="shared" si="363"/>
        <v>0</v>
      </c>
      <c r="AG311" s="1006">
        <f>+(AC311/W311)</f>
        <v>0</v>
      </c>
      <c r="AH311" s="1004"/>
      <c r="AI311" s="532">
        <v>0</v>
      </c>
      <c r="AJ311" s="1003" t="str">
        <f>+V311</f>
        <v>Prestar servicios profesionales en Salud Ocupacional para la estructuración e implementación del Sistema de Seguridad y Salud en el Trabajo - Decreto 1072 de 2015</v>
      </c>
      <c r="AK311" s="528">
        <v>0</v>
      </c>
      <c r="AL311" s="1000"/>
      <c r="AM311" s="1000"/>
      <c r="AN311" s="1006" t="e">
        <f t="shared" ref="AN311:AN313" si="384">+(AL311/AI311)</f>
        <v>#DIV/0!</v>
      </c>
      <c r="AO311" s="1006" t="e">
        <f t="shared" ref="AO311:AO313" si="385">+(AM311/AK311)</f>
        <v>#DIV/0!</v>
      </c>
      <c r="AP311" s="1006">
        <f t="shared" ref="AP311:AP313" si="386">+(AL311+AB311)/U311</f>
        <v>0</v>
      </c>
      <c r="AQ311" s="1006">
        <f t="shared" ref="AQ311:AQ313" si="387">+(AM311+AC311)/W311</f>
        <v>0</v>
      </c>
      <c r="AR311" s="1658"/>
      <c r="AS311" s="532">
        <v>0</v>
      </c>
      <c r="AT311" s="1003" t="str">
        <f>+V311</f>
        <v>Prestar servicios profesionales en Salud Ocupacional para la estructuración e implementación del Sistema de Seguridad y Salud en el Trabajo - Decreto 1072 de 2015</v>
      </c>
      <c r="AU311" s="901">
        <f>+AS311*W311</f>
        <v>0</v>
      </c>
      <c r="AV311" s="957">
        <v>0</v>
      </c>
      <c r="AW311" s="899">
        <v>0</v>
      </c>
      <c r="AX311" s="1006" t="e">
        <f t="shared" si="367"/>
        <v>#DIV/0!</v>
      </c>
      <c r="AY311" s="1006" t="e">
        <f>+(AW311/AU311)</f>
        <v>#DIV/0!</v>
      </c>
      <c r="AZ311" s="1006">
        <f t="shared" si="369"/>
        <v>0</v>
      </c>
      <c r="BA311" s="1006">
        <f>+(AM311+AC311+AW311)/W311</f>
        <v>0</v>
      </c>
      <c r="BB311" s="1662"/>
      <c r="BC311" s="532">
        <v>2</v>
      </c>
      <c r="BD311" s="1003" t="str">
        <f>+V311</f>
        <v>Prestar servicios profesionales en Salud Ocupacional para la estructuración e implementación del Sistema de Seguridad y Salud en el Trabajo - Decreto 1072 de 2015</v>
      </c>
      <c r="BE311" s="782">
        <f>13291221*2</f>
        <v>26582442</v>
      </c>
      <c r="BF311" s="1079">
        <v>2</v>
      </c>
      <c r="BG311" s="1077">
        <v>9451534</v>
      </c>
      <c r="BH311" s="1002">
        <f t="shared" si="372"/>
        <v>1</v>
      </c>
      <c r="BI311" s="1002">
        <f>+(BG311/BE311)</f>
        <v>0.35555552044466043</v>
      </c>
      <c r="BJ311" s="1002">
        <f t="shared" si="374"/>
        <v>1</v>
      </c>
      <c r="BK311" s="1002">
        <f>+(AM311+AC311+AW311+BG311)/W311</f>
        <v>0.35555552044466043</v>
      </c>
      <c r="BL311" s="1099" t="s">
        <v>2169</v>
      </c>
      <c r="BM311" s="999" t="str">
        <f t="shared" si="376"/>
        <v>No Prog ni Ejec</v>
      </c>
      <c r="BN311" s="999" t="str">
        <f>IF(AND(AA311=0,AC311=0),"No Prog ni Ejec",IF(AA311=0,CONCATENATE("No Prog, Ejec=  ",AC311),AC311/AA311))</f>
        <v>No Prog ni Ejec</v>
      </c>
      <c r="BO311" s="999" t="str">
        <f t="shared" si="378"/>
        <v>No Prog ni Ejec</v>
      </c>
      <c r="BP311" s="999" t="str">
        <f>IF(AND(AK311=0,AM311=0),"No Prog ni Ejec",IF(AK311=0,CONCATENATE("No Prog, Ejec=  ",AM311),AM311/AK311))</f>
        <v>No Prog ni Ejec</v>
      </c>
      <c r="BQ311" s="999" t="str">
        <f t="shared" si="380"/>
        <v>No Prog ni Ejec</v>
      </c>
      <c r="BR311" s="999" t="str">
        <f>IF(AND(AU311=0,AW311=0),"No Prog ni Ejec",IF(AU311=0,CONCATENATE("No Prog, Ejec=  ",AW311),AW311/AU311))</f>
        <v>No Prog ni Ejec</v>
      </c>
      <c r="BS311" s="999">
        <f t="shared" si="382"/>
        <v>1</v>
      </c>
      <c r="BT311" s="828">
        <f>IF(AND(BE311=0,BG311=0),"No Prog ni Ejec",IF(BE311=0,CONCATENATE("No Prog, Ejec=  ",BG311),BG311/BE311))</f>
        <v>0.35555552044466043</v>
      </c>
    </row>
    <row r="312" spans="1:72" s="1649" customFormat="1" ht="89.25" x14ac:dyDescent="0.2">
      <c r="A312" s="1005">
        <v>11300</v>
      </c>
      <c r="B312" s="1004" t="s">
        <v>4</v>
      </c>
      <c r="C312" s="1004" t="s">
        <v>1340</v>
      </c>
      <c r="D312" s="1005" t="s">
        <v>157</v>
      </c>
      <c r="E312" s="1004" t="s">
        <v>256</v>
      </c>
      <c r="F312" s="1005" t="s">
        <v>2212</v>
      </c>
      <c r="G312" s="1004" t="s">
        <v>2345</v>
      </c>
      <c r="H312" s="998" t="s">
        <v>123</v>
      </c>
      <c r="I312" s="993">
        <v>1</v>
      </c>
      <c r="J312" s="1005" t="s">
        <v>2213</v>
      </c>
      <c r="K312" s="1004" t="s">
        <v>2346</v>
      </c>
      <c r="L312" s="895">
        <v>20000000</v>
      </c>
      <c r="M312" s="997">
        <v>1</v>
      </c>
      <c r="N312" s="1004" t="s">
        <v>46</v>
      </c>
      <c r="O312" s="1004" t="s">
        <v>68</v>
      </c>
      <c r="P312" s="1004" t="s">
        <v>21</v>
      </c>
      <c r="Q312" s="1004" t="s">
        <v>36</v>
      </c>
      <c r="R312" s="1004" t="s">
        <v>212</v>
      </c>
      <c r="S312" s="1004" t="s">
        <v>379</v>
      </c>
      <c r="T312" s="1004" t="s">
        <v>99</v>
      </c>
      <c r="U312" s="896">
        <v>1</v>
      </c>
      <c r="V312" s="1003" t="str">
        <f>+K312</f>
        <v>Prestación del servicio de Publicación en un diario impreso de alta circulación y cobertura nacional, las publicaciones que requiera la entidad.</v>
      </c>
      <c r="W312" s="897">
        <f>+L312</f>
        <v>20000000</v>
      </c>
      <c r="X312" s="998" t="s">
        <v>114</v>
      </c>
      <c r="Y312" s="1002">
        <v>0</v>
      </c>
      <c r="Z312" s="1003" t="str">
        <f t="shared" si="360"/>
        <v>Prestación del servicio de Publicación en un diario impreso de alta circulación y cobertura nacional, las publicaciones que requiera la entidad.</v>
      </c>
      <c r="AA312" s="994">
        <v>0</v>
      </c>
      <c r="AB312" s="998"/>
      <c r="AC312" s="998"/>
      <c r="AD312" s="1006" t="e">
        <f t="shared" si="361"/>
        <v>#DIV/0!</v>
      </c>
      <c r="AE312" s="1006" t="e">
        <f t="shared" ref="AE312:AE313" si="388">+(AC312/AA312)</f>
        <v>#DIV/0!</v>
      </c>
      <c r="AF312" s="1006">
        <f t="shared" si="363"/>
        <v>0</v>
      </c>
      <c r="AG312" s="1006">
        <f t="shared" ref="AG312:AG313" si="389">+(AC312/W312)</f>
        <v>0</v>
      </c>
      <c r="AH312" s="998"/>
      <c r="AI312" s="1002">
        <v>0</v>
      </c>
      <c r="AJ312" s="1003" t="str">
        <f t="shared" ref="AJ312:AJ313" si="390">+V312</f>
        <v>Prestación del servicio de Publicación en un diario impreso de alta circulación y cobertura nacional, las publicaciones que requiera la entidad.</v>
      </c>
      <c r="AK312" s="994">
        <v>0</v>
      </c>
      <c r="AL312" s="902">
        <v>0</v>
      </c>
      <c r="AM312" s="1000">
        <v>0</v>
      </c>
      <c r="AN312" s="1006" t="e">
        <f t="shared" si="384"/>
        <v>#DIV/0!</v>
      </c>
      <c r="AO312" s="1006" t="e">
        <f t="shared" si="385"/>
        <v>#DIV/0!</v>
      </c>
      <c r="AP312" s="1006">
        <f t="shared" si="386"/>
        <v>0</v>
      </c>
      <c r="AQ312" s="1006">
        <f t="shared" si="387"/>
        <v>0</v>
      </c>
      <c r="AR312" s="998"/>
      <c r="AS312" s="1002">
        <v>0</v>
      </c>
      <c r="AT312" s="1003" t="str">
        <f t="shared" ref="AT312:AT313" si="391">+V312</f>
        <v>Prestación del servicio de Publicación en un diario impreso de alta circulación y cobertura nacional, las publicaciones que requiera la entidad.</v>
      </c>
      <c r="AU312" s="994">
        <v>0</v>
      </c>
      <c r="AV312" s="997">
        <v>0</v>
      </c>
      <c r="AW312" s="994">
        <v>0</v>
      </c>
      <c r="AX312" s="1006" t="e">
        <f t="shared" si="367"/>
        <v>#DIV/0!</v>
      </c>
      <c r="AY312" s="1006" t="e">
        <f t="shared" ref="AY312:AY313" si="392">+(AW312/AU312)</f>
        <v>#DIV/0!</v>
      </c>
      <c r="AZ312" s="997">
        <f t="shared" si="369"/>
        <v>0</v>
      </c>
      <c r="BA312" s="1006">
        <f t="shared" ref="BA312:BA313" si="393">+(AM312+AC312+AW312)/W312</f>
        <v>0</v>
      </c>
      <c r="BB312" s="1004" t="s">
        <v>2344</v>
      </c>
      <c r="BC312" s="1002">
        <v>1</v>
      </c>
      <c r="BD312" s="1003" t="str">
        <f t="shared" ref="BD312:BD313" si="394">+V312</f>
        <v>Prestación del servicio de Publicación en un diario impreso de alta circulación y cobertura nacional, las publicaciones que requiera la entidad.</v>
      </c>
      <c r="BE312" s="994">
        <v>20000000</v>
      </c>
      <c r="BF312" s="1094">
        <v>1</v>
      </c>
      <c r="BG312" s="942">
        <v>6952038</v>
      </c>
      <c r="BH312" s="1002">
        <f t="shared" si="372"/>
        <v>1</v>
      </c>
      <c r="BI312" s="1002">
        <f t="shared" ref="BI312:BI313" si="395">+(BG312/BE312)</f>
        <v>0.34760190000000002</v>
      </c>
      <c r="BJ312" s="1002">
        <f t="shared" si="374"/>
        <v>1</v>
      </c>
      <c r="BK312" s="1002">
        <f t="shared" ref="BK312:BK313" si="396">+(AM312+AC312+AW312+BG312)/W312</f>
        <v>0.34760190000000002</v>
      </c>
      <c r="BL312" s="1004" t="s">
        <v>2214</v>
      </c>
      <c r="BM312" s="999" t="str">
        <f t="shared" si="376"/>
        <v>No Prog ni Ejec</v>
      </c>
      <c r="BN312" s="999" t="str">
        <f t="shared" ref="BN312:BN313" si="397">IF(AND(AA312=0,AC312=0),"No Prog ni Ejec",IF(AA312=0,CONCATENATE("No Prog, Ejec=  ",AC312),AC312/AA312))</f>
        <v>No Prog ni Ejec</v>
      </c>
      <c r="BO312" s="999" t="str">
        <f t="shared" si="378"/>
        <v>No Prog ni Ejec</v>
      </c>
      <c r="BP312" s="999" t="str">
        <f t="shared" ref="BP312:BP313" si="398">IF(AND(AK312=0,AM312=0),"No Prog ni Ejec",IF(AK312=0,CONCATENATE("No Prog, Ejec=  ",AM312),AM312/AK312))</f>
        <v>No Prog ni Ejec</v>
      </c>
      <c r="BQ312" s="999" t="str">
        <f t="shared" si="380"/>
        <v>No Prog ni Ejec</v>
      </c>
      <c r="BR312" s="999" t="str">
        <f t="shared" ref="BR312:BR313" si="399">IF(AND(AU312=0,AW312=0),"No Prog ni Ejec",IF(AU312=0,CONCATENATE("No Prog, Ejec=  ",AW312),AW312/AU312))</f>
        <v>No Prog ni Ejec</v>
      </c>
      <c r="BS312" s="999">
        <f t="shared" si="382"/>
        <v>1</v>
      </c>
      <c r="BT312" s="999">
        <f t="shared" ref="BT312:BT313" si="400">IF(AND(BE312=0,BG312=0),"No Prog ni Ejec",IF(BE312=0,CONCATENATE("No Prog, Ejec=  ",BG312),BG312/BE312))</f>
        <v>0.34760190000000002</v>
      </c>
    </row>
    <row r="313" spans="1:72" s="1649" customFormat="1" ht="63.75" x14ac:dyDescent="0.2">
      <c r="A313" s="954">
        <v>11500</v>
      </c>
      <c r="B313" s="1004" t="s">
        <v>28</v>
      </c>
      <c r="C313" s="1004" t="s">
        <v>1209</v>
      </c>
      <c r="D313" s="1005" t="s">
        <v>263</v>
      </c>
      <c r="E313" s="1004" t="s">
        <v>144</v>
      </c>
      <c r="F313" s="1005" t="s">
        <v>2236</v>
      </c>
      <c r="G313" s="1004" t="s">
        <v>2239</v>
      </c>
      <c r="H313" s="996" t="s">
        <v>123</v>
      </c>
      <c r="I313" s="993">
        <v>1</v>
      </c>
      <c r="J313" s="1005" t="s">
        <v>2237</v>
      </c>
      <c r="K313" s="1004" t="s">
        <v>2238</v>
      </c>
      <c r="L313" s="895">
        <f>8031000*2*2</f>
        <v>32124000</v>
      </c>
      <c r="M313" s="997">
        <v>1</v>
      </c>
      <c r="N313" s="1004" t="s">
        <v>46</v>
      </c>
      <c r="O313" s="1004" t="s">
        <v>68</v>
      </c>
      <c r="P313" s="1004" t="s">
        <v>21</v>
      </c>
      <c r="Q313" s="1004" t="s">
        <v>36</v>
      </c>
      <c r="R313" s="1004" t="s">
        <v>211</v>
      </c>
      <c r="S313" s="1004" t="s">
        <v>2240</v>
      </c>
      <c r="T313" s="1004" t="s">
        <v>98</v>
      </c>
      <c r="U313" s="997">
        <v>1</v>
      </c>
      <c r="V313" s="1003" t="str">
        <f>+K313</f>
        <v>Apoyar la supervisión de los contratos suscritos para adelantar la auditoria de recobros y reclamaciones</v>
      </c>
      <c r="W313" s="897">
        <f>+L313</f>
        <v>32124000</v>
      </c>
      <c r="X313" s="998" t="s">
        <v>114</v>
      </c>
      <c r="Y313" s="997">
        <v>0</v>
      </c>
      <c r="Z313" s="1042" t="str">
        <f t="shared" si="360"/>
        <v>Apoyar la supervisión de los contratos suscritos para adelantar la auditoria de recobros y reclamaciones</v>
      </c>
      <c r="AA313" s="528">
        <v>0</v>
      </c>
      <c r="AB313" s="956"/>
      <c r="AC313" s="528"/>
      <c r="AD313" s="1006" t="e">
        <f t="shared" si="361"/>
        <v>#DIV/0!</v>
      </c>
      <c r="AE313" s="1006" t="e">
        <f t="shared" si="388"/>
        <v>#DIV/0!</v>
      </c>
      <c r="AF313" s="1006">
        <f t="shared" si="363"/>
        <v>0</v>
      </c>
      <c r="AG313" s="1006">
        <f t="shared" si="389"/>
        <v>0</v>
      </c>
      <c r="AH313" s="1004"/>
      <c r="AI313" s="997">
        <v>0</v>
      </c>
      <c r="AJ313" s="1042" t="str">
        <f t="shared" si="390"/>
        <v>Apoyar la supervisión de los contratos suscritos para adelantar la auditoria de recobros y reclamaciones</v>
      </c>
      <c r="AK313" s="528">
        <v>0</v>
      </c>
      <c r="AL313" s="1000"/>
      <c r="AM313" s="1000"/>
      <c r="AN313" s="1006" t="e">
        <f t="shared" si="384"/>
        <v>#DIV/0!</v>
      </c>
      <c r="AO313" s="1006" t="e">
        <f t="shared" si="385"/>
        <v>#DIV/0!</v>
      </c>
      <c r="AP313" s="1006">
        <f t="shared" si="386"/>
        <v>0</v>
      </c>
      <c r="AQ313" s="1006">
        <f t="shared" si="387"/>
        <v>0</v>
      </c>
      <c r="AR313" s="1658"/>
      <c r="AS313" s="997">
        <v>0</v>
      </c>
      <c r="AT313" s="1042" t="str">
        <f t="shared" si="391"/>
        <v>Apoyar la supervisión de los contratos suscritos para adelantar la auditoria de recobros y reclamaciones</v>
      </c>
      <c r="AU313" s="528">
        <v>0</v>
      </c>
      <c r="AV313" s="1000">
        <v>0</v>
      </c>
      <c r="AW313" s="818">
        <v>0</v>
      </c>
      <c r="AX313" s="1006" t="e">
        <f t="shared" si="367"/>
        <v>#DIV/0!</v>
      </c>
      <c r="AY313" s="1006" t="e">
        <f t="shared" si="392"/>
        <v>#DIV/0!</v>
      </c>
      <c r="AZ313" s="1006">
        <f t="shared" si="369"/>
        <v>0</v>
      </c>
      <c r="BA313" s="1006">
        <f t="shared" si="393"/>
        <v>0</v>
      </c>
      <c r="BB313" s="1004" t="s">
        <v>1950</v>
      </c>
      <c r="BC313" s="997">
        <v>1</v>
      </c>
      <c r="BD313" s="1042" t="str">
        <f t="shared" si="394"/>
        <v>Apoyar la supervisión de los contratos suscritos para adelantar la auditoria de recobros y reclamaciones</v>
      </c>
      <c r="BE313" s="895">
        <f>+W313</f>
        <v>32124000</v>
      </c>
      <c r="BF313" s="1088">
        <f>2/(2*1)</f>
        <v>1</v>
      </c>
      <c r="BG313" s="1077">
        <f>5889623+535420</f>
        <v>6425043</v>
      </c>
      <c r="BH313" s="1002">
        <f t="shared" si="372"/>
        <v>1</v>
      </c>
      <c r="BI313" s="1002">
        <f t="shared" si="395"/>
        <v>0.20000756443780351</v>
      </c>
      <c r="BJ313" s="1002">
        <f t="shared" si="374"/>
        <v>1</v>
      </c>
      <c r="BK313" s="1002">
        <f t="shared" si="396"/>
        <v>0.20000756443780351</v>
      </c>
      <c r="BL313" s="1004"/>
      <c r="BM313" s="999" t="str">
        <f t="shared" si="376"/>
        <v>No Prog ni Ejec</v>
      </c>
      <c r="BN313" s="999" t="str">
        <f t="shared" si="397"/>
        <v>No Prog ni Ejec</v>
      </c>
      <c r="BO313" s="999" t="str">
        <f t="shared" si="378"/>
        <v>No Prog ni Ejec</v>
      </c>
      <c r="BP313" s="999" t="str">
        <f t="shared" si="398"/>
        <v>No Prog ni Ejec</v>
      </c>
      <c r="BQ313" s="999" t="str">
        <f t="shared" si="380"/>
        <v>No Prog ni Ejec</v>
      </c>
      <c r="BR313" s="999" t="str">
        <f t="shared" si="399"/>
        <v>No Prog ni Ejec</v>
      </c>
      <c r="BS313" s="999">
        <f t="shared" si="382"/>
        <v>1</v>
      </c>
      <c r="BT313" s="1043">
        <f t="shared" si="400"/>
        <v>0.20000756443780351</v>
      </c>
    </row>
    <row r="314" spans="1:72" s="149" customFormat="1" x14ac:dyDescent="0.25">
      <c r="A314" s="905"/>
      <c r="B314" s="906"/>
      <c r="C314" s="906"/>
      <c r="D314" s="905"/>
      <c r="E314" s="906"/>
      <c r="F314" s="905"/>
      <c r="G314" s="906"/>
      <c r="H314" s="911"/>
      <c r="I314" s="1033"/>
      <c r="J314" s="905"/>
      <c r="K314" s="906"/>
      <c r="L314" s="1034"/>
      <c r="M314" s="909"/>
      <c r="N314" s="906"/>
      <c r="O314" s="906"/>
      <c r="P314" s="906"/>
      <c r="Q314" s="906"/>
      <c r="R314" s="906"/>
      <c r="S314" s="906"/>
      <c r="T314" s="906"/>
      <c r="U314" s="910"/>
      <c r="V314" s="1035"/>
      <c r="W314" s="1036"/>
      <c r="X314" s="911"/>
      <c r="Y314" s="908"/>
      <c r="Z314" s="1035"/>
      <c r="AA314" s="1037"/>
      <c r="AB314" s="911"/>
      <c r="AC314" s="911"/>
      <c r="AD314" s="1038"/>
      <c r="AE314" s="1038"/>
      <c r="AF314" s="1038"/>
      <c r="AG314" s="1038"/>
      <c r="AH314" s="907"/>
      <c r="AI314" s="908"/>
      <c r="AJ314" s="1035"/>
      <c r="AK314" s="1037"/>
      <c r="AL314" s="918"/>
      <c r="AM314" s="924"/>
      <c r="AN314" s="1038"/>
      <c r="AO314" s="1038"/>
      <c r="AP314" s="1038"/>
      <c r="AQ314" s="1038"/>
      <c r="AR314" s="907"/>
      <c r="AS314" s="908"/>
      <c r="AT314" s="1035"/>
      <c r="AU314" s="1037"/>
      <c r="AV314" s="909"/>
      <c r="AW314" s="1037"/>
      <c r="AX314" s="1038"/>
      <c r="AY314" s="1038"/>
      <c r="AZ314" s="909"/>
      <c r="BA314" s="1038"/>
      <c r="BB314" s="923"/>
      <c r="BC314" s="908"/>
      <c r="BD314" s="1035"/>
      <c r="BE314" s="1037"/>
      <c r="BF314" s="1040"/>
      <c r="BG314" s="1041"/>
      <c r="BH314" s="908"/>
      <c r="BI314" s="908"/>
      <c r="BJ314" s="908"/>
      <c r="BK314" s="908"/>
      <c r="BL314" s="906"/>
      <c r="BM314" s="1039"/>
      <c r="BN314" s="1039"/>
      <c r="BO314" s="1039"/>
      <c r="BP314" s="1039"/>
      <c r="BQ314" s="1039"/>
      <c r="BR314" s="1039"/>
      <c r="BS314" s="1039"/>
      <c r="BT314" s="1039"/>
    </row>
    <row r="315" spans="1:72" s="149" customFormat="1" x14ac:dyDescent="0.25">
      <c r="A315" s="905"/>
      <c r="B315" s="906"/>
      <c r="C315" s="906"/>
      <c r="D315" s="905"/>
      <c r="E315" s="906"/>
      <c r="F315" s="905"/>
      <c r="G315" s="906"/>
      <c r="H315" s="911"/>
      <c r="I315" s="1033"/>
      <c r="J315" s="905"/>
      <c r="K315" s="906"/>
      <c r="L315" s="995">
        <f>SUBTOTAL(9,L8:L313)-L111-L122</f>
        <v>46755689823028.43</v>
      </c>
      <c r="M315" s="995">
        <v>46755689823028</v>
      </c>
      <c r="N315" s="906"/>
      <c r="O315" s="906"/>
      <c r="P315" s="906"/>
      <c r="Q315" s="906"/>
      <c r="R315" s="906"/>
      <c r="S315" s="906"/>
      <c r="T315" s="906"/>
      <c r="U315" s="910"/>
      <c r="V315" s="1035"/>
      <c r="W315" s="995">
        <f>SUBTOTAL(9,W8:W313)-W111-W122</f>
        <v>46755689823028.43</v>
      </c>
      <c r="X315" s="911"/>
      <c r="Y315" s="908"/>
      <c r="Z315" s="1035"/>
      <c r="AA315" s="1037"/>
      <c r="AB315" s="911"/>
      <c r="AC315" s="911"/>
      <c r="AD315" s="1038"/>
      <c r="AE315" s="1038"/>
      <c r="AF315" s="1038"/>
      <c r="AG315" s="1038"/>
      <c r="AH315" s="907"/>
      <c r="AI315" s="908"/>
      <c r="AJ315" s="1035"/>
      <c r="AK315" s="1037"/>
      <c r="AL315" s="918"/>
      <c r="AM315" s="924"/>
      <c r="AN315" s="1038"/>
      <c r="AO315" s="1038"/>
      <c r="AP315" s="1038"/>
      <c r="AQ315" s="1038"/>
      <c r="AR315" s="907"/>
      <c r="AS315" s="908"/>
      <c r="AT315" s="1035"/>
      <c r="AU315" s="1037"/>
      <c r="AV315" s="909"/>
      <c r="AW315" s="1037"/>
      <c r="AX315" s="1038"/>
      <c r="AY315" s="1038"/>
      <c r="AZ315" s="909"/>
      <c r="BA315" s="1038"/>
      <c r="BB315" s="923"/>
      <c r="BC315" s="908"/>
      <c r="BD315" s="1035"/>
      <c r="BE315" s="1037"/>
      <c r="BF315" s="1040"/>
      <c r="BG315" s="1041"/>
      <c r="BH315" s="908"/>
      <c r="BI315" s="908"/>
      <c r="BJ315" s="908"/>
      <c r="BK315" s="908"/>
      <c r="BL315" s="906"/>
      <c r="BM315" s="1039"/>
      <c r="BN315" s="1039"/>
      <c r="BO315" s="1039"/>
      <c r="BP315" s="1039"/>
      <c r="BQ315" s="1039"/>
      <c r="BR315" s="1039"/>
      <c r="BS315" s="1039"/>
      <c r="BT315" s="1039"/>
    </row>
    <row r="316" spans="1:72" x14ac:dyDescent="0.25">
      <c r="B316" s="539" t="s">
        <v>2234</v>
      </c>
      <c r="C316" s="540">
        <f>+L104</f>
        <v>223959064.17999935</v>
      </c>
      <c r="H316" s="536"/>
      <c r="J316" s="905"/>
      <c r="K316" s="709"/>
      <c r="L316" s="995">
        <v>107533582066.44</v>
      </c>
      <c r="M316" s="1651">
        <f>+M315-L315</f>
        <v>-0.4296875</v>
      </c>
      <c r="N316" s="906"/>
      <c r="O316" s="906"/>
      <c r="P316" s="906"/>
      <c r="Q316" s="906"/>
      <c r="R316" s="906"/>
      <c r="S316" s="906"/>
      <c r="T316" s="906"/>
      <c r="U316" s="910"/>
      <c r="V316" s="716"/>
      <c r="W316" s="995">
        <v>107533582066.44</v>
      </c>
      <c r="X316" s="911"/>
      <c r="Y316" s="910"/>
      <c r="Z316" s="911"/>
      <c r="AA316" s="912"/>
      <c r="AB316" s="913"/>
      <c r="AC316" s="914"/>
      <c r="AD316" s="909"/>
      <c r="AE316" s="909"/>
      <c r="AF316" s="909"/>
      <c r="AG316" s="909"/>
      <c r="AH316" s="915"/>
      <c r="AI316" s="910"/>
      <c r="AJ316" s="916"/>
      <c r="AK316" s="917"/>
      <c r="AL316" s="918"/>
      <c r="AM316" s="919"/>
      <c r="AN316" s="909"/>
      <c r="AO316" s="909"/>
      <c r="AP316" s="909"/>
      <c r="AQ316" s="909"/>
      <c r="AR316" s="920"/>
      <c r="AS316" s="910"/>
      <c r="AT316" s="911"/>
      <c r="AU316" s="917"/>
      <c r="AV316" s="921"/>
      <c r="AW316" s="922"/>
      <c r="AX316" s="909"/>
      <c r="AY316" s="909"/>
      <c r="AZ316" s="909"/>
      <c r="BA316" s="909"/>
      <c r="BB316" s="923"/>
      <c r="BC316" s="910"/>
      <c r="BD316" s="911"/>
      <c r="BE316" s="919"/>
      <c r="BF316" s="924"/>
      <c r="BG316" s="919"/>
      <c r="BH316" s="908"/>
      <c r="BI316" s="908"/>
      <c r="BJ316" s="908"/>
      <c r="BK316" s="908"/>
      <c r="BL316" s="911"/>
      <c r="BM316" s="925"/>
      <c r="BN316" s="925"/>
      <c r="BO316" s="925"/>
      <c r="BP316" s="925"/>
      <c r="BQ316" s="925"/>
      <c r="BR316" s="925"/>
      <c r="BS316" s="925"/>
      <c r="BT316" s="925"/>
    </row>
    <row r="317" spans="1:72" ht="52.5" customHeight="1" x14ac:dyDescent="0.25">
      <c r="B317" s="1243" t="s">
        <v>1084</v>
      </c>
      <c r="C317" s="1243"/>
      <c r="D317" s="1243"/>
      <c r="E317" s="1650"/>
      <c r="F317" s="1650"/>
      <c r="G317" s="1650"/>
      <c r="H317" s="1650"/>
      <c r="I317" s="1650"/>
      <c r="J317" s="905"/>
      <c r="K317" s="709"/>
      <c r="L317" s="995">
        <f>+L316-L315</f>
        <v>-46648156240961.992</v>
      </c>
      <c r="M317" s="909"/>
      <c r="N317" s="906"/>
      <c r="O317" s="906"/>
      <c r="P317" s="906"/>
      <c r="Q317" s="906"/>
      <c r="R317" s="906"/>
      <c r="S317" s="906"/>
      <c r="T317" s="906"/>
      <c r="U317" s="910"/>
      <c r="V317" s="716"/>
      <c r="W317" s="995">
        <f>+W316-W315</f>
        <v>-46648156240961.992</v>
      </c>
      <c r="X317" s="911"/>
      <c r="Y317" s="910"/>
      <c r="Z317" s="911"/>
      <c r="AA317" s="912"/>
      <c r="AB317" s="913"/>
      <c r="AC317" s="914"/>
      <c r="AD317" s="909"/>
      <c r="AE317" s="909"/>
      <c r="AF317" s="909"/>
      <c r="AG317" s="909"/>
      <c r="AH317" s="915"/>
      <c r="AI317" s="910"/>
      <c r="AJ317" s="916"/>
      <c r="AK317" s="917"/>
      <c r="AL317" s="918"/>
      <c r="AM317" s="919"/>
      <c r="AN317" s="909"/>
      <c r="AO317" s="909"/>
      <c r="AP317" s="909"/>
      <c r="AQ317" s="909"/>
      <c r="AR317" s="920"/>
      <c r="AS317" s="910"/>
      <c r="AT317" s="911"/>
      <c r="AU317" s="917"/>
      <c r="AV317" s="921"/>
      <c r="AW317" s="922"/>
      <c r="AX317" s="909"/>
      <c r="AY317" s="909"/>
      <c r="AZ317" s="909"/>
      <c r="BA317" s="909"/>
      <c r="BB317" s="923"/>
      <c r="BC317" s="910"/>
      <c r="BD317" s="911"/>
      <c r="BE317" s="919"/>
      <c r="BF317" s="924"/>
      <c r="BG317" s="1045">
        <f>SUBTOTAL(9,BG8:BG313)-BG111-BG122</f>
        <v>12015249217894.781</v>
      </c>
      <c r="BH317" s="908"/>
      <c r="BI317" s="908"/>
      <c r="BJ317" s="908"/>
      <c r="BK317" s="908"/>
      <c r="BL317" s="911"/>
      <c r="BM317" s="925"/>
      <c r="BN317" s="925"/>
      <c r="BO317" s="925"/>
      <c r="BP317" s="925"/>
      <c r="BQ317" s="925"/>
      <c r="BR317" s="925"/>
      <c r="BS317" s="925"/>
      <c r="BT317" s="925"/>
    </row>
    <row r="318" spans="1:72" x14ac:dyDescent="0.25">
      <c r="A318" s="905"/>
      <c r="B318" s="906"/>
      <c r="C318" s="906"/>
      <c r="D318" s="905"/>
      <c r="E318" s="906"/>
      <c r="F318" s="905"/>
      <c r="G318" s="709"/>
      <c r="H318" s="907"/>
      <c r="I318" s="908"/>
      <c r="J318" s="905"/>
      <c r="K318" s="709"/>
      <c r="M318" s="909"/>
      <c r="N318" s="906"/>
      <c r="O318" s="906"/>
      <c r="P318" s="906"/>
      <c r="Q318" s="906"/>
      <c r="R318" s="906"/>
      <c r="S318" s="906"/>
      <c r="T318" s="906"/>
      <c r="U318" s="910"/>
      <c r="V318" s="716"/>
      <c r="W318" s="904"/>
      <c r="X318" s="911"/>
      <c r="Y318" s="910"/>
      <c r="Z318" s="911"/>
      <c r="AA318" s="912"/>
      <c r="AB318" s="913"/>
      <c r="AC318" s="914"/>
      <c r="AD318" s="909"/>
      <c r="AE318" s="909"/>
      <c r="AF318" s="909"/>
      <c r="AG318" s="909"/>
      <c r="AH318" s="915"/>
      <c r="AI318" s="910"/>
      <c r="AJ318" s="916"/>
      <c r="AK318" s="917"/>
      <c r="AL318" s="918"/>
      <c r="AM318" s="919"/>
      <c r="AN318" s="909"/>
      <c r="AO318" s="909"/>
      <c r="AP318" s="909"/>
      <c r="AQ318" s="909"/>
      <c r="AR318" s="920"/>
      <c r="AS318" s="910"/>
      <c r="AT318" s="911"/>
      <c r="AU318" s="917"/>
      <c r="AV318" s="921"/>
      <c r="AW318" s="922"/>
      <c r="AX318" s="909"/>
      <c r="AY318" s="909"/>
      <c r="AZ318" s="909"/>
      <c r="BA318" s="909"/>
      <c r="BB318" s="923"/>
      <c r="BC318" s="910"/>
      <c r="BD318" s="911"/>
      <c r="BE318" s="919"/>
      <c r="BF318" s="924"/>
      <c r="BG318" s="1046">
        <v>13953713987.76</v>
      </c>
      <c r="BH318" s="908"/>
      <c r="BI318" s="908"/>
      <c r="BJ318" s="908"/>
      <c r="BK318" s="908"/>
      <c r="BL318" s="911"/>
      <c r="BM318" s="925"/>
      <c r="BN318" s="925"/>
      <c r="BO318" s="925"/>
      <c r="BP318" s="925"/>
      <c r="BQ318" s="925"/>
      <c r="BR318" s="925"/>
      <c r="BS318" s="925"/>
      <c r="BT318" s="925"/>
    </row>
    <row r="319" spans="1:72" x14ac:dyDescent="0.25">
      <c r="A319" s="905"/>
      <c r="B319" s="906"/>
      <c r="C319" s="906"/>
      <c r="D319" s="905"/>
      <c r="E319" s="906"/>
      <c r="F319" s="905"/>
      <c r="G319" s="709"/>
      <c r="H319" s="907"/>
      <c r="I319" s="908"/>
      <c r="J319" s="905"/>
      <c r="K319" s="709"/>
      <c r="M319" s="909"/>
      <c r="N319" s="906"/>
      <c r="O319" s="906"/>
      <c r="P319" s="906"/>
      <c r="Q319" s="906"/>
      <c r="R319" s="906"/>
      <c r="S319" s="906"/>
      <c r="T319" s="906"/>
      <c r="U319" s="910"/>
      <c r="V319" s="716"/>
      <c r="W319" s="904"/>
      <c r="X319" s="911"/>
      <c r="Y319" s="910"/>
      <c r="Z319" s="911"/>
      <c r="AA319" s="912"/>
      <c r="AB319" s="913"/>
      <c r="AC319" s="914"/>
      <c r="AD319" s="909"/>
      <c r="AE319" s="909"/>
      <c r="AF319" s="909"/>
      <c r="AG319" s="909"/>
      <c r="AH319" s="915"/>
      <c r="AI319" s="910"/>
      <c r="AJ319" s="916"/>
      <c r="AK319" s="917"/>
      <c r="AL319" s="918"/>
      <c r="AM319" s="919"/>
      <c r="AN319" s="909"/>
      <c r="AO319" s="909"/>
      <c r="AP319" s="909"/>
      <c r="AQ319" s="909"/>
      <c r="AR319" s="920"/>
      <c r="AS319" s="910"/>
      <c r="AT319" s="911"/>
      <c r="AU319" s="917"/>
      <c r="AV319" s="921"/>
      <c r="AW319" s="922"/>
      <c r="AX319" s="909"/>
      <c r="AY319" s="909"/>
      <c r="AZ319" s="909"/>
      <c r="BA319" s="909"/>
      <c r="BB319" s="923"/>
      <c r="BC319" s="910"/>
      <c r="BD319" s="911"/>
      <c r="BE319" s="919"/>
      <c r="BF319" s="924"/>
      <c r="BG319" s="1047">
        <f>+BG318-BG317</f>
        <v>-12001295503907.021</v>
      </c>
      <c r="BH319" s="908"/>
      <c r="BI319" s="908"/>
      <c r="BJ319" s="908"/>
      <c r="BK319" s="908"/>
      <c r="BL319" s="911"/>
      <c r="BM319" s="925"/>
      <c r="BN319" s="925"/>
      <c r="BO319" s="925"/>
      <c r="BP319" s="925"/>
      <c r="BQ319" s="925"/>
      <c r="BR319" s="925"/>
      <c r="BS319" s="925"/>
      <c r="BT319" s="925"/>
    </row>
    <row r="320" spans="1:72" x14ac:dyDescent="0.25">
      <c r="A320" s="163"/>
      <c r="B320" s="163"/>
      <c r="C320" s="163"/>
      <c r="D320" s="163"/>
      <c r="E320" s="163"/>
      <c r="F320" s="163"/>
      <c r="G320" s="163"/>
      <c r="H320" s="442"/>
      <c r="I320" s="163"/>
      <c r="J320" s="163"/>
      <c r="K320" s="163"/>
      <c r="L320" s="995"/>
      <c r="M320" s="866"/>
      <c r="N320" s="163"/>
      <c r="O320" s="163"/>
      <c r="P320" s="163"/>
      <c r="Q320" s="163"/>
      <c r="R320" s="163"/>
      <c r="S320" s="163"/>
      <c r="T320" s="163"/>
      <c r="U320" s="163"/>
      <c r="V320" s="163"/>
      <c r="W320" s="552"/>
      <c r="X320" s="163"/>
      <c r="Y320" s="441"/>
      <c r="Z320" s="441"/>
      <c r="AA320" s="441"/>
      <c r="AB320" s="441"/>
      <c r="AC320" s="441"/>
      <c r="AD320" s="441"/>
      <c r="AE320" s="441"/>
      <c r="AF320" s="441"/>
      <c r="AG320" s="441"/>
      <c r="AH320" s="441"/>
      <c r="AI320" s="441"/>
      <c r="AJ320" s="441"/>
      <c r="AK320" s="441"/>
      <c r="AL320" s="441"/>
      <c r="AM320" s="441"/>
      <c r="AN320" s="441"/>
      <c r="AO320" s="441"/>
      <c r="AP320" s="441"/>
      <c r="AQ320" s="441"/>
      <c r="AR320" s="441"/>
      <c r="AS320" s="441"/>
      <c r="AT320" s="441"/>
      <c r="AU320" s="441"/>
      <c r="AV320" s="441"/>
      <c r="AW320" s="861"/>
      <c r="AX320" s="441"/>
      <c r="AY320" s="441"/>
      <c r="AZ320" s="441"/>
      <c r="BA320" s="441"/>
      <c r="BB320" s="441"/>
      <c r="BC320" s="441"/>
      <c r="BD320" s="441"/>
      <c r="BE320" s="441"/>
      <c r="BF320" s="441"/>
      <c r="BG320" s="441"/>
      <c r="BH320" s="441"/>
      <c r="BI320" s="441"/>
      <c r="BJ320" s="441"/>
      <c r="BK320" s="441"/>
      <c r="BL320" s="1052"/>
      <c r="BM320" s="441"/>
      <c r="BN320" s="441"/>
      <c r="BO320" s="441"/>
      <c r="BP320" s="441"/>
      <c r="BQ320" s="441"/>
      <c r="BR320" s="441"/>
      <c r="BS320" s="441"/>
      <c r="BT320" s="441"/>
    </row>
    <row r="321" spans="1:72" x14ac:dyDescent="0.25">
      <c r="A321" s="163"/>
      <c r="B321" s="163"/>
      <c r="C321" s="163"/>
      <c r="D321" s="163"/>
      <c r="E321" s="163"/>
      <c r="F321" s="163"/>
      <c r="G321" s="163"/>
      <c r="H321" s="442"/>
      <c r="I321" s="163"/>
      <c r="J321" s="163"/>
      <c r="K321" s="163"/>
      <c r="L321" s="995"/>
      <c r="M321" s="866"/>
      <c r="N321" s="163"/>
      <c r="O321" s="163"/>
      <c r="P321" s="163"/>
      <c r="Q321" s="163"/>
      <c r="R321" s="163"/>
      <c r="S321" s="163"/>
      <c r="T321" s="163"/>
      <c r="U321" s="163"/>
      <c r="V321" s="163"/>
      <c r="W321" s="552"/>
      <c r="X321" s="163"/>
      <c r="Y321" s="441"/>
      <c r="Z321" s="441"/>
      <c r="AA321" s="441"/>
      <c r="AB321" s="441"/>
      <c r="AC321" s="441"/>
      <c r="AD321" s="441"/>
      <c r="AE321" s="441"/>
      <c r="AF321" s="441"/>
      <c r="AG321" s="441"/>
      <c r="AH321" s="441"/>
      <c r="AI321" s="441"/>
      <c r="AJ321" s="441"/>
      <c r="AK321" s="441"/>
      <c r="AL321" s="441"/>
      <c r="AM321" s="441"/>
      <c r="AN321" s="441"/>
      <c r="AO321" s="441"/>
      <c r="AP321" s="441"/>
      <c r="AQ321" s="441"/>
      <c r="AR321" s="441"/>
      <c r="AS321" s="441"/>
      <c r="AT321" s="441"/>
      <c r="AU321" s="441"/>
      <c r="AV321" s="441"/>
      <c r="AW321" s="861"/>
      <c r="AX321" s="441"/>
      <c r="AY321" s="441"/>
      <c r="AZ321" s="441"/>
      <c r="BA321" s="441"/>
      <c r="BB321" s="441"/>
      <c r="BC321" s="441"/>
      <c r="BD321" s="441"/>
      <c r="BE321" s="441"/>
      <c r="BF321" s="441"/>
      <c r="BG321" s="861"/>
      <c r="BH321" s="441"/>
      <c r="BI321" s="441"/>
      <c r="BJ321" s="441"/>
      <c r="BK321" s="441"/>
      <c r="BL321" s="1052"/>
      <c r="BM321" s="441"/>
      <c r="BN321" s="441"/>
      <c r="BO321" s="441"/>
      <c r="BP321" s="441"/>
      <c r="BQ321" s="441"/>
      <c r="BR321" s="441"/>
      <c r="BS321" s="441"/>
      <c r="BT321" s="441"/>
    </row>
    <row r="322" spans="1:72" x14ac:dyDescent="0.25">
      <c r="A322" s="163"/>
      <c r="B322" s="163"/>
      <c r="C322" s="163"/>
      <c r="D322" s="163"/>
      <c r="E322" s="163"/>
      <c r="F322" s="163"/>
      <c r="G322" s="163"/>
      <c r="H322" s="442"/>
      <c r="I322" s="163"/>
      <c r="J322" s="163"/>
      <c r="K322" s="163"/>
      <c r="L322" s="552"/>
      <c r="M322" s="866"/>
      <c r="N322" s="163"/>
      <c r="O322" s="163"/>
      <c r="P322" s="163"/>
      <c r="Q322" s="163"/>
      <c r="R322" s="163"/>
      <c r="S322" s="163"/>
      <c r="T322" s="163"/>
      <c r="U322" s="163"/>
      <c r="V322" s="163"/>
      <c r="W322" s="552"/>
      <c r="X322" s="163"/>
      <c r="Y322" s="441"/>
      <c r="Z322" s="441"/>
      <c r="AA322" s="441"/>
      <c r="AB322" s="441"/>
      <c r="AC322" s="441"/>
      <c r="AD322" s="441"/>
      <c r="AE322" s="441"/>
      <c r="AF322" s="441"/>
      <c r="AG322" s="441"/>
      <c r="AH322" s="441"/>
      <c r="AI322" s="441"/>
      <c r="AJ322" s="441"/>
      <c r="AK322" s="441"/>
      <c r="AL322" s="441"/>
      <c r="AM322" s="441"/>
      <c r="AN322" s="441"/>
      <c r="AO322" s="441"/>
      <c r="AP322" s="441"/>
      <c r="AQ322" s="441"/>
      <c r="AR322" s="441"/>
      <c r="AS322" s="441"/>
      <c r="AT322" s="441"/>
      <c r="AU322" s="441"/>
      <c r="AV322" s="441"/>
      <c r="AW322" s="861"/>
      <c r="AX322" s="441"/>
      <c r="AY322" s="441"/>
      <c r="AZ322" s="441"/>
      <c r="BA322" s="441"/>
      <c r="BB322" s="441"/>
      <c r="BC322" s="441"/>
      <c r="BD322" s="441"/>
      <c r="BE322" s="441"/>
      <c r="BF322" s="441"/>
      <c r="BG322" s="552"/>
      <c r="BH322" s="441"/>
      <c r="BI322" s="441"/>
      <c r="BJ322" s="441"/>
      <c r="BK322" s="441"/>
      <c r="BL322" s="1052"/>
      <c r="BM322" s="441"/>
      <c r="BN322" s="441"/>
      <c r="BO322" s="441"/>
      <c r="BP322" s="441"/>
      <c r="BQ322" s="441"/>
      <c r="BR322" s="441"/>
      <c r="BS322" s="441"/>
      <c r="BT322" s="441"/>
    </row>
    <row r="323" spans="1:72" x14ac:dyDescent="0.25">
      <c r="A323" s="163"/>
      <c r="L323" s="531"/>
      <c r="M323" s="163"/>
      <c r="N323" s="163"/>
      <c r="O323" s="163"/>
      <c r="P323" s="163"/>
      <c r="Q323" s="163"/>
      <c r="R323" s="163"/>
      <c r="S323" s="163"/>
      <c r="T323" s="163"/>
      <c r="U323" s="163"/>
      <c r="V323" s="163"/>
      <c r="W323" s="163"/>
      <c r="X323" s="163"/>
      <c r="Y323" s="441"/>
      <c r="Z323" s="441"/>
      <c r="AA323" s="441"/>
      <c r="AB323" s="441"/>
      <c r="AC323" s="441"/>
      <c r="AD323" s="441"/>
      <c r="AE323" s="441"/>
      <c r="AF323" s="441"/>
      <c r="AG323" s="441"/>
      <c r="AH323" s="441"/>
      <c r="AI323" s="441"/>
      <c r="AJ323" s="441"/>
      <c r="AK323" s="441"/>
      <c r="AL323" s="441"/>
      <c r="AM323" s="441"/>
      <c r="AN323" s="441"/>
      <c r="AO323" s="441"/>
      <c r="AP323" s="441"/>
      <c r="AQ323" s="441"/>
      <c r="AR323" s="441"/>
      <c r="AS323" s="441"/>
      <c r="AT323" s="441"/>
      <c r="AU323" s="441"/>
      <c r="AV323" s="441"/>
      <c r="AW323" s="441"/>
      <c r="AX323" s="441"/>
      <c r="AY323" s="441"/>
      <c r="AZ323" s="441"/>
      <c r="BA323" s="441"/>
      <c r="BB323" s="441"/>
      <c r="BC323" s="441"/>
      <c r="BD323" s="441"/>
      <c r="BE323" s="441"/>
      <c r="BF323" s="441"/>
      <c r="BG323" s="441"/>
      <c r="BH323" s="441"/>
      <c r="BI323" s="441"/>
      <c r="BJ323" s="441"/>
      <c r="BK323" s="441"/>
      <c r="BL323" s="1052"/>
      <c r="BM323" s="441"/>
      <c r="BN323" s="441"/>
      <c r="BO323" s="441"/>
      <c r="BP323" s="441"/>
      <c r="BQ323" s="441"/>
      <c r="BR323" s="441"/>
      <c r="BS323" s="441"/>
      <c r="BT323" s="441"/>
    </row>
    <row r="324" spans="1:72" x14ac:dyDescent="0.25">
      <c r="A324" s="163"/>
      <c r="L324" s="530"/>
      <c r="M324" s="163"/>
      <c r="N324" s="163"/>
      <c r="O324" s="163"/>
      <c r="P324" s="163"/>
      <c r="Q324" s="163"/>
      <c r="R324" s="163"/>
      <c r="S324" s="163"/>
      <c r="T324" s="163"/>
      <c r="U324" s="163"/>
      <c r="V324" s="163"/>
      <c r="W324" s="530"/>
      <c r="X324" s="163"/>
      <c r="Y324" s="441"/>
      <c r="Z324" s="441"/>
      <c r="AA324" s="441"/>
      <c r="AB324" s="441"/>
      <c r="AC324" s="441"/>
      <c r="AD324" s="441"/>
      <c r="AE324" s="441"/>
      <c r="AF324" s="441"/>
      <c r="AG324" s="441"/>
      <c r="AH324" s="441"/>
      <c r="AI324" s="441"/>
      <c r="AJ324" s="441"/>
      <c r="AK324" s="441"/>
      <c r="AL324" s="441"/>
      <c r="AM324" s="441"/>
      <c r="AN324" s="441"/>
      <c r="AO324" s="441"/>
      <c r="AP324" s="441"/>
      <c r="AQ324" s="441"/>
      <c r="AR324" s="441"/>
      <c r="AS324" s="441"/>
      <c r="AT324" s="441"/>
      <c r="AU324" s="441"/>
      <c r="AV324" s="441"/>
      <c r="AW324" s="861"/>
      <c r="AX324" s="441"/>
      <c r="AY324" s="441"/>
      <c r="AZ324" s="441"/>
      <c r="BA324" s="441"/>
      <c r="BB324" s="441"/>
      <c r="BC324" s="441"/>
      <c r="BD324" s="441"/>
      <c r="BE324" s="441"/>
      <c r="BF324" s="441"/>
      <c r="BG324" s="441"/>
      <c r="BH324" s="441"/>
      <c r="BI324" s="441"/>
      <c r="BJ324" s="441"/>
      <c r="BK324" s="441"/>
      <c r="BL324" s="1052"/>
      <c r="BM324" s="441"/>
      <c r="BN324" s="441"/>
      <c r="BO324" s="441"/>
      <c r="BP324" s="441"/>
      <c r="BQ324" s="441"/>
      <c r="BR324" s="441"/>
      <c r="BS324" s="441"/>
      <c r="BT324" s="441"/>
    </row>
    <row r="325" spans="1:72" x14ac:dyDescent="0.25">
      <c r="A325" s="163"/>
      <c r="B325" s="1243"/>
      <c r="C325" s="1243"/>
      <c r="D325" s="1243"/>
      <c r="E325" s="1243"/>
      <c r="F325" s="1243"/>
      <c r="G325" s="1243"/>
      <c r="H325" s="1243"/>
      <c r="I325" s="1243"/>
      <c r="J325" s="1243"/>
      <c r="K325" t="s">
        <v>1085</v>
      </c>
      <c r="L325" s="530">
        <f>42726949922000+123940944854</f>
        <v>42850890866854</v>
      </c>
      <c r="M325" s="163"/>
      <c r="N325" s="163"/>
      <c r="O325" s="163"/>
      <c r="P325" s="163"/>
      <c r="Q325" s="163"/>
      <c r="R325" s="163"/>
      <c r="S325" s="163"/>
      <c r="T325" s="163"/>
      <c r="U325" s="163"/>
      <c r="V325" s="163"/>
      <c r="W325" s="163"/>
      <c r="X325" s="163"/>
      <c r="Y325" s="441"/>
      <c r="Z325" s="441"/>
      <c r="AA325" s="441"/>
      <c r="AB325" s="441"/>
      <c r="AC325" s="441"/>
      <c r="AD325" s="441"/>
      <c r="AE325" s="441"/>
      <c r="AF325" s="441"/>
      <c r="AG325" s="441"/>
      <c r="AH325" s="441"/>
      <c r="AI325" s="441"/>
      <c r="AJ325" s="441"/>
      <c r="AK325" s="163" t="s">
        <v>1091</v>
      </c>
      <c r="AM325" s="550">
        <f>SUM(AM8:AM301)</f>
        <v>11721749408882.402</v>
      </c>
      <c r="AN325" s="441"/>
      <c r="AO325" s="441"/>
      <c r="AP325" s="441"/>
      <c r="AQ325" s="441"/>
      <c r="AR325" s="441"/>
      <c r="AS325" s="441"/>
      <c r="AT325" s="441"/>
      <c r="AU325" s="441"/>
      <c r="AV325" s="441" t="s">
        <v>1091</v>
      </c>
      <c r="AW325" s="550">
        <f>+AW326+AW327</f>
        <v>11642854792028.27</v>
      </c>
      <c r="AY325" s="441"/>
      <c r="AZ325" s="441"/>
      <c r="BA325" s="441"/>
      <c r="BB325" s="441"/>
      <c r="BC325" s="441"/>
      <c r="BD325" s="441"/>
      <c r="BE325" s="441"/>
      <c r="BF325" s="441"/>
      <c r="BG325" s="861"/>
      <c r="BH325" s="441"/>
      <c r="BI325" s="441"/>
      <c r="BJ325" s="441"/>
      <c r="BK325" s="441"/>
      <c r="BL325" s="1052"/>
      <c r="BM325" s="441"/>
      <c r="BN325" s="441"/>
      <c r="BO325" s="441"/>
      <c r="BP325" s="441"/>
      <c r="BQ325" s="441"/>
      <c r="BR325" s="441"/>
      <c r="BS325" s="441"/>
      <c r="BT325" s="441"/>
    </row>
    <row r="326" spans="1:72" x14ac:dyDescent="0.25">
      <c r="A326" s="163"/>
      <c r="B326" s="163"/>
      <c r="C326" s="163"/>
      <c r="D326" s="163"/>
      <c r="E326" s="163"/>
      <c r="F326" s="163"/>
      <c r="G326" s="163"/>
      <c r="H326" s="442"/>
      <c r="I326" s="163"/>
      <c r="J326" s="163"/>
      <c r="K326" t="s">
        <v>1086</v>
      </c>
      <c r="L326" s="530">
        <v>42726949922000</v>
      </c>
      <c r="M326" s="163"/>
      <c r="N326" s="163"/>
      <c r="O326" s="163"/>
      <c r="P326" s="163"/>
      <c r="Q326" s="163"/>
      <c r="R326" s="163"/>
      <c r="S326" s="163"/>
      <c r="T326" s="163"/>
      <c r="U326" s="163"/>
      <c r="V326" s="163"/>
      <c r="W326" s="530"/>
      <c r="X326" s="163"/>
      <c r="Y326" s="441"/>
      <c r="Z326" s="441"/>
      <c r="AA326" s="163" t="s">
        <v>1094</v>
      </c>
      <c r="AC326" s="534">
        <f>SUM(AC9:AC301)</f>
        <v>10758520797066.068</v>
      </c>
      <c r="AD326" s="441"/>
      <c r="AE326" s="441"/>
      <c r="AF326" s="441"/>
      <c r="AG326" s="441"/>
      <c r="AH326" s="441"/>
      <c r="AI326" s="441"/>
      <c r="AJ326" s="441"/>
      <c r="AK326" t="s">
        <v>1093</v>
      </c>
      <c r="AM326" s="534">
        <v>18686919435.959999</v>
      </c>
      <c r="AN326" s="551">
        <f>+AM325-AM326-AM327</f>
        <v>-279608863.95898438</v>
      </c>
      <c r="AO326" s="553">
        <v>279608864</v>
      </c>
      <c r="AP326" s="552">
        <f>+AN326+AO326</f>
        <v>4.1015625E-2</v>
      </c>
      <c r="AR326" s="553"/>
      <c r="AS326" s="441"/>
      <c r="AT326" s="441"/>
      <c r="AU326" s="441"/>
      <c r="AV326" s="146" t="s">
        <v>2036</v>
      </c>
      <c r="AW326" s="534">
        <v>20356187501.27</v>
      </c>
      <c r="AY326" s="441"/>
      <c r="AZ326" s="441"/>
      <c r="BA326" s="441"/>
      <c r="BB326" s="441"/>
      <c r="BC326" s="441"/>
      <c r="BD326" s="441"/>
      <c r="BE326" s="441"/>
      <c r="BF326" s="441"/>
      <c r="BG326" s="441"/>
      <c r="BH326" s="441"/>
      <c r="BI326" s="441"/>
      <c r="BJ326" s="441"/>
      <c r="BK326" s="441"/>
      <c r="BL326" s="1052"/>
      <c r="BM326" s="441"/>
      <c r="BN326" s="441"/>
      <c r="BO326" s="441"/>
      <c r="BP326" s="441"/>
      <c r="BQ326" s="441"/>
      <c r="BR326" s="441"/>
      <c r="BS326" s="441"/>
      <c r="BT326" s="441"/>
    </row>
    <row r="327" spans="1:72" x14ac:dyDescent="0.25">
      <c r="K327" t="s">
        <v>1087</v>
      </c>
      <c r="L327" s="531">
        <v>123940944854</v>
      </c>
      <c r="W327" s="530"/>
      <c r="AA327" t="s">
        <v>1095</v>
      </c>
      <c r="AC327" s="534">
        <v>10741284867605.9</v>
      </c>
      <c r="AK327" t="s">
        <v>1092</v>
      </c>
      <c r="AM327" s="534">
        <v>11703342098310.4</v>
      </c>
      <c r="AQ327" s="554"/>
      <c r="AV327" s="146" t="s">
        <v>2037</v>
      </c>
      <c r="AW327" s="534">
        <v>11622498604527</v>
      </c>
      <c r="BL327" s="1052"/>
    </row>
    <row r="328" spans="1:72" x14ac:dyDescent="0.25">
      <c r="AA328" t="s">
        <v>1096</v>
      </c>
      <c r="AC328" s="534">
        <v>17235928559.849998</v>
      </c>
    </row>
    <row r="330" spans="1:72" x14ac:dyDescent="0.25">
      <c r="K330" s="163" t="s">
        <v>1088</v>
      </c>
      <c r="L330" s="530">
        <v>43252545185816.609</v>
      </c>
      <c r="BG330" s="534">
        <f>SUBTOTAL(9,BG15:BG35)</f>
        <v>12001295503907.021</v>
      </c>
    </row>
    <row r="331" spans="1:72" x14ac:dyDescent="0.25">
      <c r="K331" t="s">
        <v>1089</v>
      </c>
      <c r="L331" s="531">
        <v>43128604240962.609</v>
      </c>
      <c r="M331" s="531"/>
      <c r="BG331" s="146">
        <v>12001295503907.021</v>
      </c>
    </row>
    <row r="332" spans="1:72" x14ac:dyDescent="0.25">
      <c r="K332" t="s">
        <v>1090</v>
      </c>
      <c r="L332" s="530">
        <v>123940944854</v>
      </c>
      <c r="BG332" s="551"/>
    </row>
    <row r="333" spans="1:72" x14ac:dyDescent="0.25">
      <c r="H333" s="710"/>
      <c r="AK333"/>
    </row>
    <row r="334" spans="1:72" x14ac:dyDescent="0.25">
      <c r="H334" s="710"/>
      <c r="AK334"/>
    </row>
    <row r="335" spans="1:72" x14ac:dyDescent="0.25">
      <c r="K335" s="163" t="s">
        <v>1850</v>
      </c>
      <c r="L335" s="530">
        <f>+L336+L337</f>
        <v>44564545185816</v>
      </c>
      <c r="M335" s="531"/>
      <c r="AC335" s="534"/>
    </row>
    <row r="336" spans="1:72" x14ac:dyDescent="0.25">
      <c r="K336" t="s">
        <v>1851</v>
      </c>
      <c r="L336" s="531">
        <v>44440604240962</v>
      </c>
      <c r="W336" s="531"/>
    </row>
    <row r="337" spans="1:13" x14ac:dyDescent="0.25">
      <c r="K337" t="s">
        <v>1852</v>
      </c>
      <c r="L337" s="530">
        <v>123940944854</v>
      </c>
    </row>
    <row r="338" spans="1:13" x14ac:dyDescent="0.25">
      <c r="L338" s="531"/>
    </row>
    <row r="340" spans="1:13" x14ac:dyDescent="0.25">
      <c r="H340" s="715"/>
      <c r="K340" s="163" t="s">
        <v>1853</v>
      </c>
      <c r="L340" s="530">
        <f>+L341+L342</f>
        <v>46755689823028.438</v>
      </c>
    </row>
    <row r="341" spans="1:13" x14ac:dyDescent="0.25">
      <c r="H341" s="715"/>
      <c r="K341" t="s">
        <v>1854</v>
      </c>
      <c r="L341" s="531">
        <v>46648156240962</v>
      </c>
    </row>
    <row r="342" spans="1:13" x14ac:dyDescent="0.25">
      <c r="H342" s="715"/>
      <c r="K342" t="s">
        <v>1855</v>
      </c>
      <c r="L342" s="530">
        <v>107533582066.43999</v>
      </c>
    </row>
    <row r="343" spans="1:13" x14ac:dyDescent="0.25">
      <c r="H343" s="715"/>
    </row>
    <row r="344" spans="1:13" x14ac:dyDescent="0.25">
      <c r="A344" s="608" t="s">
        <v>1135</v>
      </c>
    </row>
    <row r="346" spans="1:13" x14ac:dyDescent="0.25">
      <c r="A346" s="609" t="s">
        <v>1136</v>
      </c>
      <c r="B346" s="1252" t="s">
        <v>1137</v>
      </c>
      <c r="C346" s="1252"/>
      <c r="D346" s="1252"/>
      <c r="E346" s="1252"/>
      <c r="F346" s="1252"/>
      <c r="G346" s="1252"/>
      <c r="H346" s="1252"/>
      <c r="I346" s="1252"/>
      <c r="J346" s="1252"/>
      <c r="K346" s="1252"/>
      <c r="L346" s="1252"/>
      <c r="M346" s="1252"/>
    </row>
    <row r="347" spans="1:13" ht="123.75" customHeight="1" x14ac:dyDescent="0.25">
      <c r="A347" s="610" t="s">
        <v>89</v>
      </c>
      <c r="B347" s="1241" t="s">
        <v>1139</v>
      </c>
      <c r="C347" s="1241"/>
      <c r="D347" s="1241"/>
      <c r="E347" s="1241"/>
      <c r="F347" s="1241"/>
      <c r="G347" s="1241"/>
      <c r="H347" s="1241"/>
      <c r="I347" s="1241"/>
      <c r="J347" s="1241"/>
      <c r="K347" s="1241"/>
      <c r="L347" s="1241"/>
      <c r="M347" s="1241"/>
    </row>
    <row r="348" spans="1:13" ht="289.5" customHeight="1" x14ac:dyDescent="0.25">
      <c r="A348" s="1242" t="s">
        <v>1138</v>
      </c>
      <c r="B348" s="1241" t="s">
        <v>1161</v>
      </c>
      <c r="C348" s="1241"/>
      <c r="D348" s="1241"/>
      <c r="E348" s="1241"/>
      <c r="F348" s="1241"/>
      <c r="G348" s="1241"/>
      <c r="H348" s="1241"/>
      <c r="I348" s="1241"/>
      <c r="J348" s="1241"/>
      <c r="K348" s="1241"/>
      <c r="L348" s="1241"/>
      <c r="M348" s="1241"/>
    </row>
    <row r="349" spans="1:13" ht="210.75" customHeight="1" x14ac:dyDescent="0.25">
      <c r="A349" s="1242"/>
      <c r="B349" s="1241" t="s">
        <v>1179</v>
      </c>
      <c r="C349" s="1241"/>
      <c r="D349" s="1241"/>
      <c r="E349" s="1241"/>
      <c r="F349" s="1241"/>
      <c r="G349" s="1241"/>
      <c r="H349" s="1241"/>
      <c r="I349" s="1241"/>
      <c r="J349" s="1241"/>
      <c r="K349" s="1241"/>
      <c r="L349" s="1241"/>
      <c r="M349" s="1241"/>
    </row>
    <row r="350" spans="1:13" ht="25.5" customHeight="1" x14ac:dyDescent="0.25">
      <c r="A350" s="1242"/>
      <c r="B350" s="1241" t="s">
        <v>1871</v>
      </c>
      <c r="C350" s="1241"/>
      <c r="D350" s="1241"/>
      <c r="E350" s="1241"/>
      <c r="F350" s="1241"/>
      <c r="G350" s="1241"/>
      <c r="H350" s="1241"/>
      <c r="I350" s="1241"/>
      <c r="J350" s="1241"/>
      <c r="K350" s="1241"/>
      <c r="L350" s="1241"/>
      <c r="M350" s="1241"/>
    </row>
    <row r="351" spans="1:13" ht="223.5" customHeight="1" x14ac:dyDescent="0.25">
      <c r="A351" s="1242" t="s">
        <v>2038</v>
      </c>
      <c r="B351" s="1241" t="s">
        <v>2039</v>
      </c>
      <c r="C351" s="1241"/>
      <c r="D351" s="1241"/>
      <c r="E351" s="1241"/>
      <c r="F351" s="1241"/>
      <c r="G351" s="1241"/>
      <c r="H351" s="1241"/>
      <c r="I351" s="1241"/>
      <c r="J351" s="1241"/>
      <c r="K351" s="1241"/>
      <c r="L351" s="1241"/>
      <c r="M351" s="1241"/>
    </row>
    <row r="352" spans="1:13" ht="52.5" customHeight="1" x14ac:dyDescent="0.25">
      <c r="A352" s="1242"/>
      <c r="B352" s="1241" t="s">
        <v>2347</v>
      </c>
      <c r="C352" s="1241"/>
      <c r="D352" s="1241"/>
      <c r="E352" s="1241"/>
      <c r="F352" s="1241"/>
      <c r="G352" s="1241"/>
      <c r="H352" s="1241"/>
      <c r="I352" s="1241"/>
      <c r="J352" s="1241"/>
      <c r="K352" s="1241"/>
      <c r="L352" s="1241"/>
      <c r="M352" s="1241"/>
    </row>
    <row r="353" spans="1:13" ht="32.25" customHeight="1" x14ac:dyDescent="0.25">
      <c r="A353" s="1242"/>
      <c r="B353" s="1241" t="s">
        <v>2040</v>
      </c>
      <c r="C353" s="1241"/>
      <c r="D353" s="1241"/>
      <c r="E353" s="1241"/>
      <c r="F353" s="1241"/>
      <c r="G353" s="1241"/>
      <c r="H353" s="1241"/>
      <c r="I353" s="1241"/>
      <c r="J353" s="1241"/>
      <c r="K353" s="1241"/>
      <c r="L353" s="1241"/>
      <c r="M353" s="1241"/>
    </row>
    <row r="354" spans="1:13" ht="208.5" customHeight="1" x14ac:dyDescent="0.25">
      <c r="A354" s="1242" t="s">
        <v>2235</v>
      </c>
      <c r="B354" s="1241" t="s">
        <v>2294</v>
      </c>
      <c r="C354" s="1241"/>
      <c r="D354" s="1241"/>
      <c r="E354" s="1241"/>
      <c r="F354" s="1241"/>
      <c r="G354" s="1241"/>
      <c r="H354" s="1241"/>
      <c r="I354" s="1241"/>
      <c r="J354" s="1241"/>
      <c r="K354" s="1241"/>
      <c r="L354" s="1241"/>
      <c r="M354" s="1241"/>
    </row>
    <row r="355" spans="1:13" ht="69" customHeight="1" x14ac:dyDescent="0.25">
      <c r="A355" s="1242"/>
      <c r="B355" s="1241" t="s">
        <v>2348</v>
      </c>
      <c r="C355" s="1241"/>
      <c r="D355" s="1241"/>
      <c r="E355" s="1241"/>
      <c r="F355" s="1241"/>
      <c r="G355" s="1241"/>
      <c r="H355" s="1241"/>
      <c r="I355" s="1241"/>
      <c r="J355" s="1241"/>
      <c r="K355" s="1241"/>
      <c r="L355" s="1241"/>
      <c r="M355" s="1241"/>
    </row>
    <row r="356" spans="1:13" ht="51.75" customHeight="1" x14ac:dyDescent="0.25">
      <c r="A356" s="1242"/>
      <c r="B356" s="1241" t="s">
        <v>2349</v>
      </c>
      <c r="C356" s="1241"/>
      <c r="D356" s="1241"/>
      <c r="E356" s="1241"/>
      <c r="F356" s="1241"/>
      <c r="G356" s="1241"/>
      <c r="H356" s="1241"/>
      <c r="I356" s="1241"/>
      <c r="J356" s="1241"/>
      <c r="K356" s="1241"/>
      <c r="L356" s="1241"/>
      <c r="M356" s="1241"/>
    </row>
  </sheetData>
  <autoFilter ref="A7:XCO328" xr:uid="{B98F53CF-89D4-4427-8341-4C69DE6F3C88}"/>
  <mergeCells count="516">
    <mergeCell ref="B317:D317"/>
    <mergeCell ref="BN144:BN145"/>
    <mergeCell ref="BP144:BP145"/>
    <mergeCell ref="BR144:BR145"/>
    <mergeCell ref="BT144:BT145"/>
    <mergeCell ref="A354:A356"/>
    <mergeCell ref="B354:M354"/>
    <mergeCell ref="B355:M355"/>
    <mergeCell ref="B356:M356"/>
    <mergeCell ref="BD230:BD231"/>
    <mergeCell ref="BE230:BE231"/>
    <mergeCell ref="A351:A353"/>
    <mergeCell ref="B352:M352"/>
    <mergeCell ref="B353:M353"/>
    <mergeCell ref="AA306:AA307"/>
    <mergeCell ref="AC306:AC307"/>
    <mergeCell ref="AE306:AE307"/>
    <mergeCell ref="AG306:AG307"/>
    <mergeCell ref="AK306:AK307"/>
    <mergeCell ref="AM306:AM307"/>
    <mergeCell ref="V306:V307"/>
    <mergeCell ref="AJ306:AJ307"/>
    <mergeCell ref="A306:A307"/>
    <mergeCell ref="B306:B307"/>
    <mergeCell ref="D306:D307"/>
    <mergeCell ref="E306:E307"/>
    <mergeCell ref="F306:F307"/>
    <mergeCell ref="J306:J307"/>
    <mergeCell ref="BT306:BT307"/>
    <mergeCell ref="AO306:AO307"/>
    <mergeCell ref="AQ306:AQ307"/>
    <mergeCell ref="AU306:AU307"/>
    <mergeCell ref="BE306:BE307"/>
    <mergeCell ref="AY306:AY307"/>
    <mergeCell ref="BA306:BA307"/>
    <mergeCell ref="BI306:BI307"/>
    <mergeCell ref="BK306:BK307"/>
    <mergeCell ref="BN306:BN307"/>
    <mergeCell ref="AW306:AW307"/>
    <mergeCell ref="AT306:AT307"/>
    <mergeCell ref="BD306:BD307"/>
    <mergeCell ref="BP306:BP307"/>
    <mergeCell ref="P306:P307"/>
    <mergeCell ref="Q306:Q307"/>
    <mergeCell ref="R306:R307"/>
    <mergeCell ref="N274:N275"/>
    <mergeCell ref="O274:O275"/>
    <mergeCell ref="P274:P275"/>
    <mergeCell ref="Q274:Q275"/>
    <mergeCell ref="AK274:AK275"/>
    <mergeCell ref="AC274:AC275"/>
    <mergeCell ref="R274:R275"/>
    <mergeCell ref="AG274:AG275"/>
    <mergeCell ref="BR306:BR307"/>
    <mergeCell ref="W306:W307"/>
    <mergeCell ref="AE274:AE275"/>
    <mergeCell ref="AA274:AA275"/>
    <mergeCell ref="V274:V275"/>
    <mergeCell ref="W274:W275"/>
    <mergeCell ref="X274:X275"/>
    <mergeCell ref="Z274:Z275"/>
    <mergeCell ref="BD276:BD277"/>
    <mergeCell ref="BI276:BI277"/>
    <mergeCell ref="BK276:BK277"/>
    <mergeCell ref="BE276:BE277"/>
    <mergeCell ref="AY276:AY277"/>
    <mergeCell ref="BA276:BA277"/>
    <mergeCell ref="N306:N307"/>
    <mergeCell ref="O306:O307"/>
    <mergeCell ref="N276:N277"/>
    <mergeCell ref="O276:O277"/>
    <mergeCell ref="P276:P277"/>
    <mergeCell ref="Q276:Q277"/>
    <mergeCell ref="R276:R277"/>
    <mergeCell ref="V276:V277"/>
    <mergeCell ref="W276:W277"/>
    <mergeCell ref="X276:X277"/>
    <mergeCell ref="Z276:Z277"/>
    <mergeCell ref="AA276:AA277"/>
    <mergeCell ref="AE276:AE277"/>
    <mergeCell ref="AG276:AG277"/>
    <mergeCell ref="AJ276:AJ277"/>
    <mergeCell ref="AK276:AK277"/>
    <mergeCell ref="AO276:AO277"/>
    <mergeCell ref="AQ276:AQ277"/>
    <mergeCell ref="AT276:AT277"/>
    <mergeCell ref="AU276:AU277"/>
    <mergeCell ref="W230:W231"/>
    <mergeCell ref="BD274:BD275"/>
    <mergeCell ref="BE274:BE275"/>
    <mergeCell ref="BI274:BI275"/>
    <mergeCell ref="BK274:BK275"/>
    <mergeCell ref="AT274:AT275"/>
    <mergeCell ref="AU274:AU275"/>
    <mergeCell ref="AY274:AY275"/>
    <mergeCell ref="BA274:BA275"/>
    <mergeCell ref="AM240:AM241"/>
    <mergeCell ref="AO240:AO241"/>
    <mergeCell ref="AQ240:AQ241"/>
    <mergeCell ref="AT240:AT241"/>
    <mergeCell ref="AU240:AU241"/>
    <mergeCell ref="AY240:AY241"/>
    <mergeCell ref="BA240:BA241"/>
    <mergeCell ref="BD240:BD241"/>
    <mergeCell ref="BE240:BE241"/>
    <mergeCell ref="BG240:BG241"/>
    <mergeCell ref="BI240:BI241"/>
    <mergeCell ref="BK240:BK241"/>
    <mergeCell ref="AQ274:AQ275"/>
    <mergeCell ref="AO274:AO275"/>
    <mergeCell ref="BG112:BG113"/>
    <mergeCell ref="T240:T241"/>
    <mergeCell ref="V240:V241"/>
    <mergeCell ref="L179:L180"/>
    <mergeCell ref="L181:L182"/>
    <mergeCell ref="W240:W241"/>
    <mergeCell ref="X240:X241"/>
    <mergeCell ref="L230:L231"/>
    <mergeCell ref="M230:M231"/>
    <mergeCell ref="N230:N231"/>
    <mergeCell ref="O230:O231"/>
    <mergeCell ref="P230:P231"/>
    <mergeCell ref="Q230:Q231"/>
    <mergeCell ref="R230:R231"/>
    <mergeCell ref="W179:W180"/>
    <mergeCell ref="X181:X182"/>
    <mergeCell ref="N240:N241"/>
    <mergeCell ref="O240:O241"/>
    <mergeCell ref="P240:P241"/>
    <mergeCell ref="Q240:Q241"/>
    <mergeCell ref="R240:R241"/>
    <mergeCell ref="O181:O182"/>
    <mergeCell ref="N179:N180"/>
    <mergeCell ref="V230:V231"/>
    <mergeCell ref="AY115:AY121"/>
    <mergeCell ref="BA115:BA121"/>
    <mergeCell ref="AJ112:AJ113"/>
    <mergeCell ref="AK112:AK113"/>
    <mergeCell ref="AO112:AO113"/>
    <mergeCell ref="BE112:BE113"/>
    <mergeCell ref="BD115:BD121"/>
    <mergeCell ref="AQ112:AQ113"/>
    <mergeCell ref="BA112:BA113"/>
    <mergeCell ref="BD112:BD113"/>
    <mergeCell ref="BE115:BE121"/>
    <mergeCell ref="AU112:AU113"/>
    <mergeCell ref="AT112:AT113"/>
    <mergeCell ref="AO115:AO121"/>
    <mergeCell ref="AQ115:AQ121"/>
    <mergeCell ref="BK181:BK182"/>
    <mergeCell ref="BD181:BD182"/>
    <mergeCell ref="BN181:BN182"/>
    <mergeCell ref="AT230:AT231"/>
    <mergeCell ref="AU230:AU231"/>
    <mergeCell ref="A67:A68"/>
    <mergeCell ref="B67:B68"/>
    <mergeCell ref="D67:D68"/>
    <mergeCell ref="E67:E68"/>
    <mergeCell ref="F67:F68"/>
    <mergeCell ref="G67:G68"/>
    <mergeCell ref="H67:H68"/>
    <mergeCell ref="I67:I68"/>
    <mergeCell ref="J112:J113"/>
    <mergeCell ref="K144:K145"/>
    <mergeCell ref="Z129:Z131"/>
    <mergeCell ref="T144:T145"/>
    <mergeCell ref="V144:V145"/>
    <mergeCell ref="N129:N131"/>
    <mergeCell ref="M144:M145"/>
    <mergeCell ref="N144:N145"/>
    <mergeCell ref="O144:O145"/>
    <mergeCell ref="P144:P145"/>
    <mergeCell ref="Q144:Q145"/>
    <mergeCell ref="R144:R145"/>
    <mergeCell ref="X144:X145"/>
    <mergeCell ref="L144:L145"/>
    <mergeCell ref="A144:A145"/>
    <mergeCell ref="B144:B145"/>
    <mergeCell ref="D144:D145"/>
    <mergeCell ref="E144:E145"/>
    <mergeCell ref="F144:F145"/>
    <mergeCell ref="G144:G145"/>
    <mergeCell ref="H144:H145"/>
    <mergeCell ref="I144:I145"/>
    <mergeCell ref="J144:J145"/>
    <mergeCell ref="G171:G172"/>
    <mergeCell ref="H181:H182"/>
    <mergeCell ref="K230:K231"/>
    <mergeCell ref="J230:J231"/>
    <mergeCell ref="B347:M347"/>
    <mergeCell ref="B348:M348"/>
    <mergeCell ref="B346:M346"/>
    <mergeCell ref="B349:M349"/>
    <mergeCell ref="K179:K180"/>
    <mergeCell ref="L171:L172"/>
    <mergeCell ref="G183:G185"/>
    <mergeCell ref="G181:G182"/>
    <mergeCell ref="G179:G180"/>
    <mergeCell ref="H179:H180"/>
    <mergeCell ref="F276:F277"/>
    <mergeCell ref="G276:G277"/>
    <mergeCell ref="J276:J277"/>
    <mergeCell ref="K276:K277"/>
    <mergeCell ref="D274:D275"/>
    <mergeCell ref="E274:E275"/>
    <mergeCell ref="F274:F275"/>
    <mergeCell ref="G274:G275"/>
    <mergeCell ref="H274:H275"/>
    <mergeCell ref="I274:I275"/>
    <mergeCell ref="J240:J241"/>
    <mergeCell ref="K240:K241"/>
    <mergeCell ref="B350:M350"/>
    <mergeCell ref="A230:A231"/>
    <mergeCell ref="B230:B231"/>
    <mergeCell ref="C230:C231"/>
    <mergeCell ref="D230:D231"/>
    <mergeCell ref="E230:E231"/>
    <mergeCell ref="F230:F231"/>
    <mergeCell ref="G230:G231"/>
    <mergeCell ref="A240:A241"/>
    <mergeCell ref="B240:B241"/>
    <mergeCell ref="C240:C241"/>
    <mergeCell ref="D240:D241"/>
    <mergeCell ref="E240:E241"/>
    <mergeCell ref="F240:F241"/>
    <mergeCell ref="G240:G241"/>
    <mergeCell ref="A274:A275"/>
    <mergeCell ref="B274:B275"/>
    <mergeCell ref="C274:C275"/>
    <mergeCell ref="K306:K307"/>
    <mergeCell ref="L306:L307"/>
    <mergeCell ref="L276:L277"/>
    <mergeCell ref="M276:M277"/>
    <mergeCell ref="AM166:AM168"/>
    <mergeCell ref="AK166:AK168"/>
    <mergeCell ref="B351:M351"/>
    <mergeCell ref="A348:A350"/>
    <mergeCell ref="L160:L164"/>
    <mergeCell ref="M166:M168"/>
    <mergeCell ref="J181:J182"/>
    <mergeCell ref="L240:L241"/>
    <mergeCell ref="M240:M241"/>
    <mergeCell ref="K181:K182"/>
    <mergeCell ref="J179:J180"/>
    <mergeCell ref="J274:J275"/>
    <mergeCell ref="K274:K275"/>
    <mergeCell ref="L274:L275"/>
    <mergeCell ref="M274:M275"/>
    <mergeCell ref="A276:A277"/>
    <mergeCell ref="B276:B277"/>
    <mergeCell ref="C276:C277"/>
    <mergeCell ref="D276:D277"/>
    <mergeCell ref="E276:E277"/>
    <mergeCell ref="L166:L168"/>
    <mergeCell ref="H171:H172"/>
    <mergeCell ref="B325:J325"/>
    <mergeCell ref="AW9:AW11"/>
    <mergeCell ref="AU9:AU11"/>
    <mergeCell ref="BD9:BD11"/>
    <mergeCell ref="AQ9:AQ11"/>
    <mergeCell ref="AO9:AO11"/>
    <mergeCell ref="BA9:BA11"/>
    <mergeCell ref="AT9:AT11"/>
    <mergeCell ref="AY9:AY11"/>
    <mergeCell ref="BI9:BI11"/>
    <mergeCell ref="BG9:BG11"/>
    <mergeCell ref="BE9:BE11"/>
    <mergeCell ref="BR9:BR11"/>
    <mergeCell ref="BT9:BT11"/>
    <mergeCell ref="BP9:BP11"/>
    <mergeCell ref="BT160:BT164"/>
    <mergeCell ref="BT179:BT180"/>
    <mergeCell ref="BT181:BT182"/>
    <mergeCell ref="BP160:BP164"/>
    <mergeCell ref="BR160:BR164"/>
    <mergeCell ref="BP179:BP180"/>
    <mergeCell ref="BR179:BR180"/>
    <mergeCell ref="BR181:BR182"/>
    <mergeCell ref="BP181:BP182"/>
    <mergeCell ref="BP166:BP168"/>
    <mergeCell ref="BR166:BR168"/>
    <mergeCell ref="BT166:BT168"/>
    <mergeCell ref="BS118:BS119"/>
    <mergeCell ref="BP112:BP113"/>
    <mergeCell ref="BR112:BR113"/>
    <mergeCell ref="BT112:BT113"/>
    <mergeCell ref="BK9:BK11"/>
    <mergeCell ref="BN9:BN11"/>
    <mergeCell ref="BI112:BI113"/>
    <mergeCell ref="AW144:AW145"/>
    <mergeCell ref="AW166:AW168"/>
    <mergeCell ref="AY112:AY113"/>
    <mergeCell ref="AA181:AA182"/>
    <mergeCell ref="AC179:AC180"/>
    <mergeCell ref="AC181:AC182"/>
    <mergeCell ref="AE179:AE180"/>
    <mergeCell ref="AU181:AU182"/>
    <mergeCell ref="BE179:BE180"/>
    <mergeCell ref="BE181:BE182"/>
    <mergeCell ref="BG179:BG180"/>
    <mergeCell ref="BG181:BG182"/>
    <mergeCell ref="BI179:BI180"/>
    <mergeCell ref="BI181:BI182"/>
    <mergeCell ref="BD179:BD180"/>
    <mergeCell ref="AU115:AU121"/>
    <mergeCell ref="AQ144:AQ145"/>
    <mergeCell ref="AU179:AU180"/>
    <mergeCell ref="AJ129:AJ131"/>
    <mergeCell ref="BK112:BK113"/>
    <mergeCell ref="BN112:BN113"/>
    <mergeCell ref="BA144:BA145"/>
    <mergeCell ref="BD144:BD145"/>
    <mergeCell ref="BE144:BE145"/>
    <mergeCell ref="BI144:BI145"/>
    <mergeCell ref="BK144:BK145"/>
    <mergeCell ref="BF118:BF119"/>
    <mergeCell ref="BH118:BH119"/>
    <mergeCell ref="BJ118:BJ119"/>
    <mergeCell ref="BG144:BG145"/>
    <mergeCell ref="BI115:BI121"/>
    <mergeCell ref="BK115:BK121"/>
    <mergeCell ref="BK166:BK168"/>
    <mergeCell ref="BG166:BG168"/>
    <mergeCell ref="BI166:BI168"/>
    <mergeCell ref="BA166:BA168"/>
    <mergeCell ref="BN160:BN164"/>
    <mergeCell ref="BK179:BK180"/>
    <mergeCell ref="BA160:BA164"/>
    <mergeCell ref="BN179:BN180"/>
    <mergeCell ref="BN166:BN168"/>
    <mergeCell ref="BA179:BA180"/>
    <mergeCell ref="BG160:BG164"/>
    <mergeCell ref="BE160:BE164"/>
    <mergeCell ref="BE166:BE168"/>
    <mergeCell ref="AR181:AR182"/>
    <mergeCell ref="AA112:AA113"/>
    <mergeCell ref="AE112:AE113"/>
    <mergeCell ref="AT181:AT182"/>
    <mergeCell ref="AO144:AO145"/>
    <mergeCell ref="AU144:AU145"/>
    <mergeCell ref="AK160:AK164"/>
    <mergeCell ref="AA179:AA180"/>
    <mergeCell ref="AG166:AG168"/>
    <mergeCell ref="AA166:AA168"/>
    <mergeCell ref="AE166:AE168"/>
    <mergeCell ref="AJ181:AJ182"/>
    <mergeCell ref="AE160:AE164"/>
    <mergeCell ref="AG160:AG164"/>
    <mergeCell ref="AC166:AC168"/>
    <mergeCell ref="AA144:AA145"/>
    <mergeCell ref="AO179:AO180"/>
    <mergeCell ref="AO160:AO164"/>
    <mergeCell ref="AQ160:AQ164"/>
    <mergeCell ref="AO166:AO168"/>
    <mergeCell ref="AT115:AT121"/>
    <mergeCell ref="AT144:AT145"/>
    <mergeCell ref="AQ179:AQ180"/>
    <mergeCell ref="AT179:AT180"/>
    <mergeCell ref="AJ144:AJ145"/>
    <mergeCell ref="AK144:AK145"/>
    <mergeCell ref="AM144:AM145"/>
    <mergeCell ref="AC144:AC145"/>
    <mergeCell ref="AE144:AE145"/>
    <mergeCell ref="AG144:AG145"/>
    <mergeCell ref="AK9:AK11"/>
    <mergeCell ref="AA160:AA164"/>
    <mergeCell ref="AM9:AM11"/>
    <mergeCell ref="AA115:AA121"/>
    <mergeCell ref="AE115:AE121"/>
    <mergeCell ref="AG115:AG121"/>
    <mergeCell ref="AJ115:AJ121"/>
    <mergeCell ref="AK115:AK121"/>
    <mergeCell ref="R181:R182"/>
    <mergeCell ref="AR179:AR180"/>
    <mergeCell ref="J171:J172"/>
    <mergeCell ref="O171:O172"/>
    <mergeCell ref="AM181:AM182"/>
    <mergeCell ref="Q179:Q180"/>
    <mergeCell ref="AH179:AH180"/>
    <mergeCell ref="P179:P180"/>
    <mergeCell ref="P171:P172"/>
    <mergeCell ref="P181:P182"/>
    <mergeCell ref="W181:W182"/>
    <mergeCell ref="V179:V180"/>
    <mergeCell ref="R171:R172"/>
    <mergeCell ref="Q171:Q172"/>
    <mergeCell ref="Q181:Q182"/>
    <mergeCell ref="V181:V182"/>
    <mergeCell ref="R179:R180"/>
    <mergeCell ref="O179:O180"/>
    <mergeCell ref="AO181:AO182"/>
    <mergeCell ref="AQ181:AQ182"/>
    <mergeCell ref="AE181:AE182"/>
    <mergeCell ref="AG181:AG182"/>
    <mergeCell ref="Z179:Z180"/>
    <mergeCell ref="Z181:Z182"/>
    <mergeCell ref="AK179:AK180"/>
    <mergeCell ref="A1:B3"/>
    <mergeCell ref="D1:F1"/>
    <mergeCell ref="G1:BO1"/>
    <mergeCell ref="BP1:BT3"/>
    <mergeCell ref="D2:F2"/>
    <mergeCell ref="G2:G3"/>
    <mergeCell ref="H2:BM3"/>
    <mergeCell ref="BN2:BN3"/>
    <mergeCell ref="BO2:BO3"/>
    <mergeCell ref="D3:F3"/>
    <mergeCell ref="E5:N5"/>
    <mergeCell ref="Y6:AH6"/>
    <mergeCell ref="AI6:AR6"/>
    <mergeCell ref="AS6:BB6"/>
    <mergeCell ref="BM6:BT6"/>
    <mergeCell ref="BC6:BL6"/>
    <mergeCell ref="AY166:AY168"/>
    <mergeCell ref="AY144:AY145"/>
    <mergeCell ref="AQ166:AQ168"/>
    <mergeCell ref="AM179:AM180"/>
    <mergeCell ref="O67:O68"/>
    <mergeCell ref="P67:P68"/>
    <mergeCell ref="AE9:AE11"/>
    <mergeCell ref="F181:F182"/>
    <mergeCell ref="J9:J11"/>
    <mergeCell ref="K171:K172"/>
    <mergeCell ref="N67:N68"/>
    <mergeCell ref="AC160:AC164"/>
    <mergeCell ref="N181:N182"/>
    <mergeCell ref="F171:F172"/>
    <mergeCell ref="F179:F180"/>
    <mergeCell ref="Q9:Q11"/>
    <mergeCell ref="R9:R11"/>
    <mergeCell ref="R67:R68"/>
    <mergeCell ref="S67:S68"/>
    <mergeCell ref="T67:T68"/>
    <mergeCell ref="V112:V113"/>
    <mergeCell ref="W112:W113"/>
    <mergeCell ref="X112:X113"/>
    <mergeCell ref="P129:P131"/>
    <mergeCell ref="Q129:Q131"/>
    <mergeCell ref="R129:R131"/>
    <mergeCell ref="V129:V131"/>
    <mergeCell ref="W144:W145"/>
    <mergeCell ref="J129:J131"/>
    <mergeCell ref="Q67:Q68"/>
    <mergeCell ref="V115:V121"/>
    <mergeCell ref="Q112:Q113"/>
    <mergeCell ref="R112:R113"/>
    <mergeCell ref="Z9:Z11"/>
    <mergeCell ref="AA9:AA11"/>
    <mergeCell ref="F9:F11"/>
    <mergeCell ref="K9:K11"/>
    <mergeCell ref="G9:G11"/>
    <mergeCell ref="O129:O131"/>
    <mergeCell ref="J115:J121"/>
    <mergeCell ref="K115:K121"/>
    <mergeCell ref="K129:K131"/>
    <mergeCell ref="L115:L121"/>
    <mergeCell ref="N115:N121"/>
    <mergeCell ref="O115:O121"/>
    <mergeCell ref="M112:M113"/>
    <mergeCell ref="O9:O11"/>
    <mergeCell ref="N112:N113"/>
    <mergeCell ref="P115:P121"/>
    <mergeCell ref="Q115:Q121"/>
    <mergeCell ref="R115:R121"/>
    <mergeCell ref="Z112:Z113"/>
    <mergeCell ref="O112:O113"/>
    <mergeCell ref="L112:L113"/>
    <mergeCell ref="K112:K113"/>
    <mergeCell ref="AY179:AY180"/>
    <mergeCell ref="AJ274:AJ275"/>
    <mergeCell ref="AG179:AG180"/>
    <mergeCell ref="AJ179:AJ180"/>
    <mergeCell ref="N171:N172"/>
    <mergeCell ref="L9:L11"/>
    <mergeCell ref="M9:M11"/>
    <mergeCell ref="V9:V11"/>
    <mergeCell ref="AM160:AM164"/>
    <mergeCell ref="N9:N11"/>
    <mergeCell ref="W9:W11"/>
    <mergeCell ref="P9:P11"/>
    <mergeCell ref="X9:X11"/>
    <mergeCell ref="M160:M164"/>
    <mergeCell ref="AG9:AG11"/>
    <mergeCell ref="W160:W164"/>
    <mergeCell ref="AG112:AG113"/>
    <mergeCell ref="Z144:Z145"/>
    <mergeCell ref="AJ9:AJ11"/>
    <mergeCell ref="Z115:Z121"/>
    <mergeCell ref="AC9:AC11"/>
    <mergeCell ref="W166:W168"/>
    <mergeCell ref="W115:W121"/>
    <mergeCell ref="P112:P113"/>
    <mergeCell ref="BL118:BL119"/>
    <mergeCell ref="BG115:BG121"/>
    <mergeCell ref="BG274:BG275"/>
    <mergeCell ref="BG276:BG277"/>
    <mergeCell ref="BG306:BG307"/>
    <mergeCell ref="BL144:BL145"/>
    <mergeCell ref="BG230:BG231"/>
    <mergeCell ref="X230:X231"/>
    <mergeCell ref="AJ230:AJ231"/>
    <mergeCell ref="AK230:AK231"/>
    <mergeCell ref="AA240:AA241"/>
    <mergeCell ref="AE240:AE241"/>
    <mergeCell ref="AG240:AG241"/>
    <mergeCell ref="AJ240:AJ241"/>
    <mergeCell ref="AK240:AK241"/>
    <mergeCell ref="Z240:Z241"/>
    <mergeCell ref="BB179:BB180"/>
    <mergeCell ref="AU166:AU168"/>
    <mergeCell ref="AU160:AU164"/>
    <mergeCell ref="AW160:AW164"/>
    <mergeCell ref="AY160:AY164"/>
    <mergeCell ref="AW179:AW180"/>
    <mergeCell ref="AY181:AY182"/>
    <mergeCell ref="BA181:BA182"/>
  </mergeCells>
  <conditionalFormatting sqref="BM8:BT9 BM147:BT160 BM166:BT166 BM169:BT175 BM10:BM11 BO10:BO11 BQ10:BQ11 BS10:BS11 BM181:BT181 BO180 BM167:BM168 BO167:BO168 BQ167:BQ168 BS167:BS168 BM161:BM165 BO161:BO165 BQ161:BQ165 BS161:BS165 BM183:BT187 BM69:BT78 BS180 BQ180 BM122:BT122 BM136:BT143 BM177:BT179 BO306 BS306 BM12:BT66 BM99:BT111 BM180">
    <cfRule type="cellIs" dxfId="18641" priority="745" operator="equal">
      <formula>#REF!</formula>
    </cfRule>
    <cfRule type="cellIs" dxfId="18640" priority="746" operator="greaterThan">
      <formula>1</formula>
    </cfRule>
    <cfRule type="cellIs" dxfId="18639" priority="747" operator="equal">
      <formula>100%</formula>
    </cfRule>
    <cfRule type="cellIs" dxfId="18638" priority="748" operator="between">
      <formula>80%</formula>
      <formula>99%</formula>
    </cfRule>
    <cfRule type="cellIs" dxfId="18637" priority="749" operator="between">
      <formula>0%</formula>
      <formula>79%</formula>
    </cfRule>
  </conditionalFormatting>
  <conditionalFormatting sqref="BM176:BT176">
    <cfRule type="cellIs" dxfId="18636" priority="727" operator="between">
      <formula>51%</formula>
      <formula>75%</formula>
    </cfRule>
    <cfRule type="cellIs" dxfId="18635" priority="728" operator="greaterThan">
      <formula>1</formula>
    </cfRule>
    <cfRule type="cellIs" dxfId="18634" priority="729" operator="equal">
      <formula>100%</formula>
    </cfRule>
    <cfRule type="cellIs" dxfId="18633" priority="730" operator="between">
      <formula>76%</formula>
      <formula>95%</formula>
    </cfRule>
    <cfRule type="cellIs" dxfId="18632" priority="731" operator="between">
      <formula>0%</formula>
      <formula>50%</formula>
    </cfRule>
  </conditionalFormatting>
  <conditionalFormatting sqref="BM144:BT144 BM146:BT146 BM145 BO145 BQ145 BS145">
    <cfRule type="cellIs" dxfId="18631" priority="721" operator="between">
      <formula>51%</formula>
      <formula>75%</formula>
    </cfRule>
    <cfRule type="cellIs" dxfId="18630" priority="722" operator="greaterThan">
      <formula>1</formula>
    </cfRule>
    <cfRule type="cellIs" dxfId="18629" priority="723" operator="equal">
      <formula>100%</formula>
    </cfRule>
    <cfRule type="cellIs" dxfId="18628" priority="724" operator="between">
      <formula>80%</formula>
      <formula>99%</formula>
    </cfRule>
    <cfRule type="cellIs" dxfId="18627" priority="725" operator="between">
      <formula>0%</formula>
      <formula>79%</formula>
    </cfRule>
  </conditionalFormatting>
  <conditionalFormatting sqref="BM182 BO182 BQ182 BS182">
    <cfRule type="cellIs" dxfId="18626" priority="715" operator="equal">
      <formula>#REF!</formula>
    </cfRule>
    <cfRule type="cellIs" dxfId="18625" priority="716" operator="greaterThan">
      <formula>1</formula>
    </cfRule>
    <cfRule type="cellIs" dxfId="18624" priority="717" operator="equal">
      <formula>100%</formula>
    </cfRule>
    <cfRule type="cellIs" dxfId="18623" priority="718" operator="between">
      <formula>80%</formula>
      <formula>99%</formula>
    </cfRule>
    <cfRule type="cellIs" dxfId="18622" priority="719" operator="between">
      <formula>0%</formula>
      <formula>79%</formula>
    </cfRule>
  </conditionalFormatting>
  <conditionalFormatting sqref="BM188:BT189">
    <cfRule type="cellIs" dxfId="18621" priority="709" operator="equal">
      <formula>#REF!</formula>
    </cfRule>
    <cfRule type="cellIs" dxfId="18620" priority="710" operator="greaterThan">
      <formula>1</formula>
    </cfRule>
    <cfRule type="cellIs" dxfId="18619" priority="711" operator="equal">
      <formula>100%</formula>
    </cfRule>
    <cfRule type="cellIs" dxfId="18618" priority="712" operator="between">
      <formula>80%</formula>
      <formula>99%</formula>
    </cfRule>
    <cfRule type="cellIs" dxfId="18617" priority="713" operator="between">
      <formula>0%</formula>
      <formula>79%</formula>
    </cfRule>
  </conditionalFormatting>
  <conditionalFormatting sqref="BM67:BT68">
    <cfRule type="cellIs" dxfId="18616" priority="703" operator="equal">
      <formula>#REF!</formula>
    </cfRule>
    <cfRule type="cellIs" dxfId="18615" priority="704" operator="greaterThan">
      <formula>1</formula>
    </cfRule>
    <cfRule type="cellIs" dxfId="18614" priority="705" operator="equal">
      <formula>100%</formula>
    </cfRule>
    <cfRule type="cellIs" dxfId="18613" priority="706" operator="between">
      <formula>80%</formula>
      <formula>99%</formula>
    </cfRule>
    <cfRule type="cellIs" dxfId="18612" priority="707" operator="between">
      <formula>0%</formula>
      <formula>79%</formula>
    </cfRule>
  </conditionalFormatting>
  <conditionalFormatting sqref="BN165">
    <cfRule type="cellIs" dxfId="18611" priority="697" operator="equal">
      <formula>#REF!</formula>
    </cfRule>
    <cfRule type="cellIs" dxfId="18610" priority="698" operator="greaterThan">
      <formula>1</formula>
    </cfRule>
    <cfRule type="cellIs" dxfId="18609" priority="699" operator="equal">
      <formula>100%</formula>
    </cfRule>
    <cfRule type="cellIs" dxfId="18608" priority="700" operator="between">
      <formula>80%</formula>
      <formula>99%</formula>
    </cfRule>
    <cfRule type="cellIs" dxfId="18607" priority="701" operator="between">
      <formula>0%</formula>
      <formula>79%</formula>
    </cfRule>
  </conditionalFormatting>
  <conditionalFormatting sqref="BP165">
    <cfRule type="cellIs" dxfId="18606" priority="691" operator="equal">
      <formula>#REF!</formula>
    </cfRule>
    <cfRule type="cellIs" dxfId="18605" priority="692" operator="greaterThan">
      <formula>1</formula>
    </cfRule>
    <cfRule type="cellIs" dxfId="18604" priority="693" operator="equal">
      <formula>100%</formula>
    </cfRule>
    <cfRule type="cellIs" dxfId="18603" priority="694" operator="between">
      <formula>80%</formula>
      <formula>99%</formula>
    </cfRule>
    <cfRule type="cellIs" dxfId="18602" priority="695" operator="between">
      <formula>0%</formula>
      <formula>79%</formula>
    </cfRule>
  </conditionalFormatting>
  <conditionalFormatting sqref="BR165">
    <cfRule type="cellIs" dxfId="18601" priority="685" operator="equal">
      <formula>#REF!</formula>
    </cfRule>
    <cfRule type="cellIs" dxfId="18600" priority="686" operator="greaterThan">
      <formula>1</formula>
    </cfRule>
    <cfRule type="cellIs" dxfId="18599" priority="687" operator="equal">
      <formula>100%</formula>
    </cfRule>
    <cfRule type="cellIs" dxfId="18598" priority="688" operator="between">
      <formula>80%</formula>
      <formula>99%</formula>
    </cfRule>
    <cfRule type="cellIs" dxfId="18597" priority="689" operator="between">
      <formula>0%</formula>
      <formula>79%</formula>
    </cfRule>
  </conditionalFormatting>
  <conditionalFormatting sqref="BT165">
    <cfRule type="cellIs" dxfId="18596" priority="679" operator="equal">
      <formula>#REF!</formula>
    </cfRule>
    <cfRule type="cellIs" dxfId="18595" priority="680" operator="greaterThan">
      <formula>1</formula>
    </cfRule>
    <cfRule type="cellIs" dxfId="18594" priority="681" operator="equal">
      <formula>100%</formula>
    </cfRule>
    <cfRule type="cellIs" dxfId="18593" priority="682" operator="between">
      <formula>80%</formula>
      <formula>99%</formula>
    </cfRule>
    <cfRule type="cellIs" dxfId="18592" priority="683" operator="between">
      <formula>0%</formula>
      <formula>79%</formula>
    </cfRule>
  </conditionalFormatting>
  <conditionalFormatting sqref="BM91:BT91">
    <cfRule type="cellIs" dxfId="18591" priority="655" operator="equal">
      <formula>#REF!</formula>
    </cfRule>
    <cfRule type="cellIs" dxfId="18590" priority="656" operator="greaterThan">
      <formula>1</formula>
    </cfRule>
    <cfRule type="cellIs" dxfId="18589" priority="657" operator="equal">
      <formula>100%</formula>
    </cfRule>
    <cfRule type="cellIs" dxfId="18588" priority="658" operator="between">
      <formula>80%</formula>
      <formula>99%</formula>
    </cfRule>
    <cfRule type="cellIs" dxfId="18587" priority="659" operator="between">
      <formula>0%</formula>
      <formula>79%</formula>
    </cfRule>
  </conditionalFormatting>
  <conditionalFormatting sqref="BM92:BT92">
    <cfRule type="cellIs" dxfId="18586" priority="649" operator="equal">
      <formula>#REF!</formula>
    </cfRule>
    <cfRule type="cellIs" dxfId="18585" priority="650" operator="greaterThan">
      <formula>1</formula>
    </cfRule>
    <cfRule type="cellIs" dxfId="18584" priority="651" operator="equal">
      <formula>100%</formula>
    </cfRule>
    <cfRule type="cellIs" dxfId="18583" priority="652" operator="between">
      <formula>80%</formula>
      <formula>99%</formula>
    </cfRule>
    <cfRule type="cellIs" dxfId="18582" priority="653" operator="between">
      <formula>0%</formula>
      <formula>79%</formula>
    </cfRule>
  </conditionalFormatting>
  <conditionalFormatting sqref="BM93:BT93">
    <cfRule type="cellIs" dxfId="18581" priority="643" operator="equal">
      <formula>#REF!</formula>
    </cfRule>
    <cfRule type="cellIs" dxfId="18580" priority="644" operator="greaterThan">
      <formula>1</formula>
    </cfRule>
    <cfRule type="cellIs" dxfId="18579" priority="645" operator="equal">
      <formula>100%</formula>
    </cfRule>
    <cfRule type="cellIs" dxfId="18578" priority="646" operator="between">
      <formula>80%</formula>
      <formula>99%</formula>
    </cfRule>
    <cfRule type="cellIs" dxfId="18577" priority="647" operator="between">
      <formula>0%</formula>
      <formula>79%</formula>
    </cfRule>
  </conditionalFormatting>
  <conditionalFormatting sqref="BM94:BT94">
    <cfRule type="cellIs" dxfId="18576" priority="637" operator="equal">
      <formula>#REF!</formula>
    </cfRule>
    <cfRule type="cellIs" dxfId="18575" priority="638" operator="greaterThan">
      <formula>1</formula>
    </cfRule>
    <cfRule type="cellIs" dxfId="18574" priority="639" operator="equal">
      <formula>100%</formula>
    </cfRule>
    <cfRule type="cellIs" dxfId="18573" priority="640" operator="between">
      <formula>80%</formula>
      <formula>99%</formula>
    </cfRule>
    <cfRule type="cellIs" dxfId="18572" priority="641" operator="between">
      <formula>0%</formula>
      <formula>79%</formula>
    </cfRule>
  </conditionalFormatting>
  <conditionalFormatting sqref="BM95:BT95">
    <cfRule type="cellIs" dxfId="18571" priority="631" operator="equal">
      <formula>#REF!</formula>
    </cfRule>
    <cfRule type="cellIs" dxfId="18570" priority="632" operator="greaterThan">
      <formula>1</formula>
    </cfRule>
    <cfRule type="cellIs" dxfId="18569" priority="633" operator="equal">
      <formula>100%</formula>
    </cfRule>
    <cfRule type="cellIs" dxfId="18568" priority="634" operator="between">
      <formula>80%</formula>
      <formula>99%</formula>
    </cfRule>
    <cfRule type="cellIs" dxfId="18567" priority="635" operator="between">
      <formula>0%</formula>
      <formula>79%</formula>
    </cfRule>
  </conditionalFormatting>
  <conditionalFormatting sqref="BM96:BT98">
    <cfRule type="cellIs" dxfId="18566" priority="625" operator="equal">
      <formula>#REF!</formula>
    </cfRule>
    <cfRule type="cellIs" dxfId="18565" priority="626" operator="greaterThan">
      <formula>1</formula>
    </cfRule>
    <cfRule type="cellIs" dxfId="18564" priority="627" operator="equal">
      <formula>100%</formula>
    </cfRule>
    <cfRule type="cellIs" dxfId="18563" priority="628" operator="between">
      <formula>80%</formula>
      <formula>99%</formula>
    </cfRule>
    <cfRule type="cellIs" dxfId="18562" priority="629" operator="between">
      <formula>0%</formula>
      <formula>79%</formula>
    </cfRule>
  </conditionalFormatting>
  <conditionalFormatting sqref="BM290:BT290">
    <cfRule type="cellIs" dxfId="18561" priority="619" operator="equal">
      <formula>#REF!</formula>
    </cfRule>
    <cfRule type="cellIs" dxfId="18560" priority="620" operator="greaterThan">
      <formula>1</formula>
    </cfRule>
    <cfRule type="cellIs" dxfId="18559" priority="621" operator="equal">
      <formula>100%</formula>
    </cfRule>
    <cfRule type="cellIs" dxfId="18558" priority="622" operator="between">
      <formula>80%</formula>
      <formula>99%</formula>
    </cfRule>
    <cfRule type="cellIs" dxfId="18557" priority="623" operator="between">
      <formula>0%</formula>
      <formula>79%</formula>
    </cfRule>
  </conditionalFormatting>
  <conditionalFormatting sqref="BM291:BT291">
    <cfRule type="cellIs" dxfId="18556" priority="613" operator="equal">
      <formula>#REF!</formula>
    </cfRule>
    <cfRule type="cellIs" dxfId="18555" priority="614" operator="greaterThan">
      <formula>1</formula>
    </cfRule>
    <cfRule type="cellIs" dxfId="18554" priority="615" operator="equal">
      <formula>100%</formula>
    </cfRule>
    <cfRule type="cellIs" dxfId="18553" priority="616" operator="between">
      <formula>80%</formula>
      <formula>99%</formula>
    </cfRule>
    <cfRule type="cellIs" dxfId="18552" priority="617" operator="between">
      <formula>0%</formula>
      <formula>79%</formula>
    </cfRule>
  </conditionalFormatting>
  <conditionalFormatting sqref="AR146:AR147">
    <cfRule type="duplicateValues" dxfId="18551" priority="612"/>
  </conditionalFormatting>
  <conditionalFormatting sqref="BM300:BT300">
    <cfRule type="cellIs" dxfId="18550" priority="606" operator="equal">
      <formula>#REF!</formula>
    </cfRule>
    <cfRule type="cellIs" dxfId="18549" priority="607" operator="greaterThan">
      <formula>1</formula>
    </cfRule>
    <cfRule type="cellIs" dxfId="18548" priority="608" operator="equal">
      <formula>100%</formula>
    </cfRule>
    <cfRule type="cellIs" dxfId="18547" priority="609" operator="between">
      <formula>80%</formula>
      <formula>99%</formula>
    </cfRule>
    <cfRule type="cellIs" dxfId="18546" priority="610" operator="between">
      <formula>0%</formula>
      <formula>79%</formula>
    </cfRule>
  </conditionalFormatting>
  <conditionalFormatting sqref="BM301:BT301">
    <cfRule type="cellIs" dxfId="18545" priority="594" operator="equal">
      <formula>#REF!</formula>
    </cfRule>
    <cfRule type="cellIs" dxfId="18544" priority="595" operator="greaterThan">
      <formula>1</formula>
    </cfRule>
    <cfRule type="cellIs" dxfId="18543" priority="596" operator="equal">
      <formula>100%</formula>
    </cfRule>
    <cfRule type="cellIs" dxfId="18542" priority="597" operator="between">
      <formula>80%</formula>
      <formula>99%</formula>
    </cfRule>
    <cfRule type="cellIs" dxfId="18541" priority="598" operator="between">
      <formula>0%</formula>
      <formula>79%</formula>
    </cfRule>
  </conditionalFormatting>
  <conditionalFormatting sqref="BM88:BT90">
    <cfRule type="cellIs" dxfId="18540" priority="540" operator="equal">
      <formula>#REF!</formula>
    </cfRule>
    <cfRule type="cellIs" dxfId="18539" priority="541" operator="greaterThan">
      <formula>1</formula>
    </cfRule>
    <cfRule type="cellIs" dxfId="18538" priority="542" operator="equal">
      <formula>100%</formula>
    </cfRule>
    <cfRule type="cellIs" dxfId="18537" priority="543" operator="between">
      <formula>80%</formula>
      <formula>99%</formula>
    </cfRule>
    <cfRule type="cellIs" dxfId="18536" priority="544" operator="between">
      <formula>0%</formula>
      <formula>79%</formula>
    </cfRule>
  </conditionalFormatting>
  <conditionalFormatting sqref="BM83:BT87">
    <cfRule type="cellIs" dxfId="18535" priority="552" operator="equal">
      <formula>#REF!</formula>
    </cfRule>
    <cfRule type="cellIs" dxfId="18534" priority="553" operator="greaterThan">
      <formula>1</formula>
    </cfRule>
    <cfRule type="cellIs" dxfId="18533" priority="554" operator="equal">
      <formula>100%</formula>
    </cfRule>
    <cfRule type="cellIs" dxfId="18532" priority="555" operator="between">
      <formula>80%</formula>
      <formula>99%</formula>
    </cfRule>
    <cfRule type="cellIs" dxfId="18531" priority="556" operator="between">
      <formula>0%</formula>
      <formula>79%</formula>
    </cfRule>
  </conditionalFormatting>
  <conditionalFormatting sqref="BM79:BT90">
    <cfRule type="cellIs" dxfId="18530" priority="546" operator="equal">
      <formula>#REF!</formula>
    </cfRule>
    <cfRule type="cellIs" dxfId="18529" priority="547" operator="greaterThan">
      <formula>1</formula>
    </cfRule>
    <cfRule type="cellIs" dxfId="18528" priority="548" operator="equal">
      <formula>100%</formula>
    </cfRule>
    <cfRule type="cellIs" dxfId="18527" priority="549" operator="between">
      <formula>80%</formula>
      <formula>99%</formula>
    </cfRule>
    <cfRule type="cellIs" dxfId="18526" priority="550" operator="between">
      <formula>0%</formula>
      <formula>79%</formula>
    </cfRule>
  </conditionalFormatting>
  <conditionalFormatting sqref="BM112:BT112 BM114:BT118 BM113 BO113 BQ113 BS113 BM120:BT121 BM119:BR119 BT119">
    <cfRule type="cellIs" dxfId="18525" priority="534" operator="equal">
      <formula>#REF!</formula>
    </cfRule>
    <cfRule type="cellIs" dxfId="18524" priority="535" operator="greaterThan">
      <formula>1</formula>
    </cfRule>
    <cfRule type="cellIs" dxfId="18523" priority="536" operator="equal">
      <formula>100%</formula>
    </cfRule>
    <cfRule type="cellIs" dxfId="18522" priority="537" operator="between">
      <formula>80%</formula>
      <formula>99%</formula>
    </cfRule>
    <cfRule type="cellIs" dxfId="18521" priority="538" operator="between">
      <formula>0%</formula>
      <formula>79%</formula>
    </cfRule>
  </conditionalFormatting>
  <conditionalFormatting sqref="BM123:BT135">
    <cfRule type="cellIs" dxfId="18520" priority="528" operator="equal">
      <formula>#REF!</formula>
    </cfRule>
    <cfRule type="cellIs" dxfId="18519" priority="529" operator="greaterThan">
      <formula>1</formula>
    </cfRule>
    <cfRule type="cellIs" dxfId="18518" priority="530" operator="equal">
      <formula>100%</formula>
    </cfRule>
    <cfRule type="cellIs" dxfId="18517" priority="531" operator="between">
      <formula>80%</formula>
      <formula>99%</formula>
    </cfRule>
    <cfRule type="cellIs" dxfId="18516" priority="532" operator="between">
      <formula>0%</formula>
      <formula>79%</formula>
    </cfRule>
  </conditionalFormatting>
  <conditionalFormatting sqref="BM282:BT283">
    <cfRule type="cellIs" dxfId="18515" priority="522" operator="equal">
      <formula>#REF!</formula>
    </cfRule>
    <cfRule type="cellIs" dxfId="18514" priority="523" operator="greaterThan">
      <formula>1</formula>
    </cfRule>
    <cfRule type="cellIs" dxfId="18513" priority="524" operator="equal">
      <formula>100%</formula>
    </cfRule>
    <cfRule type="cellIs" dxfId="18512" priority="525" operator="between">
      <formula>80%</formula>
      <formula>99%</formula>
    </cfRule>
    <cfRule type="cellIs" dxfId="18511" priority="526" operator="between">
      <formula>0%</formula>
      <formula>79%</formula>
    </cfRule>
  </conditionalFormatting>
  <conditionalFormatting sqref="BM278:BT278">
    <cfRule type="cellIs" dxfId="18510" priority="517" operator="equal">
      <formula>#REF!</formula>
    </cfRule>
    <cfRule type="cellIs" dxfId="18509" priority="518" operator="greaterThan">
      <formula>1</formula>
    </cfRule>
    <cfRule type="cellIs" dxfId="18508" priority="519" operator="equal">
      <formula>100%</formula>
    </cfRule>
    <cfRule type="cellIs" dxfId="18507" priority="520" operator="between">
      <formula>80%</formula>
      <formula>99%</formula>
    </cfRule>
    <cfRule type="cellIs" dxfId="18506" priority="521" operator="between">
      <formula>0%</formula>
      <formula>79%</formula>
    </cfRule>
  </conditionalFormatting>
  <conditionalFormatting sqref="BM190:BT190">
    <cfRule type="cellIs" dxfId="18505" priority="511" operator="equal">
      <formula>#REF!</formula>
    </cfRule>
    <cfRule type="cellIs" dxfId="18504" priority="512" operator="greaterThan">
      <formula>1</formula>
    </cfRule>
    <cfRule type="cellIs" dxfId="18503" priority="513" operator="equal">
      <formula>100%</formula>
    </cfRule>
    <cfRule type="cellIs" dxfId="18502" priority="514" operator="between">
      <formula>80%</formula>
      <formula>99%</formula>
    </cfRule>
    <cfRule type="cellIs" dxfId="18501" priority="515" operator="between">
      <formula>0%</formula>
      <formula>79%</formula>
    </cfRule>
  </conditionalFormatting>
  <conditionalFormatting sqref="BM191:BT191">
    <cfRule type="cellIs" dxfId="18500" priority="505" operator="equal">
      <formula>#REF!</formula>
    </cfRule>
    <cfRule type="cellIs" dxfId="18499" priority="506" operator="greaterThan">
      <formula>1</formula>
    </cfRule>
    <cfRule type="cellIs" dxfId="18498" priority="507" operator="equal">
      <formula>100%</formula>
    </cfRule>
    <cfRule type="cellIs" dxfId="18497" priority="508" operator="between">
      <formula>80%</formula>
      <formula>99%</formula>
    </cfRule>
    <cfRule type="cellIs" dxfId="18496" priority="509" operator="between">
      <formula>0%</formula>
      <formula>79%</formula>
    </cfRule>
  </conditionalFormatting>
  <conditionalFormatting sqref="BM192:BT192">
    <cfRule type="cellIs" dxfId="18495" priority="499" operator="equal">
      <formula>#REF!</formula>
    </cfRule>
    <cfRule type="cellIs" dxfId="18494" priority="500" operator="greaterThan">
      <formula>1</formula>
    </cfRule>
    <cfRule type="cellIs" dxfId="18493" priority="501" operator="equal">
      <formula>100%</formula>
    </cfRule>
    <cfRule type="cellIs" dxfId="18492" priority="502" operator="between">
      <formula>80%</formula>
      <formula>99%</formula>
    </cfRule>
    <cfRule type="cellIs" dxfId="18491" priority="503" operator="between">
      <formula>0%</formula>
      <formula>79%</formula>
    </cfRule>
  </conditionalFormatting>
  <conditionalFormatting sqref="BM193:BT193">
    <cfRule type="cellIs" dxfId="18490" priority="493" operator="equal">
      <formula>#REF!</formula>
    </cfRule>
    <cfRule type="cellIs" dxfId="18489" priority="494" operator="greaterThan">
      <formula>1</formula>
    </cfRule>
    <cfRule type="cellIs" dxfId="18488" priority="495" operator="equal">
      <formula>100%</formula>
    </cfRule>
    <cfRule type="cellIs" dxfId="18487" priority="496" operator="between">
      <formula>80%</formula>
      <formula>99%</formula>
    </cfRule>
    <cfRule type="cellIs" dxfId="18486" priority="497" operator="between">
      <formula>0%</formula>
      <formula>79%</formula>
    </cfRule>
  </conditionalFormatting>
  <conditionalFormatting sqref="BM194:BT194">
    <cfRule type="cellIs" dxfId="18485" priority="487" operator="equal">
      <formula>#REF!</formula>
    </cfRule>
    <cfRule type="cellIs" dxfId="18484" priority="488" operator="greaterThan">
      <formula>1</formula>
    </cfRule>
    <cfRule type="cellIs" dxfId="18483" priority="489" operator="equal">
      <formula>100%</formula>
    </cfRule>
    <cfRule type="cellIs" dxfId="18482" priority="490" operator="between">
      <formula>80%</formula>
      <formula>99%</formula>
    </cfRule>
    <cfRule type="cellIs" dxfId="18481" priority="491" operator="between">
      <formula>0%</formula>
      <formula>79%</formula>
    </cfRule>
  </conditionalFormatting>
  <conditionalFormatting sqref="BM195:BT195">
    <cfRule type="cellIs" dxfId="18480" priority="481" operator="equal">
      <formula>#REF!</formula>
    </cfRule>
    <cfRule type="cellIs" dxfId="18479" priority="482" operator="greaterThan">
      <formula>1</formula>
    </cfRule>
    <cfRule type="cellIs" dxfId="18478" priority="483" operator="equal">
      <formula>100%</formula>
    </cfRule>
    <cfRule type="cellIs" dxfId="18477" priority="484" operator="between">
      <formula>80%</formula>
      <formula>99%</formula>
    </cfRule>
    <cfRule type="cellIs" dxfId="18476" priority="485" operator="between">
      <formula>0%</formula>
      <formula>79%</formula>
    </cfRule>
  </conditionalFormatting>
  <conditionalFormatting sqref="BM196:BT196">
    <cfRule type="cellIs" dxfId="18475" priority="475" operator="equal">
      <formula>#REF!</formula>
    </cfRule>
    <cfRule type="cellIs" dxfId="18474" priority="476" operator="greaterThan">
      <formula>1</formula>
    </cfRule>
    <cfRule type="cellIs" dxfId="18473" priority="477" operator="equal">
      <formula>100%</formula>
    </cfRule>
    <cfRule type="cellIs" dxfId="18472" priority="478" operator="between">
      <formula>80%</formula>
      <formula>99%</formula>
    </cfRule>
    <cfRule type="cellIs" dxfId="18471" priority="479" operator="between">
      <formula>0%</formula>
      <formula>79%</formula>
    </cfRule>
  </conditionalFormatting>
  <conditionalFormatting sqref="BM197:BT197">
    <cfRule type="cellIs" dxfId="18470" priority="469" operator="equal">
      <formula>#REF!</formula>
    </cfRule>
    <cfRule type="cellIs" dxfId="18469" priority="470" operator="greaterThan">
      <formula>1</formula>
    </cfRule>
    <cfRule type="cellIs" dxfId="18468" priority="471" operator="equal">
      <formula>100%</formula>
    </cfRule>
    <cfRule type="cellIs" dxfId="18467" priority="472" operator="between">
      <formula>80%</formula>
      <formula>99%</formula>
    </cfRule>
    <cfRule type="cellIs" dxfId="18466" priority="473" operator="between">
      <formula>0%</formula>
      <formula>79%</formula>
    </cfRule>
  </conditionalFormatting>
  <conditionalFormatting sqref="BM198:BT198">
    <cfRule type="cellIs" dxfId="18465" priority="463" operator="equal">
      <formula>#REF!</formula>
    </cfRule>
    <cfRule type="cellIs" dxfId="18464" priority="464" operator="greaterThan">
      <formula>1</formula>
    </cfRule>
    <cfRule type="cellIs" dxfId="18463" priority="465" operator="equal">
      <formula>100%</formula>
    </cfRule>
    <cfRule type="cellIs" dxfId="18462" priority="466" operator="between">
      <formula>80%</formula>
      <formula>99%</formula>
    </cfRule>
    <cfRule type="cellIs" dxfId="18461" priority="467" operator="between">
      <formula>0%</formula>
      <formula>79%</formula>
    </cfRule>
  </conditionalFormatting>
  <conditionalFormatting sqref="BM199:BT199">
    <cfRule type="cellIs" dxfId="18460" priority="457" operator="equal">
      <formula>#REF!</formula>
    </cfRule>
    <cfRule type="cellIs" dxfId="18459" priority="458" operator="greaterThan">
      <formula>1</formula>
    </cfRule>
    <cfRule type="cellIs" dxfId="18458" priority="459" operator="equal">
      <formula>100%</formula>
    </cfRule>
    <cfRule type="cellIs" dxfId="18457" priority="460" operator="between">
      <formula>80%</formula>
      <formula>99%</formula>
    </cfRule>
    <cfRule type="cellIs" dxfId="18456" priority="461" operator="between">
      <formula>0%</formula>
      <formula>79%</formula>
    </cfRule>
  </conditionalFormatting>
  <conditionalFormatting sqref="BM200:BT200">
    <cfRule type="cellIs" dxfId="18455" priority="451" operator="equal">
      <formula>#REF!</formula>
    </cfRule>
    <cfRule type="cellIs" dxfId="18454" priority="452" operator="greaterThan">
      <formula>1</formula>
    </cfRule>
    <cfRule type="cellIs" dxfId="18453" priority="453" operator="equal">
      <formula>100%</formula>
    </cfRule>
    <cfRule type="cellIs" dxfId="18452" priority="454" operator="between">
      <formula>80%</formula>
      <formula>99%</formula>
    </cfRule>
    <cfRule type="cellIs" dxfId="18451" priority="455" operator="between">
      <formula>0%</formula>
      <formula>79%</formula>
    </cfRule>
  </conditionalFormatting>
  <conditionalFormatting sqref="BM201:BT205">
    <cfRule type="cellIs" dxfId="18450" priority="445" operator="equal">
      <formula>#REF!</formula>
    </cfRule>
    <cfRule type="cellIs" dxfId="18449" priority="446" operator="greaterThan">
      <formula>1</formula>
    </cfRule>
    <cfRule type="cellIs" dxfId="18448" priority="447" operator="equal">
      <formula>100%</formula>
    </cfRule>
    <cfRule type="cellIs" dxfId="18447" priority="448" operator="between">
      <formula>80%</formula>
      <formula>99%</formula>
    </cfRule>
    <cfRule type="cellIs" dxfId="18446" priority="449" operator="between">
      <formula>0%</formula>
      <formula>79%</formula>
    </cfRule>
  </conditionalFormatting>
  <conditionalFormatting sqref="BM206:BT206">
    <cfRule type="cellIs" dxfId="18445" priority="439" operator="equal">
      <formula>#REF!</formula>
    </cfRule>
    <cfRule type="cellIs" dxfId="18444" priority="440" operator="greaterThan">
      <formula>1</formula>
    </cfRule>
    <cfRule type="cellIs" dxfId="18443" priority="441" operator="equal">
      <formula>100%</formula>
    </cfRule>
    <cfRule type="cellIs" dxfId="18442" priority="442" operator="between">
      <formula>80%</formula>
      <formula>99%</formula>
    </cfRule>
    <cfRule type="cellIs" dxfId="18441" priority="443" operator="between">
      <formula>0%</formula>
      <formula>79%</formula>
    </cfRule>
  </conditionalFormatting>
  <conditionalFormatting sqref="BM207:BT208">
    <cfRule type="cellIs" dxfId="18440" priority="433" operator="equal">
      <formula>#REF!</formula>
    </cfRule>
    <cfRule type="cellIs" dxfId="18439" priority="434" operator="greaterThan">
      <formula>1</formula>
    </cfRule>
    <cfRule type="cellIs" dxfId="18438" priority="435" operator="equal">
      <formula>100%</formula>
    </cfRule>
    <cfRule type="cellIs" dxfId="18437" priority="436" operator="between">
      <formula>80%</formula>
      <formula>99%</formula>
    </cfRule>
    <cfRule type="cellIs" dxfId="18436" priority="437" operator="between">
      <formula>0%</formula>
      <formula>79%</formula>
    </cfRule>
  </conditionalFormatting>
  <conditionalFormatting sqref="BM209:BT210">
    <cfRule type="cellIs" dxfId="18435" priority="427" operator="equal">
      <formula>#REF!</formula>
    </cfRule>
    <cfRule type="cellIs" dxfId="18434" priority="428" operator="greaterThan">
      <formula>1</formula>
    </cfRule>
    <cfRule type="cellIs" dxfId="18433" priority="429" operator="equal">
      <formula>100%</formula>
    </cfRule>
    <cfRule type="cellIs" dxfId="18432" priority="430" operator="between">
      <formula>80%</formula>
      <formula>99%</formula>
    </cfRule>
    <cfRule type="cellIs" dxfId="18431" priority="431" operator="between">
      <formula>0%</formula>
      <formula>79%</formula>
    </cfRule>
  </conditionalFormatting>
  <conditionalFormatting sqref="BM211:BT212">
    <cfRule type="cellIs" dxfId="18430" priority="421" operator="equal">
      <formula>#REF!</formula>
    </cfRule>
    <cfRule type="cellIs" dxfId="18429" priority="422" operator="greaterThan">
      <formula>1</formula>
    </cfRule>
    <cfRule type="cellIs" dxfId="18428" priority="423" operator="equal">
      <formula>100%</formula>
    </cfRule>
    <cfRule type="cellIs" dxfId="18427" priority="424" operator="between">
      <formula>80%</formula>
      <formula>99%</formula>
    </cfRule>
    <cfRule type="cellIs" dxfId="18426" priority="425" operator="between">
      <formula>0%</formula>
      <formula>79%</formula>
    </cfRule>
  </conditionalFormatting>
  <conditionalFormatting sqref="BM213:BT214">
    <cfRule type="cellIs" dxfId="18425" priority="415" operator="equal">
      <formula>#REF!</formula>
    </cfRule>
    <cfRule type="cellIs" dxfId="18424" priority="416" operator="greaterThan">
      <formula>1</formula>
    </cfRule>
    <cfRule type="cellIs" dxfId="18423" priority="417" operator="equal">
      <formula>100%</formula>
    </cfRule>
    <cfRule type="cellIs" dxfId="18422" priority="418" operator="between">
      <formula>80%</formula>
      <formula>99%</formula>
    </cfRule>
    <cfRule type="cellIs" dxfId="18421" priority="419" operator="between">
      <formula>0%</formula>
      <formula>79%</formula>
    </cfRule>
  </conditionalFormatting>
  <conditionalFormatting sqref="BM215:BT216">
    <cfRule type="cellIs" dxfId="18420" priority="409" operator="equal">
      <formula>#REF!</formula>
    </cfRule>
    <cfRule type="cellIs" dxfId="18419" priority="410" operator="greaterThan">
      <formula>1</formula>
    </cfRule>
    <cfRule type="cellIs" dxfId="18418" priority="411" operator="equal">
      <formula>100%</formula>
    </cfRule>
    <cfRule type="cellIs" dxfId="18417" priority="412" operator="between">
      <formula>80%</formula>
      <formula>99%</formula>
    </cfRule>
    <cfRule type="cellIs" dxfId="18416" priority="413" operator="between">
      <formula>0%</formula>
      <formula>79%</formula>
    </cfRule>
  </conditionalFormatting>
  <conditionalFormatting sqref="BM217:BT218">
    <cfRule type="cellIs" dxfId="18415" priority="403" operator="equal">
      <formula>#REF!</formula>
    </cfRule>
    <cfRule type="cellIs" dxfId="18414" priority="404" operator="greaterThan">
      <formula>1</formula>
    </cfRule>
    <cfRule type="cellIs" dxfId="18413" priority="405" operator="equal">
      <formula>100%</formula>
    </cfRule>
    <cfRule type="cellIs" dxfId="18412" priority="406" operator="between">
      <formula>80%</formula>
      <formula>99%</formula>
    </cfRule>
    <cfRule type="cellIs" dxfId="18411" priority="407" operator="between">
      <formula>0%</formula>
      <formula>79%</formula>
    </cfRule>
  </conditionalFormatting>
  <conditionalFormatting sqref="BM219:BT220">
    <cfRule type="cellIs" dxfId="18410" priority="397" operator="equal">
      <formula>#REF!</formula>
    </cfRule>
    <cfRule type="cellIs" dxfId="18409" priority="398" operator="greaterThan">
      <formula>1</formula>
    </cfRule>
    <cfRule type="cellIs" dxfId="18408" priority="399" operator="equal">
      <formula>100%</formula>
    </cfRule>
    <cfRule type="cellIs" dxfId="18407" priority="400" operator="between">
      <formula>80%</formula>
      <formula>99%</formula>
    </cfRule>
    <cfRule type="cellIs" dxfId="18406" priority="401" operator="between">
      <formula>0%</formula>
      <formula>79%</formula>
    </cfRule>
  </conditionalFormatting>
  <conditionalFormatting sqref="BM221:BT221">
    <cfRule type="cellIs" dxfId="18405" priority="391" operator="equal">
      <formula>#REF!</formula>
    </cfRule>
    <cfRule type="cellIs" dxfId="18404" priority="392" operator="greaterThan">
      <formula>1</formula>
    </cfRule>
    <cfRule type="cellIs" dxfId="18403" priority="393" operator="equal">
      <formula>100%</formula>
    </cfRule>
    <cfRule type="cellIs" dxfId="18402" priority="394" operator="between">
      <formula>80%</formula>
      <formula>99%</formula>
    </cfRule>
    <cfRule type="cellIs" dxfId="18401" priority="395" operator="between">
      <formula>0%</formula>
      <formula>79%</formula>
    </cfRule>
  </conditionalFormatting>
  <conditionalFormatting sqref="BM222:BT222">
    <cfRule type="cellIs" dxfId="18400" priority="385" operator="equal">
      <formula>#REF!</formula>
    </cfRule>
    <cfRule type="cellIs" dxfId="18399" priority="386" operator="greaterThan">
      <formula>1</formula>
    </cfRule>
    <cfRule type="cellIs" dxfId="18398" priority="387" operator="equal">
      <formula>100%</formula>
    </cfRule>
    <cfRule type="cellIs" dxfId="18397" priority="388" operator="between">
      <formula>80%</formula>
      <formula>99%</formula>
    </cfRule>
    <cfRule type="cellIs" dxfId="18396" priority="389" operator="between">
      <formula>0%</formula>
      <formula>79%</formula>
    </cfRule>
  </conditionalFormatting>
  <conditionalFormatting sqref="BM223:BT223">
    <cfRule type="cellIs" dxfId="18395" priority="379" operator="equal">
      <formula>#REF!</formula>
    </cfRule>
    <cfRule type="cellIs" dxfId="18394" priority="380" operator="greaterThan">
      <formula>1</formula>
    </cfRule>
    <cfRule type="cellIs" dxfId="18393" priority="381" operator="equal">
      <formula>100%</formula>
    </cfRule>
    <cfRule type="cellIs" dxfId="18392" priority="382" operator="between">
      <formula>80%</formula>
      <formula>99%</formula>
    </cfRule>
    <cfRule type="cellIs" dxfId="18391" priority="383" operator="between">
      <formula>0%</formula>
      <formula>79%</formula>
    </cfRule>
  </conditionalFormatting>
  <conditionalFormatting sqref="BM224:BT224">
    <cfRule type="cellIs" dxfId="18390" priority="373" operator="equal">
      <formula>#REF!</formula>
    </cfRule>
    <cfRule type="cellIs" dxfId="18389" priority="374" operator="greaterThan">
      <formula>1</formula>
    </cfRule>
    <cfRule type="cellIs" dxfId="18388" priority="375" operator="equal">
      <formula>100%</formula>
    </cfRule>
    <cfRule type="cellIs" dxfId="18387" priority="376" operator="between">
      <formula>80%</formula>
      <formula>99%</formula>
    </cfRule>
    <cfRule type="cellIs" dxfId="18386" priority="377" operator="between">
      <formula>0%</formula>
      <formula>79%</formula>
    </cfRule>
  </conditionalFormatting>
  <conditionalFormatting sqref="BM225:BT225">
    <cfRule type="cellIs" dxfId="18385" priority="367" operator="equal">
      <formula>#REF!</formula>
    </cfRule>
    <cfRule type="cellIs" dxfId="18384" priority="368" operator="greaterThan">
      <formula>1</formula>
    </cfRule>
    <cfRule type="cellIs" dxfId="18383" priority="369" operator="equal">
      <formula>100%</formula>
    </cfRule>
    <cfRule type="cellIs" dxfId="18382" priority="370" operator="between">
      <formula>80%</formula>
      <formula>99%</formula>
    </cfRule>
    <cfRule type="cellIs" dxfId="18381" priority="371" operator="between">
      <formula>0%</formula>
      <formula>79%</formula>
    </cfRule>
  </conditionalFormatting>
  <conditionalFormatting sqref="BM288:BT288">
    <cfRule type="cellIs" dxfId="18380" priority="361" operator="equal">
      <formula>#REF!</formula>
    </cfRule>
    <cfRule type="cellIs" dxfId="18379" priority="362" operator="greaterThan">
      <formula>1</formula>
    </cfRule>
    <cfRule type="cellIs" dxfId="18378" priority="363" operator="equal">
      <formula>100%</formula>
    </cfRule>
    <cfRule type="cellIs" dxfId="18377" priority="364" operator="between">
      <formula>80%</formula>
      <formula>99%</formula>
    </cfRule>
    <cfRule type="cellIs" dxfId="18376" priority="365" operator="between">
      <formula>0%</formula>
      <formula>79%</formula>
    </cfRule>
  </conditionalFormatting>
  <conditionalFormatting sqref="BM226:BT226">
    <cfRule type="cellIs" dxfId="18375" priority="355" operator="equal">
      <formula>#REF!</formula>
    </cfRule>
    <cfRule type="cellIs" dxfId="18374" priority="356" operator="greaterThan">
      <formula>1</formula>
    </cfRule>
    <cfRule type="cellIs" dxfId="18373" priority="357" operator="equal">
      <formula>100%</formula>
    </cfRule>
    <cfRule type="cellIs" dxfId="18372" priority="358" operator="between">
      <formula>80%</formula>
      <formula>99%</formula>
    </cfRule>
    <cfRule type="cellIs" dxfId="18371" priority="359" operator="between">
      <formula>0%</formula>
      <formula>79%</formula>
    </cfRule>
  </conditionalFormatting>
  <conditionalFormatting sqref="BM227:BT227">
    <cfRule type="cellIs" dxfId="18370" priority="349" operator="equal">
      <formula>#REF!</formula>
    </cfRule>
    <cfRule type="cellIs" dxfId="18369" priority="350" operator="greaterThan">
      <formula>1</formula>
    </cfRule>
    <cfRule type="cellIs" dxfId="18368" priority="351" operator="equal">
      <formula>100%</formula>
    </cfRule>
    <cfRule type="cellIs" dxfId="18367" priority="352" operator="between">
      <formula>80%</formula>
      <formula>99%</formula>
    </cfRule>
    <cfRule type="cellIs" dxfId="18366" priority="353" operator="between">
      <formula>0%</formula>
      <formula>79%</formula>
    </cfRule>
  </conditionalFormatting>
  <conditionalFormatting sqref="BM228:BT228">
    <cfRule type="cellIs" dxfId="18365" priority="343" operator="equal">
      <formula>#REF!</formula>
    </cfRule>
    <cfRule type="cellIs" dxfId="18364" priority="344" operator="greaterThan">
      <formula>1</formula>
    </cfRule>
    <cfRule type="cellIs" dxfId="18363" priority="345" operator="equal">
      <formula>100%</formula>
    </cfRule>
    <cfRule type="cellIs" dxfId="18362" priority="346" operator="between">
      <formula>80%</formula>
      <formula>99%</formula>
    </cfRule>
    <cfRule type="cellIs" dxfId="18361" priority="347" operator="between">
      <formula>0%</formula>
      <formula>79%</formula>
    </cfRule>
  </conditionalFormatting>
  <conditionalFormatting sqref="BM229:BT230">
    <cfRule type="cellIs" dxfId="18360" priority="337" operator="equal">
      <formula>#REF!</formula>
    </cfRule>
    <cfRule type="cellIs" dxfId="18359" priority="338" operator="greaterThan">
      <formula>1</formula>
    </cfRule>
    <cfRule type="cellIs" dxfId="18358" priority="339" operator="equal">
      <formula>100%</formula>
    </cfRule>
    <cfRule type="cellIs" dxfId="18357" priority="340" operator="between">
      <formula>80%</formula>
      <formula>99%</formula>
    </cfRule>
    <cfRule type="cellIs" dxfId="18356" priority="341" operator="between">
      <formula>0%</formula>
      <formula>79%</formula>
    </cfRule>
  </conditionalFormatting>
  <conditionalFormatting sqref="BM231:BT231">
    <cfRule type="cellIs" dxfId="18355" priority="331" operator="equal">
      <formula>#REF!</formula>
    </cfRule>
    <cfRule type="cellIs" dxfId="18354" priority="332" operator="greaterThan">
      <formula>1</formula>
    </cfRule>
    <cfRule type="cellIs" dxfId="18353" priority="333" operator="equal">
      <formula>100%</formula>
    </cfRule>
    <cfRule type="cellIs" dxfId="18352" priority="334" operator="between">
      <formula>80%</formula>
      <formula>99%</formula>
    </cfRule>
    <cfRule type="cellIs" dxfId="18351" priority="335" operator="between">
      <formula>0%</formula>
      <formula>79%</formula>
    </cfRule>
  </conditionalFormatting>
  <conditionalFormatting sqref="BM232:BT232">
    <cfRule type="cellIs" dxfId="18350" priority="325" operator="equal">
      <formula>#REF!</formula>
    </cfRule>
    <cfRule type="cellIs" dxfId="18349" priority="326" operator="greaterThan">
      <formula>1</formula>
    </cfRule>
    <cfRule type="cellIs" dxfId="18348" priority="327" operator="equal">
      <formula>100%</formula>
    </cfRule>
    <cfRule type="cellIs" dxfId="18347" priority="328" operator="between">
      <formula>80%</formula>
      <formula>99%</formula>
    </cfRule>
    <cfRule type="cellIs" dxfId="18346" priority="329" operator="between">
      <formula>0%</formula>
      <formula>79%</formula>
    </cfRule>
  </conditionalFormatting>
  <conditionalFormatting sqref="BM233:BT234">
    <cfRule type="cellIs" dxfId="18345" priority="319" operator="equal">
      <formula>#REF!</formula>
    </cfRule>
    <cfRule type="cellIs" dxfId="18344" priority="320" operator="greaterThan">
      <formula>1</formula>
    </cfRule>
    <cfRule type="cellIs" dxfId="18343" priority="321" operator="equal">
      <formula>100%</formula>
    </cfRule>
    <cfRule type="cellIs" dxfId="18342" priority="322" operator="between">
      <formula>80%</formula>
      <formula>99%</formula>
    </cfRule>
    <cfRule type="cellIs" dxfId="18341" priority="323" operator="between">
      <formula>0%</formula>
      <formula>79%</formula>
    </cfRule>
  </conditionalFormatting>
  <conditionalFormatting sqref="BM235:BT235">
    <cfRule type="cellIs" dxfId="18340" priority="313" operator="equal">
      <formula>#REF!</formula>
    </cfRule>
    <cfRule type="cellIs" dxfId="18339" priority="314" operator="greaterThan">
      <formula>1</formula>
    </cfRule>
    <cfRule type="cellIs" dxfId="18338" priority="315" operator="equal">
      <formula>100%</formula>
    </cfRule>
    <cfRule type="cellIs" dxfId="18337" priority="316" operator="between">
      <formula>80%</formula>
      <formula>99%</formula>
    </cfRule>
    <cfRule type="cellIs" dxfId="18336" priority="317" operator="between">
      <formula>0%</formula>
      <formula>79%</formula>
    </cfRule>
  </conditionalFormatting>
  <conditionalFormatting sqref="BM236:BT236">
    <cfRule type="cellIs" dxfId="18335" priority="307" operator="equal">
      <formula>#REF!</formula>
    </cfRule>
    <cfRule type="cellIs" dxfId="18334" priority="308" operator="greaterThan">
      <formula>1</formula>
    </cfRule>
    <cfRule type="cellIs" dxfId="18333" priority="309" operator="equal">
      <formula>100%</formula>
    </cfRule>
    <cfRule type="cellIs" dxfId="18332" priority="310" operator="between">
      <formula>80%</formula>
      <formula>99%</formula>
    </cfRule>
    <cfRule type="cellIs" dxfId="18331" priority="311" operator="between">
      <formula>0%</formula>
      <formula>79%</formula>
    </cfRule>
  </conditionalFormatting>
  <conditionalFormatting sqref="BM237:BT237">
    <cfRule type="cellIs" dxfId="18330" priority="301" operator="equal">
      <formula>#REF!</formula>
    </cfRule>
    <cfRule type="cellIs" dxfId="18329" priority="302" operator="greaterThan">
      <formula>1</formula>
    </cfRule>
    <cfRule type="cellIs" dxfId="18328" priority="303" operator="equal">
      <formula>100%</formula>
    </cfRule>
    <cfRule type="cellIs" dxfId="18327" priority="304" operator="between">
      <formula>80%</formula>
      <formula>99%</formula>
    </cfRule>
    <cfRule type="cellIs" dxfId="18326" priority="305" operator="between">
      <formula>0%</formula>
      <formula>79%</formula>
    </cfRule>
  </conditionalFormatting>
  <conditionalFormatting sqref="BM240:BT247">
    <cfRule type="cellIs" dxfId="18325" priority="295" operator="equal">
      <formula>#REF!</formula>
    </cfRule>
    <cfRule type="cellIs" dxfId="18324" priority="296" operator="greaterThan">
      <formula>1</formula>
    </cfRule>
    <cfRule type="cellIs" dxfId="18323" priority="297" operator="equal">
      <formula>100%</formula>
    </cfRule>
    <cfRule type="cellIs" dxfId="18322" priority="298" operator="between">
      <formula>80%</formula>
      <formula>99%</formula>
    </cfRule>
    <cfRule type="cellIs" dxfId="18321" priority="299" operator="between">
      <formula>0%</formula>
      <formula>79%</formula>
    </cfRule>
  </conditionalFormatting>
  <conditionalFormatting sqref="BM248:BT248">
    <cfRule type="cellIs" dxfId="18320" priority="289" operator="equal">
      <formula>#REF!</formula>
    </cfRule>
    <cfRule type="cellIs" dxfId="18319" priority="290" operator="greaterThan">
      <formula>1</formula>
    </cfRule>
    <cfRule type="cellIs" dxfId="18318" priority="291" operator="equal">
      <formula>100%</formula>
    </cfRule>
    <cfRule type="cellIs" dxfId="18317" priority="292" operator="between">
      <formula>80%</formula>
      <formula>99%</formula>
    </cfRule>
    <cfRule type="cellIs" dxfId="18316" priority="293" operator="between">
      <formula>0%</formula>
      <formula>79%</formula>
    </cfRule>
  </conditionalFormatting>
  <conditionalFormatting sqref="BM249:BT249">
    <cfRule type="cellIs" dxfId="18315" priority="283" operator="equal">
      <formula>#REF!</formula>
    </cfRule>
    <cfRule type="cellIs" dxfId="18314" priority="284" operator="greaterThan">
      <formula>1</formula>
    </cfRule>
    <cfRule type="cellIs" dxfId="18313" priority="285" operator="equal">
      <formula>100%</formula>
    </cfRule>
    <cfRule type="cellIs" dxfId="18312" priority="286" operator="between">
      <formula>80%</formula>
      <formula>99%</formula>
    </cfRule>
    <cfRule type="cellIs" dxfId="18311" priority="287" operator="between">
      <formula>0%</formula>
      <formula>79%</formula>
    </cfRule>
  </conditionalFormatting>
  <conditionalFormatting sqref="BM250:BT250">
    <cfRule type="cellIs" dxfId="18310" priority="277" operator="equal">
      <formula>#REF!</formula>
    </cfRule>
    <cfRule type="cellIs" dxfId="18309" priority="278" operator="greaterThan">
      <formula>1</formula>
    </cfRule>
    <cfRule type="cellIs" dxfId="18308" priority="279" operator="equal">
      <formula>100%</formula>
    </cfRule>
    <cfRule type="cellIs" dxfId="18307" priority="280" operator="between">
      <formula>80%</formula>
      <formula>99%</formula>
    </cfRule>
    <cfRule type="cellIs" dxfId="18306" priority="281" operator="between">
      <formula>0%</formula>
      <formula>79%</formula>
    </cfRule>
  </conditionalFormatting>
  <conditionalFormatting sqref="BM251:BT251">
    <cfRule type="cellIs" dxfId="18305" priority="271" operator="equal">
      <formula>#REF!</formula>
    </cfRule>
    <cfRule type="cellIs" dxfId="18304" priority="272" operator="greaterThan">
      <formula>1</formula>
    </cfRule>
    <cfRule type="cellIs" dxfId="18303" priority="273" operator="equal">
      <formula>100%</formula>
    </cfRule>
    <cfRule type="cellIs" dxfId="18302" priority="274" operator="between">
      <formula>80%</formula>
      <formula>99%</formula>
    </cfRule>
    <cfRule type="cellIs" dxfId="18301" priority="275" operator="between">
      <formula>0%</formula>
      <formula>79%</formula>
    </cfRule>
  </conditionalFormatting>
  <conditionalFormatting sqref="BM252:BT252">
    <cfRule type="cellIs" dxfId="18300" priority="265" operator="equal">
      <formula>#REF!</formula>
    </cfRule>
    <cfRule type="cellIs" dxfId="18299" priority="266" operator="greaterThan">
      <formula>1</formula>
    </cfRule>
    <cfRule type="cellIs" dxfId="18298" priority="267" operator="equal">
      <formula>100%</formula>
    </cfRule>
    <cfRule type="cellIs" dxfId="18297" priority="268" operator="between">
      <formula>80%</formula>
      <formula>99%</formula>
    </cfRule>
    <cfRule type="cellIs" dxfId="18296" priority="269" operator="between">
      <formula>0%</formula>
      <formula>79%</formula>
    </cfRule>
  </conditionalFormatting>
  <conditionalFormatting sqref="BM253:BT258">
    <cfRule type="cellIs" dxfId="18295" priority="259" operator="equal">
      <formula>#REF!</formula>
    </cfRule>
    <cfRule type="cellIs" dxfId="18294" priority="260" operator="greaterThan">
      <formula>1</formula>
    </cfRule>
    <cfRule type="cellIs" dxfId="18293" priority="261" operator="equal">
      <formula>100%</formula>
    </cfRule>
    <cfRule type="cellIs" dxfId="18292" priority="262" operator="between">
      <formula>80%</formula>
      <formula>99%</formula>
    </cfRule>
    <cfRule type="cellIs" dxfId="18291" priority="263" operator="between">
      <formula>0%</formula>
      <formula>79%</formula>
    </cfRule>
  </conditionalFormatting>
  <conditionalFormatting sqref="BM259:BT259">
    <cfRule type="cellIs" dxfId="18290" priority="253" operator="equal">
      <formula>#REF!</formula>
    </cfRule>
    <cfRule type="cellIs" dxfId="18289" priority="254" operator="greaterThan">
      <formula>1</formula>
    </cfRule>
    <cfRule type="cellIs" dxfId="18288" priority="255" operator="equal">
      <formula>100%</formula>
    </cfRule>
    <cfRule type="cellIs" dxfId="18287" priority="256" operator="between">
      <formula>80%</formula>
      <formula>99%</formula>
    </cfRule>
    <cfRule type="cellIs" dxfId="18286" priority="257" operator="between">
      <formula>0%</formula>
      <formula>79%</formula>
    </cfRule>
  </conditionalFormatting>
  <conditionalFormatting sqref="BM260:BT260">
    <cfRule type="cellIs" dxfId="18285" priority="247" operator="equal">
      <formula>#REF!</formula>
    </cfRule>
    <cfRule type="cellIs" dxfId="18284" priority="248" operator="greaterThan">
      <formula>1</formula>
    </cfRule>
    <cfRule type="cellIs" dxfId="18283" priority="249" operator="equal">
      <formula>100%</formula>
    </cfRule>
    <cfRule type="cellIs" dxfId="18282" priority="250" operator="between">
      <formula>80%</formula>
      <formula>99%</formula>
    </cfRule>
    <cfRule type="cellIs" dxfId="18281" priority="251" operator="between">
      <formula>0%</formula>
      <formula>79%</formula>
    </cfRule>
  </conditionalFormatting>
  <conditionalFormatting sqref="BM261:BT261">
    <cfRule type="cellIs" dxfId="18280" priority="241" operator="equal">
      <formula>#REF!</formula>
    </cfRule>
    <cfRule type="cellIs" dxfId="18279" priority="242" operator="greaterThan">
      <formula>1</formula>
    </cfRule>
    <cfRule type="cellIs" dxfId="18278" priority="243" operator="equal">
      <formula>100%</formula>
    </cfRule>
    <cfRule type="cellIs" dxfId="18277" priority="244" operator="between">
      <formula>80%</formula>
      <formula>99%</formula>
    </cfRule>
    <cfRule type="cellIs" dxfId="18276" priority="245" operator="between">
      <formula>0%</formula>
      <formula>79%</formula>
    </cfRule>
  </conditionalFormatting>
  <conditionalFormatting sqref="BM262:BT262">
    <cfRule type="cellIs" dxfId="18275" priority="235" operator="equal">
      <formula>#REF!</formula>
    </cfRule>
    <cfRule type="cellIs" dxfId="18274" priority="236" operator="greaterThan">
      <formula>1</formula>
    </cfRule>
    <cfRule type="cellIs" dxfId="18273" priority="237" operator="equal">
      <formula>100%</formula>
    </cfRule>
    <cfRule type="cellIs" dxfId="18272" priority="238" operator="between">
      <formula>80%</formula>
      <formula>99%</formula>
    </cfRule>
    <cfRule type="cellIs" dxfId="18271" priority="239" operator="between">
      <formula>0%</formula>
      <formula>79%</formula>
    </cfRule>
  </conditionalFormatting>
  <conditionalFormatting sqref="BM263:BT263">
    <cfRule type="cellIs" dxfId="18270" priority="229" operator="equal">
      <formula>#REF!</formula>
    </cfRule>
    <cfRule type="cellIs" dxfId="18269" priority="230" operator="greaterThan">
      <formula>1</formula>
    </cfRule>
    <cfRule type="cellIs" dxfId="18268" priority="231" operator="equal">
      <formula>100%</formula>
    </cfRule>
    <cfRule type="cellIs" dxfId="18267" priority="232" operator="between">
      <formula>80%</formula>
      <formula>99%</formula>
    </cfRule>
    <cfRule type="cellIs" dxfId="18266" priority="233" operator="between">
      <formula>0%</formula>
      <formula>79%</formula>
    </cfRule>
  </conditionalFormatting>
  <conditionalFormatting sqref="BM264:BT264">
    <cfRule type="cellIs" dxfId="18265" priority="223" operator="equal">
      <formula>#REF!</formula>
    </cfRule>
    <cfRule type="cellIs" dxfId="18264" priority="224" operator="greaterThan">
      <formula>1</formula>
    </cfRule>
    <cfRule type="cellIs" dxfId="18263" priority="225" operator="equal">
      <formula>100%</formula>
    </cfRule>
    <cfRule type="cellIs" dxfId="18262" priority="226" operator="between">
      <formula>80%</formula>
      <formula>99%</formula>
    </cfRule>
    <cfRule type="cellIs" dxfId="18261" priority="227" operator="between">
      <formula>0%</formula>
      <formula>79%</formula>
    </cfRule>
  </conditionalFormatting>
  <conditionalFormatting sqref="BM268:BT268">
    <cfRule type="cellIs" dxfId="18260" priority="205" operator="equal">
      <formula>#REF!</formula>
    </cfRule>
    <cfRule type="cellIs" dxfId="18259" priority="206" operator="greaterThan">
      <formula>1</formula>
    </cfRule>
    <cfRule type="cellIs" dxfId="18258" priority="207" operator="equal">
      <formula>100%</formula>
    </cfRule>
    <cfRule type="cellIs" dxfId="18257" priority="208" operator="between">
      <formula>80%</formula>
      <formula>99%</formula>
    </cfRule>
    <cfRule type="cellIs" dxfId="18256" priority="209" operator="between">
      <formula>0%</formula>
      <formula>79%</formula>
    </cfRule>
  </conditionalFormatting>
  <conditionalFormatting sqref="BM269:BT269">
    <cfRule type="cellIs" dxfId="18255" priority="217" operator="equal">
      <formula>#REF!</formula>
    </cfRule>
    <cfRule type="cellIs" dxfId="18254" priority="218" operator="greaterThan">
      <formula>1</formula>
    </cfRule>
    <cfRule type="cellIs" dxfId="18253" priority="219" operator="equal">
      <formula>100%</formula>
    </cfRule>
    <cfRule type="cellIs" dxfId="18252" priority="220" operator="between">
      <formula>80%</formula>
      <formula>99%</formula>
    </cfRule>
    <cfRule type="cellIs" dxfId="18251" priority="221" operator="between">
      <formula>0%</formula>
      <formula>79%</formula>
    </cfRule>
  </conditionalFormatting>
  <conditionalFormatting sqref="BM265:BT267">
    <cfRule type="cellIs" dxfId="18250" priority="211" operator="equal">
      <formula>#REF!</formula>
    </cfRule>
    <cfRule type="cellIs" dxfId="18249" priority="212" operator="greaterThan">
      <formula>1</formula>
    </cfRule>
    <cfRule type="cellIs" dxfId="18248" priority="213" operator="equal">
      <formula>100%</formula>
    </cfRule>
    <cfRule type="cellIs" dxfId="18247" priority="214" operator="between">
      <formula>80%</formula>
      <formula>99%</formula>
    </cfRule>
    <cfRule type="cellIs" dxfId="18246" priority="215" operator="between">
      <formula>0%</formula>
      <formula>79%</formula>
    </cfRule>
  </conditionalFormatting>
  <conditionalFormatting sqref="BM270:BT270">
    <cfRule type="cellIs" dxfId="18245" priority="199" operator="equal">
      <formula>#REF!</formula>
    </cfRule>
    <cfRule type="cellIs" dxfId="18244" priority="200" operator="greaterThan">
      <formula>1</formula>
    </cfRule>
    <cfRule type="cellIs" dxfId="18243" priority="201" operator="equal">
      <formula>100%</formula>
    </cfRule>
    <cfRule type="cellIs" dxfId="18242" priority="202" operator="between">
      <formula>80%</formula>
      <formula>99%</formula>
    </cfRule>
    <cfRule type="cellIs" dxfId="18241" priority="203" operator="between">
      <formula>0%</formula>
      <formula>79%</formula>
    </cfRule>
  </conditionalFormatting>
  <conditionalFormatting sqref="BM271:BT271">
    <cfRule type="cellIs" dxfId="18240" priority="193" operator="equal">
      <formula>#REF!</formula>
    </cfRule>
    <cfRule type="cellIs" dxfId="18239" priority="194" operator="greaterThan">
      <formula>1</formula>
    </cfRule>
    <cfRule type="cellIs" dxfId="18238" priority="195" operator="equal">
      <formula>100%</formula>
    </cfRule>
    <cfRule type="cellIs" dxfId="18237" priority="196" operator="between">
      <formula>80%</formula>
      <formula>99%</formula>
    </cfRule>
    <cfRule type="cellIs" dxfId="18236" priority="197" operator="between">
      <formula>0%</formula>
      <formula>79%</formula>
    </cfRule>
  </conditionalFormatting>
  <conditionalFormatting sqref="BM272:BT272">
    <cfRule type="cellIs" dxfId="18235" priority="187" operator="equal">
      <formula>#REF!</formula>
    </cfRule>
    <cfRule type="cellIs" dxfId="18234" priority="188" operator="greaterThan">
      <formula>1</formula>
    </cfRule>
    <cfRule type="cellIs" dxfId="18233" priority="189" operator="equal">
      <formula>100%</formula>
    </cfRule>
    <cfRule type="cellIs" dxfId="18232" priority="190" operator="between">
      <formula>80%</formula>
      <formula>99%</formula>
    </cfRule>
    <cfRule type="cellIs" dxfId="18231" priority="191" operator="between">
      <formula>0%</formula>
      <formula>79%</formula>
    </cfRule>
  </conditionalFormatting>
  <conditionalFormatting sqref="BM273:BT273">
    <cfRule type="cellIs" dxfId="18230" priority="181" operator="equal">
      <formula>#REF!</formula>
    </cfRule>
    <cfRule type="cellIs" dxfId="18229" priority="182" operator="greaterThan">
      <formula>1</formula>
    </cfRule>
    <cfRule type="cellIs" dxfId="18228" priority="183" operator="equal">
      <formula>100%</formula>
    </cfRule>
    <cfRule type="cellIs" dxfId="18227" priority="184" operator="between">
      <formula>80%</formula>
      <formula>99%</formula>
    </cfRule>
    <cfRule type="cellIs" dxfId="18226" priority="185" operator="between">
      <formula>0%</formula>
      <formula>79%</formula>
    </cfRule>
  </conditionalFormatting>
  <conditionalFormatting sqref="BM275:BT275">
    <cfRule type="cellIs" dxfId="18225" priority="175" operator="equal">
      <formula>#REF!</formula>
    </cfRule>
    <cfRule type="cellIs" dxfId="18224" priority="176" operator="greaterThan">
      <formula>1</formula>
    </cfRule>
    <cfRule type="cellIs" dxfId="18223" priority="177" operator="equal">
      <formula>100%</formula>
    </cfRule>
    <cfRule type="cellIs" dxfId="18222" priority="178" operator="between">
      <formula>80%</formula>
      <formula>99%</formula>
    </cfRule>
    <cfRule type="cellIs" dxfId="18221" priority="179" operator="between">
      <formula>0%</formula>
      <formula>79%</formula>
    </cfRule>
  </conditionalFormatting>
  <conditionalFormatting sqref="BM277:BT277">
    <cfRule type="cellIs" dxfId="18220" priority="169" operator="equal">
      <formula>#REF!</formula>
    </cfRule>
    <cfRule type="cellIs" dxfId="18219" priority="170" operator="greaterThan">
      <formula>1</formula>
    </cfRule>
    <cfRule type="cellIs" dxfId="18218" priority="171" operator="equal">
      <formula>100%</formula>
    </cfRule>
    <cfRule type="cellIs" dxfId="18217" priority="172" operator="between">
      <formula>80%</formula>
      <formula>99%</formula>
    </cfRule>
    <cfRule type="cellIs" dxfId="18216" priority="173" operator="between">
      <formula>0%</formula>
      <formula>79%</formula>
    </cfRule>
  </conditionalFormatting>
  <conditionalFormatting sqref="BM279:BT281">
    <cfRule type="cellIs" dxfId="18215" priority="163" operator="equal">
      <formula>#REF!</formula>
    </cfRule>
    <cfRule type="cellIs" dxfId="18214" priority="164" operator="greaterThan">
      <formula>1</formula>
    </cfRule>
    <cfRule type="cellIs" dxfId="18213" priority="165" operator="equal">
      <formula>100%</formula>
    </cfRule>
    <cfRule type="cellIs" dxfId="18212" priority="166" operator="between">
      <formula>80%</formula>
      <formula>99%</formula>
    </cfRule>
    <cfRule type="cellIs" dxfId="18211" priority="167" operator="between">
      <formula>0%</formula>
      <formula>79%</formula>
    </cfRule>
  </conditionalFormatting>
  <conditionalFormatting sqref="BM284:BT284">
    <cfRule type="cellIs" dxfId="18210" priority="151" operator="equal">
      <formula>#REF!</formula>
    </cfRule>
    <cfRule type="cellIs" dxfId="18209" priority="152" operator="greaterThan">
      <formula>1</formula>
    </cfRule>
    <cfRule type="cellIs" dxfId="18208" priority="153" operator="equal">
      <formula>100%</formula>
    </cfRule>
    <cfRule type="cellIs" dxfId="18207" priority="154" operator="between">
      <formula>80%</formula>
      <formula>99%</formula>
    </cfRule>
    <cfRule type="cellIs" dxfId="18206" priority="155" operator="between">
      <formula>0%</formula>
      <formula>79%</formula>
    </cfRule>
  </conditionalFormatting>
  <conditionalFormatting sqref="BM274:BT274">
    <cfRule type="cellIs" dxfId="18205" priority="145" operator="equal">
      <formula>#REF!</formula>
    </cfRule>
    <cfRule type="cellIs" dxfId="18204" priority="146" operator="greaterThan">
      <formula>1</formula>
    </cfRule>
    <cfRule type="cellIs" dxfId="18203" priority="147" operator="equal">
      <formula>100%</formula>
    </cfRule>
    <cfRule type="cellIs" dxfId="18202" priority="148" operator="between">
      <formula>80%</formula>
      <formula>99%</formula>
    </cfRule>
    <cfRule type="cellIs" dxfId="18201" priority="149" operator="between">
      <formula>0%</formula>
      <formula>79%</formula>
    </cfRule>
  </conditionalFormatting>
  <conditionalFormatting sqref="BM276:BT276">
    <cfRule type="cellIs" dxfId="18200" priority="139" operator="equal">
      <formula>#REF!</formula>
    </cfRule>
    <cfRule type="cellIs" dxfId="18199" priority="140" operator="greaterThan">
      <formula>1</formula>
    </cfRule>
    <cfRule type="cellIs" dxfId="18198" priority="141" operator="equal">
      <formula>100%</formula>
    </cfRule>
    <cfRule type="cellIs" dxfId="18197" priority="142" operator="between">
      <formula>80%</formula>
      <formula>99%</formula>
    </cfRule>
    <cfRule type="cellIs" dxfId="18196" priority="143" operator="between">
      <formula>0%</formula>
      <formula>79%</formula>
    </cfRule>
  </conditionalFormatting>
  <conditionalFormatting sqref="BM285:BT285">
    <cfRule type="cellIs" dxfId="18195" priority="133" operator="equal">
      <formula>#REF!</formula>
    </cfRule>
    <cfRule type="cellIs" dxfId="18194" priority="134" operator="greaterThan">
      <formula>1</formula>
    </cfRule>
    <cfRule type="cellIs" dxfId="18193" priority="135" operator="equal">
      <formula>100%</formula>
    </cfRule>
    <cfRule type="cellIs" dxfId="18192" priority="136" operator="between">
      <formula>80%</formula>
      <formula>99%</formula>
    </cfRule>
    <cfRule type="cellIs" dxfId="18191" priority="137" operator="between">
      <formula>0%</formula>
      <formula>79%</formula>
    </cfRule>
  </conditionalFormatting>
  <conditionalFormatting sqref="BM286:BT286">
    <cfRule type="cellIs" dxfId="18190" priority="127" operator="equal">
      <formula>#REF!</formula>
    </cfRule>
    <cfRule type="cellIs" dxfId="18189" priority="128" operator="greaterThan">
      <formula>1</formula>
    </cfRule>
    <cfRule type="cellIs" dxfId="18188" priority="129" operator="equal">
      <formula>100%</formula>
    </cfRule>
    <cfRule type="cellIs" dxfId="18187" priority="130" operator="between">
      <formula>80%</formula>
      <formula>99%</formula>
    </cfRule>
    <cfRule type="cellIs" dxfId="18186" priority="131" operator="between">
      <formula>0%</formula>
      <formula>79%</formula>
    </cfRule>
  </conditionalFormatting>
  <conditionalFormatting sqref="BM289:BT289">
    <cfRule type="cellIs" dxfId="18185" priority="121" operator="equal">
      <formula>#REF!</formula>
    </cfRule>
    <cfRule type="cellIs" dxfId="18184" priority="122" operator="greaterThan">
      <formula>1</formula>
    </cfRule>
    <cfRule type="cellIs" dxfId="18183" priority="123" operator="equal">
      <formula>100%</formula>
    </cfRule>
    <cfRule type="cellIs" dxfId="18182" priority="124" operator="between">
      <formula>80%</formula>
      <formula>99%</formula>
    </cfRule>
    <cfRule type="cellIs" dxfId="18181" priority="125" operator="between">
      <formula>0%</formula>
      <formula>79%</formula>
    </cfRule>
  </conditionalFormatting>
  <conditionalFormatting sqref="BM287:BT287">
    <cfRule type="cellIs" dxfId="18180" priority="115" operator="equal">
      <formula>#REF!</formula>
    </cfRule>
    <cfRule type="cellIs" dxfId="18179" priority="116" operator="greaterThan">
      <formula>1</formula>
    </cfRule>
    <cfRule type="cellIs" dxfId="18178" priority="117" operator="equal">
      <formula>100%</formula>
    </cfRule>
    <cfRule type="cellIs" dxfId="18177" priority="118" operator="between">
      <formula>80%</formula>
      <formula>99%</formula>
    </cfRule>
    <cfRule type="cellIs" dxfId="18176" priority="119" operator="between">
      <formula>0%</formula>
      <formula>79%</formula>
    </cfRule>
  </conditionalFormatting>
  <conditionalFormatting sqref="BM292:BT299">
    <cfRule type="cellIs" dxfId="18175" priority="109" operator="equal">
      <formula>#REF!</formula>
    </cfRule>
    <cfRule type="cellIs" dxfId="18174" priority="110" operator="greaterThan">
      <formula>1</formula>
    </cfRule>
    <cfRule type="cellIs" dxfId="18173" priority="111" operator="equal">
      <formula>100%</formula>
    </cfRule>
    <cfRule type="cellIs" dxfId="18172" priority="112" operator="between">
      <formula>80%</formula>
      <formula>99%</formula>
    </cfRule>
    <cfRule type="cellIs" dxfId="18171" priority="113" operator="between">
      <formula>0%</formula>
      <formula>79%</formula>
    </cfRule>
  </conditionalFormatting>
  <conditionalFormatting sqref="BM302:BT305 BO307 BQ307 BS307 BN306:BT306 BT311">
    <cfRule type="cellIs" dxfId="18170" priority="103" operator="equal">
      <formula>#REF!</formula>
    </cfRule>
    <cfRule type="cellIs" dxfId="18169" priority="104" operator="greaterThan">
      <formula>1</formula>
    </cfRule>
    <cfRule type="cellIs" dxfId="18168" priority="105" operator="equal">
      <formula>100%</formula>
    </cfRule>
    <cfRule type="cellIs" dxfId="18167" priority="106" operator="between">
      <formula>80%</formula>
      <formula>99%</formula>
    </cfRule>
    <cfRule type="cellIs" dxfId="18166" priority="107" operator="between">
      <formula>0%</formula>
      <formula>79%</formula>
    </cfRule>
  </conditionalFormatting>
  <conditionalFormatting sqref="BM303:BT303">
    <cfRule type="cellIs" dxfId="18165" priority="97" operator="equal">
      <formula>#REF!</formula>
    </cfRule>
    <cfRule type="cellIs" dxfId="18164" priority="98" operator="greaterThan">
      <formula>1</formula>
    </cfRule>
    <cfRule type="cellIs" dxfId="18163" priority="99" operator="equal">
      <formula>100%</formula>
    </cfRule>
    <cfRule type="cellIs" dxfId="18162" priority="100" operator="between">
      <formula>80%</formula>
      <formula>99%</formula>
    </cfRule>
    <cfRule type="cellIs" dxfId="18161" priority="101" operator="between">
      <formula>0%</formula>
      <formula>79%</formula>
    </cfRule>
  </conditionalFormatting>
  <conditionalFormatting sqref="BM304:BT304">
    <cfRule type="cellIs" dxfId="18160" priority="91" operator="equal">
      <formula>#REF!</formula>
    </cfRule>
    <cfRule type="cellIs" dxfId="18159" priority="92" operator="greaterThan">
      <formula>1</formula>
    </cfRule>
    <cfRule type="cellIs" dxfId="18158" priority="93" operator="equal">
      <formula>100%</formula>
    </cfRule>
    <cfRule type="cellIs" dxfId="18157" priority="94" operator="between">
      <formula>80%</formula>
      <formula>99%</formula>
    </cfRule>
    <cfRule type="cellIs" dxfId="18156" priority="95" operator="between">
      <formula>0%</formula>
      <formula>79%</formula>
    </cfRule>
  </conditionalFormatting>
  <conditionalFormatting sqref="BM305:BT305 BT311">
    <cfRule type="cellIs" dxfId="18155" priority="85" operator="equal">
      <formula>#REF!</formula>
    </cfRule>
    <cfRule type="cellIs" dxfId="18154" priority="86" operator="greaterThan">
      <formula>1</formula>
    </cfRule>
    <cfRule type="cellIs" dxfId="18153" priority="87" operator="equal">
      <formula>100%</formula>
    </cfRule>
    <cfRule type="cellIs" dxfId="18152" priority="88" operator="between">
      <formula>80%</formula>
      <formula>99%</formula>
    </cfRule>
    <cfRule type="cellIs" dxfId="18151" priority="89" operator="between">
      <formula>0%</formula>
      <formula>79%</formula>
    </cfRule>
  </conditionalFormatting>
  <conditionalFormatting sqref="BN306:BT306">
    <cfRule type="cellIs" dxfId="18150" priority="79" operator="equal">
      <formula>#REF!</formula>
    </cfRule>
    <cfRule type="cellIs" dxfId="18149" priority="80" operator="greaterThan">
      <formula>1</formula>
    </cfRule>
    <cfRule type="cellIs" dxfId="18148" priority="81" operator="equal">
      <formula>100%</formula>
    </cfRule>
    <cfRule type="cellIs" dxfId="18147" priority="82" operator="between">
      <formula>80%</formula>
      <formula>99%</formula>
    </cfRule>
    <cfRule type="cellIs" dxfId="18146" priority="83" operator="between">
      <formula>0%</formula>
      <formula>79%</formula>
    </cfRule>
  </conditionalFormatting>
  <conditionalFormatting sqref="BO307 BQ307 BS307">
    <cfRule type="cellIs" dxfId="18145" priority="73" operator="equal">
      <formula>#REF!</formula>
    </cfRule>
    <cfRule type="cellIs" dxfId="18144" priority="74" operator="greaterThan">
      <formula>1</formula>
    </cfRule>
    <cfRule type="cellIs" dxfId="18143" priority="75" operator="equal">
      <formula>100%</formula>
    </cfRule>
    <cfRule type="cellIs" dxfId="18142" priority="76" operator="between">
      <formula>80%</formula>
      <formula>99%</formula>
    </cfRule>
    <cfRule type="cellIs" dxfId="18141" priority="77" operator="between">
      <formula>0%</formula>
      <formula>79%</formula>
    </cfRule>
  </conditionalFormatting>
  <conditionalFormatting sqref="BM306:BM307">
    <cfRule type="cellIs" dxfId="18140" priority="67" operator="equal">
      <formula>#REF!</formula>
    </cfRule>
    <cfRule type="cellIs" dxfId="18139" priority="68" operator="greaterThan">
      <formula>1</formula>
    </cfRule>
    <cfRule type="cellIs" dxfId="18138" priority="69" operator="equal">
      <formula>100%</formula>
    </cfRule>
    <cfRule type="cellIs" dxfId="18137" priority="70" operator="between">
      <formula>80%</formula>
      <formula>99%</formula>
    </cfRule>
    <cfRule type="cellIs" dxfId="18136" priority="71" operator="between">
      <formula>0%</formula>
      <formula>79%</formula>
    </cfRule>
  </conditionalFormatting>
  <conditionalFormatting sqref="BM306:BM307">
    <cfRule type="cellIs" dxfId="18135" priority="61" operator="equal">
      <formula>#REF!</formula>
    </cfRule>
    <cfRule type="cellIs" dxfId="18134" priority="62" operator="greaterThan">
      <formula>1</formula>
    </cfRule>
    <cfRule type="cellIs" dxfId="18133" priority="63" operator="equal">
      <formula>100%</formula>
    </cfRule>
    <cfRule type="cellIs" dxfId="18132" priority="64" operator="between">
      <formula>80%</formula>
      <formula>99%</formula>
    </cfRule>
    <cfRule type="cellIs" dxfId="18131" priority="65" operator="between">
      <formula>0%</formula>
      <formula>79%</formula>
    </cfRule>
  </conditionalFormatting>
  <conditionalFormatting sqref="BM238:BT238">
    <cfRule type="cellIs" dxfId="18130" priority="55" operator="equal">
      <formula>#REF!</formula>
    </cfRule>
    <cfRule type="cellIs" dxfId="18129" priority="56" operator="greaterThan">
      <formula>1</formula>
    </cfRule>
    <cfRule type="cellIs" dxfId="18128" priority="57" operator="equal">
      <formula>100%</formula>
    </cfRule>
    <cfRule type="cellIs" dxfId="18127" priority="58" operator="between">
      <formula>80%</formula>
      <formula>99%</formula>
    </cfRule>
    <cfRule type="cellIs" dxfId="18126" priority="59" operator="between">
      <formula>0%</formula>
      <formula>79%</formula>
    </cfRule>
  </conditionalFormatting>
  <conditionalFormatting sqref="BM239:BT239">
    <cfRule type="cellIs" dxfId="18125" priority="49" operator="equal">
      <formula>#REF!</formula>
    </cfRule>
    <cfRule type="cellIs" dxfId="18124" priority="50" operator="greaterThan">
      <formula>1</formula>
    </cfRule>
    <cfRule type="cellIs" dxfId="18123" priority="51" operator="equal">
      <formula>100%</formula>
    </cfRule>
    <cfRule type="cellIs" dxfId="18122" priority="52" operator="between">
      <formula>80%</formula>
      <formula>99%</formula>
    </cfRule>
    <cfRule type="cellIs" dxfId="18121" priority="53" operator="between">
      <formula>0%</formula>
      <formula>79%</formula>
    </cfRule>
  </conditionalFormatting>
  <conditionalFormatting sqref="BM308:BT308">
    <cfRule type="cellIs" dxfId="18120" priority="43" operator="equal">
      <formula>#REF!</formula>
    </cfRule>
    <cfRule type="cellIs" dxfId="18119" priority="44" operator="greaterThan">
      <formula>1</formula>
    </cfRule>
    <cfRule type="cellIs" dxfId="18118" priority="45" operator="equal">
      <formula>100%</formula>
    </cfRule>
    <cfRule type="cellIs" dxfId="18117" priority="46" operator="between">
      <formula>80%</formula>
      <formula>99%</formula>
    </cfRule>
    <cfRule type="cellIs" dxfId="18116" priority="47" operator="between">
      <formula>0%</formula>
      <formula>79%</formula>
    </cfRule>
  </conditionalFormatting>
  <conditionalFormatting sqref="BM309:BT309 BM316:BT319">
    <cfRule type="cellIs" dxfId="18115" priority="37" operator="equal">
      <formula>#REF!</formula>
    </cfRule>
    <cfRule type="cellIs" dxfId="18114" priority="38" operator="greaterThan">
      <formula>1</formula>
    </cfRule>
    <cfRule type="cellIs" dxfId="18113" priority="39" operator="equal">
      <formula>100%</formula>
    </cfRule>
    <cfRule type="cellIs" dxfId="18112" priority="40" operator="between">
      <formula>80%</formula>
      <formula>99%</formula>
    </cfRule>
    <cfRule type="cellIs" dxfId="18111" priority="41" operator="between">
      <formula>0%</formula>
      <formula>79%</formula>
    </cfRule>
  </conditionalFormatting>
  <conditionalFormatting sqref="BM310:BT310">
    <cfRule type="cellIs" dxfId="18110" priority="31" operator="equal">
      <formula>#REF!</formula>
    </cfRule>
    <cfRule type="cellIs" dxfId="18109" priority="32" operator="greaterThan">
      <formula>1</formula>
    </cfRule>
    <cfRule type="cellIs" dxfId="18108" priority="33" operator="equal">
      <formula>100%</formula>
    </cfRule>
    <cfRule type="cellIs" dxfId="18107" priority="34" operator="between">
      <formula>80%</formula>
      <formula>99%</formula>
    </cfRule>
    <cfRule type="cellIs" dxfId="18106" priority="35" operator="between">
      <formula>0%</formula>
      <formula>79%</formula>
    </cfRule>
  </conditionalFormatting>
  <conditionalFormatting sqref="BM311:BS311">
    <cfRule type="cellIs" dxfId="18105" priority="13" operator="equal">
      <formula>#REF!</formula>
    </cfRule>
    <cfRule type="cellIs" dxfId="18104" priority="14" operator="greaterThan">
      <formula>1</formula>
    </cfRule>
    <cfRule type="cellIs" dxfId="18103" priority="15" operator="equal">
      <formula>100%</formula>
    </cfRule>
    <cfRule type="cellIs" dxfId="18102" priority="16" operator="between">
      <formula>80%</formula>
      <formula>99%</formula>
    </cfRule>
    <cfRule type="cellIs" dxfId="18101" priority="17" operator="between">
      <formula>0%</formula>
      <formula>79%</formula>
    </cfRule>
  </conditionalFormatting>
  <conditionalFormatting sqref="BM311:BS311">
    <cfRule type="cellIs" dxfId="18100" priority="19" operator="equal">
      <formula>#REF!</formula>
    </cfRule>
    <cfRule type="cellIs" dxfId="18099" priority="20" operator="greaterThan">
      <formula>1</formula>
    </cfRule>
    <cfRule type="cellIs" dxfId="18098" priority="21" operator="equal">
      <formula>100%</formula>
    </cfRule>
    <cfRule type="cellIs" dxfId="18097" priority="22" operator="between">
      <formula>80%</formula>
      <formula>99%</formula>
    </cfRule>
    <cfRule type="cellIs" dxfId="18096" priority="23" operator="between">
      <formula>0%</formula>
      <formula>79%</formula>
    </cfRule>
  </conditionalFormatting>
  <conditionalFormatting sqref="BM312:BT312 BM314:BT315">
    <cfRule type="cellIs" dxfId="18095" priority="7" operator="equal">
      <formula>#REF!</formula>
    </cfRule>
    <cfRule type="cellIs" dxfId="18094" priority="8" operator="greaterThan">
      <formula>1</formula>
    </cfRule>
    <cfRule type="cellIs" dxfId="18093" priority="9" operator="equal">
      <formula>100%</formula>
    </cfRule>
    <cfRule type="cellIs" dxfId="18092" priority="10" operator="between">
      <formula>80%</formula>
      <formula>99%</formula>
    </cfRule>
    <cfRule type="cellIs" dxfId="18091" priority="11" operator="between">
      <formula>0%</formula>
      <formula>79%</formula>
    </cfRule>
  </conditionalFormatting>
  <conditionalFormatting sqref="BM313:BT313">
    <cfRule type="cellIs" dxfId="18090" priority="2" operator="equal">
      <formula>#REF!</formula>
    </cfRule>
    <cfRule type="cellIs" dxfId="18089" priority="3" operator="greaterThan">
      <formula>1</formula>
    </cfRule>
    <cfRule type="cellIs" dxfId="18088" priority="4" operator="equal">
      <formula>100%</formula>
    </cfRule>
    <cfRule type="cellIs" dxfId="18087" priority="5" operator="between">
      <formula>80%</formula>
      <formula>99%</formula>
    </cfRule>
    <cfRule type="cellIs" dxfId="18086" priority="6" operator="between">
      <formula>0%</formula>
      <formula>79%</formula>
    </cfRule>
  </conditionalFormatting>
  <dataValidations count="5">
    <dataValidation type="list" allowBlank="1" showInputMessage="1" showErrorMessage="1" sqref="S152:S155 S136:S137 S122 S12:S43 S174:S177 S99:S102 S105:S108 S8 S148:S150 S45:S46 S51:S62" xr:uid="{00000000-0002-0000-0200-000000000000}">
      <formula1>$T$3:$T$56</formula1>
    </dataValidation>
    <dataValidation type="list" allowBlank="1" showInputMessage="1" showErrorMessage="1" sqref="S156:S158 S169:S170" xr:uid="{00000000-0002-0000-0200-000001000000}">
      <formula1>$T$3:$T$69</formula1>
    </dataValidation>
    <dataValidation type="list" allowBlank="1" showInputMessage="1" showErrorMessage="1" sqref="S138 S146 S172:S173 S182:S183 S185:S187" xr:uid="{00000000-0002-0000-0200-000002000000}">
      <formula1>$T$3:$T$70</formula1>
    </dataValidation>
    <dataValidation type="list" allowBlank="1" showInputMessage="1" showErrorMessage="1" sqref="S151 S69:S74" xr:uid="{00000000-0002-0000-0200-000003000000}">
      <formula1>$T$3:$T$74</formula1>
    </dataValidation>
    <dataValidation type="list" allowBlank="1" showInputMessage="1" showErrorMessage="1" sqref="S139 S9:S11" xr:uid="{00000000-0002-0000-0200-000004000000}">
      <formula1>$T$3:$T$76</formula1>
    </dataValidation>
  </dataValidations>
  <hyperlinks>
    <hyperlink ref="AR13" r:id="rId1" display="https://www.adres.gov.co/Portals/0/manuales/GERC-C01%20Manual%20Operativo_Contabilidad_DGRFS.PDF?ver=2018-02-08-072450-163" xr:uid="{48F6A8FC-F655-4BF0-A4CE-82F44859D1D6}"/>
  </hyperlinks>
  <printOptions horizontalCentered="1"/>
  <pageMargins left="0.11811023622047245" right="0.11811023622047245" top="0.15748031496062992" bottom="0.15748031496062992" header="0.31496062992125984" footer="0.31496062992125984"/>
  <pageSetup paperSize="41" scale="45"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containsText" priority="750" operator="containsText" id="{F67FCEFB-1651-46B0-8231-06091BCC6633}">
            <xm:f>NOT(ISERROR(SEARCH(#REF!,BM8)))</xm:f>
            <xm:f>#REF!</xm:f>
            <x14:dxf>
              <font>
                <color theme="4"/>
              </font>
              <fill>
                <patternFill>
                  <bgColor theme="5" tint="0.59996337778862885"/>
                </patternFill>
              </fill>
            </x14:dxf>
          </x14:cfRule>
          <xm:sqref>BM8:BT9 BM147:BT160 BM166:BT166 BM169:BT175 BM10:BM11 BO10:BO11 BQ10:BQ11 BS10:BS11 BM181:BT181 BO180 BM167:BM168 BO167:BO168 BQ167:BQ168 BS167:BS168 BM161:BM165 BO161:BO165 BQ161:BQ165 BS161:BS165 BM183:BT187 BM69:BT78 BS180 BQ180 BM122:BT122 BM136:BT143 BM177:BT179 BO306 BS306 BM12:BT66 BM99:BT111 BM180</xm:sqref>
        </x14:conditionalFormatting>
        <x14:conditionalFormatting xmlns:xm="http://schemas.microsoft.com/office/excel/2006/main">
          <x14:cfRule type="containsText" priority="732" operator="containsText" id="{CD4FB10C-CE87-42B3-9951-DEAE15BA8A60}">
            <xm:f>NOT(ISERROR(SEARCH(#REF!,BM176)))</xm:f>
            <xm:f>#REF!</xm:f>
            <x14:dxf>
              <font>
                <color theme="4"/>
              </font>
              <fill>
                <patternFill>
                  <bgColor theme="5" tint="0.59996337778862885"/>
                </patternFill>
              </fill>
            </x14:dxf>
          </x14:cfRule>
          <xm:sqref>BM176:BT176 BM189:BT189</xm:sqref>
        </x14:conditionalFormatting>
        <x14:conditionalFormatting xmlns:xm="http://schemas.microsoft.com/office/excel/2006/main">
          <x14:cfRule type="containsText" priority="726" operator="containsText" id="{17ABA43D-1DA4-4C4E-B6C5-08C09C9D5406}">
            <xm:f>NOT(ISERROR(SEARCH(#REF!,BM144)))</xm:f>
            <xm:f>#REF!</xm:f>
            <x14:dxf>
              <font>
                <color theme="4"/>
              </font>
              <fill>
                <patternFill>
                  <bgColor theme="5" tint="0.59996337778862885"/>
                </patternFill>
              </fill>
            </x14:dxf>
          </x14:cfRule>
          <xm:sqref>BM144:BT144 BM146:BT146 BM145 BO145 BQ145 BS145</xm:sqref>
        </x14:conditionalFormatting>
        <x14:conditionalFormatting xmlns:xm="http://schemas.microsoft.com/office/excel/2006/main">
          <x14:cfRule type="containsText" priority="720" operator="containsText" id="{C6C5884D-B5C3-41BB-9A23-396050C2EDB7}">
            <xm:f>NOT(ISERROR(SEARCH(#REF!,BM182)))</xm:f>
            <xm:f>#REF!</xm:f>
            <x14:dxf>
              <font>
                <color theme="4"/>
              </font>
              <fill>
                <patternFill>
                  <bgColor theme="5" tint="0.59996337778862885"/>
                </patternFill>
              </fill>
            </x14:dxf>
          </x14:cfRule>
          <xm:sqref>BM182 BO182 BQ182 BS182</xm:sqref>
        </x14:conditionalFormatting>
        <x14:conditionalFormatting xmlns:xm="http://schemas.microsoft.com/office/excel/2006/main">
          <x14:cfRule type="containsText" priority="714" operator="containsText" id="{3014E89B-EF36-4487-B5A3-B6D115708EE8}">
            <xm:f>NOT(ISERROR(SEARCH(#REF!,BM188)))</xm:f>
            <xm:f>#REF!</xm:f>
            <x14:dxf>
              <font>
                <color theme="4"/>
              </font>
              <fill>
                <patternFill>
                  <bgColor theme="5" tint="0.59996337778862885"/>
                </patternFill>
              </fill>
            </x14:dxf>
          </x14:cfRule>
          <xm:sqref>BM188:BT188</xm:sqref>
        </x14:conditionalFormatting>
        <x14:conditionalFormatting xmlns:xm="http://schemas.microsoft.com/office/excel/2006/main">
          <x14:cfRule type="containsText" priority="708" operator="containsText" id="{FD5AD8FC-6C72-4C7C-A6D2-DA2F683172C2}">
            <xm:f>NOT(ISERROR(SEARCH(#REF!,BM67)))</xm:f>
            <xm:f>#REF!</xm:f>
            <x14:dxf>
              <font>
                <color theme="4"/>
              </font>
              <fill>
                <patternFill>
                  <bgColor theme="5" tint="0.59996337778862885"/>
                </patternFill>
              </fill>
            </x14:dxf>
          </x14:cfRule>
          <xm:sqref>BM67:BT68</xm:sqref>
        </x14:conditionalFormatting>
        <x14:conditionalFormatting xmlns:xm="http://schemas.microsoft.com/office/excel/2006/main">
          <x14:cfRule type="containsText" priority="702" operator="containsText" id="{5C2DEDBF-12A1-4312-AB07-198194F3DA88}">
            <xm:f>NOT(ISERROR(SEARCH(#REF!,BN165)))</xm:f>
            <xm:f>#REF!</xm:f>
            <x14:dxf>
              <font>
                <color theme="4"/>
              </font>
              <fill>
                <patternFill>
                  <bgColor theme="5" tint="0.59996337778862885"/>
                </patternFill>
              </fill>
            </x14:dxf>
          </x14:cfRule>
          <xm:sqref>BN165</xm:sqref>
        </x14:conditionalFormatting>
        <x14:conditionalFormatting xmlns:xm="http://schemas.microsoft.com/office/excel/2006/main">
          <x14:cfRule type="containsText" priority="696" operator="containsText" id="{C81361F6-FF53-44A0-87E0-59CF66A2101F}">
            <xm:f>NOT(ISERROR(SEARCH(#REF!,BP165)))</xm:f>
            <xm:f>#REF!</xm:f>
            <x14:dxf>
              <font>
                <color theme="4"/>
              </font>
              <fill>
                <patternFill>
                  <bgColor theme="5" tint="0.59996337778862885"/>
                </patternFill>
              </fill>
            </x14:dxf>
          </x14:cfRule>
          <xm:sqref>BP165</xm:sqref>
        </x14:conditionalFormatting>
        <x14:conditionalFormatting xmlns:xm="http://schemas.microsoft.com/office/excel/2006/main">
          <x14:cfRule type="containsText" priority="690" operator="containsText" id="{DF64B949-B601-4CED-B0EC-9C8259CFE251}">
            <xm:f>NOT(ISERROR(SEARCH(#REF!,BR165)))</xm:f>
            <xm:f>#REF!</xm:f>
            <x14:dxf>
              <font>
                <color theme="4"/>
              </font>
              <fill>
                <patternFill>
                  <bgColor theme="5" tint="0.59996337778862885"/>
                </patternFill>
              </fill>
            </x14:dxf>
          </x14:cfRule>
          <xm:sqref>BR165</xm:sqref>
        </x14:conditionalFormatting>
        <x14:conditionalFormatting xmlns:xm="http://schemas.microsoft.com/office/excel/2006/main">
          <x14:cfRule type="containsText" priority="684" operator="containsText" id="{89770DD1-615B-4421-8802-2D04C1A04303}">
            <xm:f>NOT(ISERROR(SEARCH(#REF!,BT165)))</xm:f>
            <xm:f>#REF!</xm:f>
            <x14:dxf>
              <font>
                <color theme="4"/>
              </font>
              <fill>
                <patternFill>
                  <bgColor theme="5" tint="0.59996337778862885"/>
                </patternFill>
              </fill>
            </x14:dxf>
          </x14:cfRule>
          <xm:sqref>BT165</xm:sqref>
        </x14:conditionalFormatting>
        <x14:conditionalFormatting xmlns:xm="http://schemas.microsoft.com/office/excel/2006/main">
          <x14:cfRule type="containsText" priority="660" operator="containsText" id="{F69E5CB5-28BD-4DBE-907B-00F84E947BD5}">
            <xm:f>NOT(ISERROR(SEARCH(#REF!,BM91)))</xm:f>
            <xm:f>#REF!</xm:f>
            <x14:dxf>
              <font>
                <color theme="4"/>
              </font>
              <fill>
                <patternFill>
                  <bgColor theme="5" tint="0.59996337778862885"/>
                </patternFill>
              </fill>
            </x14:dxf>
          </x14:cfRule>
          <xm:sqref>BM91:BT91</xm:sqref>
        </x14:conditionalFormatting>
        <x14:conditionalFormatting xmlns:xm="http://schemas.microsoft.com/office/excel/2006/main">
          <x14:cfRule type="containsText" priority="654" operator="containsText" id="{E658E864-2328-425C-AAC6-A31C2EAD4F6E}">
            <xm:f>NOT(ISERROR(SEARCH(#REF!,BM92)))</xm:f>
            <xm:f>#REF!</xm:f>
            <x14:dxf>
              <font>
                <color theme="4"/>
              </font>
              <fill>
                <patternFill>
                  <bgColor theme="5" tint="0.59996337778862885"/>
                </patternFill>
              </fill>
            </x14:dxf>
          </x14:cfRule>
          <xm:sqref>BM92:BT92</xm:sqref>
        </x14:conditionalFormatting>
        <x14:conditionalFormatting xmlns:xm="http://schemas.microsoft.com/office/excel/2006/main">
          <x14:cfRule type="containsText" priority="648" operator="containsText" id="{62F543E3-7140-472C-B6EB-D99D698906A3}">
            <xm:f>NOT(ISERROR(SEARCH(#REF!,BM93)))</xm:f>
            <xm:f>#REF!</xm:f>
            <x14:dxf>
              <font>
                <color theme="4"/>
              </font>
              <fill>
                <patternFill>
                  <bgColor theme="5" tint="0.59996337778862885"/>
                </patternFill>
              </fill>
            </x14:dxf>
          </x14:cfRule>
          <xm:sqref>BM93:BT93</xm:sqref>
        </x14:conditionalFormatting>
        <x14:conditionalFormatting xmlns:xm="http://schemas.microsoft.com/office/excel/2006/main">
          <x14:cfRule type="containsText" priority="642" operator="containsText" id="{79D115D7-FE3B-46E6-BEEA-6BB5308D7AA5}">
            <xm:f>NOT(ISERROR(SEARCH(#REF!,BM94)))</xm:f>
            <xm:f>#REF!</xm:f>
            <x14:dxf>
              <font>
                <color theme="4"/>
              </font>
              <fill>
                <patternFill>
                  <bgColor theme="5" tint="0.59996337778862885"/>
                </patternFill>
              </fill>
            </x14:dxf>
          </x14:cfRule>
          <xm:sqref>BM94:BT94</xm:sqref>
        </x14:conditionalFormatting>
        <x14:conditionalFormatting xmlns:xm="http://schemas.microsoft.com/office/excel/2006/main">
          <x14:cfRule type="containsText" priority="636" operator="containsText" id="{ACFB9E01-FE3B-4469-96ED-1FCD796F6728}">
            <xm:f>NOT(ISERROR(SEARCH(#REF!,BM95)))</xm:f>
            <xm:f>#REF!</xm:f>
            <x14:dxf>
              <font>
                <color theme="4"/>
              </font>
              <fill>
                <patternFill>
                  <bgColor theme="5" tint="0.59996337778862885"/>
                </patternFill>
              </fill>
            </x14:dxf>
          </x14:cfRule>
          <xm:sqref>BM95:BT95</xm:sqref>
        </x14:conditionalFormatting>
        <x14:conditionalFormatting xmlns:xm="http://schemas.microsoft.com/office/excel/2006/main">
          <x14:cfRule type="containsText" priority="630" operator="containsText" id="{948CD9FA-E910-4FDA-9382-969FF379A4DF}">
            <xm:f>NOT(ISERROR(SEARCH(#REF!,BM96)))</xm:f>
            <xm:f>#REF!</xm:f>
            <x14:dxf>
              <font>
                <color theme="4"/>
              </font>
              <fill>
                <patternFill>
                  <bgColor theme="5" tint="0.59996337778862885"/>
                </patternFill>
              </fill>
            </x14:dxf>
          </x14:cfRule>
          <xm:sqref>BM96:BT98</xm:sqref>
        </x14:conditionalFormatting>
        <x14:conditionalFormatting xmlns:xm="http://schemas.microsoft.com/office/excel/2006/main">
          <x14:cfRule type="containsText" priority="624" operator="containsText" id="{A2332F9B-1A5B-400D-B465-2B58E681C978}">
            <xm:f>NOT(ISERROR(SEARCH(#REF!,BM290)))</xm:f>
            <xm:f>#REF!</xm:f>
            <x14:dxf>
              <font>
                <color theme="4"/>
              </font>
              <fill>
                <patternFill>
                  <bgColor theme="5" tint="0.59996337778862885"/>
                </patternFill>
              </fill>
            </x14:dxf>
          </x14:cfRule>
          <xm:sqref>BM290:BT290</xm:sqref>
        </x14:conditionalFormatting>
        <x14:conditionalFormatting xmlns:xm="http://schemas.microsoft.com/office/excel/2006/main">
          <x14:cfRule type="containsText" priority="618" operator="containsText" id="{500CB119-87E0-42A0-89C1-E4B0164FFC4F}">
            <xm:f>NOT(ISERROR(SEARCH(#REF!,BM291)))</xm:f>
            <xm:f>#REF!</xm:f>
            <x14:dxf>
              <font>
                <color theme="4"/>
              </font>
              <fill>
                <patternFill>
                  <bgColor theme="5" tint="0.59996337778862885"/>
                </patternFill>
              </fill>
            </x14:dxf>
          </x14:cfRule>
          <xm:sqref>BM291:BT291</xm:sqref>
        </x14:conditionalFormatting>
        <x14:conditionalFormatting xmlns:xm="http://schemas.microsoft.com/office/excel/2006/main">
          <x14:cfRule type="containsText" priority="611" operator="containsText" id="{9C6ADB5A-FDE3-46F1-96D1-9B1B0C0EFFAD}">
            <xm:f>NOT(ISERROR(SEARCH(#REF!,BM300)))</xm:f>
            <xm:f>#REF!</xm:f>
            <x14:dxf>
              <font>
                <color theme="4"/>
              </font>
              <fill>
                <patternFill>
                  <bgColor theme="5" tint="0.59996337778862885"/>
                </patternFill>
              </fill>
            </x14:dxf>
          </x14:cfRule>
          <xm:sqref>BM300:BT300</xm:sqref>
        </x14:conditionalFormatting>
        <x14:conditionalFormatting xmlns:xm="http://schemas.microsoft.com/office/excel/2006/main">
          <x14:cfRule type="containsText" priority="599" operator="containsText" id="{55AB5761-772A-4630-90A5-29105A112DFE}">
            <xm:f>NOT(ISERROR(SEARCH(#REF!,BM301)))</xm:f>
            <xm:f>#REF!</xm:f>
            <x14:dxf>
              <font>
                <color theme="4"/>
              </font>
              <fill>
                <patternFill>
                  <bgColor theme="5" tint="0.59996337778862885"/>
                </patternFill>
              </fill>
            </x14:dxf>
          </x14:cfRule>
          <xm:sqref>BM301:BT301</xm:sqref>
        </x14:conditionalFormatting>
        <x14:conditionalFormatting xmlns:xm="http://schemas.microsoft.com/office/excel/2006/main">
          <x14:cfRule type="containsText" priority="557" operator="containsText" id="{E7C67940-2725-4E80-BCC9-0C692CF70420}">
            <xm:f>NOT(ISERROR(SEARCH(#REF!,BM83)))</xm:f>
            <xm:f>#REF!</xm:f>
            <x14:dxf>
              <font>
                <color theme="4"/>
              </font>
              <fill>
                <patternFill>
                  <bgColor theme="5" tint="0.59996337778862885"/>
                </patternFill>
              </fill>
            </x14:dxf>
          </x14:cfRule>
          <xm:sqref>BM83:BT87</xm:sqref>
        </x14:conditionalFormatting>
        <x14:conditionalFormatting xmlns:xm="http://schemas.microsoft.com/office/excel/2006/main">
          <x14:cfRule type="containsText" priority="551" operator="containsText" id="{2C6B1FAF-3278-4D77-980E-28230E3FCAE3}">
            <xm:f>NOT(ISERROR(SEARCH(#REF!,BM79)))</xm:f>
            <xm:f>#REF!</xm:f>
            <x14:dxf>
              <font>
                <color theme="4"/>
              </font>
              <fill>
                <patternFill>
                  <bgColor theme="5" tint="0.59996337778862885"/>
                </patternFill>
              </fill>
            </x14:dxf>
          </x14:cfRule>
          <xm:sqref>BM79:BT90</xm:sqref>
        </x14:conditionalFormatting>
        <x14:conditionalFormatting xmlns:xm="http://schemas.microsoft.com/office/excel/2006/main">
          <x14:cfRule type="containsText" priority="545" operator="containsText" id="{A475F0DF-7570-47FD-A5DB-65013B8D12C7}">
            <xm:f>NOT(ISERROR(SEARCH(#REF!,BM88)))</xm:f>
            <xm:f>#REF!</xm:f>
            <x14:dxf>
              <font>
                <color theme="4"/>
              </font>
              <fill>
                <patternFill>
                  <bgColor theme="5" tint="0.59996337778862885"/>
                </patternFill>
              </fill>
            </x14:dxf>
          </x14:cfRule>
          <xm:sqref>BM88:BT90</xm:sqref>
        </x14:conditionalFormatting>
        <x14:conditionalFormatting xmlns:xm="http://schemas.microsoft.com/office/excel/2006/main">
          <x14:cfRule type="containsText" priority="539" operator="containsText" id="{679B4F83-3904-4403-8FB6-142A804B487D}">
            <xm:f>NOT(ISERROR(SEARCH(#REF!,BM112)))</xm:f>
            <xm:f>#REF!</xm:f>
            <x14:dxf>
              <font>
                <color theme="4"/>
              </font>
              <fill>
                <patternFill>
                  <bgColor theme="5" tint="0.59996337778862885"/>
                </patternFill>
              </fill>
            </x14:dxf>
          </x14:cfRule>
          <xm:sqref>BM112:BT112 BM114:BT118 BM113 BO113 BQ113 BS113 BM120:BT121 BM119:BR119 BT119</xm:sqref>
        </x14:conditionalFormatting>
        <x14:conditionalFormatting xmlns:xm="http://schemas.microsoft.com/office/excel/2006/main">
          <x14:cfRule type="containsText" priority="533" operator="containsText" id="{10075E56-7947-41AF-97D0-1A04C5B2607A}">
            <xm:f>NOT(ISERROR(SEARCH(#REF!,BM123)))</xm:f>
            <xm:f>#REF!</xm:f>
            <x14:dxf>
              <font>
                <color theme="4"/>
              </font>
              <fill>
                <patternFill>
                  <bgColor theme="5" tint="0.59996337778862885"/>
                </patternFill>
              </fill>
            </x14:dxf>
          </x14:cfRule>
          <xm:sqref>BM123:BT135</xm:sqref>
        </x14:conditionalFormatting>
        <x14:conditionalFormatting xmlns:xm="http://schemas.microsoft.com/office/excel/2006/main">
          <x14:cfRule type="containsText" priority="527" operator="containsText" id="{A9254F63-DA16-4C4C-9E64-C72945D2DD67}">
            <xm:f>NOT(ISERROR(SEARCH(#REF!,BM278)))</xm:f>
            <xm:f>#REF!</xm:f>
            <x14:dxf>
              <font>
                <color theme="4"/>
              </font>
              <fill>
                <patternFill>
                  <bgColor theme="5" tint="0.59996337778862885"/>
                </patternFill>
              </fill>
            </x14:dxf>
          </x14:cfRule>
          <xm:sqref>BM278:BT278</xm:sqref>
        </x14:conditionalFormatting>
        <x14:conditionalFormatting xmlns:xm="http://schemas.microsoft.com/office/excel/2006/main">
          <x14:cfRule type="containsText" priority="516" operator="containsText" id="{946452ED-9E0E-4DC7-8227-A8375F3C25E7}">
            <xm:f>NOT(ISERROR(SEARCH(#REF!,BM190)))</xm:f>
            <xm:f>#REF!</xm:f>
            <x14:dxf>
              <font>
                <color theme="4"/>
              </font>
              <fill>
                <patternFill>
                  <bgColor theme="5" tint="0.59996337778862885"/>
                </patternFill>
              </fill>
            </x14:dxf>
          </x14:cfRule>
          <xm:sqref>BM190:BT190</xm:sqref>
        </x14:conditionalFormatting>
        <x14:conditionalFormatting xmlns:xm="http://schemas.microsoft.com/office/excel/2006/main">
          <x14:cfRule type="containsText" priority="510" operator="containsText" id="{9570B8B4-F4CB-4EE5-975B-C28318647232}">
            <xm:f>NOT(ISERROR(SEARCH(#REF!,BM191)))</xm:f>
            <xm:f>#REF!</xm:f>
            <x14:dxf>
              <font>
                <color theme="4"/>
              </font>
              <fill>
                <patternFill>
                  <bgColor theme="5" tint="0.59996337778862885"/>
                </patternFill>
              </fill>
            </x14:dxf>
          </x14:cfRule>
          <xm:sqref>BM191:BT191</xm:sqref>
        </x14:conditionalFormatting>
        <x14:conditionalFormatting xmlns:xm="http://schemas.microsoft.com/office/excel/2006/main">
          <x14:cfRule type="containsText" priority="504" operator="containsText" id="{C089A193-A432-4EE2-9D0C-344A262D8370}">
            <xm:f>NOT(ISERROR(SEARCH(#REF!,BM192)))</xm:f>
            <xm:f>#REF!</xm:f>
            <x14:dxf>
              <font>
                <color theme="4"/>
              </font>
              <fill>
                <patternFill>
                  <bgColor theme="5" tint="0.59996337778862885"/>
                </patternFill>
              </fill>
            </x14:dxf>
          </x14:cfRule>
          <xm:sqref>BM192:BT192</xm:sqref>
        </x14:conditionalFormatting>
        <x14:conditionalFormatting xmlns:xm="http://schemas.microsoft.com/office/excel/2006/main">
          <x14:cfRule type="containsText" priority="498" operator="containsText" id="{886DC58E-ECC4-441E-A6F0-DE56518F9384}">
            <xm:f>NOT(ISERROR(SEARCH(#REF!,BM193)))</xm:f>
            <xm:f>#REF!</xm:f>
            <x14:dxf>
              <font>
                <color theme="4"/>
              </font>
              <fill>
                <patternFill>
                  <bgColor theme="5" tint="0.59996337778862885"/>
                </patternFill>
              </fill>
            </x14:dxf>
          </x14:cfRule>
          <xm:sqref>BM193:BT193</xm:sqref>
        </x14:conditionalFormatting>
        <x14:conditionalFormatting xmlns:xm="http://schemas.microsoft.com/office/excel/2006/main">
          <x14:cfRule type="containsText" priority="492" operator="containsText" id="{124728C1-44F7-46F8-B8B9-2302CA4D1F11}">
            <xm:f>NOT(ISERROR(SEARCH(#REF!,BM194)))</xm:f>
            <xm:f>#REF!</xm:f>
            <x14:dxf>
              <font>
                <color theme="4"/>
              </font>
              <fill>
                <patternFill>
                  <bgColor theme="5" tint="0.59996337778862885"/>
                </patternFill>
              </fill>
            </x14:dxf>
          </x14:cfRule>
          <xm:sqref>BM194:BT194</xm:sqref>
        </x14:conditionalFormatting>
        <x14:conditionalFormatting xmlns:xm="http://schemas.microsoft.com/office/excel/2006/main">
          <x14:cfRule type="containsText" priority="486" operator="containsText" id="{F998E357-C071-4C6D-B058-43B639A7E21B}">
            <xm:f>NOT(ISERROR(SEARCH(#REF!,BM195)))</xm:f>
            <xm:f>#REF!</xm:f>
            <x14:dxf>
              <font>
                <color theme="4"/>
              </font>
              <fill>
                <patternFill>
                  <bgColor theme="5" tint="0.59996337778862885"/>
                </patternFill>
              </fill>
            </x14:dxf>
          </x14:cfRule>
          <xm:sqref>BM195:BT195</xm:sqref>
        </x14:conditionalFormatting>
        <x14:conditionalFormatting xmlns:xm="http://schemas.microsoft.com/office/excel/2006/main">
          <x14:cfRule type="containsText" priority="480" operator="containsText" id="{899132FB-7858-4C46-B9CD-FBEA4A3F095A}">
            <xm:f>NOT(ISERROR(SEARCH(#REF!,BM196)))</xm:f>
            <xm:f>#REF!</xm:f>
            <x14:dxf>
              <font>
                <color theme="4"/>
              </font>
              <fill>
                <patternFill>
                  <bgColor theme="5" tint="0.59996337778862885"/>
                </patternFill>
              </fill>
            </x14:dxf>
          </x14:cfRule>
          <xm:sqref>BM196:BT196</xm:sqref>
        </x14:conditionalFormatting>
        <x14:conditionalFormatting xmlns:xm="http://schemas.microsoft.com/office/excel/2006/main">
          <x14:cfRule type="containsText" priority="474" operator="containsText" id="{E49D25EE-627C-459B-9186-66672674238B}">
            <xm:f>NOT(ISERROR(SEARCH(#REF!,BM197)))</xm:f>
            <xm:f>#REF!</xm:f>
            <x14:dxf>
              <font>
                <color theme="4"/>
              </font>
              <fill>
                <patternFill>
                  <bgColor theme="5" tint="0.59996337778862885"/>
                </patternFill>
              </fill>
            </x14:dxf>
          </x14:cfRule>
          <xm:sqref>BM197:BT197</xm:sqref>
        </x14:conditionalFormatting>
        <x14:conditionalFormatting xmlns:xm="http://schemas.microsoft.com/office/excel/2006/main">
          <x14:cfRule type="containsText" priority="468" operator="containsText" id="{3D0C6276-7E17-4CCB-9612-07E39DF619B8}">
            <xm:f>NOT(ISERROR(SEARCH(#REF!,BM198)))</xm:f>
            <xm:f>#REF!</xm:f>
            <x14:dxf>
              <font>
                <color theme="4"/>
              </font>
              <fill>
                <patternFill>
                  <bgColor theme="5" tint="0.59996337778862885"/>
                </patternFill>
              </fill>
            </x14:dxf>
          </x14:cfRule>
          <xm:sqref>BM198:BT198</xm:sqref>
        </x14:conditionalFormatting>
        <x14:conditionalFormatting xmlns:xm="http://schemas.microsoft.com/office/excel/2006/main">
          <x14:cfRule type="containsText" priority="462" operator="containsText" id="{3C71DB20-252D-49E0-9B49-D985F74ECC80}">
            <xm:f>NOT(ISERROR(SEARCH(#REF!,BM199)))</xm:f>
            <xm:f>#REF!</xm:f>
            <x14:dxf>
              <font>
                <color theme="4"/>
              </font>
              <fill>
                <patternFill>
                  <bgColor theme="5" tint="0.59996337778862885"/>
                </patternFill>
              </fill>
            </x14:dxf>
          </x14:cfRule>
          <xm:sqref>BM199:BT199</xm:sqref>
        </x14:conditionalFormatting>
        <x14:conditionalFormatting xmlns:xm="http://schemas.microsoft.com/office/excel/2006/main">
          <x14:cfRule type="containsText" priority="456" operator="containsText" id="{F1F92847-F5BD-430E-AB44-F32152107810}">
            <xm:f>NOT(ISERROR(SEARCH(#REF!,BM200)))</xm:f>
            <xm:f>#REF!</xm:f>
            <x14:dxf>
              <font>
                <color theme="4"/>
              </font>
              <fill>
                <patternFill>
                  <bgColor theme="5" tint="0.59996337778862885"/>
                </patternFill>
              </fill>
            </x14:dxf>
          </x14:cfRule>
          <xm:sqref>BM200:BT200</xm:sqref>
        </x14:conditionalFormatting>
        <x14:conditionalFormatting xmlns:xm="http://schemas.microsoft.com/office/excel/2006/main">
          <x14:cfRule type="containsText" priority="450" operator="containsText" id="{7B417234-1CB8-4D16-BBC4-0EC709A37BFE}">
            <xm:f>NOT(ISERROR(SEARCH(#REF!,BM201)))</xm:f>
            <xm:f>#REF!</xm:f>
            <x14:dxf>
              <font>
                <color theme="4"/>
              </font>
              <fill>
                <patternFill>
                  <bgColor theme="5" tint="0.59996337778862885"/>
                </patternFill>
              </fill>
            </x14:dxf>
          </x14:cfRule>
          <xm:sqref>BM201:BT205</xm:sqref>
        </x14:conditionalFormatting>
        <x14:conditionalFormatting xmlns:xm="http://schemas.microsoft.com/office/excel/2006/main">
          <x14:cfRule type="containsText" priority="444" operator="containsText" id="{76F648D5-DC6D-4D15-9C89-F4B09F821C7F}">
            <xm:f>NOT(ISERROR(SEARCH(#REF!,BM206)))</xm:f>
            <xm:f>#REF!</xm:f>
            <x14:dxf>
              <font>
                <color theme="4"/>
              </font>
              <fill>
                <patternFill>
                  <bgColor theme="5" tint="0.59996337778862885"/>
                </patternFill>
              </fill>
            </x14:dxf>
          </x14:cfRule>
          <xm:sqref>BM206:BT206</xm:sqref>
        </x14:conditionalFormatting>
        <x14:conditionalFormatting xmlns:xm="http://schemas.microsoft.com/office/excel/2006/main">
          <x14:cfRule type="containsText" priority="438" operator="containsText" id="{BF3F1059-E9AB-4AD9-8CF8-648A321BCF42}">
            <xm:f>NOT(ISERROR(SEARCH(#REF!,BM207)))</xm:f>
            <xm:f>#REF!</xm:f>
            <x14:dxf>
              <font>
                <color theme="4"/>
              </font>
              <fill>
                <patternFill>
                  <bgColor theme="5" tint="0.59996337778862885"/>
                </patternFill>
              </fill>
            </x14:dxf>
          </x14:cfRule>
          <xm:sqref>BM207:BT208</xm:sqref>
        </x14:conditionalFormatting>
        <x14:conditionalFormatting xmlns:xm="http://schemas.microsoft.com/office/excel/2006/main">
          <x14:cfRule type="containsText" priority="432" operator="containsText" id="{7942BC34-8124-47E0-89B7-8DD29D5C999C}">
            <xm:f>NOT(ISERROR(SEARCH(#REF!,BM209)))</xm:f>
            <xm:f>#REF!</xm:f>
            <x14:dxf>
              <font>
                <color theme="4"/>
              </font>
              <fill>
                <patternFill>
                  <bgColor theme="5" tint="0.59996337778862885"/>
                </patternFill>
              </fill>
            </x14:dxf>
          </x14:cfRule>
          <xm:sqref>BM209:BT210</xm:sqref>
        </x14:conditionalFormatting>
        <x14:conditionalFormatting xmlns:xm="http://schemas.microsoft.com/office/excel/2006/main">
          <x14:cfRule type="containsText" priority="426" operator="containsText" id="{96A404B8-FDC5-4868-8317-3256CBF884C9}">
            <xm:f>NOT(ISERROR(SEARCH(#REF!,BM211)))</xm:f>
            <xm:f>#REF!</xm:f>
            <x14:dxf>
              <font>
                <color theme="4"/>
              </font>
              <fill>
                <patternFill>
                  <bgColor theme="5" tint="0.59996337778862885"/>
                </patternFill>
              </fill>
            </x14:dxf>
          </x14:cfRule>
          <xm:sqref>BM211:BT212</xm:sqref>
        </x14:conditionalFormatting>
        <x14:conditionalFormatting xmlns:xm="http://schemas.microsoft.com/office/excel/2006/main">
          <x14:cfRule type="containsText" priority="420" operator="containsText" id="{8E53A477-CD1C-466A-95CD-DAD7EA5E0F83}">
            <xm:f>NOT(ISERROR(SEARCH(#REF!,BM213)))</xm:f>
            <xm:f>#REF!</xm:f>
            <x14:dxf>
              <font>
                <color theme="4"/>
              </font>
              <fill>
                <patternFill>
                  <bgColor theme="5" tint="0.59996337778862885"/>
                </patternFill>
              </fill>
            </x14:dxf>
          </x14:cfRule>
          <xm:sqref>BM213:BT214</xm:sqref>
        </x14:conditionalFormatting>
        <x14:conditionalFormatting xmlns:xm="http://schemas.microsoft.com/office/excel/2006/main">
          <x14:cfRule type="containsText" priority="414" operator="containsText" id="{643528B9-BB76-4351-B818-1FDEEA6B7178}">
            <xm:f>NOT(ISERROR(SEARCH(#REF!,BM215)))</xm:f>
            <xm:f>#REF!</xm:f>
            <x14:dxf>
              <font>
                <color theme="4"/>
              </font>
              <fill>
                <patternFill>
                  <bgColor theme="5" tint="0.59996337778862885"/>
                </patternFill>
              </fill>
            </x14:dxf>
          </x14:cfRule>
          <xm:sqref>BM215:BT216</xm:sqref>
        </x14:conditionalFormatting>
        <x14:conditionalFormatting xmlns:xm="http://schemas.microsoft.com/office/excel/2006/main">
          <x14:cfRule type="containsText" priority="408" operator="containsText" id="{2CA09783-24B5-4117-AC0D-1FA820C279C4}">
            <xm:f>NOT(ISERROR(SEARCH(#REF!,BM217)))</xm:f>
            <xm:f>#REF!</xm:f>
            <x14:dxf>
              <font>
                <color theme="4"/>
              </font>
              <fill>
                <patternFill>
                  <bgColor theme="5" tint="0.59996337778862885"/>
                </patternFill>
              </fill>
            </x14:dxf>
          </x14:cfRule>
          <xm:sqref>BM217:BT218</xm:sqref>
        </x14:conditionalFormatting>
        <x14:conditionalFormatting xmlns:xm="http://schemas.microsoft.com/office/excel/2006/main">
          <x14:cfRule type="containsText" priority="402" operator="containsText" id="{315FE09B-B779-4AC7-991E-1556789A2B9E}">
            <xm:f>NOT(ISERROR(SEARCH(#REF!,BM219)))</xm:f>
            <xm:f>#REF!</xm:f>
            <x14:dxf>
              <font>
                <color theme="4"/>
              </font>
              <fill>
                <patternFill>
                  <bgColor theme="5" tint="0.59996337778862885"/>
                </patternFill>
              </fill>
            </x14:dxf>
          </x14:cfRule>
          <xm:sqref>BM219:BT220</xm:sqref>
        </x14:conditionalFormatting>
        <x14:conditionalFormatting xmlns:xm="http://schemas.microsoft.com/office/excel/2006/main">
          <x14:cfRule type="containsText" priority="396" operator="containsText" id="{11F3B573-58E6-43EE-8BDF-D42590C1AB28}">
            <xm:f>NOT(ISERROR(SEARCH(#REF!,BM221)))</xm:f>
            <xm:f>#REF!</xm:f>
            <x14:dxf>
              <font>
                <color theme="4"/>
              </font>
              <fill>
                <patternFill>
                  <bgColor theme="5" tint="0.59996337778862885"/>
                </patternFill>
              </fill>
            </x14:dxf>
          </x14:cfRule>
          <xm:sqref>BM221:BT221</xm:sqref>
        </x14:conditionalFormatting>
        <x14:conditionalFormatting xmlns:xm="http://schemas.microsoft.com/office/excel/2006/main">
          <x14:cfRule type="containsText" priority="390" operator="containsText" id="{D3EB411B-DC69-436D-BA58-96F90A29D3D1}">
            <xm:f>NOT(ISERROR(SEARCH(#REF!,BM222)))</xm:f>
            <xm:f>#REF!</xm:f>
            <x14:dxf>
              <font>
                <color theme="4"/>
              </font>
              <fill>
                <patternFill>
                  <bgColor theme="5" tint="0.59996337778862885"/>
                </patternFill>
              </fill>
            </x14:dxf>
          </x14:cfRule>
          <xm:sqref>BM222:BT222</xm:sqref>
        </x14:conditionalFormatting>
        <x14:conditionalFormatting xmlns:xm="http://schemas.microsoft.com/office/excel/2006/main">
          <x14:cfRule type="containsText" priority="384" operator="containsText" id="{7343D3EE-F9D6-4EFF-B9DA-10DAD2F42A6A}">
            <xm:f>NOT(ISERROR(SEARCH(#REF!,BM223)))</xm:f>
            <xm:f>#REF!</xm:f>
            <x14:dxf>
              <font>
                <color theme="4"/>
              </font>
              <fill>
                <patternFill>
                  <bgColor theme="5" tint="0.59996337778862885"/>
                </patternFill>
              </fill>
            </x14:dxf>
          </x14:cfRule>
          <xm:sqref>BM223:BT223</xm:sqref>
        </x14:conditionalFormatting>
        <x14:conditionalFormatting xmlns:xm="http://schemas.microsoft.com/office/excel/2006/main">
          <x14:cfRule type="containsText" priority="378" operator="containsText" id="{40554187-E1A8-4848-8653-4391819FEE60}">
            <xm:f>NOT(ISERROR(SEARCH(#REF!,BM224)))</xm:f>
            <xm:f>#REF!</xm:f>
            <x14:dxf>
              <font>
                <color theme="4"/>
              </font>
              <fill>
                <patternFill>
                  <bgColor theme="5" tint="0.59996337778862885"/>
                </patternFill>
              </fill>
            </x14:dxf>
          </x14:cfRule>
          <xm:sqref>BM224:BT224 BM282:BT283</xm:sqref>
        </x14:conditionalFormatting>
        <x14:conditionalFormatting xmlns:xm="http://schemas.microsoft.com/office/excel/2006/main">
          <x14:cfRule type="containsText" priority="372" operator="containsText" id="{B0E8F514-3A1B-43ED-B62E-8E12766B09F7}">
            <xm:f>NOT(ISERROR(SEARCH(#REF!,BM225)))</xm:f>
            <xm:f>#REF!</xm:f>
            <x14:dxf>
              <font>
                <color theme="4"/>
              </font>
              <fill>
                <patternFill>
                  <bgColor theme="5" tint="0.59996337778862885"/>
                </patternFill>
              </fill>
            </x14:dxf>
          </x14:cfRule>
          <xm:sqref>BM225:BT225</xm:sqref>
        </x14:conditionalFormatting>
        <x14:conditionalFormatting xmlns:xm="http://schemas.microsoft.com/office/excel/2006/main">
          <x14:cfRule type="containsText" priority="366" operator="containsText" id="{658231B4-C02F-4B3F-8489-BC8262361B89}">
            <xm:f>NOT(ISERROR(SEARCH(#REF!,BM288)))</xm:f>
            <xm:f>#REF!</xm:f>
            <x14:dxf>
              <font>
                <color theme="4"/>
              </font>
              <fill>
                <patternFill>
                  <bgColor theme="5" tint="0.59996337778862885"/>
                </patternFill>
              </fill>
            </x14:dxf>
          </x14:cfRule>
          <xm:sqref>BM288:BT288</xm:sqref>
        </x14:conditionalFormatting>
        <x14:conditionalFormatting xmlns:xm="http://schemas.microsoft.com/office/excel/2006/main">
          <x14:cfRule type="containsText" priority="360" operator="containsText" id="{E1BBAE5F-4801-48EA-A507-92C3014AC351}">
            <xm:f>NOT(ISERROR(SEARCH(#REF!,BM226)))</xm:f>
            <xm:f>#REF!</xm:f>
            <x14:dxf>
              <font>
                <color theme="4"/>
              </font>
              <fill>
                <patternFill>
                  <bgColor theme="5" tint="0.59996337778862885"/>
                </patternFill>
              </fill>
            </x14:dxf>
          </x14:cfRule>
          <xm:sqref>BM226:BT226</xm:sqref>
        </x14:conditionalFormatting>
        <x14:conditionalFormatting xmlns:xm="http://schemas.microsoft.com/office/excel/2006/main">
          <x14:cfRule type="containsText" priority="354" operator="containsText" id="{C53AA379-FC42-46B2-B183-DC59BB4DA8F8}">
            <xm:f>NOT(ISERROR(SEARCH(#REF!,BM227)))</xm:f>
            <xm:f>#REF!</xm:f>
            <x14:dxf>
              <font>
                <color theme="4"/>
              </font>
              <fill>
                <patternFill>
                  <bgColor theme="5" tint="0.59996337778862885"/>
                </patternFill>
              </fill>
            </x14:dxf>
          </x14:cfRule>
          <xm:sqref>BM227:BT227</xm:sqref>
        </x14:conditionalFormatting>
        <x14:conditionalFormatting xmlns:xm="http://schemas.microsoft.com/office/excel/2006/main">
          <x14:cfRule type="containsText" priority="348" operator="containsText" id="{FDA90A3A-D800-4AF3-B103-519B4CFFAF69}">
            <xm:f>NOT(ISERROR(SEARCH(#REF!,BM228)))</xm:f>
            <xm:f>#REF!</xm:f>
            <x14:dxf>
              <font>
                <color theme="4"/>
              </font>
              <fill>
                <patternFill>
                  <bgColor theme="5" tint="0.59996337778862885"/>
                </patternFill>
              </fill>
            </x14:dxf>
          </x14:cfRule>
          <xm:sqref>BM228:BT228</xm:sqref>
        </x14:conditionalFormatting>
        <x14:conditionalFormatting xmlns:xm="http://schemas.microsoft.com/office/excel/2006/main">
          <x14:cfRule type="containsText" priority="342" operator="containsText" id="{36622B2E-F007-45F9-A0D9-8A8BE3DEC534}">
            <xm:f>NOT(ISERROR(SEARCH(#REF!,BM229)))</xm:f>
            <xm:f>#REF!</xm:f>
            <x14:dxf>
              <font>
                <color theme="4"/>
              </font>
              <fill>
                <patternFill>
                  <bgColor theme="5" tint="0.59996337778862885"/>
                </patternFill>
              </fill>
            </x14:dxf>
          </x14:cfRule>
          <xm:sqref>BM229:BT230</xm:sqref>
        </x14:conditionalFormatting>
        <x14:conditionalFormatting xmlns:xm="http://schemas.microsoft.com/office/excel/2006/main">
          <x14:cfRule type="containsText" priority="336" operator="containsText" id="{90858142-7D72-47F7-9241-873CF3A278FB}">
            <xm:f>NOT(ISERROR(SEARCH(#REF!,BM231)))</xm:f>
            <xm:f>#REF!</xm:f>
            <x14:dxf>
              <font>
                <color theme="4"/>
              </font>
              <fill>
                <patternFill>
                  <bgColor theme="5" tint="0.59996337778862885"/>
                </patternFill>
              </fill>
            </x14:dxf>
          </x14:cfRule>
          <xm:sqref>BM231:BT231</xm:sqref>
        </x14:conditionalFormatting>
        <x14:conditionalFormatting xmlns:xm="http://schemas.microsoft.com/office/excel/2006/main">
          <x14:cfRule type="containsText" priority="330" operator="containsText" id="{B1906118-E0B9-42EA-8B45-3F1097B0BD2D}">
            <xm:f>NOT(ISERROR(SEARCH(#REF!,BM232)))</xm:f>
            <xm:f>#REF!</xm:f>
            <x14:dxf>
              <font>
                <color theme="4"/>
              </font>
              <fill>
                <patternFill>
                  <bgColor theme="5" tint="0.59996337778862885"/>
                </patternFill>
              </fill>
            </x14:dxf>
          </x14:cfRule>
          <xm:sqref>BM232:BT232</xm:sqref>
        </x14:conditionalFormatting>
        <x14:conditionalFormatting xmlns:xm="http://schemas.microsoft.com/office/excel/2006/main">
          <x14:cfRule type="containsText" priority="324" operator="containsText" id="{3C106912-0878-43EE-AED4-36DE824B5B7E}">
            <xm:f>NOT(ISERROR(SEARCH(#REF!,BM233)))</xm:f>
            <xm:f>#REF!</xm:f>
            <x14:dxf>
              <font>
                <color theme="4"/>
              </font>
              <fill>
                <patternFill>
                  <bgColor theme="5" tint="0.59996337778862885"/>
                </patternFill>
              </fill>
            </x14:dxf>
          </x14:cfRule>
          <xm:sqref>BM233:BT234</xm:sqref>
        </x14:conditionalFormatting>
        <x14:conditionalFormatting xmlns:xm="http://schemas.microsoft.com/office/excel/2006/main">
          <x14:cfRule type="containsText" priority="318" operator="containsText" id="{67E0EC9D-D001-4154-BE58-E0A5F9D9E49E}">
            <xm:f>NOT(ISERROR(SEARCH(#REF!,BM235)))</xm:f>
            <xm:f>#REF!</xm:f>
            <x14:dxf>
              <font>
                <color theme="4"/>
              </font>
              <fill>
                <patternFill>
                  <bgColor theme="5" tint="0.59996337778862885"/>
                </patternFill>
              </fill>
            </x14:dxf>
          </x14:cfRule>
          <xm:sqref>BM235:BT235</xm:sqref>
        </x14:conditionalFormatting>
        <x14:conditionalFormatting xmlns:xm="http://schemas.microsoft.com/office/excel/2006/main">
          <x14:cfRule type="containsText" priority="312" operator="containsText" id="{1F5FA4BF-DED6-4845-9773-E39E8E666D65}">
            <xm:f>NOT(ISERROR(SEARCH(#REF!,BM236)))</xm:f>
            <xm:f>#REF!</xm:f>
            <x14:dxf>
              <font>
                <color theme="4"/>
              </font>
              <fill>
                <patternFill>
                  <bgColor theme="5" tint="0.59996337778862885"/>
                </patternFill>
              </fill>
            </x14:dxf>
          </x14:cfRule>
          <xm:sqref>BM236:BT236</xm:sqref>
        </x14:conditionalFormatting>
        <x14:conditionalFormatting xmlns:xm="http://schemas.microsoft.com/office/excel/2006/main">
          <x14:cfRule type="containsText" priority="306" operator="containsText" id="{494DA1FB-125F-41CE-BB59-72E955F07621}">
            <xm:f>NOT(ISERROR(SEARCH(#REF!,BM237)))</xm:f>
            <xm:f>#REF!</xm:f>
            <x14:dxf>
              <font>
                <color theme="4"/>
              </font>
              <fill>
                <patternFill>
                  <bgColor theme="5" tint="0.59996337778862885"/>
                </patternFill>
              </fill>
            </x14:dxf>
          </x14:cfRule>
          <xm:sqref>BM237:BT237</xm:sqref>
        </x14:conditionalFormatting>
        <x14:conditionalFormatting xmlns:xm="http://schemas.microsoft.com/office/excel/2006/main">
          <x14:cfRule type="containsText" priority="300" operator="containsText" id="{4DC64051-B61A-4F5C-A167-1575E632CB72}">
            <xm:f>NOT(ISERROR(SEARCH(#REF!,BM240)))</xm:f>
            <xm:f>#REF!</xm:f>
            <x14:dxf>
              <font>
                <color theme="4"/>
              </font>
              <fill>
                <patternFill>
                  <bgColor theme="5" tint="0.59996337778862885"/>
                </patternFill>
              </fill>
            </x14:dxf>
          </x14:cfRule>
          <xm:sqref>BM240:BT247</xm:sqref>
        </x14:conditionalFormatting>
        <x14:conditionalFormatting xmlns:xm="http://schemas.microsoft.com/office/excel/2006/main">
          <x14:cfRule type="containsText" priority="294" operator="containsText" id="{C0881DDA-08E2-4A7C-9CEC-60856F8E5E49}">
            <xm:f>NOT(ISERROR(SEARCH(#REF!,BM248)))</xm:f>
            <xm:f>#REF!</xm:f>
            <x14:dxf>
              <font>
                <color theme="4"/>
              </font>
              <fill>
                <patternFill>
                  <bgColor theme="5" tint="0.59996337778862885"/>
                </patternFill>
              </fill>
            </x14:dxf>
          </x14:cfRule>
          <xm:sqref>BM248:BT248</xm:sqref>
        </x14:conditionalFormatting>
        <x14:conditionalFormatting xmlns:xm="http://schemas.microsoft.com/office/excel/2006/main">
          <x14:cfRule type="containsText" priority="288" operator="containsText" id="{279E8AE5-3E8D-48E3-9B6C-9FD41609AF22}">
            <xm:f>NOT(ISERROR(SEARCH(#REF!,BM249)))</xm:f>
            <xm:f>#REF!</xm:f>
            <x14:dxf>
              <font>
                <color theme="4"/>
              </font>
              <fill>
                <patternFill>
                  <bgColor theme="5" tint="0.59996337778862885"/>
                </patternFill>
              </fill>
            </x14:dxf>
          </x14:cfRule>
          <xm:sqref>BM249:BT249</xm:sqref>
        </x14:conditionalFormatting>
        <x14:conditionalFormatting xmlns:xm="http://schemas.microsoft.com/office/excel/2006/main">
          <x14:cfRule type="containsText" priority="282" operator="containsText" id="{02968886-0F75-4C3E-A85D-A15BC0B232D6}">
            <xm:f>NOT(ISERROR(SEARCH(#REF!,BM250)))</xm:f>
            <xm:f>#REF!</xm:f>
            <x14:dxf>
              <font>
                <color theme="4"/>
              </font>
              <fill>
                <patternFill>
                  <bgColor theme="5" tint="0.59996337778862885"/>
                </patternFill>
              </fill>
            </x14:dxf>
          </x14:cfRule>
          <xm:sqref>BM250:BT250</xm:sqref>
        </x14:conditionalFormatting>
        <x14:conditionalFormatting xmlns:xm="http://schemas.microsoft.com/office/excel/2006/main">
          <x14:cfRule type="containsText" priority="276" operator="containsText" id="{BA008E23-C91A-48E6-85F8-05225EBD9B58}">
            <xm:f>NOT(ISERROR(SEARCH(#REF!,BM251)))</xm:f>
            <xm:f>#REF!</xm:f>
            <x14:dxf>
              <font>
                <color theme="4"/>
              </font>
              <fill>
                <patternFill>
                  <bgColor theme="5" tint="0.59996337778862885"/>
                </patternFill>
              </fill>
            </x14:dxf>
          </x14:cfRule>
          <xm:sqref>BM251:BT251</xm:sqref>
        </x14:conditionalFormatting>
        <x14:conditionalFormatting xmlns:xm="http://schemas.microsoft.com/office/excel/2006/main">
          <x14:cfRule type="containsText" priority="270" operator="containsText" id="{665FBAC2-1BD8-4F3F-9442-AF2441CDB123}">
            <xm:f>NOT(ISERROR(SEARCH(#REF!,BM252)))</xm:f>
            <xm:f>#REF!</xm:f>
            <x14:dxf>
              <font>
                <color theme="4"/>
              </font>
              <fill>
                <patternFill>
                  <bgColor theme="5" tint="0.59996337778862885"/>
                </patternFill>
              </fill>
            </x14:dxf>
          </x14:cfRule>
          <xm:sqref>BM252:BT252</xm:sqref>
        </x14:conditionalFormatting>
        <x14:conditionalFormatting xmlns:xm="http://schemas.microsoft.com/office/excel/2006/main">
          <x14:cfRule type="containsText" priority="264" operator="containsText" id="{8E9444AE-6606-4F4A-A3E5-3E00C37E020E}">
            <xm:f>NOT(ISERROR(SEARCH(#REF!,BM253)))</xm:f>
            <xm:f>#REF!</xm:f>
            <x14:dxf>
              <font>
                <color theme="4"/>
              </font>
              <fill>
                <patternFill>
                  <bgColor theme="5" tint="0.59996337778862885"/>
                </patternFill>
              </fill>
            </x14:dxf>
          </x14:cfRule>
          <xm:sqref>BM253:BT258</xm:sqref>
        </x14:conditionalFormatting>
        <x14:conditionalFormatting xmlns:xm="http://schemas.microsoft.com/office/excel/2006/main">
          <x14:cfRule type="containsText" priority="258" operator="containsText" id="{3C7E3DEF-D1C3-45CF-BAAF-FF93AEC05843}">
            <xm:f>NOT(ISERROR(SEARCH(#REF!,BM259)))</xm:f>
            <xm:f>#REF!</xm:f>
            <x14:dxf>
              <font>
                <color theme="4"/>
              </font>
              <fill>
                <patternFill>
                  <bgColor theme="5" tint="0.59996337778862885"/>
                </patternFill>
              </fill>
            </x14:dxf>
          </x14:cfRule>
          <xm:sqref>BM259:BT259</xm:sqref>
        </x14:conditionalFormatting>
        <x14:conditionalFormatting xmlns:xm="http://schemas.microsoft.com/office/excel/2006/main">
          <x14:cfRule type="containsText" priority="252" operator="containsText" id="{A8983B64-1B42-4AA3-BE48-FF1DE608B970}">
            <xm:f>NOT(ISERROR(SEARCH(#REF!,BM260)))</xm:f>
            <xm:f>#REF!</xm:f>
            <x14:dxf>
              <font>
                <color theme="4"/>
              </font>
              <fill>
                <patternFill>
                  <bgColor theme="5" tint="0.59996337778862885"/>
                </patternFill>
              </fill>
            </x14:dxf>
          </x14:cfRule>
          <xm:sqref>BM260:BT260</xm:sqref>
        </x14:conditionalFormatting>
        <x14:conditionalFormatting xmlns:xm="http://schemas.microsoft.com/office/excel/2006/main">
          <x14:cfRule type="containsText" priority="246" operator="containsText" id="{FA43C54D-6A25-467A-B495-F1EDFFB92033}">
            <xm:f>NOT(ISERROR(SEARCH(#REF!,BM261)))</xm:f>
            <xm:f>#REF!</xm:f>
            <x14:dxf>
              <font>
                <color theme="4"/>
              </font>
              <fill>
                <patternFill>
                  <bgColor theme="5" tint="0.59996337778862885"/>
                </patternFill>
              </fill>
            </x14:dxf>
          </x14:cfRule>
          <xm:sqref>BM261:BT261</xm:sqref>
        </x14:conditionalFormatting>
        <x14:conditionalFormatting xmlns:xm="http://schemas.microsoft.com/office/excel/2006/main">
          <x14:cfRule type="containsText" priority="240" operator="containsText" id="{88989AD9-9F44-4733-9B2E-9CF9A5625916}">
            <xm:f>NOT(ISERROR(SEARCH(#REF!,BM262)))</xm:f>
            <xm:f>#REF!</xm:f>
            <x14:dxf>
              <font>
                <color theme="4"/>
              </font>
              <fill>
                <patternFill>
                  <bgColor theme="5" tint="0.59996337778862885"/>
                </patternFill>
              </fill>
            </x14:dxf>
          </x14:cfRule>
          <xm:sqref>BM262:BT262</xm:sqref>
        </x14:conditionalFormatting>
        <x14:conditionalFormatting xmlns:xm="http://schemas.microsoft.com/office/excel/2006/main">
          <x14:cfRule type="containsText" priority="234" operator="containsText" id="{861E712F-7790-43C8-A776-0404743BCA3F}">
            <xm:f>NOT(ISERROR(SEARCH(#REF!,BM263)))</xm:f>
            <xm:f>#REF!</xm:f>
            <x14:dxf>
              <font>
                <color theme="4"/>
              </font>
              <fill>
                <patternFill>
                  <bgColor theme="5" tint="0.59996337778862885"/>
                </patternFill>
              </fill>
            </x14:dxf>
          </x14:cfRule>
          <xm:sqref>BM263:BT263</xm:sqref>
        </x14:conditionalFormatting>
        <x14:conditionalFormatting xmlns:xm="http://schemas.microsoft.com/office/excel/2006/main">
          <x14:cfRule type="containsText" priority="228" operator="containsText" id="{D3F5D9F4-C3AA-4A4B-A598-42D9AFB081FC}">
            <xm:f>NOT(ISERROR(SEARCH(#REF!,BM264)))</xm:f>
            <xm:f>#REF!</xm:f>
            <x14:dxf>
              <font>
                <color theme="4"/>
              </font>
              <fill>
                <patternFill>
                  <bgColor theme="5" tint="0.59996337778862885"/>
                </patternFill>
              </fill>
            </x14:dxf>
          </x14:cfRule>
          <xm:sqref>BM264:BT264</xm:sqref>
        </x14:conditionalFormatting>
        <x14:conditionalFormatting xmlns:xm="http://schemas.microsoft.com/office/excel/2006/main">
          <x14:cfRule type="containsText" priority="222" operator="containsText" id="{48785782-89FC-41FD-9A32-DA170192D68E}">
            <xm:f>NOT(ISERROR(SEARCH(#REF!,BM269)))</xm:f>
            <xm:f>#REF!</xm:f>
            <x14:dxf>
              <font>
                <color theme="4"/>
              </font>
              <fill>
                <patternFill>
                  <bgColor theme="5" tint="0.59996337778862885"/>
                </patternFill>
              </fill>
            </x14:dxf>
          </x14:cfRule>
          <xm:sqref>BM269:BT269</xm:sqref>
        </x14:conditionalFormatting>
        <x14:conditionalFormatting xmlns:xm="http://schemas.microsoft.com/office/excel/2006/main">
          <x14:cfRule type="containsText" priority="216" operator="containsText" id="{CDF5BBD4-C211-44BE-AE8F-1CEE8EC6AB60}">
            <xm:f>NOT(ISERROR(SEARCH(#REF!,BM265)))</xm:f>
            <xm:f>#REF!</xm:f>
            <x14:dxf>
              <font>
                <color theme="4"/>
              </font>
              <fill>
                <patternFill>
                  <bgColor theme="5" tint="0.59996337778862885"/>
                </patternFill>
              </fill>
            </x14:dxf>
          </x14:cfRule>
          <xm:sqref>BM265:BT267</xm:sqref>
        </x14:conditionalFormatting>
        <x14:conditionalFormatting xmlns:xm="http://schemas.microsoft.com/office/excel/2006/main">
          <x14:cfRule type="containsText" priority="210" operator="containsText" id="{7B1DFF2E-565B-491A-A493-C09A43A261B0}">
            <xm:f>NOT(ISERROR(SEARCH(#REF!,BM268)))</xm:f>
            <xm:f>#REF!</xm:f>
            <x14:dxf>
              <font>
                <color theme="4"/>
              </font>
              <fill>
                <patternFill>
                  <bgColor theme="5" tint="0.59996337778862885"/>
                </patternFill>
              </fill>
            </x14:dxf>
          </x14:cfRule>
          <xm:sqref>BM268:BT268</xm:sqref>
        </x14:conditionalFormatting>
        <x14:conditionalFormatting xmlns:xm="http://schemas.microsoft.com/office/excel/2006/main">
          <x14:cfRule type="containsText" priority="204" operator="containsText" id="{5D75461A-1C92-4CA6-AE07-3CC06EE62F84}">
            <xm:f>NOT(ISERROR(SEARCH(#REF!,BM270)))</xm:f>
            <xm:f>#REF!</xm:f>
            <x14:dxf>
              <font>
                <color theme="4"/>
              </font>
              <fill>
                <patternFill>
                  <bgColor theme="5" tint="0.59996337778862885"/>
                </patternFill>
              </fill>
            </x14:dxf>
          </x14:cfRule>
          <xm:sqref>BM270:BT270</xm:sqref>
        </x14:conditionalFormatting>
        <x14:conditionalFormatting xmlns:xm="http://schemas.microsoft.com/office/excel/2006/main">
          <x14:cfRule type="containsText" priority="198" operator="containsText" id="{3ACDA88A-BCBA-496D-AA44-92BE3D829BB4}">
            <xm:f>NOT(ISERROR(SEARCH(#REF!,BM271)))</xm:f>
            <xm:f>#REF!</xm:f>
            <x14:dxf>
              <font>
                <color theme="4"/>
              </font>
              <fill>
                <patternFill>
                  <bgColor theme="5" tint="0.59996337778862885"/>
                </patternFill>
              </fill>
            </x14:dxf>
          </x14:cfRule>
          <xm:sqref>BM271:BT271</xm:sqref>
        </x14:conditionalFormatting>
        <x14:conditionalFormatting xmlns:xm="http://schemas.microsoft.com/office/excel/2006/main">
          <x14:cfRule type="containsText" priority="192" operator="containsText" id="{622A3395-B1D3-4D84-A444-6B5650A2347F}">
            <xm:f>NOT(ISERROR(SEARCH(#REF!,BM272)))</xm:f>
            <xm:f>#REF!</xm:f>
            <x14:dxf>
              <font>
                <color theme="4"/>
              </font>
              <fill>
                <patternFill>
                  <bgColor theme="5" tint="0.59996337778862885"/>
                </patternFill>
              </fill>
            </x14:dxf>
          </x14:cfRule>
          <xm:sqref>BM272:BT272</xm:sqref>
        </x14:conditionalFormatting>
        <x14:conditionalFormatting xmlns:xm="http://schemas.microsoft.com/office/excel/2006/main">
          <x14:cfRule type="containsText" priority="186" operator="containsText" id="{F56B8E05-447E-487C-883B-F4D201DAF1F5}">
            <xm:f>NOT(ISERROR(SEARCH(#REF!,BM273)))</xm:f>
            <xm:f>#REF!</xm:f>
            <x14:dxf>
              <font>
                <color theme="4"/>
              </font>
              <fill>
                <patternFill>
                  <bgColor theme="5" tint="0.59996337778862885"/>
                </patternFill>
              </fill>
            </x14:dxf>
          </x14:cfRule>
          <xm:sqref>BM273:BT273</xm:sqref>
        </x14:conditionalFormatting>
        <x14:conditionalFormatting xmlns:xm="http://schemas.microsoft.com/office/excel/2006/main">
          <x14:cfRule type="containsText" priority="180" operator="containsText" id="{4D5D5BA9-83BE-4AFD-B4E5-32FEFE35D994}">
            <xm:f>NOT(ISERROR(SEARCH(#REF!,BM275)))</xm:f>
            <xm:f>#REF!</xm:f>
            <x14:dxf>
              <font>
                <color theme="4"/>
              </font>
              <fill>
                <patternFill>
                  <bgColor theme="5" tint="0.59996337778862885"/>
                </patternFill>
              </fill>
            </x14:dxf>
          </x14:cfRule>
          <xm:sqref>BM275:BT275</xm:sqref>
        </x14:conditionalFormatting>
        <x14:conditionalFormatting xmlns:xm="http://schemas.microsoft.com/office/excel/2006/main">
          <x14:cfRule type="containsText" priority="174" operator="containsText" id="{DEE1DE0C-2298-49C8-8FA9-0A0F210F2AAA}">
            <xm:f>NOT(ISERROR(SEARCH(#REF!,BM277)))</xm:f>
            <xm:f>#REF!</xm:f>
            <x14:dxf>
              <font>
                <color theme="4"/>
              </font>
              <fill>
                <patternFill>
                  <bgColor theme="5" tint="0.59996337778862885"/>
                </patternFill>
              </fill>
            </x14:dxf>
          </x14:cfRule>
          <xm:sqref>BM277:BT277</xm:sqref>
        </x14:conditionalFormatting>
        <x14:conditionalFormatting xmlns:xm="http://schemas.microsoft.com/office/excel/2006/main">
          <x14:cfRule type="containsText" priority="168" operator="containsText" id="{AD702F62-988C-477F-A5DE-E38B28AB0F79}">
            <xm:f>NOT(ISERROR(SEARCH(#REF!,BM279)))</xm:f>
            <xm:f>#REF!</xm:f>
            <x14:dxf>
              <font>
                <color theme="4"/>
              </font>
              <fill>
                <patternFill>
                  <bgColor theme="5" tint="0.59996337778862885"/>
                </patternFill>
              </fill>
            </x14:dxf>
          </x14:cfRule>
          <xm:sqref>BM279:BT281</xm:sqref>
        </x14:conditionalFormatting>
        <x14:conditionalFormatting xmlns:xm="http://schemas.microsoft.com/office/excel/2006/main">
          <x14:cfRule type="containsText" priority="156" operator="containsText" id="{76D4EE82-FE88-46FE-8F33-C094521DD11A}">
            <xm:f>NOT(ISERROR(SEARCH(#REF!,BM284)))</xm:f>
            <xm:f>#REF!</xm:f>
            <x14:dxf>
              <font>
                <color theme="4"/>
              </font>
              <fill>
                <patternFill>
                  <bgColor theme="5" tint="0.59996337778862885"/>
                </patternFill>
              </fill>
            </x14:dxf>
          </x14:cfRule>
          <xm:sqref>BM284:BT284</xm:sqref>
        </x14:conditionalFormatting>
        <x14:conditionalFormatting xmlns:xm="http://schemas.microsoft.com/office/excel/2006/main">
          <x14:cfRule type="containsText" priority="150" operator="containsText" id="{09033B72-9783-4D1C-9CD2-F40BEE450B75}">
            <xm:f>NOT(ISERROR(SEARCH(#REF!,BM274)))</xm:f>
            <xm:f>#REF!</xm:f>
            <x14:dxf>
              <font>
                <color theme="4"/>
              </font>
              <fill>
                <patternFill>
                  <bgColor theme="5" tint="0.59996337778862885"/>
                </patternFill>
              </fill>
            </x14:dxf>
          </x14:cfRule>
          <xm:sqref>BM274:BT274</xm:sqref>
        </x14:conditionalFormatting>
        <x14:conditionalFormatting xmlns:xm="http://schemas.microsoft.com/office/excel/2006/main">
          <x14:cfRule type="containsText" priority="144" operator="containsText" id="{296F6622-C5E0-484A-8E50-3677AFCD4963}">
            <xm:f>NOT(ISERROR(SEARCH(#REF!,BM276)))</xm:f>
            <xm:f>#REF!</xm:f>
            <x14:dxf>
              <font>
                <color theme="4"/>
              </font>
              <fill>
                <patternFill>
                  <bgColor theme="5" tint="0.59996337778862885"/>
                </patternFill>
              </fill>
            </x14:dxf>
          </x14:cfRule>
          <xm:sqref>BM276:BT276</xm:sqref>
        </x14:conditionalFormatting>
        <x14:conditionalFormatting xmlns:xm="http://schemas.microsoft.com/office/excel/2006/main">
          <x14:cfRule type="containsText" priority="138" operator="containsText" id="{92A72F71-C24E-4366-A4B4-5C5EF0DA7D3B}">
            <xm:f>NOT(ISERROR(SEARCH(#REF!,BM285)))</xm:f>
            <xm:f>#REF!</xm:f>
            <x14:dxf>
              <font>
                <color theme="4"/>
              </font>
              <fill>
                <patternFill>
                  <bgColor theme="5" tint="0.59996337778862885"/>
                </patternFill>
              </fill>
            </x14:dxf>
          </x14:cfRule>
          <xm:sqref>BM285:BT285</xm:sqref>
        </x14:conditionalFormatting>
        <x14:conditionalFormatting xmlns:xm="http://schemas.microsoft.com/office/excel/2006/main">
          <x14:cfRule type="containsText" priority="132" operator="containsText" id="{9AE0C8FD-8900-44AA-897A-6AA443531A38}">
            <xm:f>NOT(ISERROR(SEARCH(#REF!,BM286)))</xm:f>
            <xm:f>#REF!</xm:f>
            <x14:dxf>
              <font>
                <color theme="4"/>
              </font>
              <fill>
                <patternFill>
                  <bgColor theme="5" tint="0.59996337778862885"/>
                </patternFill>
              </fill>
            </x14:dxf>
          </x14:cfRule>
          <xm:sqref>BM286:BT286</xm:sqref>
        </x14:conditionalFormatting>
        <x14:conditionalFormatting xmlns:xm="http://schemas.microsoft.com/office/excel/2006/main">
          <x14:cfRule type="containsText" priority="126" operator="containsText" id="{38079501-7A12-4413-AF5C-D633370DF703}">
            <xm:f>NOT(ISERROR(SEARCH(#REF!,BM289)))</xm:f>
            <xm:f>#REF!</xm:f>
            <x14:dxf>
              <font>
                <color theme="4"/>
              </font>
              <fill>
                <patternFill>
                  <bgColor theme="5" tint="0.59996337778862885"/>
                </patternFill>
              </fill>
            </x14:dxf>
          </x14:cfRule>
          <xm:sqref>BM289:BT289</xm:sqref>
        </x14:conditionalFormatting>
        <x14:conditionalFormatting xmlns:xm="http://schemas.microsoft.com/office/excel/2006/main">
          <x14:cfRule type="containsText" priority="120" operator="containsText" id="{432CC381-3E28-4D8D-AB0B-428CD9B12A70}">
            <xm:f>NOT(ISERROR(SEARCH(#REF!,BM287)))</xm:f>
            <xm:f>#REF!</xm:f>
            <x14:dxf>
              <font>
                <color theme="4"/>
              </font>
              <fill>
                <patternFill>
                  <bgColor theme="5" tint="0.59996337778862885"/>
                </patternFill>
              </fill>
            </x14:dxf>
          </x14:cfRule>
          <xm:sqref>BM287:BT287</xm:sqref>
        </x14:conditionalFormatting>
        <x14:conditionalFormatting xmlns:xm="http://schemas.microsoft.com/office/excel/2006/main">
          <x14:cfRule type="containsText" priority="114" operator="containsText" id="{9A159FAF-7885-451D-8D3A-FF89B9B05449}">
            <xm:f>NOT(ISERROR(SEARCH(#REF!,BM292)))</xm:f>
            <xm:f>#REF!</xm:f>
            <x14:dxf>
              <font>
                <color theme="4"/>
              </font>
              <fill>
                <patternFill>
                  <bgColor theme="5" tint="0.59996337778862885"/>
                </patternFill>
              </fill>
            </x14:dxf>
          </x14:cfRule>
          <xm:sqref>BM292:BT299</xm:sqref>
        </x14:conditionalFormatting>
        <x14:conditionalFormatting xmlns:xm="http://schemas.microsoft.com/office/excel/2006/main">
          <x14:cfRule type="containsText" priority="108" operator="containsText" id="{AF4AD8E3-0192-49E0-AF28-3D5C6D60864B}">
            <xm:f>NOT(ISERROR(SEARCH(#REF!,BM302)))</xm:f>
            <xm:f>#REF!</xm:f>
            <x14:dxf>
              <font>
                <color theme="4"/>
              </font>
              <fill>
                <patternFill>
                  <bgColor theme="5" tint="0.59996337778862885"/>
                </patternFill>
              </fill>
            </x14:dxf>
          </x14:cfRule>
          <xm:sqref>BM302:BT305 BO307 BQ307 BS307 BN306:BT306 BT311</xm:sqref>
        </x14:conditionalFormatting>
        <x14:conditionalFormatting xmlns:xm="http://schemas.microsoft.com/office/excel/2006/main">
          <x14:cfRule type="containsText" priority="102" operator="containsText" id="{085C335D-F0DB-450A-838A-D681A0B5A549}">
            <xm:f>NOT(ISERROR(SEARCH(#REF!,BM303)))</xm:f>
            <xm:f>#REF!</xm:f>
            <x14:dxf>
              <font>
                <color theme="4"/>
              </font>
              <fill>
                <patternFill>
                  <bgColor theme="5" tint="0.59996337778862885"/>
                </patternFill>
              </fill>
            </x14:dxf>
          </x14:cfRule>
          <xm:sqref>BM303:BT303</xm:sqref>
        </x14:conditionalFormatting>
        <x14:conditionalFormatting xmlns:xm="http://schemas.microsoft.com/office/excel/2006/main">
          <x14:cfRule type="containsText" priority="96" operator="containsText" id="{86B0F489-48EC-4D30-B757-349E7C4BC5F2}">
            <xm:f>NOT(ISERROR(SEARCH(#REF!,BM304)))</xm:f>
            <xm:f>#REF!</xm:f>
            <x14:dxf>
              <font>
                <color theme="4"/>
              </font>
              <fill>
                <patternFill>
                  <bgColor theme="5" tint="0.59996337778862885"/>
                </patternFill>
              </fill>
            </x14:dxf>
          </x14:cfRule>
          <xm:sqref>BM304:BT304</xm:sqref>
        </x14:conditionalFormatting>
        <x14:conditionalFormatting xmlns:xm="http://schemas.microsoft.com/office/excel/2006/main">
          <x14:cfRule type="containsText" priority="90" operator="containsText" id="{88F3DD9F-FA96-4262-B625-AFA7CC415B07}">
            <xm:f>NOT(ISERROR(SEARCH(#REF!,BM305)))</xm:f>
            <xm:f>#REF!</xm:f>
            <x14:dxf>
              <font>
                <color theme="4"/>
              </font>
              <fill>
                <patternFill>
                  <bgColor theme="5" tint="0.59996337778862885"/>
                </patternFill>
              </fill>
            </x14:dxf>
          </x14:cfRule>
          <xm:sqref>BM305:BT305 BT311</xm:sqref>
        </x14:conditionalFormatting>
        <x14:conditionalFormatting xmlns:xm="http://schemas.microsoft.com/office/excel/2006/main">
          <x14:cfRule type="containsText" priority="84" operator="containsText" id="{4119B332-1A85-4278-A0D2-6C39C64CCA09}">
            <xm:f>NOT(ISERROR(SEARCH(#REF!,BN306)))</xm:f>
            <xm:f>#REF!</xm:f>
            <x14:dxf>
              <font>
                <color theme="4"/>
              </font>
              <fill>
                <patternFill>
                  <bgColor theme="5" tint="0.59996337778862885"/>
                </patternFill>
              </fill>
            </x14:dxf>
          </x14:cfRule>
          <xm:sqref>BN306:BT306</xm:sqref>
        </x14:conditionalFormatting>
        <x14:conditionalFormatting xmlns:xm="http://schemas.microsoft.com/office/excel/2006/main">
          <x14:cfRule type="containsText" priority="78" operator="containsText" id="{D6A65E2A-D319-408B-9A53-A79A59830C73}">
            <xm:f>NOT(ISERROR(SEARCH(#REF!,BO307)))</xm:f>
            <xm:f>#REF!</xm:f>
            <x14:dxf>
              <font>
                <color theme="4"/>
              </font>
              <fill>
                <patternFill>
                  <bgColor theme="5" tint="0.59996337778862885"/>
                </patternFill>
              </fill>
            </x14:dxf>
          </x14:cfRule>
          <xm:sqref>BO307 BQ307 BS307</xm:sqref>
        </x14:conditionalFormatting>
        <x14:conditionalFormatting xmlns:xm="http://schemas.microsoft.com/office/excel/2006/main">
          <x14:cfRule type="containsText" priority="72" operator="containsText" id="{C9463834-BE36-46B4-8010-5C90B59D47A1}">
            <xm:f>NOT(ISERROR(SEARCH(#REF!,BM306)))</xm:f>
            <xm:f>#REF!</xm:f>
            <x14:dxf>
              <font>
                <color theme="4"/>
              </font>
              <fill>
                <patternFill>
                  <bgColor theme="5" tint="0.59996337778862885"/>
                </patternFill>
              </fill>
            </x14:dxf>
          </x14:cfRule>
          <xm:sqref>BM306:BM307</xm:sqref>
        </x14:conditionalFormatting>
        <x14:conditionalFormatting xmlns:xm="http://schemas.microsoft.com/office/excel/2006/main">
          <x14:cfRule type="containsText" priority="66" operator="containsText" id="{CD32E68E-C7E1-4800-83D6-7A0648472D1A}">
            <xm:f>NOT(ISERROR(SEARCH(#REF!,BM306)))</xm:f>
            <xm:f>#REF!</xm:f>
            <x14:dxf>
              <font>
                <color theme="4"/>
              </font>
              <fill>
                <patternFill>
                  <bgColor theme="5" tint="0.59996337778862885"/>
                </patternFill>
              </fill>
            </x14:dxf>
          </x14:cfRule>
          <xm:sqref>BM306:BM307</xm:sqref>
        </x14:conditionalFormatting>
        <x14:conditionalFormatting xmlns:xm="http://schemas.microsoft.com/office/excel/2006/main">
          <x14:cfRule type="containsText" priority="60" operator="containsText" id="{8FF1B2FD-3B83-46E5-AD9C-E48828415303}">
            <xm:f>NOT(ISERROR(SEARCH(#REF!,BM238)))</xm:f>
            <xm:f>#REF!</xm:f>
            <x14:dxf>
              <font>
                <color theme="4"/>
              </font>
              <fill>
                <patternFill>
                  <bgColor theme="5" tint="0.59996337778862885"/>
                </patternFill>
              </fill>
            </x14:dxf>
          </x14:cfRule>
          <xm:sqref>BM238:BT238</xm:sqref>
        </x14:conditionalFormatting>
        <x14:conditionalFormatting xmlns:xm="http://schemas.microsoft.com/office/excel/2006/main">
          <x14:cfRule type="containsText" priority="54" operator="containsText" id="{0E2BF323-0875-4A1C-BE33-F91E0874C8C1}">
            <xm:f>NOT(ISERROR(SEARCH(#REF!,BM239)))</xm:f>
            <xm:f>#REF!</xm:f>
            <x14:dxf>
              <font>
                <color theme="4"/>
              </font>
              <fill>
                <patternFill>
                  <bgColor theme="5" tint="0.59996337778862885"/>
                </patternFill>
              </fill>
            </x14:dxf>
          </x14:cfRule>
          <xm:sqref>BM239:BT239</xm:sqref>
        </x14:conditionalFormatting>
        <x14:conditionalFormatting xmlns:xm="http://schemas.microsoft.com/office/excel/2006/main">
          <x14:cfRule type="containsText" priority="48" operator="containsText" id="{9333C22A-DEB4-4956-B761-7C5AE7EFC767}">
            <xm:f>NOT(ISERROR(SEARCH(#REF!,BM308)))</xm:f>
            <xm:f>#REF!</xm:f>
            <x14:dxf>
              <font>
                <color theme="4"/>
              </font>
              <fill>
                <patternFill>
                  <bgColor theme="5" tint="0.59996337778862885"/>
                </patternFill>
              </fill>
            </x14:dxf>
          </x14:cfRule>
          <xm:sqref>BM308:BT308</xm:sqref>
        </x14:conditionalFormatting>
        <x14:conditionalFormatting xmlns:xm="http://schemas.microsoft.com/office/excel/2006/main">
          <x14:cfRule type="containsText" priority="42" operator="containsText" id="{01FAF058-5D12-4EEA-8FB0-63536B1C0D45}">
            <xm:f>NOT(ISERROR(SEARCH(#REF!,BM309)))</xm:f>
            <xm:f>#REF!</xm:f>
            <x14:dxf>
              <font>
                <color theme="4"/>
              </font>
              <fill>
                <patternFill>
                  <bgColor theme="5" tint="0.59996337778862885"/>
                </patternFill>
              </fill>
            </x14:dxf>
          </x14:cfRule>
          <xm:sqref>BM309:BT309 BM316:BT319</xm:sqref>
        </x14:conditionalFormatting>
        <x14:conditionalFormatting xmlns:xm="http://schemas.microsoft.com/office/excel/2006/main">
          <x14:cfRule type="containsText" priority="36" operator="containsText" id="{7A761D6E-4AE6-4B8B-ADA0-84E59D0D9F62}">
            <xm:f>NOT(ISERROR(SEARCH(#REF!,BM310)))</xm:f>
            <xm:f>#REF!</xm:f>
            <x14:dxf>
              <font>
                <color theme="4"/>
              </font>
              <fill>
                <patternFill>
                  <bgColor theme="5" tint="0.59996337778862885"/>
                </patternFill>
              </fill>
            </x14:dxf>
          </x14:cfRule>
          <xm:sqref>BM310:BT310</xm:sqref>
        </x14:conditionalFormatting>
        <x14:conditionalFormatting xmlns:xm="http://schemas.microsoft.com/office/excel/2006/main">
          <x14:cfRule type="containsText" priority="18" operator="containsText" id="{5B25E1B9-8507-4202-B436-D07280DCA142}">
            <xm:f>NOT(ISERROR(SEARCH(#REF!,BM311)))</xm:f>
            <xm:f>#REF!</xm:f>
            <x14:dxf>
              <font>
                <color theme="4"/>
              </font>
              <fill>
                <patternFill>
                  <bgColor theme="5" tint="0.59996337778862885"/>
                </patternFill>
              </fill>
            </x14:dxf>
          </x14:cfRule>
          <xm:sqref>BM311:BS311</xm:sqref>
        </x14:conditionalFormatting>
        <x14:conditionalFormatting xmlns:xm="http://schemas.microsoft.com/office/excel/2006/main">
          <x14:cfRule type="containsText" priority="24" operator="containsText" id="{1FF1A19D-CC48-4E91-BE85-8A3245EF5967}">
            <xm:f>NOT(ISERROR(SEARCH(#REF!,BM311)))</xm:f>
            <xm:f>#REF!</xm:f>
            <x14:dxf>
              <font>
                <color theme="4"/>
              </font>
              <fill>
                <patternFill>
                  <bgColor theme="5" tint="0.59996337778862885"/>
                </patternFill>
              </fill>
            </x14:dxf>
          </x14:cfRule>
          <xm:sqref>BM311:BS311</xm:sqref>
        </x14:conditionalFormatting>
        <x14:conditionalFormatting xmlns:xm="http://schemas.microsoft.com/office/excel/2006/main">
          <x14:cfRule type="containsText" priority="12" operator="containsText" id="{F4D68FE5-7999-42CC-845A-4073417E2D39}">
            <xm:f>NOT(ISERROR(SEARCH(#REF!,BM312)))</xm:f>
            <xm:f>#REF!</xm:f>
            <x14:dxf>
              <font>
                <color theme="4"/>
              </font>
              <fill>
                <patternFill>
                  <bgColor theme="5" tint="0.59996337778862885"/>
                </patternFill>
              </fill>
            </x14:dxf>
          </x14:cfRule>
          <xm:sqref>BM312:BT312 BM314:BT315</xm:sqref>
        </x14:conditionalFormatting>
        <x14:conditionalFormatting xmlns:xm="http://schemas.microsoft.com/office/excel/2006/main">
          <x14:cfRule type="containsText" priority="1" operator="containsText" id="{32265044-9D32-4C38-8257-88DD5E75145C}">
            <xm:f>NOT(ISERROR(SEARCH(#REF!,BM313)))</xm:f>
            <xm:f>#REF!</xm:f>
            <x14:dxf>
              <font>
                <color theme="4"/>
              </font>
              <fill>
                <patternFill>
                  <bgColor theme="5" tint="0.59996337778862885"/>
                </patternFill>
              </fill>
            </x14:dxf>
          </x14:cfRule>
          <xm:sqref>BM313:BT313</xm:sqref>
        </x14:conditionalFormatting>
      </x14:conditionalFormattings>
    </ext>
    <ext xmlns:x14="http://schemas.microsoft.com/office/spreadsheetml/2009/9/main" uri="{CCE6A557-97BC-4b89-ADB6-D9C93CAAB3DF}">
      <x14:dataValidations xmlns:xm="http://schemas.microsoft.com/office/excel/2006/main" count="32">
        <x14:dataValidation type="list" allowBlank="1" showInputMessage="1" showErrorMessage="1" xr:uid="{00000000-0002-0000-0200-000005000000}">
          <x14:formula1>
            <xm:f>'TAB. REF. PA'!$D$3:$D$9</xm:f>
          </x14:formula1>
          <xm:sqref>E8:E11 E148:E155 E174:E177 E99:E102 E105:E111 E122 E136:E142</xm:sqref>
        </x14:dataValidation>
        <x14:dataValidation type="list" allowBlank="1" showInputMessage="1" showErrorMessage="1" xr:uid="{00000000-0002-0000-0200-000006000000}">
          <x14:formula1>
            <xm:f>'D:\Users\ricardo.triana\Documents\ADRES\Plan de Accion\Plan Accion 2018\[Plan Accion ADRES Vigencia 2018 DGRFS 17-01-18.xlsx]TAB. REF. PA'!#REF!</xm:f>
          </x14:formula1>
          <xm:sqref>E12:E43</xm:sqref>
        </x14:dataValidation>
        <x14:dataValidation type="list" allowBlank="1" showInputMessage="1" showErrorMessage="1" xr:uid="{00000000-0002-0000-0200-000007000000}">
          <x14:formula1>
            <xm:f>'D:\Users\ricardo.triana\Documents\ADRES\Plan de Accion\Plan Accion 2018\[Plan Accion ADRES Vigencia 2018 DLG 17-01-18.xlsx]TAB. REF. PA'!#REF!</xm:f>
          </x14:formula1>
          <xm:sqref>E44:E62 E189</xm:sqref>
        </x14:dataValidation>
        <x14:dataValidation type="list" allowBlank="1" showInputMessage="1" showErrorMessage="1" xr:uid="{00000000-0002-0000-0200-000008000000}">
          <x14:formula1>
            <xm:f>'C:\Users\Ricardo.triana\AppData\Local\Microsoft\Windows\INetCache\Content.Outlook\NSJG1V0A\[Plan Accion ADRES DOP 24-01-2018.xlsx]TAB. REF. PA'!#REF!</xm:f>
          </x14:formula1>
          <xm:sqref>E69:E74 E63:E67 N91:T98 E290:E291 N290:T291 A290:A291 N308:T310 N316:T319 E313</xm:sqref>
        </x14:dataValidation>
        <x14:dataValidation type="list" allowBlank="1" showInputMessage="1" showErrorMessage="1" xr:uid="{00000000-0002-0000-0200-000009000000}">
          <x14:formula1>
            <xm:f>'TAB. REF. PA'!$W$3:$W$7</xm:f>
          </x14:formula1>
          <xm:sqref>X77 X69:X74 X8:X9 X159:X169 X99:X111 X122 X136:X144 X146:X155 X173:X178 X183:X189 X306:X307 X12:X66 X313</xm:sqref>
        </x14:dataValidation>
        <x14:dataValidation type="list" allowBlank="1" showInputMessage="1" showErrorMessage="1" xr:uid="{00000000-0002-0000-0200-00000A000000}">
          <x14:formula1>
            <xm:f>'TAB. REF. PA'!$F$3:$F$10</xm:f>
          </x14:formula1>
          <xm:sqref>N136:N142 N148:N155 N99:N102 N8:N9 N69:N74 N105:N111 N122 N144 N146 N174:N178 N188:N189 N12:N66 N313</xm:sqref>
        </x14:dataValidation>
        <x14:dataValidation type="list" allowBlank="1" showInputMessage="1" showErrorMessage="1" xr:uid="{00000000-0002-0000-0200-00000B000000}">
          <x14:formula1>
            <xm:f>'TAB. REF. PA'!$H$3:$H$21</xm:f>
          </x14:formula1>
          <xm:sqref>O136:O142 O148:O155 O99:O102 O8:O9 O69:O74 O105:O111 O122 O144 O146 O174:O178 O188:O189 O305 O12:O66 O312:O315</xm:sqref>
        </x14:dataValidation>
        <x14:dataValidation type="list" allowBlank="1" showInputMessage="1" showErrorMessage="1" xr:uid="{00000000-0002-0000-0200-00000C000000}">
          <x14:formula1>
            <xm:f>'TAB. REF. PA'!$J$3:$J$6</xm:f>
          </x14:formula1>
          <xm:sqref>P136:P142 P148:P155 P99:P102 P8:P9 P69:P74 P105:P111 P122 P144 P146 P174:P178 P188:P189 P305 P12:P66 P312:P315</xm:sqref>
        </x14:dataValidation>
        <x14:dataValidation type="list" allowBlank="1" showInputMessage="1" showErrorMessage="1" xr:uid="{00000000-0002-0000-0200-00000D000000}">
          <x14:formula1>
            <xm:f>'TAB. REF. PA'!$L$3:$L$11</xm:f>
          </x14:formula1>
          <xm:sqref>Q136:Q142 Q148:Q155 Q99:Q102 Q8:Q9 Q69:Q74 Q105:Q111 Q122 Q144 Q146 Q174:Q178 Q188:Q189 Q305 Q12:Q66 Q312:Q315</xm:sqref>
        </x14:dataValidation>
        <x14:dataValidation type="list" allowBlank="1" showInputMessage="1" showErrorMessage="1" xr:uid="{00000000-0002-0000-0200-00000E000000}">
          <x14:formula1>
            <xm:f>'TAB. REF. PA'!$N$3:$N$25</xm:f>
          </x14:formula1>
          <xm:sqref>R136:R142 R148:R155 R99:R102 R8:R9 R69:R74 R105:R111 R122 R144 R146 R174:R178 R188:R189 R305 R12:R66 R312:R315</xm:sqref>
        </x14:dataValidation>
        <x14:dataValidation type="list" allowBlank="1" showInputMessage="1" showErrorMessage="1" xr:uid="{00000000-0002-0000-0200-00000F000000}">
          <x14:formula1>
            <xm:f>'TAB. REF. PA'!$U$3:$U$24</xm:f>
          </x14:formula1>
          <xm:sqref>T142 T139:T140 T148:T155 T174:T177 T99:T102 T69:T74 T105:T111 T122 T136:T137 T189 T8:T66 T313</xm:sqref>
        </x14:dataValidation>
        <x14:dataValidation type="list" allowBlank="1" showInputMessage="1" showErrorMessage="1" xr:uid="{00000000-0002-0000-0200-000010000000}">
          <x14:formula1>
            <xm:f>'TAB. REF. PA'!$A$3:$A$14</xm:f>
          </x14:formula1>
          <xm:sqref>A148:A155 A174:A177 A99:A102 A69:A74 A105:A111 A122 A136:A142 A189 A8:A66</xm:sqref>
        </x14:dataValidation>
        <x14:dataValidation type="list" allowBlank="1" showInputMessage="1" showErrorMessage="1" xr:uid="{00000000-0002-0000-0200-000011000000}">
          <x14:formula1>
            <xm:f>'C:\Users\norela.briceno\Documents\Plan de acción\[Plan Accion ADRES Vigencia 2018 Preliminar DTIC ADRES 25-01-18.xlsx]TAB. REF. PA'!#REF!</xm:f>
          </x14:formula1>
          <xm:sqref>X75:X76 E75:E98 S75:S77 T75:T78 N75:R90 X78:X90 O84:S90 T84:T87 N83:T83 A75:A98 T301 X94 E308:E310 E316:E319 T312 T314:T315</xm:sqref>
        </x14:dataValidation>
        <x14:dataValidation type="list" allowBlank="1" showInputMessage="1" showErrorMessage="1" xr:uid="{00000000-0002-0000-0200-000012000000}">
          <x14:formula1>
            <xm:f>'C:\Users\norela.briceno\Documents\Plan de acción\Plan Accion 2018\[Plan Accion ADRES - DAF Gestión Documental.xlsx]TAB. REF. PA'!#REF!</xm:f>
          </x14:formula1>
          <xm:sqref>N143:T143 N147:T147 A143 A147 E143 E147 E188 E292:E299 E178 A178 E207:E222 E301 E278:E287 E312 E314:E315</xm:sqref>
        </x14:dataValidation>
        <x14:dataValidation type="list" allowBlank="1" showInputMessage="1" showErrorMessage="1" xr:uid="{00000000-0002-0000-0200-000013000000}">
          <x14:formula1>
            <xm:f>'C:\Users\norela.briceno\Documents\Plan de acción\Plan Accion 2018\[Plan Accion ADRES Vigencia 2018 26-01-18 Atención al Ciudadano.xlsx]TAB. REF. PA'!#REF!</xm:f>
          </x14:formula1>
          <xm:sqref>A146 T146 A144 E144 E146</xm:sqref>
        </x14:dataValidation>
        <x14:dataValidation type="list" allowBlank="1" showInputMessage="1" showErrorMessage="1" xr:uid="{00000000-0002-0000-0200-000014000000}">
          <x14:formula1>
            <xm:f>'D:\Users\Alicia.benitez\Documents\PLAN DE ACCION\[Atencion al Ciudadano.XLSX]TAB. REF. PA'!#REF!</xm:f>
          </x14:formula1>
          <xm:sqref>T144</xm:sqref>
        </x14:dataValidation>
        <x14:dataValidation type="list" allowBlank="1" showInputMessage="1" showErrorMessage="1" xr:uid="{00000000-0002-0000-0200-000015000000}">
          <x14:formula1>
            <xm:f>'D:\Users\Alicia.benitez\Documents\PLAN DE ACCION\[Apoyo Logistico.xlsx]TAB. REF. PA'!#REF!</xm:f>
          </x14:formula1>
          <xm:sqref>S188 S178</xm:sqref>
        </x14:dataValidation>
        <x14:dataValidation type="list" allowBlank="1" showInputMessage="1" showErrorMessage="1" xr:uid="{00000000-0002-0000-0200-000016000000}">
          <x14:formula1>
            <xm:f>'C:\Users\norela.briceno\AppData\Local\Microsoft\Windows\INetCache\Content.Outlook\FBI6K8AZ\[PLAN DE ACCION TALENTO HUMANO OK.xlsx]TAB. REF. PA'!#REF!</xm:f>
          </x14:formula1>
          <xm:sqref>T138 T188 T178</xm:sqref>
        </x14:dataValidation>
        <x14:dataValidation type="list" allowBlank="1" showInputMessage="1" showErrorMessage="1" xr:uid="{00000000-0002-0000-0200-000017000000}">
          <x14:formula1>
            <xm:f>'C:\Users\norela.briceno\Documents\Plan de acción\[Plan Accion ADRES - DAF y OAJ.xlsx]TAB. REF. PA'!#REF!</xm:f>
          </x14:formula1>
          <xm:sqref>S140 E103:E104 T156:T173 X170:X172 N103:T104 A103:A104 X156:X158 N173:R173 A156:A173 E156:E173 N156:R171 S159:S164 S166:S168 S135 N306:R306 T306:T307</xm:sqref>
        </x14:dataValidation>
        <x14:dataValidation type="list" allowBlank="1" showInputMessage="1" showErrorMessage="1" xr:uid="{00000000-0002-0000-0200-000018000000}">
          <x14:formula1>
            <xm:f>'C:\Users\norela.briceno\AppData\Local\Microsoft\Windows\INetCache\Content.Outlook\FBI6K8AZ\[Plan Accion ADRES Vigencia 2018 ADRES 26-01-18 JCB.xlsx]TAB. REF. PA'!#REF!</xm:f>
          </x14:formula1>
          <xm:sqref>S141:T141 S142</xm:sqref>
        </x14:dataValidation>
        <x14:dataValidation type="list" allowBlank="1" showInputMessage="1" showErrorMessage="1" xr:uid="{00000000-0002-0000-0200-000019000000}">
          <x14:formula1>
            <xm:f>'D:\Users\magdiela.delacarrera\Documents\PLAN DE ACCIÓN GRUPO COBRO COACTIVO\[Copia de Plan Accion ADRES Vigencia 2018 Cobro Coactivo 15-01-18 remitido x Ricardo.xlsx]TAB. REF. PA'!#REF!</xm:f>
          </x14:formula1>
          <xm:sqref>S171:S173 E173 A173 T172:T173 N173:R173 N179:S179 X179:X181 N181:S181 E179:E187 A179:A187 T179:T187 N183:R187 A217:A218 A251 E306 A306</xm:sqref>
        </x14:dataValidation>
        <x14:dataValidation type="list" allowBlank="1" showInputMessage="1" showErrorMessage="1" xr:uid="{00000000-0002-0000-0200-00001A000000}">
          <x14:formula1>
            <xm:f>'TAB. REF. PA'!$S$40</xm:f>
          </x14:formula1>
          <xm:sqref>S144</xm:sqref>
        </x14:dataValidation>
        <x14:dataValidation type="list" allowBlank="1" showInputMessage="1" showErrorMessage="1" xr:uid="{00000000-0002-0000-0200-00001B000000}">
          <x14:formula1>
            <xm:f>'TAB. REF. PA'!$S$6:$S$18</xm:f>
          </x14:formula1>
          <xm:sqref>S47:S50</xm:sqref>
        </x14:dataValidation>
        <x14:dataValidation type="list" allowBlank="1" showInputMessage="1" showErrorMessage="1" xr:uid="{00000000-0002-0000-0200-00001C000000}">
          <x14:formula1>
            <xm:f>'C:\Users\norela.briceno\AppData\Local\Microsoft\Windows\INetCache\Content.Outlook\FBI6K8AZ\[Copia de Plan Accion ADRES Vigencia 2018 con Cuadro de Mando.xlsx]TAB. REF. PA'!#REF!</xm:f>
          </x14:formula1>
          <xm:sqref>A67 X67:X68 N67:T67</xm:sqref>
        </x14:dataValidation>
        <x14:dataValidation type="list" allowBlank="1" showInputMessage="1" showErrorMessage="1" xr:uid="{00000000-0002-0000-0200-00001D000000}">
          <x14:formula1>
            <xm:f>'TAB. REF. PA'!$S$3:$S$80</xm:f>
          </x14:formula1>
          <xm:sqref>S109:S110 S184 S165</xm:sqref>
        </x14:dataValidation>
        <x14:dataValidation type="list" allowBlank="1" showInputMessage="1" showErrorMessage="1" xr:uid="{00000000-0002-0000-0200-00001E000000}">
          <x14:formula1>
            <xm:f>'TAB. REF. PA'!$S$3:$S$78</xm:f>
          </x14:formula1>
          <xm:sqref>S63:S66</xm:sqref>
        </x14:dataValidation>
        <x14:dataValidation type="list" allowBlank="1" showInputMessage="1" showErrorMessage="1" xr:uid="{00000000-0002-0000-0200-00001F000000}">
          <x14:formula1>
            <xm:f>'TAB. REF. PA'!$S$3:$S$77</xm:f>
          </x14:formula1>
          <xm:sqref>S44</xm:sqref>
        </x14:dataValidation>
        <x14:dataValidation type="list" allowBlank="1" showInputMessage="1" showErrorMessage="1" xr:uid="{00000000-0002-0000-0200-000020000000}">
          <x14:formula1>
            <xm:f>'TAB. REF. PA'!$S$3:$S$76</xm:f>
          </x14:formula1>
          <xm:sqref>S180</xm:sqref>
        </x14:dataValidation>
        <x14:dataValidation type="list" allowBlank="1" showInputMessage="1" showErrorMessage="1" xr:uid="{76CDDC2A-ED10-463F-99DF-4691779FE818}">
          <x14:formula1>
            <xm:f>'C:\Users\norela.briceno\Documents\Otros\[Plan Accion ADRES Vigencia 2018 V3 One Drive DGTIC.xlsx]TAB. REF. PA'!#REF!</xm:f>
          </x14:formula1>
          <xm:sqref>X290:X291 X91:X93 X95:X98 X308:X310 X316:X319</xm:sqref>
        </x14:dataValidation>
        <x14:dataValidation type="list" allowBlank="1" showInputMessage="1" showErrorMessage="1" xr:uid="{030DD50A-2EE2-4E3B-8001-77F78A5E0744}">
          <x14:formula1>
            <xm:f>'C:\Users\norela.briceno\Documents\Plan de acción\Plan Accion 2018\[Plan Accion ADRES Vigencia 2018 con Cuadro de Mando V3 Integrado.xlsx]TAB. REF. PA'!#REF!</xm:f>
          </x14:formula1>
          <xm:sqref>E300 A300 T300 N300:Q301 X300:X301 A303:A304 T303:T305 E303:E305 N303:Q304 X303:X304 E311 X312 X314:X315</xm:sqref>
        </x14:dataValidation>
        <x14:dataValidation type="list" allowBlank="1" showInputMessage="1" showErrorMessage="1" xr:uid="{2C116F40-F23B-4A2E-B93F-F29B197861E7}">
          <x14:formula1>
            <xm:f>'C:\Users\norela.briceno\AppData\Local\Microsoft\Windows\INetCache\Content.Outlook\23KQLUMF\[Plan Accion ADRES Vigencia 2018 V2 One Drive DGTIC.xlsx]TAB. REF. PA'!#REF!</xm:f>
          </x14:formula1>
          <xm:sqref>C136:C189 C290:C291 C300:C301 C8:C110 C303:C310 C313 C316 C318:C319</xm:sqref>
        </x14:dataValidation>
        <x14:dataValidation type="list" allowBlank="1" showInputMessage="1" showErrorMessage="1" xr:uid="{BC1BD2D5-824A-469B-979C-B517ADF8D2C3}">
          <x14:formula1>
            <xm:f>'C:\Users\norela.briceno\Documents\Plan de acción\Plan Accion 2018\[Plan Accion Integrado ADRES Vigencia 2018 V3.xlsx]TAB. REF. PA'!#REF!</xm:f>
          </x14:formula1>
          <xm:sqref>T79:T90 T112:T121 T123:T135 T292:T299 T302:T305 E112:E121 E123:E135 E232:E240 E190:E206 E276 E288:E289 E242:E274 N232:Q240 N276:Q276 N242:Q274 N292:Q299 N114:R115 N112:R112 N123:R129 N132:R135 R190:R223 R262:R263 R265:R267 A112:A121 A123:A135 A232:A235 A190:A206 A209:A210 A259 A264 A268:A269 A288:A289 A282:A283 A278 A219:A221 A213:A216 X83 X114:X121 X112 X123:X135 X276 X232:X240 X242:X274 X292:X299 C83 C276 C232:C240 C242:C274 T190:T240 X302:X307 E302:E306 E223:E230 N302:Q305 X278:X289 N278:Q289 T242:T289 C91:C230 X190:X230 A223:A230 N190:Q230 C8:C78 T311 O311:Q311 X311 E311 A312:A315 N314:N315 N311:N312 C278:C316 C318:C319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9"/>
  <sheetViews>
    <sheetView showGridLines="0" topLeftCell="A2" workbookViewId="0">
      <selection activeCell="H28" sqref="H28"/>
    </sheetView>
  </sheetViews>
  <sheetFormatPr baseColWidth="10" defaultRowHeight="15" x14ac:dyDescent="0.25"/>
  <sheetData>
    <row r="1" spans="1:12" ht="15.75" thickBot="1" x14ac:dyDescent="0.3">
      <c r="A1" s="161"/>
      <c r="B1" s="161"/>
      <c r="C1" s="161"/>
      <c r="D1" s="161"/>
      <c r="E1" s="161"/>
      <c r="F1" s="161"/>
      <c r="G1" s="161"/>
      <c r="H1" s="161"/>
      <c r="I1" s="161"/>
    </row>
    <row r="2" spans="1:12" x14ac:dyDescent="0.25">
      <c r="A2" s="1282"/>
      <c r="B2" s="1283"/>
      <c r="C2" s="1288" t="s">
        <v>952</v>
      </c>
      <c r="D2" s="1289"/>
      <c r="E2" s="1290" t="s">
        <v>953</v>
      </c>
      <c r="F2" s="1291"/>
      <c r="G2" s="1291"/>
      <c r="H2" s="1292"/>
      <c r="I2" s="1293"/>
      <c r="J2" s="1294"/>
      <c r="K2" s="1294"/>
      <c r="L2" s="1295"/>
    </row>
    <row r="3" spans="1:12" x14ac:dyDescent="0.25">
      <c r="A3" s="1284"/>
      <c r="B3" s="1285"/>
      <c r="C3" s="1302" t="s">
        <v>954</v>
      </c>
      <c r="D3" s="1303"/>
      <c r="E3" s="1304" t="s">
        <v>800</v>
      </c>
      <c r="F3" s="1305"/>
      <c r="G3" s="1305"/>
      <c r="H3" s="1306"/>
      <c r="I3" s="1296"/>
      <c r="J3" s="1297"/>
      <c r="K3" s="1297"/>
      <c r="L3" s="1298"/>
    </row>
    <row r="4" spans="1:12" ht="15.75" thickBot="1" x14ac:dyDescent="0.3">
      <c r="A4" s="1286"/>
      <c r="B4" s="1287"/>
      <c r="C4" s="1307" t="s">
        <v>852</v>
      </c>
      <c r="D4" s="1308"/>
      <c r="E4" s="1309" t="s">
        <v>958</v>
      </c>
      <c r="F4" s="1310"/>
      <c r="G4" s="417" t="s">
        <v>957</v>
      </c>
      <c r="H4" s="418">
        <v>1</v>
      </c>
      <c r="I4" s="1299"/>
      <c r="J4" s="1300"/>
      <c r="K4" s="1300"/>
      <c r="L4" s="1301"/>
    </row>
    <row r="8" spans="1:12" x14ac:dyDescent="0.25">
      <c r="C8" s="171" t="s">
        <v>867</v>
      </c>
      <c r="I8" s="172" t="s">
        <v>870</v>
      </c>
    </row>
    <row r="9" spans="1:12" x14ac:dyDescent="0.25">
      <c r="C9" s="165"/>
    </row>
    <row r="10" spans="1:12" x14ac:dyDescent="0.25">
      <c r="C10" s="165"/>
    </row>
    <row r="11" spans="1:12" x14ac:dyDescent="0.25">
      <c r="C11" s="165"/>
    </row>
    <row r="12" spans="1:12" x14ac:dyDescent="0.25">
      <c r="C12" s="165"/>
    </row>
    <row r="13" spans="1:12" x14ac:dyDescent="0.25">
      <c r="C13" s="171" t="s">
        <v>868</v>
      </c>
    </row>
    <row r="14" spans="1:12" x14ac:dyDescent="0.25">
      <c r="C14" s="165"/>
    </row>
    <row r="15" spans="1:12" x14ac:dyDescent="0.25">
      <c r="C15" s="165"/>
    </row>
    <row r="16" spans="1:12" x14ac:dyDescent="0.25">
      <c r="C16" s="165"/>
    </row>
    <row r="17" spans="3:3" x14ac:dyDescent="0.25">
      <c r="C17" s="165"/>
    </row>
    <row r="18" spans="3:3" x14ac:dyDescent="0.25">
      <c r="C18" s="165"/>
    </row>
    <row r="19" spans="3:3" x14ac:dyDescent="0.25">
      <c r="C19" s="171" t="s">
        <v>869</v>
      </c>
    </row>
  </sheetData>
  <mergeCells count="8">
    <mergeCell ref="A2:B4"/>
    <mergeCell ref="C2:D2"/>
    <mergeCell ref="E2:H2"/>
    <mergeCell ref="I2:L4"/>
    <mergeCell ref="C3:D3"/>
    <mergeCell ref="E3:H3"/>
    <mergeCell ref="C4:D4"/>
    <mergeCell ref="E4:F4"/>
  </mergeCells>
  <hyperlinks>
    <hyperlink ref="C8" location="'Cumplimiento perspectivas conso'!A1" display="SEGUIMIENTO AL CUMPLIMIENTO POR PERSPECTIVA DEL CMI" xr:uid="{00000000-0004-0000-0300-000000000000}"/>
    <hyperlink ref="C13" location="'Cumplimiento de objetivos'!A1" display="SEGUIMIENTO AL CUMPLIMIENTO POR OBJETIVOS/LINEAMIENTOS ESTRATÉGICOS" xr:uid="{00000000-0004-0000-0300-000001000000}"/>
    <hyperlink ref="C19" location="'Cumplimiento Dependencias'!A1" display="SEGUIMIENTO AL CUMPLIMIENTO POR DEPENDENCIAS" xr:uid="{00000000-0004-0000-0300-000002000000}"/>
    <hyperlink ref="I8" location="'Cuadro Mando Integral Detallado'!A1" display="Detalles" xr:uid="{00000000-0004-0000-0300-000003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E19"/>
  <sheetViews>
    <sheetView showGridLines="0" workbookViewId="0">
      <selection activeCell="A14" sqref="A14"/>
    </sheetView>
  </sheetViews>
  <sheetFormatPr baseColWidth="10" defaultRowHeight="15" x14ac:dyDescent="0.25"/>
  <cols>
    <col min="1" max="1" width="65.7109375" customWidth="1"/>
    <col min="2" max="2" width="2.28515625" customWidth="1"/>
    <col min="3" max="3" width="21.7109375" customWidth="1"/>
    <col min="4" max="8" width="3.28515625" customWidth="1"/>
    <col min="9" max="9" width="21.7109375" customWidth="1"/>
    <col min="10" max="14" width="3.28515625" customWidth="1"/>
    <col min="15" max="15" width="2.7109375" customWidth="1"/>
    <col min="16" max="16" width="21.7109375" customWidth="1"/>
    <col min="17" max="21" width="3.28515625" customWidth="1"/>
    <col min="22" max="22" width="21.7109375" customWidth="1"/>
    <col min="23" max="27" width="3.28515625" customWidth="1"/>
    <col min="28" max="28" width="3.140625" customWidth="1"/>
    <col min="29" max="29" width="21.7109375" customWidth="1"/>
    <col min="30" max="34" width="3.28515625" customWidth="1"/>
    <col min="35" max="35" width="21.7109375" customWidth="1"/>
    <col min="36" max="40" width="3.28515625" customWidth="1"/>
    <col min="41" max="41" width="3.140625" customWidth="1"/>
    <col min="42" max="42" width="21.7109375" customWidth="1"/>
    <col min="43" max="47" width="3.28515625" customWidth="1"/>
    <col min="48" max="48" width="21.7109375" customWidth="1"/>
    <col min="49" max="53" width="3.28515625" customWidth="1"/>
  </cols>
  <sheetData>
    <row r="1" spans="1:57" ht="15" customHeight="1" x14ac:dyDescent="0.25">
      <c r="A1" s="1311"/>
      <c r="B1" s="1335" t="s">
        <v>952</v>
      </c>
      <c r="C1" s="1336"/>
      <c r="D1" s="1336"/>
      <c r="E1" s="1336"/>
      <c r="F1" s="1336"/>
      <c r="G1" s="1336"/>
      <c r="H1" s="1337"/>
      <c r="I1" s="1196" t="s">
        <v>953</v>
      </c>
      <c r="J1" s="1196"/>
      <c r="K1" s="1196"/>
      <c r="L1" s="1196"/>
      <c r="M1" s="1196"/>
      <c r="N1" s="1196"/>
      <c r="O1" s="1196"/>
      <c r="P1" s="1196"/>
      <c r="Q1" s="1196"/>
      <c r="R1" s="1196"/>
      <c r="S1" s="1196"/>
      <c r="T1" s="1196"/>
      <c r="U1" s="1196"/>
      <c r="V1" s="1196"/>
      <c r="W1" s="1196"/>
      <c r="X1" s="1196"/>
      <c r="Y1" s="1196"/>
      <c r="Z1" s="1196"/>
      <c r="AA1" s="1196"/>
      <c r="AB1" s="1196"/>
      <c r="AC1" s="1196"/>
      <c r="AD1" s="1196"/>
      <c r="AE1" s="1196"/>
      <c r="AF1" s="1196"/>
      <c r="AG1" s="1196"/>
      <c r="AH1" s="1196"/>
      <c r="AI1" s="1196"/>
      <c r="AJ1" s="1314"/>
      <c r="AK1" s="1314"/>
      <c r="AL1" s="1314"/>
      <c r="AM1" s="1314"/>
      <c r="AN1" s="1314"/>
      <c r="AO1" s="1314"/>
      <c r="AP1" s="1326"/>
      <c r="AQ1" s="1327"/>
      <c r="AR1" s="1327"/>
      <c r="AS1" s="1327"/>
      <c r="AT1" s="1327"/>
      <c r="AU1" s="1327"/>
      <c r="AV1" s="1327"/>
      <c r="AW1" s="1327"/>
      <c r="AX1" s="1327"/>
      <c r="AY1" s="1327"/>
      <c r="AZ1" s="1327"/>
      <c r="BA1" s="1328"/>
      <c r="BB1" s="422"/>
      <c r="BC1" s="422"/>
      <c r="BD1" s="422"/>
      <c r="BE1" s="422"/>
    </row>
    <row r="2" spans="1:57" ht="15" customHeight="1" x14ac:dyDescent="0.25">
      <c r="A2" s="1312"/>
      <c r="B2" s="1338" t="s">
        <v>954</v>
      </c>
      <c r="C2" s="1339"/>
      <c r="D2" s="1339"/>
      <c r="E2" s="1339"/>
      <c r="F2" s="1339"/>
      <c r="G2" s="1339"/>
      <c r="H2" s="1340"/>
      <c r="I2" s="1320" t="s">
        <v>800</v>
      </c>
      <c r="J2" s="1320"/>
      <c r="K2" s="1320"/>
      <c r="L2" s="1320"/>
      <c r="M2" s="1320"/>
      <c r="N2" s="1320"/>
      <c r="O2" s="1320"/>
      <c r="P2" s="1320"/>
      <c r="Q2" s="1320"/>
      <c r="R2" s="1320"/>
      <c r="S2" s="1320"/>
      <c r="T2" s="1320"/>
      <c r="U2" s="1320"/>
      <c r="V2" s="1320"/>
      <c r="W2" s="1320"/>
      <c r="X2" s="1320"/>
      <c r="Y2" s="1320"/>
      <c r="Z2" s="1320"/>
      <c r="AA2" s="1320"/>
      <c r="AB2" s="1320"/>
      <c r="AC2" s="1320"/>
      <c r="AD2" s="1320"/>
      <c r="AE2" s="1320"/>
      <c r="AF2" s="1320"/>
      <c r="AG2" s="1320"/>
      <c r="AH2" s="1320"/>
      <c r="AI2" s="1320"/>
      <c r="AJ2" s="1321"/>
      <c r="AK2" s="1321"/>
      <c r="AL2" s="1321"/>
      <c r="AM2" s="1321"/>
      <c r="AN2" s="1321"/>
      <c r="AO2" s="1321"/>
      <c r="AP2" s="1329"/>
      <c r="AQ2" s="1330"/>
      <c r="AR2" s="1330"/>
      <c r="AS2" s="1330"/>
      <c r="AT2" s="1330"/>
      <c r="AU2" s="1330"/>
      <c r="AV2" s="1330"/>
      <c r="AW2" s="1330"/>
      <c r="AX2" s="1330"/>
      <c r="AY2" s="1330"/>
      <c r="AZ2" s="1330"/>
      <c r="BA2" s="1331"/>
      <c r="BB2" s="422"/>
      <c r="BC2" s="422"/>
      <c r="BD2" s="422"/>
      <c r="BE2" s="422"/>
    </row>
    <row r="3" spans="1:57" ht="15.75" customHeight="1" thickBot="1" x14ac:dyDescent="0.3">
      <c r="A3" s="1313"/>
      <c r="B3" s="1341" t="s">
        <v>852</v>
      </c>
      <c r="C3" s="1342"/>
      <c r="D3" s="1342"/>
      <c r="E3" s="1342"/>
      <c r="F3" s="1342"/>
      <c r="G3" s="1342"/>
      <c r="H3" s="1343"/>
      <c r="I3" s="1344" t="s">
        <v>958</v>
      </c>
      <c r="J3" s="1342"/>
      <c r="K3" s="1342"/>
      <c r="L3" s="1342"/>
      <c r="M3" s="1342"/>
      <c r="N3" s="1343"/>
      <c r="O3" s="1345" t="s">
        <v>824</v>
      </c>
      <c r="P3" s="1346"/>
      <c r="Q3" s="1346"/>
      <c r="R3" s="1346"/>
      <c r="S3" s="1346"/>
      <c r="T3" s="1346"/>
      <c r="U3" s="1346"/>
      <c r="V3" s="1346"/>
      <c r="W3" s="1346"/>
      <c r="X3" s="1346"/>
      <c r="Y3" s="1346"/>
      <c r="Z3" s="1346"/>
      <c r="AA3" s="1346"/>
      <c r="AB3" s="1346"/>
      <c r="AC3" s="1346"/>
      <c r="AD3" s="1346"/>
      <c r="AE3" s="1346"/>
      <c r="AF3" s="1346"/>
      <c r="AG3" s="1346"/>
      <c r="AH3" s="1347"/>
      <c r="AI3" s="450" t="s">
        <v>957</v>
      </c>
      <c r="AJ3" s="1344">
        <v>1</v>
      </c>
      <c r="AK3" s="1342"/>
      <c r="AL3" s="1342"/>
      <c r="AM3" s="1342"/>
      <c r="AN3" s="1342"/>
      <c r="AO3" s="1342"/>
      <c r="AP3" s="1332"/>
      <c r="AQ3" s="1333"/>
      <c r="AR3" s="1333"/>
      <c r="AS3" s="1333"/>
      <c r="AT3" s="1333"/>
      <c r="AU3" s="1333"/>
      <c r="AV3" s="1333"/>
      <c r="AW3" s="1333"/>
      <c r="AX3" s="1333"/>
      <c r="AY3" s="1333"/>
      <c r="AZ3" s="1333"/>
      <c r="BA3" s="1334"/>
      <c r="BB3" s="422"/>
      <c r="BC3" s="422"/>
      <c r="BD3" s="422"/>
      <c r="BE3" s="422"/>
    </row>
    <row r="4" spans="1:57" ht="15.75" thickBot="1" x14ac:dyDescent="0.3"/>
    <row r="5" spans="1:57" ht="37.5" customHeight="1" thickBot="1" x14ac:dyDescent="0.3">
      <c r="A5" s="289" t="s">
        <v>785</v>
      </c>
      <c r="B5" s="290"/>
      <c r="C5" s="1315" t="s">
        <v>1098</v>
      </c>
      <c r="D5" s="1316"/>
      <c r="E5" s="1316"/>
      <c r="F5" s="1316"/>
      <c r="G5" s="1316"/>
      <c r="H5" s="1317"/>
      <c r="I5" s="1318" t="s">
        <v>1099</v>
      </c>
      <c r="J5" s="1319"/>
      <c r="K5" s="1319"/>
      <c r="L5" s="1319"/>
      <c r="M5" s="1319"/>
      <c r="N5" s="1319"/>
      <c r="O5" s="164"/>
      <c r="P5" s="1315" t="s">
        <v>1100</v>
      </c>
      <c r="Q5" s="1316"/>
      <c r="R5" s="1316"/>
      <c r="S5" s="1316"/>
      <c r="T5" s="1316"/>
      <c r="U5" s="1317"/>
      <c r="V5" s="1318" t="s">
        <v>1101</v>
      </c>
      <c r="W5" s="1319"/>
      <c r="X5" s="1319"/>
      <c r="Y5" s="1319"/>
      <c r="Z5" s="1319"/>
      <c r="AA5" s="1319"/>
      <c r="AB5" s="294"/>
      <c r="AC5" s="1315" t="s">
        <v>1102</v>
      </c>
      <c r="AD5" s="1316"/>
      <c r="AE5" s="1316"/>
      <c r="AF5" s="1316"/>
      <c r="AG5" s="1316"/>
      <c r="AH5" s="1317"/>
      <c r="AI5" s="1318" t="s">
        <v>1103</v>
      </c>
      <c r="AJ5" s="1319"/>
      <c r="AK5" s="1319"/>
      <c r="AL5" s="1319"/>
      <c r="AM5" s="1319"/>
      <c r="AN5" s="1319"/>
      <c r="AO5" s="294"/>
      <c r="AP5" s="1322" t="s">
        <v>1104</v>
      </c>
      <c r="AQ5" s="1323"/>
      <c r="AR5" s="1323"/>
      <c r="AS5" s="1323"/>
      <c r="AT5" s="1323"/>
      <c r="AU5" s="1324"/>
      <c r="AV5" s="1325" t="s">
        <v>1105</v>
      </c>
      <c r="AW5" s="1319"/>
      <c r="AX5" s="1319"/>
      <c r="AY5" s="1319"/>
      <c r="AZ5" s="1319"/>
      <c r="BA5" s="1319"/>
    </row>
    <row r="6" spans="1:57" ht="18" x14ac:dyDescent="0.25">
      <c r="A6" s="291" t="s">
        <v>825</v>
      </c>
      <c r="B6" s="290"/>
      <c r="C6" s="501">
        <f>+'Cuadro Mando Integral Detallado'!I119</f>
        <v>0.65857944377441169</v>
      </c>
      <c r="D6" s="560">
        <f>+C6</f>
        <v>0.65857944377441169</v>
      </c>
      <c r="E6" s="557">
        <f>+C6</f>
        <v>0.65857944377441169</v>
      </c>
      <c r="F6" s="557">
        <f>+C6</f>
        <v>0.65857944377441169</v>
      </c>
      <c r="G6" s="557">
        <f>+C6</f>
        <v>0.65857944377441169</v>
      </c>
      <c r="H6" s="497">
        <f>+C6</f>
        <v>0.65857944377441169</v>
      </c>
      <c r="I6" s="565">
        <f>+'Cuadro Mando Integral Detallado'!K119</f>
        <v>0.11199602482393489</v>
      </c>
      <c r="J6" s="569">
        <f>+I6</f>
        <v>0.11199602482393489</v>
      </c>
      <c r="K6" s="570">
        <f>+I6</f>
        <v>0.11199602482393489</v>
      </c>
      <c r="L6" s="570">
        <f>+I6</f>
        <v>0.11199602482393489</v>
      </c>
      <c r="M6" s="570">
        <f>+I6</f>
        <v>0.11199602482393489</v>
      </c>
      <c r="N6" s="507">
        <f>+I6</f>
        <v>0.11199602482393489</v>
      </c>
      <c r="O6" s="174"/>
      <c r="P6" s="501">
        <f>+'Cuadro Mando Integral Detallado'!P119</f>
        <v>0.71369803844766788</v>
      </c>
      <c r="Q6" s="557">
        <f>+P6</f>
        <v>0.71369803844766788</v>
      </c>
      <c r="R6" s="557">
        <f>+P6</f>
        <v>0.71369803844766788</v>
      </c>
      <c r="S6" s="557">
        <f>+P6</f>
        <v>0.71369803844766788</v>
      </c>
      <c r="T6" s="557">
        <f>+P6</f>
        <v>0.71369803844766788</v>
      </c>
      <c r="U6" s="497">
        <f>+P6</f>
        <v>0.71369803844766788</v>
      </c>
      <c r="V6" s="577">
        <f>+'Cuadro Mando Integral Detallado'!R119</f>
        <v>0.24397226403556185</v>
      </c>
      <c r="W6" s="569">
        <f>+V6</f>
        <v>0.24397226403556185</v>
      </c>
      <c r="X6" s="570">
        <f>+V6</f>
        <v>0.24397226403556185</v>
      </c>
      <c r="Y6" s="570">
        <f>+V6</f>
        <v>0.24397226403556185</v>
      </c>
      <c r="Z6" s="570">
        <f>+V6</f>
        <v>0.24397226403556185</v>
      </c>
      <c r="AA6" s="507">
        <f>+V6</f>
        <v>0.24397226403556185</v>
      </c>
      <c r="AB6" s="502"/>
      <c r="AC6" s="501">
        <f>+'Cuadro Mando Integral Detallado'!W119</f>
        <v>0.69467370652232063</v>
      </c>
      <c r="AD6" s="560">
        <f>+AC6</f>
        <v>0.69467370652232063</v>
      </c>
      <c r="AE6" s="557">
        <f>+AC6</f>
        <v>0.69467370652232063</v>
      </c>
      <c r="AF6" s="557">
        <f>+AC6</f>
        <v>0.69467370652232063</v>
      </c>
      <c r="AG6" s="557">
        <f>+AC6</f>
        <v>0.69467370652232063</v>
      </c>
      <c r="AH6" s="497">
        <f>+AC6</f>
        <v>0.69467370652232063</v>
      </c>
      <c r="AI6" s="501">
        <f>+'Cuadro Mando Integral Detallado'!Y119</f>
        <v>0.42463440524232804</v>
      </c>
      <c r="AJ6" s="581">
        <f>+AI6</f>
        <v>0.42463440524232804</v>
      </c>
      <c r="AK6" s="570">
        <f>+AI6</f>
        <v>0.42463440524232804</v>
      </c>
      <c r="AL6" s="570">
        <f>+AI6</f>
        <v>0.42463440524232804</v>
      </c>
      <c r="AM6" s="570">
        <f>+AI6</f>
        <v>0.42463440524232804</v>
      </c>
      <c r="AN6" s="507">
        <f>+AI6</f>
        <v>0.42463440524232804</v>
      </c>
      <c r="AO6" s="502"/>
      <c r="AP6" s="501">
        <f>+'Cuadro Mando Integral Detallado'!AD119</f>
        <v>1.0887259857109752</v>
      </c>
      <c r="AQ6" s="560">
        <f>+AP6</f>
        <v>1.0887259857109752</v>
      </c>
      <c r="AR6" s="557">
        <f>+AP6</f>
        <v>1.0887259857109752</v>
      </c>
      <c r="AS6" s="557">
        <f>+AP6</f>
        <v>1.0887259857109752</v>
      </c>
      <c r="AT6" s="557">
        <f>+AP6</f>
        <v>1.0887259857109752</v>
      </c>
      <c r="AU6" s="497">
        <f>+AP6</f>
        <v>1.0887259857109752</v>
      </c>
      <c r="AV6" s="577">
        <f>+'Cuadro Mando Integral Detallado'!AF119</f>
        <v>0.69034968658292994</v>
      </c>
      <c r="AW6" s="581">
        <f>+AV6</f>
        <v>0.69034968658292994</v>
      </c>
      <c r="AX6" s="570">
        <f>+AV6</f>
        <v>0.69034968658292994</v>
      </c>
      <c r="AY6" s="570">
        <f>+AV6</f>
        <v>0.69034968658292994</v>
      </c>
      <c r="AZ6" s="570">
        <f>+AV6</f>
        <v>0.69034968658292994</v>
      </c>
      <c r="BA6" s="507">
        <f>+AV6</f>
        <v>0.69034968658292994</v>
      </c>
    </row>
    <row r="7" spans="1:57" ht="18" x14ac:dyDescent="0.25">
      <c r="A7" s="292" t="s">
        <v>826</v>
      </c>
      <c r="B7" s="290"/>
      <c r="C7" s="503">
        <f>+'Cuadro Mando Integral Detallado'!I238</f>
        <v>0.94546754005675981</v>
      </c>
      <c r="D7" s="561">
        <f>+C7</f>
        <v>0.94546754005675981</v>
      </c>
      <c r="E7" s="556">
        <f>+C7</f>
        <v>0.94546754005675981</v>
      </c>
      <c r="F7" s="556">
        <f>+C7</f>
        <v>0.94546754005675981</v>
      </c>
      <c r="G7" s="556">
        <f>+C7</f>
        <v>0.94546754005675981</v>
      </c>
      <c r="H7" s="498">
        <f>+C7</f>
        <v>0.94546754005675981</v>
      </c>
      <c r="I7" s="566">
        <f>+'Cuadro Mando Integral Detallado'!K238</f>
        <v>0.19964050428740518</v>
      </c>
      <c r="J7" s="571">
        <f>+I7</f>
        <v>0.19964050428740518</v>
      </c>
      <c r="K7" s="568">
        <f>+I7</f>
        <v>0.19964050428740518</v>
      </c>
      <c r="L7" s="568">
        <f>+I7</f>
        <v>0.19964050428740518</v>
      </c>
      <c r="M7" s="568">
        <f>+I7</f>
        <v>0.19964050428740518</v>
      </c>
      <c r="N7" s="508">
        <f>+I7</f>
        <v>0.19964050428740518</v>
      </c>
      <c r="O7" s="175"/>
      <c r="P7" s="503">
        <f>+'Cuadro Mando Integral Detallado'!P238</f>
        <v>0.96140708875276315</v>
      </c>
      <c r="Q7" s="556">
        <f>+P7</f>
        <v>0.96140708875276315</v>
      </c>
      <c r="R7" s="556">
        <f>+P7</f>
        <v>0.96140708875276315</v>
      </c>
      <c r="S7" s="556">
        <f>+P7</f>
        <v>0.96140708875276315</v>
      </c>
      <c r="T7" s="556">
        <f>+P7</f>
        <v>0.96140708875276315</v>
      </c>
      <c r="U7" s="498">
        <f>+P7</f>
        <v>0.96140708875276315</v>
      </c>
      <c r="V7" s="578">
        <f>+'Cuadro Mando Integral Detallado'!R238</f>
        <v>0.42780087682804036</v>
      </c>
      <c r="W7" s="571">
        <f>+V7</f>
        <v>0.42780087682804036</v>
      </c>
      <c r="X7" s="568">
        <f>+V7</f>
        <v>0.42780087682804036</v>
      </c>
      <c r="Y7" s="568">
        <f>+V7</f>
        <v>0.42780087682804036</v>
      </c>
      <c r="Z7" s="568">
        <f>+V7</f>
        <v>0.42780087682804036</v>
      </c>
      <c r="AA7" s="508">
        <f>+V7</f>
        <v>0.42780087682804036</v>
      </c>
      <c r="AB7" s="502"/>
      <c r="AC7" s="503">
        <f>+'Cuadro Mando Integral Detallado'!W238</f>
        <v>0.68567581612462136</v>
      </c>
      <c r="AD7" s="561">
        <f>+AC7</f>
        <v>0.68567581612462136</v>
      </c>
      <c r="AE7" s="556">
        <f>+AC7</f>
        <v>0.68567581612462136</v>
      </c>
      <c r="AF7" s="556">
        <f>+AC7</f>
        <v>0.68567581612462136</v>
      </c>
      <c r="AG7" s="556">
        <f>+AC7</f>
        <v>0.68567581612462136</v>
      </c>
      <c r="AH7" s="498">
        <f>+AC7</f>
        <v>0.68567581612462136</v>
      </c>
      <c r="AI7" s="503">
        <f>+'Cuadro Mando Integral Detallado'!Y238</f>
        <v>0.61508004816432804</v>
      </c>
      <c r="AJ7" s="582">
        <f>+AI7</f>
        <v>0.61508004816432804</v>
      </c>
      <c r="AK7" s="568">
        <f>+AI7</f>
        <v>0.61508004816432804</v>
      </c>
      <c r="AL7" s="568">
        <f>+AI7</f>
        <v>0.61508004816432804</v>
      </c>
      <c r="AM7" s="568">
        <f>+AI7</f>
        <v>0.61508004816432804</v>
      </c>
      <c r="AN7" s="508">
        <f>+AI7</f>
        <v>0.61508004816432804</v>
      </c>
      <c r="AO7" s="502"/>
      <c r="AP7" s="503">
        <f>+'Cuadro Mando Integral Detallado'!AD238</f>
        <v>1.2476643956808318</v>
      </c>
      <c r="AQ7" s="561">
        <f>+AP7</f>
        <v>1.2476643956808318</v>
      </c>
      <c r="AR7" s="556">
        <f>+AP7</f>
        <v>1.2476643956808318</v>
      </c>
      <c r="AS7" s="556">
        <f>+AP7</f>
        <v>1.2476643956808318</v>
      </c>
      <c r="AT7" s="556">
        <f>+AP7</f>
        <v>1.2476643956808318</v>
      </c>
      <c r="AU7" s="498">
        <f>+AP7</f>
        <v>1.2476643956808318</v>
      </c>
      <c r="AV7" s="578">
        <f>+'Cuadro Mando Integral Detallado'!AF238</f>
        <v>0.96329413171202971</v>
      </c>
      <c r="AW7" s="582">
        <f>+AV7</f>
        <v>0.96329413171202971</v>
      </c>
      <c r="AX7" s="568">
        <f>+AV7</f>
        <v>0.96329413171202971</v>
      </c>
      <c r="AY7" s="568">
        <f>+AV7</f>
        <v>0.96329413171202971</v>
      </c>
      <c r="AZ7" s="568">
        <f>+AV7</f>
        <v>0.96329413171202971</v>
      </c>
      <c r="BA7" s="508">
        <f>+AV7</f>
        <v>0.96329413171202971</v>
      </c>
    </row>
    <row r="8" spans="1:57" ht="18" x14ac:dyDescent="0.25">
      <c r="A8" s="292" t="s">
        <v>827</v>
      </c>
      <c r="B8" s="290"/>
      <c r="C8" s="503">
        <f>+'Cuadro Mando Integral Detallado'!I333</f>
        <v>1.3921393767206796</v>
      </c>
      <c r="D8" s="561">
        <f>+C8</f>
        <v>1.3921393767206796</v>
      </c>
      <c r="E8" s="556">
        <f>+C8</f>
        <v>1.3921393767206796</v>
      </c>
      <c r="F8" s="556">
        <f>+C8</f>
        <v>1.3921393767206796</v>
      </c>
      <c r="G8" s="556">
        <f>+C8</f>
        <v>1.3921393767206796</v>
      </c>
      <c r="H8" s="498">
        <f>+C8</f>
        <v>1.3921393767206796</v>
      </c>
      <c r="I8" s="566">
        <f>+'Cuadro Mando Integral Detallado'!K333</f>
        <v>0.18828283983348124</v>
      </c>
      <c r="J8" s="571">
        <f>+I8</f>
        <v>0.18828283983348124</v>
      </c>
      <c r="K8" s="568">
        <f>+I8</f>
        <v>0.18828283983348124</v>
      </c>
      <c r="L8" s="568">
        <f>+I8</f>
        <v>0.18828283983348124</v>
      </c>
      <c r="M8" s="568">
        <f>+I8</f>
        <v>0.18828283983348124</v>
      </c>
      <c r="N8" s="508">
        <f>+I8</f>
        <v>0.18828283983348124</v>
      </c>
      <c r="O8" s="175"/>
      <c r="P8" s="503">
        <f>+'Cuadro Mando Integral Detallado'!P333</f>
        <v>1.239431062381819</v>
      </c>
      <c r="Q8" s="556">
        <f>+P8</f>
        <v>1.239431062381819</v>
      </c>
      <c r="R8" s="556">
        <f>+P8</f>
        <v>1.239431062381819</v>
      </c>
      <c r="S8" s="556">
        <f>+P8</f>
        <v>1.239431062381819</v>
      </c>
      <c r="T8" s="556">
        <f>+P8</f>
        <v>1.239431062381819</v>
      </c>
      <c r="U8" s="498">
        <f>+P8</f>
        <v>1.239431062381819</v>
      </c>
      <c r="V8" s="578">
        <f>+'Cuadro Mando Integral Detallado'!R333</f>
        <v>0.50000705639696086</v>
      </c>
      <c r="W8" s="571">
        <f>+V8</f>
        <v>0.50000705639696086</v>
      </c>
      <c r="X8" s="568">
        <f>+V8</f>
        <v>0.50000705639696086</v>
      </c>
      <c r="Y8" s="568">
        <f>+V8</f>
        <v>0.50000705639696086</v>
      </c>
      <c r="Z8" s="568">
        <f>+V8</f>
        <v>0.50000705639696086</v>
      </c>
      <c r="AA8" s="508">
        <f>+V8</f>
        <v>0.50000705639696086</v>
      </c>
      <c r="AB8" s="502"/>
      <c r="AC8" s="503">
        <f>+'Cuadro Mando Integral Detallado'!W333</f>
        <v>0.85550664387513065</v>
      </c>
      <c r="AD8" s="561">
        <f>+AC8</f>
        <v>0.85550664387513065</v>
      </c>
      <c r="AE8" s="556">
        <f>+AC8</f>
        <v>0.85550664387513065</v>
      </c>
      <c r="AF8" s="556">
        <f>+AC8</f>
        <v>0.85550664387513065</v>
      </c>
      <c r="AG8" s="556">
        <f>+AC8</f>
        <v>0.85550664387513065</v>
      </c>
      <c r="AH8" s="498">
        <f>+AC8</f>
        <v>0.85550664387513065</v>
      </c>
      <c r="AI8" s="503">
        <f>+'Cuadro Mando Integral Detallado'!Y333</f>
        <v>0.52459868382658448</v>
      </c>
      <c r="AJ8" s="582">
        <f>+AI8</f>
        <v>0.52459868382658448</v>
      </c>
      <c r="AK8" s="568">
        <f>+AI8</f>
        <v>0.52459868382658448</v>
      </c>
      <c r="AL8" s="568">
        <f>+AI8</f>
        <v>0.52459868382658448</v>
      </c>
      <c r="AM8" s="568">
        <f>+AI8</f>
        <v>0.52459868382658448</v>
      </c>
      <c r="AN8" s="508">
        <f>+AI8</f>
        <v>0.52459868382658448</v>
      </c>
      <c r="AO8" s="502"/>
      <c r="AP8" s="503">
        <f>+'Cuadro Mando Integral Detallado'!AD333</f>
        <v>0.85077550488580866</v>
      </c>
      <c r="AQ8" s="561">
        <f>+AP8</f>
        <v>0.85077550488580866</v>
      </c>
      <c r="AR8" s="556">
        <f>+AP8</f>
        <v>0.85077550488580866</v>
      </c>
      <c r="AS8" s="556">
        <f>+AP8</f>
        <v>0.85077550488580866</v>
      </c>
      <c r="AT8" s="556">
        <f>+AP8</f>
        <v>0.85077550488580866</v>
      </c>
      <c r="AU8" s="498">
        <f>+AP8</f>
        <v>0.85077550488580866</v>
      </c>
      <c r="AV8" s="578">
        <f>+'Cuadro Mando Integral Detallado'!AF333</f>
        <v>2.0611715082768507</v>
      </c>
      <c r="AW8" s="582">
        <f>+AV8</f>
        <v>2.0611715082768507</v>
      </c>
      <c r="AX8" s="568">
        <f>+AV8</f>
        <v>2.0611715082768507</v>
      </c>
      <c r="AY8" s="568">
        <f>+AV8</f>
        <v>2.0611715082768507</v>
      </c>
      <c r="AZ8" s="568">
        <f>+AV8</f>
        <v>2.0611715082768507</v>
      </c>
      <c r="BA8" s="508">
        <f>+AV8</f>
        <v>2.0611715082768507</v>
      </c>
    </row>
    <row r="9" spans="1:57" ht="18.75" thickBot="1" x14ac:dyDescent="0.3">
      <c r="A9" s="293" t="s">
        <v>828</v>
      </c>
      <c r="B9" s="290"/>
      <c r="C9" s="504">
        <f>+'Cuadro Mando Integral Detallado'!I383</f>
        <v>1.0977777777777777</v>
      </c>
      <c r="D9" s="562">
        <f>+C9</f>
        <v>1.0977777777777777</v>
      </c>
      <c r="E9" s="558">
        <f>+C9</f>
        <v>1.0977777777777777</v>
      </c>
      <c r="F9" s="558">
        <f>+C9</f>
        <v>1.0977777777777777</v>
      </c>
      <c r="G9" s="558">
        <f>+C9</f>
        <v>1.0977777777777777</v>
      </c>
      <c r="H9" s="499">
        <f>+C9</f>
        <v>1.0977777777777777</v>
      </c>
      <c r="I9" s="567">
        <f>+'Cuadro Mando Integral Detallado'!K383</f>
        <v>9.3541666666666676E-2</v>
      </c>
      <c r="J9" s="572">
        <f>+I9</f>
        <v>9.3541666666666676E-2</v>
      </c>
      <c r="K9" s="573">
        <f>+I9</f>
        <v>9.3541666666666676E-2</v>
      </c>
      <c r="L9" s="573">
        <f>+I9</f>
        <v>9.3541666666666676E-2</v>
      </c>
      <c r="M9" s="573">
        <f>+I9</f>
        <v>9.3541666666666676E-2</v>
      </c>
      <c r="N9" s="509">
        <f>+I9</f>
        <v>9.3541666666666676E-2</v>
      </c>
      <c r="O9" s="175"/>
      <c r="P9" s="504">
        <f>+'Cuadro Mando Integral Detallado'!P383</f>
        <v>0.93319892473118282</v>
      </c>
      <c r="Q9" s="558">
        <f>+P9</f>
        <v>0.93319892473118282</v>
      </c>
      <c r="R9" s="558">
        <f>+P9</f>
        <v>0.93319892473118282</v>
      </c>
      <c r="S9" s="558">
        <f>+P9</f>
        <v>0.93319892473118282</v>
      </c>
      <c r="T9" s="558">
        <f>+P9</f>
        <v>0.93319892473118282</v>
      </c>
      <c r="U9" s="499">
        <f>+P9</f>
        <v>0.93319892473118282</v>
      </c>
      <c r="V9" s="579">
        <f>+'Cuadro Mando Integral Detallado'!R383</f>
        <v>0.34459873431899646</v>
      </c>
      <c r="W9" s="572">
        <f>+V9</f>
        <v>0.34459873431899646</v>
      </c>
      <c r="X9" s="573">
        <f>+V9</f>
        <v>0.34459873431899646</v>
      </c>
      <c r="Y9" s="573">
        <f>+V9</f>
        <v>0.34459873431899646</v>
      </c>
      <c r="Z9" s="573">
        <f>+V9</f>
        <v>0.34459873431899646</v>
      </c>
      <c r="AA9" s="509">
        <f>+V9</f>
        <v>0.34459873431899646</v>
      </c>
      <c r="AB9" s="502"/>
      <c r="AC9" s="504">
        <f>+'Cuadro Mando Integral Detallado'!W383</f>
        <v>0.8242720206477433</v>
      </c>
      <c r="AD9" s="562">
        <f>+AC9</f>
        <v>0.8242720206477433</v>
      </c>
      <c r="AE9" s="558">
        <f>+AC9</f>
        <v>0.8242720206477433</v>
      </c>
      <c r="AF9" s="558">
        <f>+AC9</f>
        <v>0.8242720206477433</v>
      </c>
      <c r="AG9" s="558">
        <f>+AC9</f>
        <v>0.8242720206477433</v>
      </c>
      <c r="AH9" s="499">
        <f>+AC9</f>
        <v>0.8242720206477433</v>
      </c>
      <c r="AI9" s="504">
        <f>+'Cuadro Mando Integral Detallado'!Y383</f>
        <v>0.56542560696513322</v>
      </c>
      <c r="AJ9" s="583">
        <f>+AI9</f>
        <v>0.56542560696513322</v>
      </c>
      <c r="AK9" s="573">
        <f>+AI9</f>
        <v>0.56542560696513322</v>
      </c>
      <c r="AL9" s="573">
        <f>+AI9</f>
        <v>0.56542560696513322</v>
      </c>
      <c r="AM9" s="573">
        <f>+AI9</f>
        <v>0.56542560696513322</v>
      </c>
      <c r="AN9" s="509">
        <f>+AI9</f>
        <v>0.56542560696513322</v>
      </c>
      <c r="AO9" s="502"/>
      <c r="AP9" s="504">
        <f>+'Cuadro Mando Integral Detallado'!AD383</f>
        <v>0.75061196386600382</v>
      </c>
      <c r="AQ9" s="562">
        <f>+AP9</f>
        <v>0.75061196386600382</v>
      </c>
      <c r="AR9" s="558">
        <f>+AP9</f>
        <v>0.75061196386600382</v>
      </c>
      <c r="AS9" s="558">
        <f>+AP9</f>
        <v>0.75061196386600382</v>
      </c>
      <c r="AT9" s="558">
        <f>+AP9</f>
        <v>0.75061196386600382</v>
      </c>
      <c r="AU9" s="499">
        <f>+AP9</f>
        <v>0.75061196386600382</v>
      </c>
      <c r="AV9" s="579">
        <f>+'Cuadro Mando Integral Detallado'!AF383</f>
        <v>1.1322838092082939</v>
      </c>
      <c r="AW9" s="583">
        <f>+AV9</f>
        <v>1.1322838092082939</v>
      </c>
      <c r="AX9" s="573">
        <f>+AV9</f>
        <v>1.1322838092082939</v>
      </c>
      <c r="AY9" s="573">
        <f>+AV9</f>
        <v>1.1322838092082939</v>
      </c>
      <c r="AZ9" s="573">
        <f>+AV9</f>
        <v>1.1322838092082939</v>
      </c>
      <c r="BA9" s="509">
        <f>+AV9</f>
        <v>1.1322838092082939</v>
      </c>
    </row>
    <row r="10" spans="1:57" ht="11.25" customHeight="1" thickBot="1" x14ac:dyDescent="0.3">
      <c r="A10" s="401"/>
      <c r="B10" s="290"/>
      <c r="P10" s="451"/>
      <c r="Q10" s="451"/>
      <c r="R10" s="541"/>
      <c r="S10" s="541"/>
      <c r="T10" s="541"/>
      <c r="U10" s="541"/>
      <c r="V10" s="451"/>
      <c r="AB10" s="451"/>
      <c r="AC10" s="449"/>
      <c r="AD10" s="23"/>
      <c r="AE10" s="23"/>
      <c r="AF10" s="23"/>
      <c r="AG10" s="23"/>
      <c r="AH10" s="23"/>
      <c r="AI10" s="449"/>
      <c r="AJ10" s="511"/>
      <c r="AK10" s="511"/>
      <c r="AL10" s="511"/>
      <c r="AM10" s="511"/>
      <c r="AN10" s="511"/>
      <c r="AO10" s="451"/>
      <c r="AP10" s="451"/>
      <c r="AV10" s="451"/>
      <c r="AW10" s="161"/>
    </row>
    <row r="11" spans="1:57" ht="18.75" thickBot="1" x14ac:dyDescent="0.3">
      <c r="A11" s="621" t="s">
        <v>1178</v>
      </c>
      <c r="B11" s="294"/>
      <c r="C11" s="564">
        <f>+'Cuadro Mando Integral Detallado'!I384</f>
        <v>1.0234910345824073</v>
      </c>
      <c r="D11" s="563">
        <f>+C11</f>
        <v>1.0234910345824073</v>
      </c>
      <c r="E11" s="559">
        <f>+C11</f>
        <v>1.0234910345824073</v>
      </c>
      <c r="F11" s="559">
        <f>+C11</f>
        <v>1.0234910345824073</v>
      </c>
      <c r="G11" s="559">
        <f>+C11</f>
        <v>1.0234910345824073</v>
      </c>
      <c r="H11" s="500">
        <f>+C11</f>
        <v>1.0234910345824073</v>
      </c>
      <c r="I11" s="574">
        <f>+'Cuadro Mando Integral Detallado'!K384</f>
        <v>0.148365258902872</v>
      </c>
      <c r="J11" s="575">
        <f>+I11</f>
        <v>0.148365258902872</v>
      </c>
      <c r="K11" s="576">
        <f>+I11</f>
        <v>0.148365258902872</v>
      </c>
      <c r="L11" s="576">
        <f>+I11</f>
        <v>0.148365258902872</v>
      </c>
      <c r="M11" s="576">
        <f>+I11</f>
        <v>0.148365258902872</v>
      </c>
      <c r="N11" s="510">
        <f>+I11</f>
        <v>0.148365258902872</v>
      </c>
      <c r="O11" s="176"/>
      <c r="P11" s="564">
        <f>+'Cuadro Mando Integral Detallado'!P384</f>
        <v>0.96193377857835816</v>
      </c>
      <c r="Q11" s="563">
        <f>+P11</f>
        <v>0.96193377857835816</v>
      </c>
      <c r="R11" s="559">
        <f>+P11</f>
        <v>0.96193377857835816</v>
      </c>
      <c r="S11" s="559">
        <f>+P11</f>
        <v>0.96193377857835816</v>
      </c>
      <c r="T11" s="559">
        <f>+P11</f>
        <v>0.96193377857835816</v>
      </c>
      <c r="U11" s="500">
        <f>+P11</f>
        <v>0.96193377857835816</v>
      </c>
      <c r="V11" s="580">
        <f>+'Cuadro Mando Integral Detallado'!R384</f>
        <v>0.37909473289488987</v>
      </c>
      <c r="W11" s="575">
        <f>+V11</f>
        <v>0.37909473289488987</v>
      </c>
      <c r="X11" s="576">
        <f>+V11</f>
        <v>0.37909473289488987</v>
      </c>
      <c r="Y11" s="576">
        <f>+V11</f>
        <v>0.37909473289488987</v>
      </c>
      <c r="Z11" s="576">
        <f>+V11</f>
        <v>0.37909473289488987</v>
      </c>
      <c r="AA11" s="510">
        <f>+V11</f>
        <v>0.37909473289488987</v>
      </c>
      <c r="AB11" s="505"/>
      <c r="AC11" s="564">
        <f>+'Cuadro Mando Integral Detallado'!W384</f>
        <v>0.76503204679245396</v>
      </c>
      <c r="AD11" s="563">
        <f>+AC11</f>
        <v>0.76503204679245396</v>
      </c>
      <c r="AE11" s="559">
        <f>+AC11</f>
        <v>0.76503204679245396</v>
      </c>
      <c r="AF11" s="559">
        <f>+AC11</f>
        <v>0.76503204679245396</v>
      </c>
      <c r="AG11" s="559">
        <f>+AC11</f>
        <v>0.76503204679245396</v>
      </c>
      <c r="AH11" s="500">
        <f>+AC11</f>
        <v>0.76503204679245396</v>
      </c>
      <c r="AI11" s="580">
        <f>+'Cuadro Mando Integral Detallado'!Y384</f>
        <v>0.53243468604959343</v>
      </c>
      <c r="AJ11" s="584">
        <f>+AI11</f>
        <v>0.53243468604959343</v>
      </c>
      <c r="AK11" s="576">
        <f>+AI11</f>
        <v>0.53243468604959343</v>
      </c>
      <c r="AL11" s="576">
        <f>+AI11</f>
        <v>0.53243468604959343</v>
      </c>
      <c r="AM11" s="576">
        <f>+AI11</f>
        <v>0.53243468604959343</v>
      </c>
      <c r="AN11" s="510">
        <f>+AI11</f>
        <v>0.53243468604959343</v>
      </c>
      <c r="AO11" s="505"/>
      <c r="AP11" s="564">
        <f>+'Cuadro Mando Integral Detallado'!AD384</f>
        <v>0.98444446253590479</v>
      </c>
      <c r="AQ11" s="563">
        <f>+AP11</f>
        <v>0.98444446253590479</v>
      </c>
      <c r="AR11" s="559">
        <f>+AP11</f>
        <v>0.98444446253590479</v>
      </c>
      <c r="AS11" s="559">
        <f>+AP11</f>
        <v>0.98444446253590479</v>
      </c>
      <c r="AT11" s="559">
        <f>+AP11</f>
        <v>0.98444446253590479</v>
      </c>
      <c r="AU11" s="500">
        <f>+AP11</f>
        <v>0.98444446253590479</v>
      </c>
      <c r="AV11" s="580">
        <f>+'Cuadro Mando Integral Detallado'!AF384</f>
        <v>1.2117747839450259</v>
      </c>
      <c r="AW11" s="584">
        <f>+AV11</f>
        <v>1.2117747839450259</v>
      </c>
      <c r="AX11" s="576">
        <f>+AV11</f>
        <v>1.2117747839450259</v>
      </c>
      <c r="AY11" s="576">
        <f>+AV11</f>
        <v>1.2117747839450259</v>
      </c>
      <c r="AZ11" s="576">
        <f>+AV11</f>
        <v>1.2117747839450259</v>
      </c>
      <c r="BA11" s="510">
        <f>+AV11</f>
        <v>1.2117747839450259</v>
      </c>
    </row>
    <row r="12" spans="1:57" ht="8.25" customHeight="1" thickBot="1" x14ac:dyDescent="0.3"/>
    <row r="13" spans="1:57" ht="18.75" thickBot="1" x14ac:dyDescent="0.3">
      <c r="A13" s="621" t="s">
        <v>1177</v>
      </c>
      <c r="C13" s="564">
        <f>+'Cuadro Mando Integral Detallado'!I385</f>
        <v>0.91467846624354077</v>
      </c>
      <c r="D13" s="563">
        <f>+C13</f>
        <v>0.91467846624354077</v>
      </c>
      <c r="E13" s="559">
        <f>+C13</f>
        <v>0.91467846624354077</v>
      </c>
      <c r="F13" s="559">
        <f>+C13</f>
        <v>0.91467846624354077</v>
      </c>
      <c r="G13" s="559">
        <f>+C13</f>
        <v>0.91467846624354077</v>
      </c>
      <c r="H13" s="500">
        <f>+C13</f>
        <v>0.91467846624354077</v>
      </c>
      <c r="I13" s="574">
        <f>+'Cuadro Mando Integral Detallado'!K385</f>
        <v>0.14003674147214257</v>
      </c>
      <c r="J13" s="575">
        <f>+I13</f>
        <v>0.14003674147214257</v>
      </c>
      <c r="K13" s="576">
        <f>+I13</f>
        <v>0.14003674147214257</v>
      </c>
      <c r="L13" s="576">
        <f>+I13</f>
        <v>0.14003674147214257</v>
      </c>
      <c r="M13" s="576">
        <f>+I13</f>
        <v>0.14003674147214257</v>
      </c>
      <c r="N13" s="510">
        <f>+I13</f>
        <v>0.14003674147214257</v>
      </c>
      <c r="O13" s="176"/>
      <c r="P13" s="564">
        <f>+'Cuadro Mando Integral Detallado'!P385</f>
        <v>0.84120714602303537</v>
      </c>
      <c r="Q13" s="563">
        <f>+P13</f>
        <v>0.84120714602303537</v>
      </c>
      <c r="R13" s="559">
        <f>+P13</f>
        <v>0.84120714602303537</v>
      </c>
      <c r="S13" s="559">
        <f>+P13</f>
        <v>0.84120714602303537</v>
      </c>
      <c r="T13" s="559">
        <f>+P13</f>
        <v>0.84120714602303537</v>
      </c>
      <c r="U13" s="500">
        <f>+P13</f>
        <v>0.84120714602303537</v>
      </c>
      <c r="V13" s="624">
        <f>+'Cuadro Mando Integral Detallado'!R385</f>
        <v>0.3279644615420802</v>
      </c>
      <c r="W13" s="575">
        <f>+V13</f>
        <v>0.3279644615420802</v>
      </c>
      <c r="X13" s="576">
        <f>+V13</f>
        <v>0.3279644615420802</v>
      </c>
      <c r="Y13" s="576">
        <f>+V13</f>
        <v>0.3279644615420802</v>
      </c>
      <c r="Z13" s="576">
        <f>+V13</f>
        <v>0.3279644615420802</v>
      </c>
      <c r="AA13" s="510">
        <f>+V13</f>
        <v>0.3279644615420802</v>
      </c>
      <c r="AB13" s="505"/>
      <c r="AC13" s="564">
        <f>+'Cuadro Mando Integral Detallado'!W385</f>
        <v>0.82152964424279529</v>
      </c>
      <c r="AD13" s="563">
        <f>+AC13</f>
        <v>0.82152964424279529</v>
      </c>
      <c r="AE13" s="559">
        <f>+AC13</f>
        <v>0.82152964424279529</v>
      </c>
      <c r="AF13" s="559">
        <f>+AC13</f>
        <v>0.82152964424279529</v>
      </c>
      <c r="AG13" s="559">
        <f>+AC13</f>
        <v>0.82152964424279529</v>
      </c>
      <c r="AH13" s="500">
        <f>+AC13</f>
        <v>0.82152964424279529</v>
      </c>
      <c r="AI13" s="580">
        <f>+'Cuadro Mando Integral Detallado'!Y385</f>
        <v>0.52890334847196097</v>
      </c>
      <c r="AJ13" s="584">
        <f>+AI13</f>
        <v>0.52890334847196097</v>
      </c>
      <c r="AK13" s="576">
        <f>+AI13</f>
        <v>0.52890334847196097</v>
      </c>
      <c r="AL13" s="576">
        <f>+AI13</f>
        <v>0.52890334847196097</v>
      </c>
      <c r="AM13" s="576">
        <f>+AI13</f>
        <v>0.52890334847196097</v>
      </c>
      <c r="AN13" s="510">
        <f>+AI13</f>
        <v>0.52890334847196097</v>
      </c>
      <c r="AO13" s="505"/>
      <c r="AP13" s="564">
        <f>+'Cuadro Mando Integral Detallado'!AD385</f>
        <v>1.0397100141586821</v>
      </c>
      <c r="AQ13" s="563">
        <f>+AP13</f>
        <v>1.0397100141586821</v>
      </c>
      <c r="AR13" s="559">
        <f>+AP13</f>
        <v>1.0397100141586821</v>
      </c>
      <c r="AS13" s="559">
        <f>+AP13</f>
        <v>1.0397100141586821</v>
      </c>
      <c r="AT13" s="559">
        <f>+AP13</f>
        <v>1.0397100141586821</v>
      </c>
      <c r="AU13" s="500">
        <f>+AP13</f>
        <v>1.0397100141586821</v>
      </c>
      <c r="AV13" s="580">
        <f>+'Cuadro Mando Integral Detallado'!AF385</f>
        <v>1.1969600854240163</v>
      </c>
      <c r="AW13" s="584">
        <f>+AV13</f>
        <v>1.1969600854240163</v>
      </c>
      <c r="AX13" s="576">
        <f>+AV13</f>
        <v>1.1969600854240163</v>
      </c>
      <c r="AY13" s="576">
        <f>+AV13</f>
        <v>1.1969600854240163</v>
      </c>
      <c r="AZ13" s="576">
        <f>+AV13</f>
        <v>1.1969600854240163</v>
      </c>
      <c r="BA13" s="510">
        <f>+AV13</f>
        <v>1.1969600854240163</v>
      </c>
    </row>
    <row r="14" spans="1:57" s="146" customFormat="1" x14ac:dyDescent="0.25">
      <c r="A14" s="316"/>
    </row>
    <row r="15" spans="1:57" x14ac:dyDescent="0.25">
      <c r="V15" s="506"/>
      <c r="AI15" s="506"/>
      <c r="AJ15" s="506"/>
      <c r="AK15" s="506"/>
      <c r="AL15" s="506"/>
      <c r="AM15" s="506"/>
      <c r="AN15" s="506"/>
      <c r="AV15" s="506"/>
    </row>
    <row r="16" spans="1:57" x14ac:dyDescent="0.25">
      <c r="V16" s="506"/>
      <c r="AI16" s="506"/>
      <c r="AJ16" s="506"/>
      <c r="AK16" s="506"/>
      <c r="AL16" s="506"/>
      <c r="AM16" s="506"/>
      <c r="AN16" s="506"/>
      <c r="AV16" s="506"/>
    </row>
    <row r="17" spans="22:48" x14ac:dyDescent="0.25">
      <c r="V17" s="506"/>
      <c r="Y17" s="4"/>
      <c r="AI17" s="506"/>
      <c r="AJ17" s="506"/>
      <c r="AK17" s="506"/>
      <c r="AL17" s="506"/>
      <c r="AM17" s="506"/>
      <c r="AN17" s="506"/>
      <c r="AV17" s="506"/>
    </row>
    <row r="18" spans="22:48" x14ac:dyDescent="0.25">
      <c r="V18" s="506"/>
      <c r="AI18" s="506"/>
      <c r="AJ18" s="506"/>
      <c r="AK18" s="506"/>
      <c r="AL18" s="506"/>
      <c r="AM18" s="506"/>
      <c r="AN18" s="506"/>
      <c r="AV18" s="506"/>
    </row>
    <row r="19" spans="22:48" x14ac:dyDescent="0.25">
      <c r="V19" s="506"/>
    </row>
  </sheetData>
  <mergeCells count="18">
    <mergeCell ref="AP5:AU5"/>
    <mergeCell ref="AV5:BA5"/>
    <mergeCell ref="AP1:BA3"/>
    <mergeCell ref="B1:H1"/>
    <mergeCell ref="B2:H2"/>
    <mergeCell ref="B3:H3"/>
    <mergeCell ref="I3:N3"/>
    <mergeCell ref="O3:AH3"/>
    <mergeCell ref="AJ3:AO3"/>
    <mergeCell ref="A1:A3"/>
    <mergeCell ref="I1:AO1"/>
    <mergeCell ref="C5:H5"/>
    <mergeCell ref="I5:N5"/>
    <mergeCell ref="P5:U5"/>
    <mergeCell ref="V5:AA5"/>
    <mergeCell ref="AC5:AH5"/>
    <mergeCell ref="AI5:AN5"/>
    <mergeCell ref="I2:AO2"/>
  </mergeCells>
  <conditionalFormatting sqref="D6">
    <cfRule type="cellIs" dxfId="17975" priority="982" stopIfTrue="1" operator="between">
      <formula>0</formula>
      <formula>0.5</formula>
    </cfRule>
  </conditionalFormatting>
  <conditionalFormatting sqref="AJ6">
    <cfRule type="cellIs" dxfId="17974" priority="807" stopIfTrue="1" operator="between">
      <formula>0</formula>
      <formula>0.375</formula>
    </cfRule>
  </conditionalFormatting>
  <conditionalFormatting sqref="J6">
    <cfRule type="cellIs" dxfId="17973" priority="577" stopIfTrue="1" operator="between">
      <formula>0</formula>
      <formula>0.125</formula>
    </cfRule>
  </conditionalFormatting>
  <conditionalFormatting sqref="W6">
    <cfRule type="cellIs" dxfId="17972" priority="472" stopIfTrue="1" operator="between">
      <formula>0</formula>
      <formula>0.255</formula>
    </cfRule>
  </conditionalFormatting>
  <conditionalFormatting sqref="AW6">
    <cfRule type="cellIs" dxfId="17971" priority="342" stopIfTrue="1" operator="between">
      <formula>0</formula>
      <formula>0.5</formula>
    </cfRule>
  </conditionalFormatting>
  <conditionalFormatting sqref="E6">
    <cfRule type="cellIs" dxfId="17970" priority="297" operator="between">
      <formula>0.51</formula>
      <formula>0.75</formula>
    </cfRule>
  </conditionalFormatting>
  <conditionalFormatting sqref="F6">
    <cfRule type="cellIs" dxfId="17969" priority="296" operator="between">
      <formula>0.76</formula>
      <formula>0.95</formula>
    </cfRule>
  </conditionalFormatting>
  <conditionalFormatting sqref="G6">
    <cfRule type="cellIs" dxfId="17968" priority="295" operator="between">
      <formula>0.95</formula>
      <formula>1</formula>
    </cfRule>
  </conditionalFormatting>
  <conditionalFormatting sqref="H6">
    <cfRule type="cellIs" dxfId="17967" priority="294" operator="greaterThan">
      <formula>1</formula>
    </cfRule>
  </conditionalFormatting>
  <conditionalFormatting sqref="D7">
    <cfRule type="cellIs" dxfId="17966" priority="293" stopIfTrue="1" operator="between">
      <formula>0</formula>
      <formula>0.5</formula>
    </cfRule>
  </conditionalFormatting>
  <conditionalFormatting sqref="E7">
    <cfRule type="cellIs" dxfId="17965" priority="292" operator="between">
      <formula>0.51</formula>
      <formula>0.75</formula>
    </cfRule>
  </conditionalFormatting>
  <conditionalFormatting sqref="F7">
    <cfRule type="cellIs" dxfId="17964" priority="291" operator="between">
      <formula>0.76</formula>
      <formula>0.95</formula>
    </cfRule>
  </conditionalFormatting>
  <conditionalFormatting sqref="G7">
    <cfRule type="cellIs" dxfId="17963" priority="290" operator="between">
      <formula>0.95</formula>
      <formula>1</formula>
    </cfRule>
  </conditionalFormatting>
  <conditionalFormatting sqref="H7">
    <cfRule type="cellIs" dxfId="17962" priority="289" operator="greaterThan">
      <formula>1</formula>
    </cfRule>
  </conditionalFormatting>
  <conditionalFormatting sqref="D8">
    <cfRule type="cellIs" dxfId="17961" priority="288" stopIfTrue="1" operator="between">
      <formula>0</formula>
      <formula>0.5</formula>
    </cfRule>
  </conditionalFormatting>
  <conditionalFormatting sqref="E8">
    <cfRule type="cellIs" dxfId="17960" priority="287" operator="between">
      <formula>0.51</formula>
      <formula>0.75</formula>
    </cfRule>
  </conditionalFormatting>
  <conditionalFormatting sqref="F8">
    <cfRule type="cellIs" dxfId="17959" priority="286" operator="between">
      <formula>0.76</formula>
      <formula>0.95</formula>
    </cfRule>
  </conditionalFormatting>
  <conditionalFormatting sqref="G8">
    <cfRule type="cellIs" dxfId="17958" priority="285" operator="between">
      <formula>0.95</formula>
      <formula>1</formula>
    </cfRule>
  </conditionalFormatting>
  <conditionalFormatting sqref="H8">
    <cfRule type="cellIs" dxfId="17957" priority="284" operator="greaterThan">
      <formula>1</formula>
    </cfRule>
  </conditionalFormatting>
  <conditionalFormatting sqref="D9">
    <cfRule type="cellIs" dxfId="17956" priority="283" stopIfTrue="1" operator="between">
      <formula>0</formula>
      <formula>0.5</formula>
    </cfRule>
  </conditionalFormatting>
  <conditionalFormatting sqref="E9">
    <cfRule type="cellIs" dxfId="17955" priority="282" operator="between">
      <formula>0.51</formula>
      <formula>0.75</formula>
    </cfRule>
  </conditionalFormatting>
  <conditionalFormatting sqref="F9">
    <cfRule type="cellIs" dxfId="17954" priority="281" operator="between">
      <formula>0.76</formula>
      <formula>0.95</formula>
    </cfRule>
  </conditionalFormatting>
  <conditionalFormatting sqref="G9">
    <cfRule type="cellIs" dxfId="17953" priority="280" operator="between">
      <formula>0.95</formula>
      <formula>1</formula>
    </cfRule>
  </conditionalFormatting>
  <conditionalFormatting sqref="H9">
    <cfRule type="cellIs" dxfId="17952" priority="279" operator="greaterThan">
      <formula>1</formula>
    </cfRule>
  </conditionalFormatting>
  <conditionalFormatting sqref="D11">
    <cfRule type="cellIs" dxfId="17951" priority="278" stopIfTrue="1" operator="between">
      <formula>0</formula>
      <formula>0.5</formula>
    </cfRule>
  </conditionalFormatting>
  <conditionalFormatting sqref="E11">
    <cfRule type="cellIs" dxfId="17950" priority="277" operator="between">
      <formula>0.51</formula>
      <formula>0.75</formula>
    </cfRule>
  </conditionalFormatting>
  <conditionalFormatting sqref="F11">
    <cfRule type="cellIs" dxfId="17949" priority="276" operator="between">
      <formula>0.76</formula>
      <formula>0.95</formula>
    </cfRule>
  </conditionalFormatting>
  <conditionalFormatting sqref="G11">
    <cfRule type="cellIs" dxfId="17948" priority="275" operator="between">
      <formula>0.95</formula>
      <formula>1</formula>
    </cfRule>
  </conditionalFormatting>
  <conditionalFormatting sqref="H11">
    <cfRule type="cellIs" dxfId="17947" priority="274" operator="greaterThan">
      <formula>1</formula>
    </cfRule>
  </conditionalFormatting>
  <conditionalFormatting sqref="Q6">
    <cfRule type="cellIs" dxfId="17946" priority="273" stopIfTrue="1" operator="between">
      <formula>0</formula>
      <formula>0.5</formula>
    </cfRule>
  </conditionalFormatting>
  <conditionalFormatting sqref="R6">
    <cfRule type="cellIs" dxfId="17945" priority="272" operator="between">
      <formula>0.51</formula>
      <formula>0.75</formula>
    </cfRule>
  </conditionalFormatting>
  <conditionalFormatting sqref="S6">
    <cfRule type="cellIs" dxfId="17944" priority="271" operator="between">
      <formula>0.76</formula>
      <formula>0.95</formula>
    </cfRule>
  </conditionalFormatting>
  <conditionalFormatting sqref="T6">
    <cfRule type="cellIs" dxfId="17943" priority="270" operator="between">
      <formula>0.95</formula>
      <formula>1</formula>
    </cfRule>
  </conditionalFormatting>
  <conditionalFormatting sqref="U6">
    <cfRule type="cellIs" dxfId="17942" priority="269" operator="greaterThan">
      <formula>1</formula>
    </cfRule>
  </conditionalFormatting>
  <conditionalFormatting sqref="Q7">
    <cfRule type="cellIs" dxfId="17941" priority="268" stopIfTrue="1" operator="between">
      <formula>0</formula>
      <formula>0.5</formula>
    </cfRule>
  </conditionalFormatting>
  <conditionalFormatting sqref="R7">
    <cfRule type="cellIs" dxfId="17940" priority="267" operator="between">
      <formula>0.51</formula>
      <formula>0.75</formula>
    </cfRule>
  </conditionalFormatting>
  <conditionalFormatting sqref="S7">
    <cfRule type="cellIs" dxfId="17939" priority="266" operator="between">
      <formula>0.76</formula>
      <formula>0.95</formula>
    </cfRule>
  </conditionalFormatting>
  <conditionalFormatting sqref="T7">
    <cfRule type="cellIs" dxfId="17938" priority="265" operator="between">
      <formula>0.95</formula>
      <formula>1</formula>
    </cfRule>
  </conditionalFormatting>
  <conditionalFormatting sqref="U7">
    <cfRule type="cellIs" dxfId="17937" priority="264" operator="greaterThan">
      <formula>1</formula>
    </cfRule>
  </conditionalFormatting>
  <conditionalFormatting sqref="Q8">
    <cfRule type="cellIs" dxfId="17936" priority="263" stopIfTrue="1" operator="between">
      <formula>0</formula>
      <formula>0.5</formula>
    </cfRule>
  </conditionalFormatting>
  <conditionalFormatting sqref="R8">
    <cfRule type="cellIs" dxfId="17935" priority="262" operator="between">
      <formula>0.51</formula>
      <formula>0.75</formula>
    </cfRule>
  </conditionalFormatting>
  <conditionalFormatting sqref="S8">
    <cfRule type="cellIs" dxfId="17934" priority="261" operator="between">
      <formula>0.76</formula>
      <formula>0.95</formula>
    </cfRule>
  </conditionalFormatting>
  <conditionalFormatting sqref="T8">
    <cfRule type="cellIs" dxfId="17933" priority="260" operator="between">
      <formula>0.95</formula>
      <formula>1</formula>
    </cfRule>
  </conditionalFormatting>
  <conditionalFormatting sqref="U8">
    <cfRule type="cellIs" dxfId="17932" priority="259" operator="greaterThan">
      <formula>1</formula>
    </cfRule>
  </conditionalFormatting>
  <conditionalFormatting sqref="Q9">
    <cfRule type="cellIs" dxfId="17931" priority="258" stopIfTrue="1" operator="between">
      <formula>0</formula>
      <formula>0.5</formula>
    </cfRule>
  </conditionalFormatting>
  <conditionalFormatting sqref="R9">
    <cfRule type="cellIs" dxfId="17930" priority="257" operator="between">
      <formula>0.51</formula>
      <formula>0.75</formula>
    </cfRule>
  </conditionalFormatting>
  <conditionalFormatting sqref="S9">
    <cfRule type="cellIs" dxfId="17929" priority="256" operator="between">
      <formula>0.76</formula>
      <formula>0.95</formula>
    </cfRule>
  </conditionalFormatting>
  <conditionalFormatting sqref="T9">
    <cfRule type="cellIs" dxfId="17928" priority="255" operator="between">
      <formula>0.95</formula>
      <formula>1</formula>
    </cfRule>
  </conditionalFormatting>
  <conditionalFormatting sqref="U9">
    <cfRule type="cellIs" dxfId="17927" priority="254" operator="greaterThan">
      <formula>1</formula>
    </cfRule>
  </conditionalFormatting>
  <conditionalFormatting sqref="AD6">
    <cfRule type="cellIs" dxfId="17926" priority="253" stopIfTrue="1" operator="between">
      <formula>0</formula>
      <formula>0.5</formula>
    </cfRule>
  </conditionalFormatting>
  <conditionalFormatting sqref="AE6">
    <cfRule type="cellIs" dxfId="17925" priority="252" operator="between">
      <formula>0.51</formula>
      <formula>0.75</formula>
    </cfRule>
  </conditionalFormatting>
  <conditionalFormatting sqref="AF6">
    <cfRule type="cellIs" dxfId="17924" priority="251" operator="between">
      <formula>0.76</formula>
      <formula>0.95</formula>
    </cfRule>
  </conditionalFormatting>
  <conditionalFormatting sqref="AG6">
    <cfRule type="cellIs" dxfId="17923" priority="250" operator="between">
      <formula>0.95</formula>
      <formula>1</formula>
    </cfRule>
  </conditionalFormatting>
  <conditionalFormatting sqref="AH6">
    <cfRule type="cellIs" dxfId="17922" priority="249" operator="greaterThan">
      <formula>1</formula>
    </cfRule>
  </conditionalFormatting>
  <conditionalFormatting sqref="AD7">
    <cfRule type="cellIs" dxfId="17921" priority="248" stopIfTrue="1" operator="between">
      <formula>0</formula>
      <formula>0.5</formula>
    </cfRule>
  </conditionalFormatting>
  <conditionalFormatting sqref="AE7">
    <cfRule type="cellIs" dxfId="17920" priority="247" operator="between">
      <formula>0.51</formula>
      <formula>0.75</formula>
    </cfRule>
  </conditionalFormatting>
  <conditionalFormatting sqref="AF7">
    <cfRule type="cellIs" dxfId="17919" priority="246" operator="between">
      <formula>0.76</formula>
      <formula>0.95</formula>
    </cfRule>
  </conditionalFormatting>
  <conditionalFormatting sqref="AG7">
    <cfRule type="cellIs" dxfId="17918" priority="245" operator="between">
      <formula>0.95</formula>
      <formula>1</formula>
    </cfRule>
  </conditionalFormatting>
  <conditionalFormatting sqref="AH7">
    <cfRule type="cellIs" dxfId="17917" priority="244" operator="greaterThan">
      <formula>1</formula>
    </cfRule>
  </conditionalFormatting>
  <conditionalFormatting sqref="AD8">
    <cfRule type="cellIs" dxfId="17916" priority="243" stopIfTrue="1" operator="between">
      <formula>0</formula>
      <formula>0.5</formula>
    </cfRule>
  </conditionalFormatting>
  <conditionalFormatting sqref="AE8">
    <cfRule type="cellIs" dxfId="17915" priority="242" operator="between">
      <formula>0.51</formula>
      <formula>0.75</formula>
    </cfRule>
  </conditionalFormatting>
  <conditionalFormatting sqref="AF8">
    <cfRule type="cellIs" dxfId="17914" priority="241" operator="between">
      <formula>0.76</formula>
      <formula>0.95</formula>
    </cfRule>
  </conditionalFormatting>
  <conditionalFormatting sqref="AG8">
    <cfRule type="cellIs" dxfId="17913" priority="240" operator="between">
      <formula>0.95</formula>
      <formula>1</formula>
    </cfRule>
  </conditionalFormatting>
  <conditionalFormatting sqref="AH8">
    <cfRule type="cellIs" dxfId="17912" priority="239" operator="greaterThan">
      <formula>1</formula>
    </cfRule>
  </conditionalFormatting>
  <conditionalFormatting sqref="AD9">
    <cfRule type="cellIs" dxfId="17911" priority="238" stopIfTrue="1" operator="between">
      <formula>0</formula>
      <formula>0.5</formula>
    </cfRule>
  </conditionalFormatting>
  <conditionalFormatting sqref="AE9">
    <cfRule type="cellIs" dxfId="17910" priority="237" operator="between">
      <formula>0.51</formula>
      <formula>0.75</formula>
    </cfRule>
  </conditionalFormatting>
  <conditionalFormatting sqref="AF9">
    <cfRule type="cellIs" dxfId="17909" priority="236" operator="between">
      <formula>0.76</formula>
      <formula>0.95</formula>
    </cfRule>
  </conditionalFormatting>
  <conditionalFormatting sqref="AG9">
    <cfRule type="cellIs" dxfId="17908" priority="235" operator="between">
      <formula>0.95</formula>
      <formula>1</formula>
    </cfRule>
  </conditionalFormatting>
  <conditionalFormatting sqref="AH9">
    <cfRule type="cellIs" dxfId="17907" priority="234" operator="greaterThan">
      <formula>1</formula>
    </cfRule>
  </conditionalFormatting>
  <conditionalFormatting sqref="AQ6">
    <cfRule type="cellIs" dxfId="17906" priority="233" stopIfTrue="1" operator="between">
      <formula>0</formula>
      <formula>0.5</formula>
    </cfRule>
  </conditionalFormatting>
  <conditionalFormatting sqref="AR6">
    <cfRule type="cellIs" dxfId="17905" priority="232" operator="between">
      <formula>0.51</formula>
      <formula>0.75</formula>
    </cfRule>
  </conditionalFormatting>
  <conditionalFormatting sqref="AS6">
    <cfRule type="cellIs" dxfId="17904" priority="231" operator="between">
      <formula>0.76</formula>
      <formula>0.95</formula>
    </cfRule>
  </conditionalFormatting>
  <conditionalFormatting sqref="AT6">
    <cfRule type="cellIs" dxfId="17903" priority="230" operator="between">
      <formula>0.95</formula>
      <formula>1</formula>
    </cfRule>
  </conditionalFormatting>
  <conditionalFormatting sqref="AU6">
    <cfRule type="cellIs" dxfId="17902" priority="229" operator="greaterThan">
      <formula>1</formula>
    </cfRule>
  </conditionalFormatting>
  <conditionalFormatting sqref="AQ7">
    <cfRule type="cellIs" dxfId="17901" priority="228" stopIfTrue="1" operator="between">
      <formula>0</formula>
      <formula>0.5</formula>
    </cfRule>
  </conditionalFormatting>
  <conditionalFormatting sqref="AR7">
    <cfRule type="cellIs" dxfId="17900" priority="227" operator="between">
      <formula>0.51</formula>
      <formula>0.75</formula>
    </cfRule>
  </conditionalFormatting>
  <conditionalFormatting sqref="AS7">
    <cfRule type="cellIs" dxfId="17899" priority="226" operator="between">
      <formula>0.76</formula>
      <formula>0.95</formula>
    </cfRule>
  </conditionalFormatting>
  <conditionalFormatting sqref="AT7">
    <cfRule type="cellIs" dxfId="17898" priority="225" operator="between">
      <formula>0.95</formula>
      <formula>1</formula>
    </cfRule>
  </conditionalFormatting>
  <conditionalFormatting sqref="AU7">
    <cfRule type="cellIs" dxfId="17897" priority="224" operator="greaterThan">
      <formula>1</formula>
    </cfRule>
  </conditionalFormatting>
  <conditionalFormatting sqref="AQ8">
    <cfRule type="cellIs" dxfId="17896" priority="223" stopIfTrue="1" operator="between">
      <formula>0</formula>
      <formula>0.5</formula>
    </cfRule>
  </conditionalFormatting>
  <conditionalFormatting sqref="AR8">
    <cfRule type="cellIs" dxfId="17895" priority="222" operator="between">
      <formula>0.51</formula>
      <formula>0.75</formula>
    </cfRule>
  </conditionalFormatting>
  <conditionalFormatting sqref="AS8">
    <cfRule type="cellIs" dxfId="17894" priority="221" operator="between">
      <formula>0.76</formula>
      <formula>0.95</formula>
    </cfRule>
  </conditionalFormatting>
  <conditionalFormatting sqref="AT8">
    <cfRule type="cellIs" dxfId="17893" priority="220" operator="between">
      <formula>0.95</formula>
      <formula>1</formula>
    </cfRule>
  </conditionalFormatting>
  <conditionalFormatting sqref="AU8">
    <cfRule type="cellIs" dxfId="17892" priority="219" operator="greaterThan">
      <formula>1</formula>
    </cfRule>
  </conditionalFormatting>
  <conditionalFormatting sqref="AQ9">
    <cfRule type="cellIs" dxfId="17891" priority="218" stopIfTrue="1" operator="between">
      <formula>0</formula>
      <formula>0.5</formula>
    </cfRule>
  </conditionalFormatting>
  <conditionalFormatting sqref="AR9">
    <cfRule type="cellIs" dxfId="17890" priority="217" operator="between">
      <formula>0.51</formula>
      <formula>0.75</formula>
    </cfRule>
  </conditionalFormatting>
  <conditionalFormatting sqref="AS9">
    <cfRule type="cellIs" dxfId="17889" priority="216" operator="between">
      <formula>0.76</formula>
      <formula>0.95</formula>
    </cfRule>
  </conditionalFormatting>
  <conditionalFormatting sqref="AT9">
    <cfRule type="cellIs" dxfId="17888" priority="215" operator="between">
      <formula>0.95</formula>
      <formula>1</formula>
    </cfRule>
  </conditionalFormatting>
  <conditionalFormatting sqref="AU9">
    <cfRule type="cellIs" dxfId="17887" priority="214" operator="greaterThan">
      <formula>1</formula>
    </cfRule>
  </conditionalFormatting>
  <conditionalFormatting sqref="Q11">
    <cfRule type="cellIs" dxfId="17886" priority="213" stopIfTrue="1" operator="between">
      <formula>0</formula>
      <formula>0.5</formula>
    </cfRule>
  </conditionalFormatting>
  <conditionalFormatting sqref="R11">
    <cfRule type="cellIs" dxfId="17885" priority="212" operator="between">
      <formula>0.51</formula>
      <formula>0.75</formula>
    </cfRule>
  </conditionalFormatting>
  <conditionalFormatting sqref="S11">
    <cfRule type="cellIs" dxfId="17884" priority="211" operator="between">
      <formula>0.76</formula>
      <formula>0.95</formula>
    </cfRule>
  </conditionalFormatting>
  <conditionalFormatting sqref="T11">
    <cfRule type="cellIs" dxfId="17883" priority="210" operator="between">
      <formula>0.95</formula>
      <formula>1</formula>
    </cfRule>
  </conditionalFormatting>
  <conditionalFormatting sqref="U11">
    <cfRule type="cellIs" dxfId="17882" priority="209" operator="greaterThan">
      <formula>1</formula>
    </cfRule>
  </conditionalFormatting>
  <conditionalFormatting sqref="AD11">
    <cfRule type="cellIs" dxfId="17881" priority="208" stopIfTrue="1" operator="between">
      <formula>0</formula>
      <formula>0.5</formula>
    </cfRule>
  </conditionalFormatting>
  <conditionalFormatting sqref="AE11">
    <cfRule type="cellIs" dxfId="17880" priority="207" operator="between">
      <formula>0.51</formula>
      <formula>0.75</formula>
    </cfRule>
  </conditionalFormatting>
  <conditionalFormatting sqref="AF11">
    <cfRule type="cellIs" dxfId="17879" priority="206" operator="between">
      <formula>0.76</formula>
      <formula>0.95</formula>
    </cfRule>
  </conditionalFormatting>
  <conditionalFormatting sqref="AG11">
    <cfRule type="cellIs" dxfId="17878" priority="205" operator="between">
      <formula>0.95</formula>
      <formula>1</formula>
    </cfRule>
  </conditionalFormatting>
  <conditionalFormatting sqref="AH11">
    <cfRule type="cellIs" dxfId="17877" priority="204" operator="greaterThan">
      <formula>1</formula>
    </cfRule>
  </conditionalFormatting>
  <conditionalFormatting sqref="AQ11">
    <cfRule type="cellIs" dxfId="17876" priority="203" stopIfTrue="1" operator="between">
      <formula>0</formula>
      <formula>0.5</formula>
    </cfRule>
  </conditionalFormatting>
  <conditionalFormatting sqref="AR11">
    <cfRule type="cellIs" dxfId="17875" priority="202" operator="between">
      <formula>0.51</formula>
      <formula>0.75</formula>
    </cfRule>
  </conditionalFormatting>
  <conditionalFormatting sqref="AS11">
    <cfRule type="cellIs" dxfId="17874" priority="201" operator="between">
      <formula>0.76</formula>
      <formula>0.95</formula>
    </cfRule>
  </conditionalFormatting>
  <conditionalFormatting sqref="AT11">
    <cfRule type="cellIs" dxfId="17873" priority="200" operator="between">
      <formula>0.95</formula>
      <formula>1</formula>
    </cfRule>
  </conditionalFormatting>
  <conditionalFormatting sqref="AU11">
    <cfRule type="cellIs" dxfId="17872" priority="199" operator="greaterThan">
      <formula>1</formula>
    </cfRule>
  </conditionalFormatting>
  <conditionalFormatting sqref="K6">
    <cfRule type="cellIs" dxfId="17871" priority="198" operator="between">
      <formula>0.1251</formula>
      <formula>0.19</formula>
    </cfRule>
  </conditionalFormatting>
  <conditionalFormatting sqref="L6">
    <cfRule type="cellIs" dxfId="17870" priority="196" operator="between">
      <formula>0.191</formula>
      <formula>0.24</formula>
    </cfRule>
  </conditionalFormatting>
  <conditionalFormatting sqref="M6">
    <cfRule type="cellIs" dxfId="17869" priority="195" operator="between">
      <formula>0.2401</formula>
      <formula>0.26</formula>
    </cfRule>
  </conditionalFormatting>
  <conditionalFormatting sqref="N6">
    <cfRule type="cellIs" dxfId="17868" priority="194" operator="greaterThan">
      <formula>0.2601</formula>
    </cfRule>
  </conditionalFormatting>
  <conditionalFormatting sqref="J7">
    <cfRule type="cellIs" dxfId="17867" priority="193" stopIfTrue="1" operator="between">
      <formula>0</formula>
      <formula>0.125</formula>
    </cfRule>
  </conditionalFormatting>
  <conditionalFormatting sqref="K7">
    <cfRule type="cellIs" dxfId="17866" priority="192" operator="between">
      <formula>0.1251</formula>
      <formula>0.19</formula>
    </cfRule>
  </conditionalFormatting>
  <conditionalFormatting sqref="L7">
    <cfRule type="cellIs" dxfId="17865" priority="191" operator="between">
      <formula>0.191</formula>
      <formula>0.24</formula>
    </cfRule>
  </conditionalFormatting>
  <conditionalFormatting sqref="M7">
    <cfRule type="cellIs" dxfId="17864" priority="190" operator="between">
      <formula>0.2401</formula>
      <formula>0.26</formula>
    </cfRule>
  </conditionalFormatting>
  <conditionalFormatting sqref="J8">
    <cfRule type="cellIs" dxfId="17863" priority="188" stopIfTrue="1" operator="between">
      <formula>0</formula>
      <formula>0.125</formula>
    </cfRule>
  </conditionalFormatting>
  <conditionalFormatting sqref="K8">
    <cfRule type="cellIs" dxfId="17862" priority="187" operator="between">
      <formula>0.1251</formula>
      <formula>0.19</formula>
    </cfRule>
  </conditionalFormatting>
  <conditionalFormatting sqref="L8">
    <cfRule type="cellIs" dxfId="17861" priority="186" operator="between">
      <formula>0.191</formula>
      <formula>0.24</formula>
    </cfRule>
  </conditionalFormatting>
  <conditionalFormatting sqref="M8">
    <cfRule type="cellIs" dxfId="17860" priority="185" operator="between">
      <formula>0.2401</formula>
      <formula>0.26</formula>
    </cfRule>
  </conditionalFormatting>
  <conditionalFormatting sqref="J9">
    <cfRule type="cellIs" dxfId="17859" priority="183" stopIfTrue="1" operator="between">
      <formula>0</formula>
      <formula>0.125</formula>
    </cfRule>
  </conditionalFormatting>
  <conditionalFormatting sqref="K9">
    <cfRule type="cellIs" dxfId="17858" priority="182" operator="between">
      <formula>0.1251</formula>
      <formula>0.19</formula>
    </cfRule>
  </conditionalFormatting>
  <conditionalFormatting sqref="L9">
    <cfRule type="cellIs" dxfId="17857" priority="181" operator="between">
      <formula>0.191</formula>
      <formula>0.24</formula>
    </cfRule>
  </conditionalFormatting>
  <conditionalFormatting sqref="M9">
    <cfRule type="cellIs" dxfId="17856" priority="180" operator="between">
      <formula>0.2401</formula>
      <formula>0.26</formula>
    </cfRule>
  </conditionalFormatting>
  <conditionalFormatting sqref="J11">
    <cfRule type="cellIs" dxfId="17855" priority="178" stopIfTrue="1" operator="between">
      <formula>0</formula>
      <formula>0.125</formula>
    </cfRule>
  </conditionalFormatting>
  <conditionalFormatting sqref="K11">
    <cfRule type="cellIs" dxfId="17854" priority="177" operator="between">
      <formula>0.1251</formula>
      <formula>0.19</formula>
    </cfRule>
  </conditionalFormatting>
  <conditionalFormatting sqref="L11">
    <cfRule type="cellIs" dxfId="17853" priority="176" operator="between">
      <formula>0.191</formula>
      <formula>0.24</formula>
    </cfRule>
  </conditionalFormatting>
  <conditionalFormatting sqref="M11">
    <cfRule type="cellIs" dxfId="17852" priority="175" operator="between">
      <formula>0.2401</formula>
      <formula>0.26</formula>
    </cfRule>
  </conditionalFormatting>
  <conditionalFormatting sqref="N7">
    <cfRule type="cellIs" dxfId="17851" priority="173" operator="greaterThan">
      <formula>0.2601</formula>
    </cfRule>
  </conditionalFormatting>
  <conditionalFormatting sqref="N8">
    <cfRule type="cellIs" dxfId="17850" priority="172" operator="greaterThan">
      <formula>0.2601</formula>
    </cfRule>
  </conditionalFormatting>
  <conditionalFormatting sqref="N9">
    <cfRule type="cellIs" dxfId="17849" priority="171" operator="greaterThan">
      <formula>0.2601</formula>
    </cfRule>
  </conditionalFormatting>
  <conditionalFormatting sqref="N11">
    <cfRule type="cellIs" dxfId="17848" priority="170" operator="greaterThan">
      <formula>0.2601</formula>
    </cfRule>
  </conditionalFormatting>
  <conditionalFormatting sqref="X6">
    <cfRule type="cellIs" dxfId="17847" priority="169" operator="between">
      <formula>0.2551</formula>
      <formula>0.375</formula>
    </cfRule>
  </conditionalFormatting>
  <conditionalFormatting sqref="Y6">
    <cfRule type="cellIs" dxfId="17846" priority="168" operator="between">
      <formula>0.38</formula>
      <formula>0.475</formula>
    </cfRule>
  </conditionalFormatting>
  <conditionalFormatting sqref="Z6">
    <cfRule type="cellIs" dxfId="17845" priority="167" operator="between">
      <formula>0.48</formula>
      <formula>0.51</formula>
    </cfRule>
  </conditionalFormatting>
  <conditionalFormatting sqref="AA6">
    <cfRule type="cellIs" dxfId="17844" priority="166" operator="greaterThan">
      <formula>0.505</formula>
    </cfRule>
  </conditionalFormatting>
  <conditionalFormatting sqref="W7">
    <cfRule type="cellIs" dxfId="17843" priority="153" stopIfTrue="1" operator="between">
      <formula>0</formula>
      <formula>0.255</formula>
    </cfRule>
  </conditionalFormatting>
  <conditionalFormatting sqref="X7">
    <cfRule type="cellIs" dxfId="17842" priority="152" operator="between">
      <formula>0.2551</formula>
      <formula>0.375</formula>
    </cfRule>
  </conditionalFormatting>
  <conditionalFormatting sqref="Y7">
    <cfRule type="cellIs" dxfId="17841" priority="151" operator="between">
      <formula>0.38</formula>
      <formula>0.475</formula>
    </cfRule>
  </conditionalFormatting>
  <conditionalFormatting sqref="Z7">
    <cfRule type="cellIs" dxfId="17840" priority="150" operator="between">
      <formula>0.48</formula>
      <formula>0.51</formula>
    </cfRule>
  </conditionalFormatting>
  <conditionalFormatting sqref="AA7">
    <cfRule type="cellIs" dxfId="17839" priority="149" operator="greaterThan">
      <formula>0.505</formula>
    </cfRule>
  </conditionalFormatting>
  <conditionalFormatting sqref="W8">
    <cfRule type="cellIs" dxfId="17838" priority="148" stopIfTrue="1" operator="between">
      <formula>0</formula>
      <formula>0.255</formula>
    </cfRule>
  </conditionalFormatting>
  <conditionalFormatting sqref="X8">
    <cfRule type="cellIs" dxfId="17837" priority="147" operator="between">
      <formula>0.2551</formula>
      <formula>0.375</formula>
    </cfRule>
  </conditionalFormatting>
  <conditionalFormatting sqref="Y8">
    <cfRule type="cellIs" dxfId="17836" priority="146" operator="between">
      <formula>0.38</formula>
      <formula>0.475</formula>
    </cfRule>
  </conditionalFormatting>
  <conditionalFormatting sqref="Z8">
    <cfRule type="cellIs" dxfId="17835" priority="145" operator="between">
      <formula>0.48</formula>
      <formula>0.51</formula>
    </cfRule>
  </conditionalFormatting>
  <conditionalFormatting sqref="AA8">
    <cfRule type="cellIs" dxfId="17834" priority="144" operator="greaterThan">
      <formula>0.505</formula>
    </cfRule>
  </conditionalFormatting>
  <conditionalFormatting sqref="W9">
    <cfRule type="cellIs" dxfId="17833" priority="143" stopIfTrue="1" operator="between">
      <formula>0</formula>
      <formula>0.255</formula>
    </cfRule>
  </conditionalFormatting>
  <conditionalFormatting sqref="X9">
    <cfRule type="cellIs" dxfId="17832" priority="142" operator="between">
      <formula>0.2551</formula>
      <formula>0.375</formula>
    </cfRule>
  </conditionalFormatting>
  <conditionalFormatting sqref="Y9">
    <cfRule type="cellIs" dxfId="17831" priority="141" operator="between">
      <formula>0.38</formula>
      <formula>0.475</formula>
    </cfRule>
  </conditionalFormatting>
  <conditionalFormatting sqref="Z9">
    <cfRule type="cellIs" dxfId="17830" priority="140" operator="between">
      <formula>0.48</formula>
      <formula>0.51</formula>
    </cfRule>
  </conditionalFormatting>
  <conditionalFormatting sqref="AA9">
    <cfRule type="cellIs" dxfId="17829" priority="139" operator="greaterThan">
      <formula>0.505</formula>
    </cfRule>
  </conditionalFormatting>
  <conditionalFormatting sqref="W11">
    <cfRule type="cellIs" dxfId="17828" priority="138" stopIfTrue="1" operator="between">
      <formula>0</formula>
      <formula>0.255</formula>
    </cfRule>
  </conditionalFormatting>
  <conditionalFormatting sqref="X11">
    <cfRule type="cellIs" dxfId="17827" priority="137" operator="between">
      <formula>0.2551</formula>
      <formula>0.375</formula>
    </cfRule>
  </conditionalFormatting>
  <conditionalFormatting sqref="Y11">
    <cfRule type="cellIs" dxfId="17826" priority="136" operator="between">
      <formula>0.38</formula>
      <formula>0.475</formula>
    </cfRule>
  </conditionalFormatting>
  <conditionalFormatting sqref="Z11">
    <cfRule type="cellIs" dxfId="17825" priority="135" operator="between">
      <formula>0.48</formula>
      <formula>0.51</formula>
    </cfRule>
  </conditionalFormatting>
  <conditionalFormatting sqref="AA11">
    <cfRule type="cellIs" dxfId="17824" priority="134" operator="greaterThan">
      <formula>0.505</formula>
    </cfRule>
  </conditionalFormatting>
  <conditionalFormatting sqref="AK6">
    <cfRule type="cellIs" dxfId="17823" priority="133" operator="between">
      <formula>0.3751</formula>
      <formula>0.5625</formula>
    </cfRule>
  </conditionalFormatting>
  <conditionalFormatting sqref="AL6">
    <cfRule type="cellIs" dxfId="17822" priority="132" operator="between">
      <formula>0.563</formula>
      <formula>0.7125</formula>
    </cfRule>
  </conditionalFormatting>
  <conditionalFormatting sqref="AM6">
    <cfRule type="cellIs" dxfId="17821" priority="131" operator="between">
      <formula>0.713</formula>
      <formula>0.75</formula>
    </cfRule>
  </conditionalFormatting>
  <conditionalFormatting sqref="AN6">
    <cfRule type="cellIs" dxfId="17820" priority="130" operator="greaterThan">
      <formula>0.755</formula>
    </cfRule>
  </conditionalFormatting>
  <conditionalFormatting sqref="AJ7">
    <cfRule type="cellIs" dxfId="17819" priority="117" stopIfTrue="1" operator="between">
      <formula>0</formula>
      <formula>0.375</formula>
    </cfRule>
  </conditionalFormatting>
  <conditionalFormatting sqref="AK7">
    <cfRule type="cellIs" dxfId="17818" priority="116" operator="between">
      <formula>0.3751</formula>
      <formula>0.5625</formula>
    </cfRule>
  </conditionalFormatting>
  <conditionalFormatting sqref="AL7">
    <cfRule type="cellIs" dxfId="17817" priority="115" operator="between">
      <formula>0.563</formula>
      <formula>0.7125</formula>
    </cfRule>
  </conditionalFormatting>
  <conditionalFormatting sqref="AM7">
    <cfRule type="cellIs" dxfId="17816" priority="114" operator="between">
      <formula>0.713</formula>
      <formula>0.75</formula>
    </cfRule>
  </conditionalFormatting>
  <conditionalFormatting sqref="AN7">
    <cfRule type="cellIs" dxfId="17815" priority="113" operator="greaterThan">
      <formula>0.755</formula>
    </cfRule>
  </conditionalFormatting>
  <conditionalFormatting sqref="AJ8">
    <cfRule type="cellIs" dxfId="17814" priority="112" stopIfTrue="1" operator="between">
      <formula>0</formula>
      <formula>0.375</formula>
    </cfRule>
  </conditionalFormatting>
  <conditionalFormatting sqref="AK8">
    <cfRule type="cellIs" dxfId="17813" priority="111" operator="between">
      <formula>0.3751</formula>
      <formula>0.5625</formula>
    </cfRule>
  </conditionalFormatting>
  <conditionalFormatting sqref="AL8">
    <cfRule type="cellIs" dxfId="17812" priority="110" operator="between">
      <formula>0.563</formula>
      <formula>0.7125</formula>
    </cfRule>
  </conditionalFormatting>
  <conditionalFormatting sqref="AM8">
    <cfRule type="cellIs" dxfId="17811" priority="109" operator="between">
      <formula>0.713</formula>
      <formula>0.75</formula>
    </cfRule>
  </conditionalFormatting>
  <conditionalFormatting sqref="AN8">
    <cfRule type="cellIs" dxfId="17810" priority="108" operator="greaterThan">
      <formula>0.755</formula>
    </cfRule>
  </conditionalFormatting>
  <conditionalFormatting sqref="AJ9">
    <cfRule type="cellIs" dxfId="17809" priority="107" stopIfTrue="1" operator="between">
      <formula>0</formula>
      <formula>0.375</formula>
    </cfRule>
  </conditionalFormatting>
  <conditionalFormatting sqref="AK9">
    <cfRule type="cellIs" dxfId="17808" priority="106" operator="between">
      <formula>0.3751</formula>
      <formula>0.5625</formula>
    </cfRule>
  </conditionalFormatting>
  <conditionalFormatting sqref="AL9">
    <cfRule type="cellIs" dxfId="17807" priority="105" operator="between">
      <formula>0.563</formula>
      <formula>0.7125</formula>
    </cfRule>
  </conditionalFormatting>
  <conditionalFormatting sqref="AM9">
    <cfRule type="cellIs" dxfId="17806" priority="104" operator="between">
      <formula>0.713</formula>
      <formula>0.75</formula>
    </cfRule>
  </conditionalFormatting>
  <conditionalFormatting sqref="AN9">
    <cfRule type="cellIs" dxfId="17805" priority="103" operator="greaterThan">
      <formula>0.755</formula>
    </cfRule>
  </conditionalFormatting>
  <conditionalFormatting sqref="AJ11">
    <cfRule type="cellIs" dxfId="17804" priority="102" stopIfTrue="1" operator="between">
      <formula>0</formula>
      <formula>0.375</formula>
    </cfRule>
  </conditionalFormatting>
  <conditionalFormatting sqref="AK11">
    <cfRule type="cellIs" dxfId="17803" priority="101" operator="between">
      <formula>0.3751</formula>
      <formula>0.5625</formula>
    </cfRule>
  </conditionalFormatting>
  <conditionalFormatting sqref="AL11">
    <cfRule type="cellIs" dxfId="17802" priority="100" operator="between">
      <formula>0.563</formula>
      <formula>0.7125</formula>
    </cfRule>
  </conditionalFormatting>
  <conditionalFormatting sqref="AM11">
    <cfRule type="cellIs" dxfId="17801" priority="99" operator="between">
      <formula>0.713</formula>
      <formula>0.75</formula>
    </cfRule>
  </conditionalFormatting>
  <conditionalFormatting sqref="AN11">
    <cfRule type="cellIs" dxfId="17800" priority="98" operator="greaterThan">
      <formula>0.755</formula>
    </cfRule>
  </conditionalFormatting>
  <conditionalFormatting sqref="AX6">
    <cfRule type="cellIs" dxfId="17799" priority="81" operator="between">
      <formula>0.51</formula>
      <formula>0.75</formula>
    </cfRule>
  </conditionalFormatting>
  <conditionalFormatting sqref="AY6">
    <cfRule type="cellIs" dxfId="17798" priority="80" operator="between">
      <formula>0.76</formula>
      <formula>0.95</formula>
    </cfRule>
  </conditionalFormatting>
  <conditionalFormatting sqref="AZ6">
    <cfRule type="cellIs" dxfId="17797" priority="79" operator="between">
      <formula>0.95</formula>
      <formula>1</formula>
    </cfRule>
  </conditionalFormatting>
  <conditionalFormatting sqref="BA6">
    <cfRule type="cellIs" dxfId="17796" priority="78" operator="greaterThan">
      <formula>1</formula>
    </cfRule>
  </conditionalFormatting>
  <conditionalFormatting sqref="AW7">
    <cfRule type="cellIs" dxfId="17795" priority="65" stopIfTrue="1" operator="between">
      <formula>0</formula>
      <formula>0.5</formula>
    </cfRule>
  </conditionalFormatting>
  <conditionalFormatting sqref="AX7">
    <cfRule type="cellIs" dxfId="17794" priority="64" operator="between">
      <formula>0.51</formula>
      <formula>0.75</formula>
    </cfRule>
  </conditionalFormatting>
  <conditionalFormatting sqref="AY7">
    <cfRule type="cellIs" dxfId="17793" priority="63" operator="between">
      <formula>0.76</formula>
      <formula>0.95</formula>
    </cfRule>
  </conditionalFormatting>
  <conditionalFormatting sqref="AZ7">
    <cfRule type="cellIs" dxfId="17792" priority="62" operator="between">
      <formula>0.95</formula>
      <formula>1</formula>
    </cfRule>
  </conditionalFormatting>
  <conditionalFormatting sqref="BA7">
    <cfRule type="cellIs" dxfId="17791" priority="61" operator="greaterThan">
      <formula>1</formula>
    </cfRule>
  </conditionalFormatting>
  <conditionalFormatting sqref="AW8">
    <cfRule type="cellIs" dxfId="17790" priority="60" stopIfTrue="1" operator="between">
      <formula>0</formula>
      <formula>0.5</formula>
    </cfRule>
  </conditionalFormatting>
  <conditionalFormatting sqref="AX8">
    <cfRule type="cellIs" dxfId="17789" priority="59" operator="between">
      <formula>0.51</formula>
      <formula>0.75</formula>
    </cfRule>
  </conditionalFormatting>
  <conditionalFormatting sqref="AY8">
    <cfRule type="cellIs" dxfId="17788" priority="58" operator="between">
      <formula>0.76</formula>
      <formula>0.95</formula>
    </cfRule>
  </conditionalFormatting>
  <conditionalFormatting sqref="AZ8">
    <cfRule type="cellIs" dxfId="17787" priority="57" operator="between">
      <formula>0.95</formula>
      <formula>1</formula>
    </cfRule>
  </conditionalFormatting>
  <conditionalFormatting sqref="BA8">
    <cfRule type="cellIs" dxfId="17786" priority="56" operator="greaterThan">
      <formula>1</formula>
    </cfRule>
  </conditionalFormatting>
  <conditionalFormatting sqref="AW9">
    <cfRule type="cellIs" dxfId="17785" priority="55" stopIfTrue="1" operator="between">
      <formula>0</formula>
      <formula>0.5</formula>
    </cfRule>
  </conditionalFormatting>
  <conditionalFormatting sqref="AX9">
    <cfRule type="cellIs" dxfId="17784" priority="54" operator="between">
      <formula>0.51</formula>
      <formula>0.75</formula>
    </cfRule>
  </conditionalFormatting>
  <conditionalFormatting sqref="AY9">
    <cfRule type="cellIs" dxfId="17783" priority="53" operator="between">
      <formula>0.76</formula>
      <formula>0.95</formula>
    </cfRule>
  </conditionalFormatting>
  <conditionalFormatting sqref="AZ9">
    <cfRule type="cellIs" dxfId="17782" priority="52" operator="between">
      <formula>0.95</formula>
      <formula>1</formula>
    </cfRule>
  </conditionalFormatting>
  <conditionalFormatting sqref="BA9">
    <cfRule type="cellIs" dxfId="17781" priority="51" operator="greaterThan">
      <formula>1</formula>
    </cfRule>
  </conditionalFormatting>
  <conditionalFormatting sqref="AW11">
    <cfRule type="cellIs" dxfId="17780" priority="50" stopIfTrue="1" operator="between">
      <formula>0</formula>
      <formula>0.5</formula>
    </cfRule>
  </conditionalFormatting>
  <conditionalFormatting sqref="AX11">
    <cfRule type="cellIs" dxfId="17779" priority="49" operator="between">
      <formula>0.51</formula>
      <formula>0.75</formula>
    </cfRule>
  </conditionalFormatting>
  <conditionalFormatting sqref="AY11">
    <cfRule type="cellIs" dxfId="17778" priority="48" operator="between">
      <formula>0.76</formula>
      <formula>0.95</formula>
    </cfRule>
  </conditionalFormatting>
  <conditionalFormatting sqref="AZ11">
    <cfRule type="cellIs" dxfId="17777" priority="47" operator="between">
      <formula>0.95</formula>
      <formula>1</formula>
    </cfRule>
  </conditionalFormatting>
  <conditionalFormatting sqref="BA11">
    <cfRule type="cellIs" dxfId="17776" priority="46" operator="greaterThan">
      <formula>1</formula>
    </cfRule>
  </conditionalFormatting>
  <conditionalFormatting sqref="D13">
    <cfRule type="cellIs" dxfId="17775" priority="45" stopIfTrue="1" operator="between">
      <formula>0</formula>
      <formula>0.5</formula>
    </cfRule>
  </conditionalFormatting>
  <conditionalFormatting sqref="E13">
    <cfRule type="cellIs" dxfId="17774" priority="44" operator="between">
      <formula>0.51</formula>
      <formula>0.75</formula>
    </cfRule>
  </conditionalFormatting>
  <conditionalFormatting sqref="F13">
    <cfRule type="cellIs" dxfId="17773" priority="43" operator="between">
      <formula>0.76</formula>
      <formula>0.95</formula>
    </cfRule>
  </conditionalFormatting>
  <conditionalFormatting sqref="G13">
    <cfRule type="cellIs" dxfId="17772" priority="42" operator="between">
      <formula>0.95</formula>
      <formula>1</formula>
    </cfRule>
  </conditionalFormatting>
  <conditionalFormatting sqref="H13">
    <cfRule type="cellIs" dxfId="17771" priority="41" operator="greaterThan">
      <formula>1</formula>
    </cfRule>
  </conditionalFormatting>
  <conditionalFormatting sqref="Q13">
    <cfRule type="cellIs" dxfId="17770" priority="40" stopIfTrue="1" operator="between">
      <formula>0</formula>
      <formula>0.5</formula>
    </cfRule>
  </conditionalFormatting>
  <conditionalFormatting sqref="R13">
    <cfRule type="cellIs" dxfId="17769" priority="39" operator="between">
      <formula>0.51</formula>
      <formula>0.75</formula>
    </cfRule>
  </conditionalFormatting>
  <conditionalFormatting sqref="S13">
    <cfRule type="cellIs" dxfId="17768" priority="38" operator="between">
      <formula>0.76</formula>
      <formula>0.95</formula>
    </cfRule>
  </conditionalFormatting>
  <conditionalFormatting sqref="T13">
    <cfRule type="cellIs" dxfId="17767" priority="37" operator="between">
      <formula>0.95</formula>
      <formula>1</formula>
    </cfRule>
  </conditionalFormatting>
  <conditionalFormatting sqref="U13">
    <cfRule type="cellIs" dxfId="17766" priority="36" operator="greaterThan">
      <formula>1</formula>
    </cfRule>
  </conditionalFormatting>
  <conditionalFormatting sqref="AD13">
    <cfRule type="cellIs" dxfId="17765" priority="35" stopIfTrue="1" operator="between">
      <formula>0</formula>
      <formula>0.5</formula>
    </cfRule>
  </conditionalFormatting>
  <conditionalFormatting sqref="AE13">
    <cfRule type="cellIs" dxfId="17764" priority="34" operator="between">
      <formula>0.51</formula>
      <formula>0.75</formula>
    </cfRule>
  </conditionalFormatting>
  <conditionalFormatting sqref="AF13">
    <cfRule type="cellIs" dxfId="17763" priority="33" operator="between">
      <formula>0.76</formula>
      <formula>0.95</formula>
    </cfRule>
  </conditionalFormatting>
  <conditionalFormatting sqref="AG13">
    <cfRule type="cellIs" dxfId="17762" priority="32" operator="between">
      <formula>0.95</formula>
      <formula>1</formula>
    </cfRule>
  </conditionalFormatting>
  <conditionalFormatting sqref="AH13">
    <cfRule type="cellIs" dxfId="17761" priority="31" operator="greaterThan">
      <formula>1</formula>
    </cfRule>
  </conditionalFormatting>
  <conditionalFormatting sqref="AQ13">
    <cfRule type="cellIs" dxfId="17760" priority="30" stopIfTrue="1" operator="between">
      <formula>0</formula>
      <formula>0.5</formula>
    </cfRule>
  </conditionalFormatting>
  <conditionalFormatting sqref="AR13">
    <cfRule type="cellIs" dxfId="17759" priority="29" operator="between">
      <formula>0.51</formula>
      <formula>0.75</formula>
    </cfRule>
  </conditionalFormatting>
  <conditionalFormatting sqref="AS13">
    <cfRule type="cellIs" dxfId="17758" priority="28" operator="between">
      <formula>0.76</formula>
      <formula>0.95</formula>
    </cfRule>
  </conditionalFormatting>
  <conditionalFormatting sqref="AT13">
    <cfRule type="cellIs" dxfId="17757" priority="27" operator="between">
      <formula>0.95</formula>
      <formula>1</formula>
    </cfRule>
  </conditionalFormatting>
  <conditionalFormatting sqref="AU13">
    <cfRule type="cellIs" dxfId="17756" priority="26" operator="greaterThan">
      <formula>1</formula>
    </cfRule>
  </conditionalFormatting>
  <conditionalFormatting sqref="J13">
    <cfRule type="cellIs" dxfId="17755" priority="25" stopIfTrue="1" operator="between">
      <formula>0</formula>
      <formula>0.125</formula>
    </cfRule>
  </conditionalFormatting>
  <conditionalFormatting sqref="K13">
    <cfRule type="cellIs" dxfId="17754" priority="24" operator="between">
      <formula>0.1251</formula>
      <formula>0.19</formula>
    </cfRule>
  </conditionalFormatting>
  <conditionalFormatting sqref="L13">
    <cfRule type="cellIs" dxfId="17753" priority="23" operator="between">
      <formula>0.191</formula>
      <formula>0.24</formula>
    </cfRule>
  </conditionalFormatting>
  <conditionalFormatting sqref="M13">
    <cfRule type="cellIs" dxfId="17752" priority="22" operator="between">
      <formula>0.2401</formula>
      <formula>0.26</formula>
    </cfRule>
  </conditionalFormatting>
  <conditionalFormatting sqref="N13">
    <cfRule type="cellIs" dxfId="17751" priority="21" operator="greaterThan">
      <formula>0.2601</formula>
    </cfRule>
  </conditionalFormatting>
  <conditionalFormatting sqref="AJ13">
    <cfRule type="cellIs" dxfId="17750" priority="15" stopIfTrue="1" operator="between">
      <formula>0</formula>
      <formula>0.375</formula>
    </cfRule>
  </conditionalFormatting>
  <conditionalFormatting sqref="AK13">
    <cfRule type="cellIs" dxfId="17749" priority="14" operator="between">
      <formula>0.3751</formula>
      <formula>0.5625</formula>
    </cfRule>
  </conditionalFormatting>
  <conditionalFormatting sqref="AL13">
    <cfRule type="cellIs" dxfId="17748" priority="13" operator="between">
      <formula>0.563</formula>
      <formula>0.7125</formula>
    </cfRule>
  </conditionalFormatting>
  <conditionalFormatting sqref="AM13">
    <cfRule type="cellIs" dxfId="17747" priority="12" operator="between">
      <formula>0.713</formula>
      <formula>0.75</formula>
    </cfRule>
  </conditionalFormatting>
  <conditionalFormatting sqref="AN13">
    <cfRule type="cellIs" dxfId="17746" priority="11" operator="greaterThan">
      <formula>0.755</formula>
    </cfRule>
  </conditionalFormatting>
  <conditionalFormatting sqref="AW13">
    <cfRule type="cellIs" dxfId="17745" priority="10" stopIfTrue="1" operator="between">
      <formula>0</formula>
      <formula>0.5</formula>
    </cfRule>
  </conditionalFormatting>
  <conditionalFormatting sqref="AX13">
    <cfRule type="cellIs" dxfId="17744" priority="9" operator="between">
      <formula>0.51</formula>
      <formula>0.75</formula>
    </cfRule>
  </conditionalFormatting>
  <conditionalFormatting sqref="AY13">
    <cfRule type="cellIs" dxfId="17743" priority="8" operator="between">
      <formula>0.76</formula>
      <formula>0.95</formula>
    </cfRule>
  </conditionalFormatting>
  <conditionalFormatting sqref="AZ13">
    <cfRule type="cellIs" dxfId="17742" priority="7" operator="between">
      <formula>0.95</formula>
      <formula>1</formula>
    </cfRule>
  </conditionalFormatting>
  <conditionalFormatting sqref="BA13">
    <cfRule type="cellIs" dxfId="17741" priority="6" operator="greaterThan">
      <formula>1</formula>
    </cfRule>
  </conditionalFormatting>
  <conditionalFormatting sqref="W13">
    <cfRule type="cellIs" dxfId="17740" priority="5" stopIfTrue="1" operator="between">
      <formula>0</formula>
      <formula>0.255</formula>
    </cfRule>
  </conditionalFormatting>
  <conditionalFormatting sqref="X13">
    <cfRule type="cellIs" dxfId="17739" priority="4" operator="between">
      <formula>0.2551</formula>
      <formula>0.375</formula>
    </cfRule>
  </conditionalFormatting>
  <conditionalFormatting sqref="Y13">
    <cfRule type="cellIs" dxfId="17738" priority="3" operator="between">
      <formula>0.3751</formula>
      <formula>0.475</formula>
    </cfRule>
  </conditionalFormatting>
  <conditionalFormatting sqref="Z13">
    <cfRule type="cellIs" dxfId="17737" priority="2" operator="between">
      <formula>0.48</formula>
      <formula>0.51</formula>
    </cfRule>
  </conditionalFormatting>
  <conditionalFormatting sqref="AA13">
    <cfRule type="cellIs" dxfId="17736" priority="1" operator="greaterThan">
      <formula>0.505</formula>
    </cfRule>
  </conditionalFormatting>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CP394"/>
  <sheetViews>
    <sheetView showGridLines="0" topLeftCell="A375" zoomScale="50" zoomScaleNormal="50" workbookViewId="0">
      <selection activeCell="AG385" sqref="AG385"/>
    </sheetView>
  </sheetViews>
  <sheetFormatPr baseColWidth="10" defaultColWidth="11" defaultRowHeight="14.25" x14ac:dyDescent="0.2"/>
  <cols>
    <col min="1" max="1" width="1.5703125" style="297" customWidth="1"/>
    <col min="2" max="2" width="22.28515625" style="297" customWidth="1"/>
    <col min="3" max="3" width="42.5703125" style="297" customWidth="1"/>
    <col min="4" max="4" width="38.7109375" style="297" customWidth="1"/>
    <col min="5" max="5" width="32.140625" style="297" customWidth="1"/>
    <col min="6" max="6" width="33.85546875" style="297" customWidth="1"/>
    <col min="7" max="7" width="5.7109375" style="298" customWidth="1"/>
    <col min="8" max="8" width="15.85546875" style="298" customWidth="1"/>
    <col min="9" max="9" width="15.7109375" style="297" customWidth="1"/>
    <col min="10" max="10" width="15.7109375" style="542" customWidth="1"/>
    <col min="11" max="11" width="15.7109375" style="297" customWidth="1"/>
    <col min="12" max="13" width="15.7109375" style="542" customWidth="1"/>
    <col min="14" max="14" width="2.5703125" style="688" customWidth="1"/>
    <col min="15" max="15" width="15.5703125" style="297" customWidth="1"/>
    <col min="16" max="16" width="17.140625" style="297" customWidth="1"/>
    <col min="17" max="17" width="17.140625" style="542" customWidth="1"/>
    <col min="18" max="18" width="21" style="297" customWidth="1"/>
    <col min="19" max="20" width="21" style="542" customWidth="1"/>
    <col min="21" max="21" width="2.5703125" style="299" customWidth="1"/>
    <col min="22" max="22" width="17.140625" style="297" customWidth="1"/>
    <col min="23" max="23" width="14.85546875" style="297" customWidth="1"/>
    <col min="24" max="24" width="20.42578125" style="542" customWidth="1"/>
    <col min="25" max="25" width="15.85546875" style="297" customWidth="1"/>
    <col min="26" max="27" width="15.85546875" style="542" customWidth="1"/>
    <col min="28" max="28" width="2.5703125" style="688" customWidth="1"/>
    <col min="29" max="29" width="12.5703125" style="297" customWidth="1"/>
    <col min="30" max="30" width="16.28515625" style="297" customWidth="1"/>
    <col min="31" max="31" width="16.28515625" style="542" customWidth="1"/>
    <col min="32" max="32" width="18.140625" style="297" customWidth="1"/>
    <col min="33" max="33" width="18.140625" style="542" customWidth="1"/>
    <col min="34" max="34" width="19.85546875" style="297" hidden="1" customWidth="1"/>
    <col min="35" max="35" width="5.7109375" style="1014" customWidth="1"/>
    <col min="36" max="37" width="0" style="297" hidden="1" customWidth="1"/>
    <col min="38" max="38" width="2.7109375" style="297" hidden="1" customWidth="1"/>
    <col min="39" max="40" width="0" style="297" hidden="1" customWidth="1"/>
    <col min="41" max="41" width="2.7109375" style="297" hidden="1" customWidth="1"/>
    <col min="42" max="43" width="0" style="297" hidden="1" customWidth="1"/>
    <col min="44" max="44" width="2.7109375" style="297" hidden="1" customWidth="1"/>
    <col min="45" max="46" width="0" style="297" hidden="1" customWidth="1"/>
    <col min="47" max="47" width="2.7109375" style="297" hidden="1" customWidth="1"/>
    <col min="48" max="48" width="0" style="297" hidden="1" customWidth="1"/>
    <col min="49" max="49" width="5.7109375" style="297" hidden="1" customWidth="1"/>
    <col min="50" max="51" width="0" style="297" hidden="1" customWidth="1"/>
    <col min="52" max="52" width="2.7109375" style="297" hidden="1" customWidth="1"/>
    <col min="53" max="54" width="0" style="297" hidden="1" customWidth="1"/>
    <col min="55" max="55" width="2.7109375" style="297" hidden="1" customWidth="1"/>
    <col min="56" max="57" width="0" style="297" hidden="1" customWidth="1"/>
    <col min="58" max="58" width="2.7109375" style="297" hidden="1" customWidth="1"/>
    <col min="59" max="60" width="0" style="297" hidden="1" customWidth="1"/>
    <col min="61" max="61" width="2.7109375" style="297" hidden="1" customWidth="1"/>
    <col min="62" max="62" width="0" style="297" hidden="1" customWidth="1"/>
    <col min="63" max="63" width="5.7109375" style="297" hidden="1" customWidth="1"/>
    <col min="64" max="65" width="0" style="297" hidden="1" customWidth="1"/>
    <col min="66" max="66" width="2.7109375" style="297" hidden="1" customWidth="1"/>
    <col min="67" max="68" width="0" style="297" hidden="1" customWidth="1"/>
    <col min="69" max="69" width="2.7109375" style="297" hidden="1" customWidth="1"/>
    <col min="70" max="71" width="0" style="297" hidden="1" customWidth="1"/>
    <col min="72" max="72" width="2.7109375" style="297" hidden="1" customWidth="1"/>
    <col min="73" max="74" width="0" style="297" hidden="1" customWidth="1"/>
    <col min="75" max="75" width="2.7109375" style="297" hidden="1" customWidth="1"/>
    <col min="76" max="76" width="0" style="297" hidden="1" customWidth="1"/>
    <col min="77" max="77" width="5.7109375" style="297" hidden="1" customWidth="1"/>
    <col min="78" max="79" width="0" style="297" hidden="1" customWidth="1"/>
    <col min="80" max="80" width="2.7109375" style="297" hidden="1" customWidth="1"/>
    <col min="81" max="82" width="0" style="297" hidden="1" customWidth="1"/>
    <col min="83" max="83" width="2.7109375" style="297" hidden="1" customWidth="1"/>
    <col min="84" max="85" width="0" style="297" hidden="1" customWidth="1"/>
    <col min="86" max="86" width="2.7109375" style="297" hidden="1" customWidth="1"/>
    <col min="87" max="88" width="0" style="297" hidden="1" customWidth="1"/>
    <col min="89" max="89" width="2.7109375" style="297" hidden="1" customWidth="1"/>
    <col min="90" max="90" width="0" style="297" hidden="1" customWidth="1"/>
    <col min="91" max="266" width="11" style="297"/>
    <col min="267" max="267" width="1.5703125" style="297" customWidth="1"/>
    <col min="268" max="268" width="8.5703125" style="297" customWidth="1"/>
    <col min="269" max="269" width="28.7109375" style="297" customWidth="1"/>
    <col min="270" max="270" width="26.5703125" style="297" customWidth="1"/>
    <col min="271" max="271" width="7.7109375" style="297" customWidth="1"/>
    <col min="272" max="272" width="19.42578125" style="297" customWidth="1"/>
    <col min="273" max="273" width="44.28515625" style="297" customWidth="1"/>
    <col min="274" max="274" width="17" style="297" customWidth="1"/>
    <col min="275" max="275" width="15.5703125" style="297" customWidth="1"/>
    <col min="276" max="276" width="14.140625" style="297" customWidth="1"/>
    <col min="277" max="277" width="1.7109375" style="297" customWidth="1"/>
    <col min="278" max="278" width="13.7109375" style="297" customWidth="1"/>
    <col min="279" max="279" width="13.85546875" style="297" bestFit="1" customWidth="1"/>
    <col min="280" max="280" width="2.5703125" style="297" customWidth="1"/>
    <col min="281" max="281" width="12.42578125" style="297" customWidth="1"/>
    <col min="282" max="282" width="13.5703125" style="297" customWidth="1"/>
    <col min="283" max="283" width="2.5703125" style="297" customWidth="1"/>
    <col min="284" max="284" width="12.42578125" style="297" customWidth="1"/>
    <col min="285" max="285" width="13.5703125" style="297" customWidth="1"/>
    <col min="286" max="286" width="2.5703125" style="297" customWidth="1"/>
    <col min="287" max="287" width="11.5703125" style="297" customWidth="1"/>
    <col min="288" max="288" width="13" style="297" customWidth="1"/>
    <col min="289" max="289" width="1.42578125" style="297" customWidth="1"/>
    <col min="290" max="290" width="10.5703125" style="297" customWidth="1"/>
    <col min="291" max="522" width="11" style="297"/>
    <col min="523" max="523" width="1.5703125" style="297" customWidth="1"/>
    <col min="524" max="524" width="8.5703125" style="297" customWidth="1"/>
    <col min="525" max="525" width="28.7109375" style="297" customWidth="1"/>
    <col min="526" max="526" width="26.5703125" style="297" customWidth="1"/>
    <col min="527" max="527" width="7.7109375" style="297" customWidth="1"/>
    <col min="528" max="528" width="19.42578125" style="297" customWidth="1"/>
    <col min="529" max="529" width="44.28515625" style="297" customWidth="1"/>
    <col min="530" max="530" width="17" style="297" customWidth="1"/>
    <col min="531" max="531" width="15.5703125" style="297" customWidth="1"/>
    <col min="532" max="532" width="14.140625" style="297" customWidth="1"/>
    <col min="533" max="533" width="1.7109375" style="297" customWidth="1"/>
    <col min="534" max="534" width="13.7109375" style="297" customWidth="1"/>
    <col min="535" max="535" width="13.85546875" style="297" bestFit="1" customWidth="1"/>
    <col min="536" max="536" width="2.5703125" style="297" customWidth="1"/>
    <col min="537" max="537" width="12.42578125" style="297" customWidth="1"/>
    <col min="538" max="538" width="13.5703125" style="297" customWidth="1"/>
    <col min="539" max="539" width="2.5703125" style="297" customWidth="1"/>
    <col min="540" max="540" width="12.42578125" style="297" customWidth="1"/>
    <col min="541" max="541" width="13.5703125" style="297" customWidth="1"/>
    <col min="542" max="542" width="2.5703125" style="297" customWidth="1"/>
    <col min="543" max="543" width="11.5703125" style="297" customWidth="1"/>
    <col min="544" max="544" width="13" style="297" customWidth="1"/>
    <col min="545" max="545" width="1.42578125" style="297" customWidth="1"/>
    <col min="546" max="546" width="10.5703125" style="297" customWidth="1"/>
    <col min="547" max="778" width="11" style="297"/>
    <col min="779" max="779" width="1.5703125" style="297" customWidth="1"/>
    <col min="780" max="780" width="8.5703125" style="297" customWidth="1"/>
    <col min="781" max="781" width="28.7109375" style="297" customWidth="1"/>
    <col min="782" max="782" width="26.5703125" style="297" customWidth="1"/>
    <col min="783" max="783" width="7.7109375" style="297" customWidth="1"/>
    <col min="784" max="784" width="19.42578125" style="297" customWidth="1"/>
    <col min="785" max="785" width="44.28515625" style="297" customWidth="1"/>
    <col min="786" max="786" width="17" style="297" customWidth="1"/>
    <col min="787" max="787" width="15.5703125" style="297" customWidth="1"/>
    <col min="788" max="788" width="14.140625" style="297" customWidth="1"/>
    <col min="789" max="789" width="1.7109375" style="297" customWidth="1"/>
    <col min="790" max="790" width="13.7109375" style="297" customWidth="1"/>
    <col min="791" max="791" width="13.85546875" style="297" bestFit="1" customWidth="1"/>
    <col min="792" max="792" width="2.5703125" style="297" customWidth="1"/>
    <col min="793" max="793" width="12.42578125" style="297" customWidth="1"/>
    <col min="794" max="794" width="13.5703125" style="297" customWidth="1"/>
    <col min="795" max="795" width="2.5703125" style="297" customWidth="1"/>
    <col min="796" max="796" width="12.42578125" style="297" customWidth="1"/>
    <col min="797" max="797" width="13.5703125" style="297" customWidth="1"/>
    <col min="798" max="798" width="2.5703125" style="297" customWidth="1"/>
    <col min="799" max="799" width="11.5703125" style="297" customWidth="1"/>
    <col min="800" max="800" width="13" style="297" customWidth="1"/>
    <col min="801" max="801" width="1.42578125" style="297" customWidth="1"/>
    <col min="802" max="802" width="10.5703125" style="297" customWidth="1"/>
    <col min="803" max="1034" width="11" style="297"/>
    <col min="1035" max="1035" width="1.5703125" style="297" customWidth="1"/>
    <col min="1036" max="1036" width="8.5703125" style="297" customWidth="1"/>
    <col min="1037" max="1037" width="28.7109375" style="297" customWidth="1"/>
    <col min="1038" max="1038" width="26.5703125" style="297" customWidth="1"/>
    <col min="1039" max="1039" width="7.7109375" style="297" customWidth="1"/>
    <col min="1040" max="1040" width="19.42578125" style="297" customWidth="1"/>
    <col min="1041" max="1041" width="44.28515625" style="297" customWidth="1"/>
    <col min="1042" max="1042" width="17" style="297" customWidth="1"/>
    <col min="1043" max="1043" width="15.5703125" style="297" customWidth="1"/>
    <col min="1044" max="1044" width="14.140625" style="297" customWidth="1"/>
    <col min="1045" max="1045" width="1.7109375" style="297" customWidth="1"/>
    <col min="1046" max="1046" width="13.7109375" style="297" customWidth="1"/>
    <col min="1047" max="1047" width="13.85546875" style="297" bestFit="1" customWidth="1"/>
    <col min="1048" max="1048" width="2.5703125" style="297" customWidth="1"/>
    <col min="1049" max="1049" width="12.42578125" style="297" customWidth="1"/>
    <col min="1050" max="1050" width="13.5703125" style="297" customWidth="1"/>
    <col min="1051" max="1051" width="2.5703125" style="297" customWidth="1"/>
    <col min="1052" max="1052" width="12.42578125" style="297" customWidth="1"/>
    <col min="1053" max="1053" width="13.5703125" style="297" customWidth="1"/>
    <col min="1054" max="1054" width="2.5703125" style="297" customWidth="1"/>
    <col min="1055" max="1055" width="11.5703125" style="297" customWidth="1"/>
    <col min="1056" max="1056" width="13" style="297" customWidth="1"/>
    <col min="1057" max="1057" width="1.42578125" style="297" customWidth="1"/>
    <col min="1058" max="1058" width="10.5703125" style="297" customWidth="1"/>
    <col min="1059" max="1290" width="11" style="297"/>
    <col min="1291" max="1291" width="1.5703125" style="297" customWidth="1"/>
    <col min="1292" max="1292" width="8.5703125" style="297" customWidth="1"/>
    <col min="1293" max="1293" width="28.7109375" style="297" customWidth="1"/>
    <col min="1294" max="1294" width="26.5703125" style="297" customWidth="1"/>
    <col min="1295" max="1295" width="7.7109375" style="297" customWidth="1"/>
    <col min="1296" max="1296" width="19.42578125" style="297" customWidth="1"/>
    <col min="1297" max="1297" width="44.28515625" style="297" customWidth="1"/>
    <col min="1298" max="1298" width="17" style="297" customWidth="1"/>
    <col min="1299" max="1299" width="15.5703125" style="297" customWidth="1"/>
    <col min="1300" max="1300" width="14.140625" style="297" customWidth="1"/>
    <col min="1301" max="1301" width="1.7109375" style="297" customWidth="1"/>
    <col min="1302" max="1302" width="13.7109375" style="297" customWidth="1"/>
    <col min="1303" max="1303" width="13.85546875" style="297" bestFit="1" customWidth="1"/>
    <col min="1304" max="1304" width="2.5703125" style="297" customWidth="1"/>
    <col min="1305" max="1305" width="12.42578125" style="297" customWidth="1"/>
    <col min="1306" max="1306" width="13.5703125" style="297" customWidth="1"/>
    <col min="1307" max="1307" width="2.5703125" style="297" customWidth="1"/>
    <col min="1308" max="1308" width="12.42578125" style="297" customWidth="1"/>
    <col min="1309" max="1309" width="13.5703125" style="297" customWidth="1"/>
    <col min="1310" max="1310" width="2.5703125" style="297" customWidth="1"/>
    <col min="1311" max="1311" width="11.5703125" style="297" customWidth="1"/>
    <col min="1312" max="1312" width="13" style="297" customWidth="1"/>
    <col min="1313" max="1313" width="1.42578125" style="297" customWidth="1"/>
    <col min="1314" max="1314" width="10.5703125" style="297" customWidth="1"/>
    <col min="1315" max="1546" width="11" style="297"/>
    <col min="1547" max="1547" width="1.5703125" style="297" customWidth="1"/>
    <col min="1548" max="1548" width="8.5703125" style="297" customWidth="1"/>
    <col min="1549" max="1549" width="28.7109375" style="297" customWidth="1"/>
    <col min="1550" max="1550" width="26.5703125" style="297" customWidth="1"/>
    <col min="1551" max="1551" width="7.7109375" style="297" customWidth="1"/>
    <col min="1552" max="1552" width="19.42578125" style="297" customWidth="1"/>
    <col min="1553" max="1553" width="44.28515625" style="297" customWidth="1"/>
    <col min="1554" max="1554" width="17" style="297" customWidth="1"/>
    <col min="1555" max="1555" width="15.5703125" style="297" customWidth="1"/>
    <col min="1556" max="1556" width="14.140625" style="297" customWidth="1"/>
    <col min="1557" max="1557" width="1.7109375" style="297" customWidth="1"/>
    <col min="1558" max="1558" width="13.7109375" style="297" customWidth="1"/>
    <col min="1559" max="1559" width="13.85546875" style="297" bestFit="1" customWidth="1"/>
    <col min="1560" max="1560" width="2.5703125" style="297" customWidth="1"/>
    <col min="1561" max="1561" width="12.42578125" style="297" customWidth="1"/>
    <col min="1562" max="1562" width="13.5703125" style="297" customWidth="1"/>
    <col min="1563" max="1563" width="2.5703125" style="297" customWidth="1"/>
    <col min="1564" max="1564" width="12.42578125" style="297" customWidth="1"/>
    <col min="1565" max="1565" width="13.5703125" style="297" customWidth="1"/>
    <col min="1566" max="1566" width="2.5703125" style="297" customWidth="1"/>
    <col min="1567" max="1567" width="11.5703125" style="297" customWidth="1"/>
    <col min="1568" max="1568" width="13" style="297" customWidth="1"/>
    <col min="1569" max="1569" width="1.42578125" style="297" customWidth="1"/>
    <col min="1570" max="1570" width="10.5703125" style="297" customWidth="1"/>
    <col min="1571" max="1802" width="11" style="297"/>
    <col min="1803" max="1803" width="1.5703125" style="297" customWidth="1"/>
    <col min="1804" max="1804" width="8.5703125" style="297" customWidth="1"/>
    <col min="1805" max="1805" width="28.7109375" style="297" customWidth="1"/>
    <col min="1806" max="1806" width="26.5703125" style="297" customWidth="1"/>
    <col min="1807" max="1807" width="7.7109375" style="297" customWidth="1"/>
    <col min="1808" max="1808" width="19.42578125" style="297" customWidth="1"/>
    <col min="1809" max="1809" width="44.28515625" style="297" customWidth="1"/>
    <col min="1810" max="1810" width="17" style="297" customWidth="1"/>
    <col min="1811" max="1811" width="15.5703125" style="297" customWidth="1"/>
    <col min="1812" max="1812" width="14.140625" style="297" customWidth="1"/>
    <col min="1813" max="1813" width="1.7109375" style="297" customWidth="1"/>
    <col min="1814" max="1814" width="13.7109375" style="297" customWidth="1"/>
    <col min="1815" max="1815" width="13.85546875" style="297" bestFit="1" customWidth="1"/>
    <col min="1816" max="1816" width="2.5703125" style="297" customWidth="1"/>
    <col min="1817" max="1817" width="12.42578125" style="297" customWidth="1"/>
    <col min="1818" max="1818" width="13.5703125" style="297" customWidth="1"/>
    <col min="1819" max="1819" width="2.5703125" style="297" customWidth="1"/>
    <col min="1820" max="1820" width="12.42578125" style="297" customWidth="1"/>
    <col min="1821" max="1821" width="13.5703125" style="297" customWidth="1"/>
    <col min="1822" max="1822" width="2.5703125" style="297" customWidth="1"/>
    <col min="1823" max="1823" width="11.5703125" style="297" customWidth="1"/>
    <col min="1824" max="1824" width="13" style="297" customWidth="1"/>
    <col min="1825" max="1825" width="1.42578125" style="297" customWidth="1"/>
    <col min="1826" max="1826" width="10.5703125" style="297" customWidth="1"/>
    <col min="1827" max="2058" width="11" style="297"/>
    <col min="2059" max="2059" width="1.5703125" style="297" customWidth="1"/>
    <col min="2060" max="2060" width="8.5703125" style="297" customWidth="1"/>
    <col min="2061" max="2061" width="28.7109375" style="297" customWidth="1"/>
    <col min="2062" max="2062" width="26.5703125" style="297" customWidth="1"/>
    <col min="2063" max="2063" width="7.7109375" style="297" customWidth="1"/>
    <col min="2064" max="2064" width="19.42578125" style="297" customWidth="1"/>
    <col min="2065" max="2065" width="44.28515625" style="297" customWidth="1"/>
    <col min="2066" max="2066" width="17" style="297" customWidth="1"/>
    <col min="2067" max="2067" width="15.5703125" style="297" customWidth="1"/>
    <col min="2068" max="2068" width="14.140625" style="297" customWidth="1"/>
    <col min="2069" max="2069" width="1.7109375" style="297" customWidth="1"/>
    <col min="2070" max="2070" width="13.7109375" style="297" customWidth="1"/>
    <col min="2071" max="2071" width="13.85546875" style="297" bestFit="1" customWidth="1"/>
    <col min="2072" max="2072" width="2.5703125" style="297" customWidth="1"/>
    <col min="2073" max="2073" width="12.42578125" style="297" customWidth="1"/>
    <col min="2074" max="2074" width="13.5703125" style="297" customWidth="1"/>
    <col min="2075" max="2075" width="2.5703125" style="297" customWidth="1"/>
    <col min="2076" max="2076" width="12.42578125" style="297" customWidth="1"/>
    <col min="2077" max="2077" width="13.5703125" style="297" customWidth="1"/>
    <col min="2078" max="2078" width="2.5703125" style="297" customWidth="1"/>
    <col min="2079" max="2079" width="11.5703125" style="297" customWidth="1"/>
    <col min="2080" max="2080" width="13" style="297" customWidth="1"/>
    <col min="2081" max="2081" width="1.42578125" style="297" customWidth="1"/>
    <col min="2082" max="2082" width="10.5703125" style="297" customWidth="1"/>
    <col min="2083" max="2314" width="11" style="297"/>
    <col min="2315" max="2315" width="1.5703125" style="297" customWidth="1"/>
    <col min="2316" max="2316" width="8.5703125" style="297" customWidth="1"/>
    <col min="2317" max="2317" width="28.7109375" style="297" customWidth="1"/>
    <col min="2318" max="2318" width="26.5703125" style="297" customWidth="1"/>
    <col min="2319" max="2319" width="7.7109375" style="297" customWidth="1"/>
    <col min="2320" max="2320" width="19.42578125" style="297" customWidth="1"/>
    <col min="2321" max="2321" width="44.28515625" style="297" customWidth="1"/>
    <col min="2322" max="2322" width="17" style="297" customWidth="1"/>
    <col min="2323" max="2323" width="15.5703125" style="297" customWidth="1"/>
    <col min="2324" max="2324" width="14.140625" style="297" customWidth="1"/>
    <col min="2325" max="2325" width="1.7109375" style="297" customWidth="1"/>
    <col min="2326" max="2326" width="13.7109375" style="297" customWidth="1"/>
    <col min="2327" max="2327" width="13.85546875" style="297" bestFit="1" customWidth="1"/>
    <col min="2328" max="2328" width="2.5703125" style="297" customWidth="1"/>
    <col min="2329" max="2329" width="12.42578125" style="297" customWidth="1"/>
    <col min="2330" max="2330" width="13.5703125" style="297" customWidth="1"/>
    <col min="2331" max="2331" width="2.5703125" style="297" customWidth="1"/>
    <col min="2332" max="2332" width="12.42578125" style="297" customWidth="1"/>
    <col min="2333" max="2333" width="13.5703125" style="297" customWidth="1"/>
    <col min="2334" max="2334" width="2.5703125" style="297" customWidth="1"/>
    <col min="2335" max="2335" width="11.5703125" style="297" customWidth="1"/>
    <col min="2336" max="2336" width="13" style="297" customWidth="1"/>
    <col min="2337" max="2337" width="1.42578125" style="297" customWidth="1"/>
    <col min="2338" max="2338" width="10.5703125" style="297" customWidth="1"/>
    <col min="2339" max="2570" width="11" style="297"/>
    <col min="2571" max="2571" width="1.5703125" style="297" customWidth="1"/>
    <col min="2572" max="2572" width="8.5703125" style="297" customWidth="1"/>
    <col min="2573" max="2573" width="28.7109375" style="297" customWidth="1"/>
    <col min="2574" max="2574" width="26.5703125" style="297" customWidth="1"/>
    <col min="2575" max="2575" width="7.7109375" style="297" customWidth="1"/>
    <col min="2576" max="2576" width="19.42578125" style="297" customWidth="1"/>
    <col min="2577" max="2577" width="44.28515625" style="297" customWidth="1"/>
    <col min="2578" max="2578" width="17" style="297" customWidth="1"/>
    <col min="2579" max="2579" width="15.5703125" style="297" customWidth="1"/>
    <col min="2580" max="2580" width="14.140625" style="297" customWidth="1"/>
    <col min="2581" max="2581" width="1.7109375" style="297" customWidth="1"/>
    <col min="2582" max="2582" width="13.7109375" style="297" customWidth="1"/>
    <col min="2583" max="2583" width="13.85546875" style="297" bestFit="1" customWidth="1"/>
    <col min="2584" max="2584" width="2.5703125" style="297" customWidth="1"/>
    <col min="2585" max="2585" width="12.42578125" style="297" customWidth="1"/>
    <col min="2586" max="2586" width="13.5703125" style="297" customWidth="1"/>
    <col min="2587" max="2587" width="2.5703125" style="297" customWidth="1"/>
    <col min="2588" max="2588" width="12.42578125" style="297" customWidth="1"/>
    <col min="2589" max="2589" width="13.5703125" style="297" customWidth="1"/>
    <col min="2590" max="2590" width="2.5703125" style="297" customWidth="1"/>
    <col min="2591" max="2591" width="11.5703125" style="297" customWidth="1"/>
    <col min="2592" max="2592" width="13" style="297" customWidth="1"/>
    <col min="2593" max="2593" width="1.42578125" style="297" customWidth="1"/>
    <col min="2594" max="2594" width="10.5703125" style="297" customWidth="1"/>
    <col min="2595" max="2826" width="11" style="297"/>
    <col min="2827" max="2827" width="1.5703125" style="297" customWidth="1"/>
    <col min="2828" max="2828" width="8.5703125" style="297" customWidth="1"/>
    <col min="2829" max="2829" width="28.7109375" style="297" customWidth="1"/>
    <col min="2830" max="2830" width="26.5703125" style="297" customWidth="1"/>
    <col min="2831" max="2831" width="7.7109375" style="297" customWidth="1"/>
    <col min="2832" max="2832" width="19.42578125" style="297" customWidth="1"/>
    <col min="2833" max="2833" width="44.28515625" style="297" customWidth="1"/>
    <col min="2834" max="2834" width="17" style="297" customWidth="1"/>
    <col min="2835" max="2835" width="15.5703125" style="297" customWidth="1"/>
    <col min="2836" max="2836" width="14.140625" style="297" customWidth="1"/>
    <col min="2837" max="2837" width="1.7109375" style="297" customWidth="1"/>
    <col min="2838" max="2838" width="13.7109375" style="297" customWidth="1"/>
    <col min="2839" max="2839" width="13.85546875" style="297" bestFit="1" customWidth="1"/>
    <col min="2840" max="2840" width="2.5703125" style="297" customWidth="1"/>
    <col min="2841" max="2841" width="12.42578125" style="297" customWidth="1"/>
    <col min="2842" max="2842" width="13.5703125" style="297" customWidth="1"/>
    <col min="2843" max="2843" width="2.5703125" style="297" customWidth="1"/>
    <col min="2844" max="2844" width="12.42578125" style="297" customWidth="1"/>
    <col min="2845" max="2845" width="13.5703125" style="297" customWidth="1"/>
    <col min="2846" max="2846" width="2.5703125" style="297" customWidth="1"/>
    <col min="2847" max="2847" width="11.5703125" style="297" customWidth="1"/>
    <col min="2848" max="2848" width="13" style="297" customWidth="1"/>
    <col min="2849" max="2849" width="1.42578125" style="297" customWidth="1"/>
    <col min="2850" max="2850" width="10.5703125" style="297" customWidth="1"/>
    <col min="2851" max="3082" width="11" style="297"/>
    <col min="3083" max="3083" width="1.5703125" style="297" customWidth="1"/>
    <col min="3084" max="3084" width="8.5703125" style="297" customWidth="1"/>
    <col min="3085" max="3085" width="28.7109375" style="297" customWidth="1"/>
    <col min="3086" max="3086" width="26.5703125" style="297" customWidth="1"/>
    <col min="3087" max="3087" width="7.7109375" style="297" customWidth="1"/>
    <col min="3088" max="3088" width="19.42578125" style="297" customWidth="1"/>
    <col min="3089" max="3089" width="44.28515625" style="297" customWidth="1"/>
    <col min="3090" max="3090" width="17" style="297" customWidth="1"/>
    <col min="3091" max="3091" width="15.5703125" style="297" customWidth="1"/>
    <col min="3092" max="3092" width="14.140625" style="297" customWidth="1"/>
    <col min="3093" max="3093" width="1.7109375" style="297" customWidth="1"/>
    <col min="3094" max="3094" width="13.7109375" style="297" customWidth="1"/>
    <col min="3095" max="3095" width="13.85546875" style="297" bestFit="1" customWidth="1"/>
    <col min="3096" max="3096" width="2.5703125" style="297" customWidth="1"/>
    <col min="3097" max="3097" width="12.42578125" style="297" customWidth="1"/>
    <col min="3098" max="3098" width="13.5703125" style="297" customWidth="1"/>
    <col min="3099" max="3099" width="2.5703125" style="297" customWidth="1"/>
    <col min="3100" max="3100" width="12.42578125" style="297" customWidth="1"/>
    <col min="3101" max="3101" width="13.5703125" style="297" customWidth="1"/>
    <col min="3102" max="3102" width="2.5703125" style="297" customWidth="1"/>
    <col min="3103" max="3103" width="11.5703125" style="297" customWidth="1"/>
    <col min="3104" max="3104" width="13" style="297" customWidth="1"/>
    <col min="3105" max="3105" width="1.42578125" style="297" customWidth="1"/>
    <col min="3106" max="3106" width="10.5703125" style="297" customWidth="1"/>
    <col min="3107" max="3338" width="11" style="297"/>
    <col min="3339" max="3339" width="1.5703125" style="297" customWidth="1"/>
    <col min="3340" max="3340" width="8.5703125" style="297" customWidth="1"/>
    <col min="3341" max="3341" width="28.7109375" style="297" customWidth="1"/>
    <col min="3342" max="3342" width="26.5703125" style="297" customWidth="1"/>
    <col min="3343" max="3343" width="7.7109375" style="297" customWidth="1"/>
    <col min="3344" max="3344" width="19.42578125" style="297" customWidth="1"/>
    <col min="3345" max="3345" width="44.28515625" style="297" customWidth="1"/>
    <col min="3346" max="3346" width="17" style="297" customWidth="1"/>
    <col min="3347" max="3347" width="15.5703125" style="297" customWidth="1"/>
    <col min="3348" max="3348" width="14.140625" style="297" customWidth="1"/>
    <col min="3349" max="3349" width="1.7109375" style="297" customWidth="1"/>
    <col min="3350" max="3350" width="13.7109375" style="297" customWidth="1"/>
    <col min="3351" max="3351" width="13.85546875" style="297" bestFit="1" customWidth="1"/>
    <col min="3352" max="3352" width="2.5703125" style="297" customWidth="1"/>
    <col min="3353" max="3353" width="12.42578125" style="297" customWidth="1"/>
    <col min="3354" max="3354" width="13.5703125" style="297" customWidth="1"/>
    <col min="3355" max="3355" width="2.5703125" style="297" customWidth="1"/>
    <col min="3356" max="3356" width="12.42578125" style="297" customWidth="1"/>
    <col min="3357" max="3357" width="13.5703125" style="297" customWidth="1"/>
    <col min="3358" max="3358" width="2.5703125" style="297" customWidth="1"/>
    <col min="3359" max="3359" width="11.5703125" style="297" customWidth="1"/>
    <col min="3360" max="3360" width="13" style="297" customWidth="1"/>
    <col min="3361" max="3361" width="1.42578125" style="297" customWidth="1"/>
    <col min="3362" max="3362" width="10.5703125" style="297" customWidth="1"/>
    <col min="3363" max="3594" width="11" style="297"/>
    <col min="3595" max="3595" width="1.5703125" style="297" customWidth="1"/>
    <col min="3596" max="3596" width="8.5703125" style="297" customWidth="1"/>
    <col min="3597" max="3597" width="28.7109375" style="297" customWidth="1"/>
    <col min="3598" max="3598" width="26.5703125" style="297" customWidth="1"/>
    <col min="3599" max="3599" width="7.7109375" style="297" customWidth="1"/>
    <col min="3600" max="3600" width="19.42578125" style="297" customWidth="1"/>
    <col min="3601" max="3601" width="44.28515625" style="297" customWidth="1"/>
    <col min="3602" max="3602" width="17" style="297" customWidth="1"/>
    <col min="3603" max="3603" width="15.5703125" style="297" customWidth="1"/>
    <col min="3604" max="3604" width="14.140625" style="297" customWidth="1"/>
    <col min="3605" max="3605" width="1.7109375" style="297" customWidth="1"/>
    <col min="3606" max="3606" width="13.7109375" style="297" customWidth="1"/>
    <col min="3607" max="3607" width="13.85546875" style="297" bestFit="1" customWidth="1"/>
    <col min="3608" max="3608" width="2.5703125" style="297" customWidth="1"/>
    <col min="3609" max="3609" width="12.42578125" style="297" customWidth="1"/>
    <col min="3610" max="3610" width="13.5703125" style="297" customWidth="1"/>
    <col min="3611" max="3611" width="2.5703125" style="297" customWidth="1"/>
    <col min="3612" max="3612" width="12.42578125" style="297" customWidth="1"/>
    <col min="3613" max="3613" width="13.5703125" style="297" customWidth="1"/>
    <col min="3614" max="3614" width="2.5703125" style="297" customWidth="1"/>
    <col min="3615" max="3615" width="11.5703125" style="297" customWidth="1"/>
    <col min="3616" max="3616" width="13" style="297" customWidth="1"/>
    <col min="3617" max="3617" width="1.42578125" style="297" customWidth="1"/>
    <col min="3618" max="3618" width="10.5703125" style="297" customWidth="1"/>
    <col min="3619" max="3850" width="11" style="297"/>
    <col min="3851" max="3851" width="1.5703125" style="297" customWidth="1"/>
    <col min="3852" max="3852" width="8.5703125" style="297" customWidth="1"/>
    <col min="3853" max="3853" width="28.7109375" style="297" customWidth="1"/>
    <col min="3854" max="3854" width="26.5703125" style="297" customWidth="1"/>
    <col min="3855" max="3855" width="7.7109375" style="297" customWidth="1"/>
    <col min="3856" max="3856" width="19.42578125" style="297" customWidth="1"/>
    <col min="3857" max="3857" width="44.28515625" style="297" customWidth="1"/>
    <col min="3858" max="3858" width="17" style="297" customWidth="1"/>
    <col min="3859" max="3859" width="15.5703125" style="297" customWidth="1"/>
    <col min="3860" max="3860" width="14.140625" style="297" customWidth="1"/>
    <col min="3861" max="3861" width="1.7109375" style="297" customWidth="1"/>
    <col min="3862" max="3862" width="13.7109375" style="297" customWidth="1"/>
    <col min="3863" max="3863" width="13.85546875" style="297" bestFit="1" customWidth="1"/>
    <col min="3864" max="3864" width="2.5703125" style="297" customWidth="1"/>
    <col min="3865" max="3865" width="12.42578125" style="297" customWidth="1"/>
    <col min="3866" max="3866" width="13.5703125" style="297" customWidth="1"/>
    <col min="3867" max="3867" width="2.5703125" style="297" customWidth="1"/>
    <col min="3868" max="3868" width="12.42578125" style="297" customWidth="1"/>
    <col min="3869" max="3869" width="13.5703125" style="297" customWidth="1"/>
    <col min="3870" max="3870" width="2.5703125" style="297" customWidth="1"/>
    <col min="3871" max="3871" width="11.5703125" style="297" customWidth="1"/>
    <col min="3872" max="3872" width="13" style="297" customWidth="1"/>
    <col min="3873" max="3873" width="1.42578125" style="297" customWidth="1"/>
    <col min="3874" max="3874" width="10.5703125" style="297" customWidth="1"/>
    <col min="3875" max="4106" width="11" style="297"/>
    <col min="4107" max="4107" width="1.5703125" style="297" customWidth="1"/>
    <col min="4108" max="4108" width="8.5703125" style="297" customWidth="1"/>
    <col min="4109" max="4109" width="28.7109375" style="297" customWidth="1"/>
    <col min="4110" max="4110" width="26.5703125" style="297" customWidth="1"/>
    <col min="4111" max="4111" width="7.7109375" style="297" customWidth="1"/>
    <col min="4112" max="4112" width="19.42578125" style="297" customWidth="1"/>
    <col min="4113" max="4113" width="44.28515625" style="297" customWidth="1"/>
    <col min="4114" max="4114" width="17" style="297" customWidth="1"/>
    <col min="4115" max="4115" width="15.5703125" style="297" customWidth="1"/>
    <col min="4116" max="4116" width="14.140625" style="297" customWidth="1"/>
    <col min="4117" max="4117" width="1.7109375" style="297" customWidth="1"/>
    <col min="4118" max="4118" width="13.7109375" style="297" customWidth="1"/>
    <col min="4119" max="4119" width="13.85546875" style="297" bestFit="1" customWidth="1"/>
    <col min="4120" max="4120" width="2.5703125" style="297" customWidth="1"/>
    <col min="4121" max="4121" width="12.42578125" style="297" customWidth="1"/>
    <col min="4122" max="4122" width="13.5703125" style="297" customWidth="1"/>
    <col min="4123" max="4123" width="2.5703125" style="297" customWidth="1"/>
    <col min="4124" max="4124" width="12.42578125" style="297" customWidth="1"/>
    <col min="4125" max="4125" width="13.5703125" style="297" customWidth="1"/>
    <col min="4126" max="4126" width="2.5703125" style="297" customWidth="1"/>
    <col min="4127" max="4127" width="11.5703125" style="297" customWidth="1"/>
    <col min="4128" max="4128" width="13" style="297" customWidth="1"/>
    <col min="4129" max="4129" width="1.42578125" style="297" customWidth="1"/>
    <col min="4130" max="4130" width="10.5703125" style="297" customWidth="1"/>
    <col min="4131" max="4362" width="11" style="297"/>
    <col min="4363" max="4363" width="1.5703125" style="297" customWidth="1"/>
    <col min="4364" max="4364" width="8.5703125" style="297" customWidth="1"/>
    <col min="4365" max="4365" width="28.7109375" style="297" customWidth="1"/>
    <col min="4366" max="4366" width="26.5703125" style="297" customWidth="1"/>
    <col min="4367" max="4367" width="7.7109375" style="297" customWidth="1"/>
    <col min="4368" max="4368" width="19.42578125" style="297" customWidth="1"/>
    <col min="4369" max="4369" width="44.28515625" style="297" customWidth="1"/>
    <col min="4370" max="4370" width="17" style="297" customWidth="1"/>
    <col min="4371" max="4371" width="15.5703125" style="297" customWidth="1"/>
    <col min="4372" max="4372" width="14.140625" style="297" customWidth="1"/>
    <col min="4373" max="4373" width="1.7109375" style="297" customWidth="1"/>
    <col min="4374" max="4374" width="13.7109375" style="297" customWidth="1"/>
    <col min="4375" max="4375" width="13.85546875" style="297" bestFit="1" customWidth="1"/>
    <col min="4376" max="4376" width="2.5703125" style="297" customWidth="1"/>
    <col min="4377" max="4377" width="12.42578125" style="297" customWidth="1"/>
    <col min="4378" max="4378" width="13.5703125" style="297" customWidth="1"/>
    <col min="4379" max="4379" width="2.5703125" style="297" customWidth="1"/>
    <col min="4380" max="4380" width="12.42578125" style="297" customWidth="1"/>
    <col min="4381" max="4381" width="13.5703125" style="297" customWidth="1"/>
    <col min="4382" max="4382" width="2.5703125" style="297" customWidth="1"/>
    <col min="4383" max="4383" width="11.5703125" style="297" customWidth="1"/>
    <col min="4384" max="4384" width="13" style="297" customWidth="1"/>
    <col min="4385" max="4385" width="1.42578125" style="297" customWidth="1"/>
    <col min="4386" max="4386" width="10.5703125" style="297" customWidth="1"/>
    <col min="4387" max="4618" width="11" style="297"/>
    <col min="4619" max="4619" width="1.5703125" style="297" customWidth="1"/>
    <col min="4620" max="4620" width="8.5703125" style="297" customWidth="1"/>
    <col min="4621" max="4621" width="28.7109375" style="297" customWidth="1"/>
    <col min="4622" max="4622" width="26.5703125" style="297" customWidth="1"/>
    <col min="4623" max="4623" width="7.7109375" style="297" customWidth="1"/>
    <col min="4624" max="4624" width="19.42578125" style="297" customWidth="1"/>
    <col min="4625" max="4625" width="44.28515625" style="297" customWidth="1"/>
    <col min="4626" max="4626" width="17" style="297" customWidth="1"/>
    <col min="4627" max="4627" width="15.5703125" style="297" customWidth="1"/>
    <col min="4628" max="4628" width="14.140625" style="297" customWidth="1"/>
    <col min="4629" max="4629" width="1.7109375" style="297" customWidth="1"/>
    <col min="4630" max="4630" width="13.7109375" style="297" customWidth="1"/>
    <col min="4631" max="4631" width="13.85546875" style="297" bestFit="1" customWidth="1"/>
    <col min="4632" max="4632" width="2.5703125" style="297" customWidth="1"/>
    <col min="4633" max="4633" width="12.42578125" style="297" customWidth="1"/>
    <col min="4634" max="4634" width="13.5703125" style="297" customWidth="1"/>
    <col min="4635" max="4635" width="2.5703125" style="297" customWidth="1"/>
    <col min="4636" max="4636" width="12.42578125" style="297" customWidth="1"/>
    <col min="4637" max="4637" width="13.5703125" style="297" customWidth="1"/>
    <col min="4638" max="4638" width="2.5703125" style="297" customWidth="1"/>
    <col min="4639" max="4639" width="11.5703125" style="297" customWidth="1"/>
    <col min="4640" max="4640" width="13" style="297" customWidth="1"/>
    <col min="4641" max="4641" width="1.42578125" style="297" customWidth="1"/>
    <col min="4642" max="4642" width="10.5703125" style="297" customWidth="1"/>
    <col min="4643" max="4874" width="11" style="297"/>
    <col min="4875" max="4875" width="1.5703125" style="297" customWidth="1"/>
    <col min="4876" max="4876" width="8.5703125" style="297" customWidth="1"/>
    <col min="4877" max="4877" width="28.7109375" style="297" customWidth="1"/>
    <col min="4878" max="4878" width="26.5703125" style="297" customWidth="1"/>
    <col min="4879" max="4879" width="7.7109375" style="297" customWidth="1"/>
    <col min="4880" max="4880" width="19.42578125" style="297" customWidth="1"/>
    <col min="4881" max="4881" width="44.28515625" style="297" customWidth="1"/>
    <col min="4882" max="4882" width="17" style="297" customWidth="1"/>
    <col min="4883" max="4883" width="15.5703125" style="297" customWidth="1"/>
    <col min="4884" max="4884" width="14.140625" style="297" customWidth="1"/>
    <col min="4885" max="4885" width="1.7109375" style="297" customWidth="1"/>
    <col min="4886" max="4886" width="13.7109375" style="297" customWidth="1"/>
    <col min="4887" max="4887" width="13.85546875" style="297" bestFit="1" customWidth="1"/>
    <col min="4888" max="4888" width="2.5703125" style="297" customWidth="1"/>
    <col min="4889" max="4889" width="12.42578125" style="297" customWidth="1"/>
    <col min="4890" max="4890" width="13.5703125" style="297" customWidth="1"/>
    <col min="4891" max="4891" width="2.5703125" style="297" customWidth="1"/>
    <col min="4892" max="4892" width="12.42578125" style="297" customWidth="1"/>
    <col min="4893" max="4893" width="13.5703125" style="297" customWidth="1"/>
    <col min="4894" max="4894" width="2.5703125" style="297" customWidth="1"/>
    <col min="4895" max="4895" width="11.5703125" style="297" customWidth="1"/>
    <col min="4896" max="4896" width="13" style="297" customWidth="1"/>
    <col min="4897" max="4897" width="1.42578125" style="297" customWidth="1"/>
    <col min="4898" max="4898" width="10.5703125" style="297" customWidth="1"/>
    <col min="4899" max="5130" width="11" style="297"/>
    <col min="5131" max="5131" width="1.5703125" style="297" customWidth="1"/>
    <col min="5132" max="5132" width="8.5703125" style="297" customWidth="1"/>
    <col min="5133" max="5133" width="28.7109375" style="297" customWidth="1"/>
    <col min="5134" max="5134" width="26.5703125" style="297" customWidth="1"/>
    <col min="5135" max="5135" width="7.7109375" style="297" customWidth="1"/>
    <col min="5136" max="5136" width="19.42578125" style="297" customWidth="1"/>
    <col min="5137" max="5137" width="44.28515625" style="297" customWidth="1"/>
    <col min="5138" max="5138" width="17" style="297" customWidth="1"/>
    <col min="5139" max="5139" width="15.5703125" style="297" customWidth="1"/>
    <col min="5140" max="5140" width="14.140625" style="297" customWidth="1"/>
    <col min="5141" max="5141" width="1.7109375" style="297" customWidth="1"/>
    <col min="5142" max="5142" width="13.7109375" style="297" customWidth="1"/>
    <col min="5143" max="5143" width="13.85546875" style="297" bestFit="1" customWidth="1"/>
    <col min="5144" max="5144" width="2.5703125" style="297" customWidth="1"/>
    <col min="5145" max="5145" width="12.42578125" style="297" customWidth="1"/>
    <col min="5146" max="5146" width="13.5703125" style="297" customWidth="1"/>
    <col min="5147" max="5147" width="2.5703125" style="297" customWidth="1"/>
    <col min="5148" max="5148" width="12.42578125" style="297" customWidth="1"/>
    <col min="5149" max="5149" width="13.5703125" style="297" customWidth="1"/>
    <col min="5150" max="5150" width="2.5703125" style="297" customWidth="1"/>
    <col min="5151" max="5151" width="11.5703125" style="297" customWidth="1"/>
    <col min="5152" max="5152" width="13" style="297" customWidth="1"/>
    <col min="5153" max="5153" width="1.42578125" style="297" customWidth="1"/>
    <col min="5154" max="5154" width="10.5703125" style="297" customWidth="1"/>
    <col min="5155" max="5386" width="11" style="297"/>
    <col min="5387" max="5387" width="1.5703125" style="297" customWidth="1"/>
    <col min="5388" max="5388" width="8.5703125" style="297" customWidth="1"/>
    <col min="5389" max="5389" width="28.7109375" style="297" customWidth="1"/>
    <col min="5390" max="5390" width="26.5703125" style="297" customWidth="1"/>
    <col min="5391" max="5391" width="7.7109375" style="297" customWidth="1"/>
    <col min="5392" max="5392" width="19.42578125" style="297" customWidth="1"/>
    <col min="5393" max="5393" width="44.28515625" style="297" customWidth="1"/>
    <col min="5394" max="5394" width="17" style="297" customWidth="1"/>
    <col min="5395" max="5395" width="15.5703125" style="297" customWidth="1"/>
    <col min="5396" max="5396" width="14.140625" style="297" customWidth="1"/>
    <col min="5397" max="5397" width="1.7109375" style="297" customWidth="1"/>
    <col min="5398" max="5398" width="13.7109375" style="297" customWidth="1"/>
    <col min="5399" max="5399" width="13.85546875" style="297" bestFit="1" customWidth="1"/>
    <col min="5400" max="5400" width="2.5703125" style="297" customWidth="1"/>
    <col min="5401" max="5401" width="12.42578125" style="297" customWidth="1"/>
    <col min="5402" max="5402" width="13.5703125" style="297" customWidth="1"/>
    <col min="5403" max="5403" width="2.5703125" style="297" customWidth="1"/>
    <col min="5404" max="5404" width="12.42578125" style="297" customWidth="1"/>
    <col min="5405" max="5405" width="13.5703125" style="297" customWidth="1"/>
    <col min="5406" max="5406" width="2.5703125" style="297" customWidth="1"/>
    <col min="5407" max="5407" width="11.5703125" style="297" customWidth="1"/>
    <col min="5408" max="5408" width="13" style="297" customWidth="1"/>
    <col min="5409" max="5409" width="1.42578125" style="297" customWidth="1"/>
    <col min="5410" max="5410" width="10.5703125" style="297" customWidth="1"/>
    <col min="5411" max="5642" width="11" style="297"/>
    <col min="5643" max="5643" width="1.5703125" style="297" customWidth="1"/>
    <col min="5644" max="5644" width="8.5703125" style="297" customWidth="1"/>
    <col min="5645" max="5645" width="28.7109375" style="297" customWidth="1"/>
    <col min="5646" max="5646" width="26.5703125" style="297" customWidth="1"/>
    <col min="5647" max="5647" width="7.7109375" style="297" customWidth="1"/>
    <col min="5648" max="5648" width="19.42578125" style="297" customWidth="1"/>
    <col min="5649" max="5649" width="44.28515625" style="297" customWidth="1"/>
    <col min="5650" max="5650" width="17" style="297" customWidth="1"/>
    <col min="5651" max="5651" width="15.5703125" style="297" customWidth="1"/>
    <col min="5652" max="5652" width="14.140625" style="297" customWidth="1"/>
    <col min="5653" max="5653" width="1.7109375" style="297" customWidth="1"/>
    <col min="5654" max="5654" width="13.7109375" style="297" customWidth="1"/>
    <col min="5655" max="5655" width="13.85546875" style="297" bestFit="1" customWidth="1"/>
    <col min="5656" max="5656" width="2.5703125" style="297" customWidth="1"/>
    <col min="5657" max="5657" width="12.42578125" style="297" customWidth="1"/>
    <col min="5658" max="5658" width="13.5703125" style="297" customWidth="1"/>
    <col min="5659" max="5659" width="2.5703125" style="297" customWidth="1"/>
    <col min="5660" max="5660" width="12.42578125" style="297" customWidth="1"/>
    <col min="5661" max="5661" width="13.5703125" style="297" customWidth="1"/>
    <col min="5662" max="5662" width="2.5703125" style="297" customWidth="1"/>
    <col min="5663" max="5663" width="11.5703125" style="297" customWidth="1"/>
    <col min="5664" max="5664" width="13" style="297" customWidth="1"/>
    <col min="5665" max="5665" width="1.42578125" style="297" customWidth="1"/>
    <col min="5666" max="5666" width="10.5703125" style="297" customWidth="1"/>
    <col min="5667" max="5898" width="11" style="297"/>
    <col min="5899" max="5899" width="1.5703125" style="297" customWidth="1"/>
    <col min="5900" max="5900" width="8.5703125" style="297" customWidth="1"/>
    <col min="5901" max="5901" width="28.7109375" style="297" customWidth="1"/>
    <col min="5902" max="5902" width="26.5703125" style="297" customWidth="1"/>
    <col min="5903" max="5903" width="7.7109375" style="297" customWidth="1"/>
    <col min="5904" max="5904" width="19.42578125" style="297" customWidth="1"/>
    <col min="5905" max="5905" width="44.28515625" style="297" customWidth="1"/>
    <col min="5906" max="5906" width="17" style="297" customWidth="1"/>
    <col min="5907" max="5907" width="15.5703125" style="297" customWidth="1"/>
    <col min="5908" max="5908" width="14.140625" style="297" customWidth="1"/>
    <col min="5909" max="5909" width="1.7109375" style="297" customWidth="1"/>
    <col min="5910" max="5910" width="13.7109375" style="297" customWidth="1"/>
    <col min="5911" max="5911" width="13.85546875" style="297" bestFit="1" customWidth="1"/>
    <col min="5912" max="5912" width="2.5703125" style="297" customWidth="1"/>
    <col min="5913" max="5913" width="12.42578125" style="297" customWidth="1"/>
    <col min="5914" max="5914" width="13.5703125" style="297" customWidth="1"/>
    <col min="5915" max="5915" width="2.5703125" style="297" customWidth="1"/>
    <col min="5916" max="5916" width="12.42578125" style="297" customWidth="1"/>
    <col min="5917" max="5917" width="13.5703125" style="297" customWidth="1"/>
    <col min="5918" max="5918" width="2.5703125" style="297" customWidth="1"/>
    <col min="5919" max="5919" width="11.5703125" style="297" customWidth="1"/>
    <col min="5920" max="5920" width="13" style="297" customWidth="1"/>
    <col min="5921" max="5921" width="1.42578125" style="297" customWidth="1"/>
    <col min="5922" max="5922" width="10.5703125" style="297" customWidth="1"/>
    <col min="5923" max="6154" width="11" style="297"/>
    <col min="6155" max="6155" width="1.5703125" style="297" customWidth="1"/>
    <col min="6156" max="6156" width="8.5703125" style="297" customWidth="1"/>
    <col min="6157" max="6157" width="28.7109375" style="297" customWidth="1"/>
    <col min="6158" max="6158" width="26.5703125" style="297" customWidth="1"/>
    <col min="6159" max="6159" width="7.7109375" style="297" customWidth="1"/>
    <col min="6160" max="6160" width="19.42578125" style="297" customWidth="1"/>
    <col min="6161" max="6161" width="44.28515625" style="297" customWidth="1"/>
    <col min="6162" max="6162" width="17" style="297" customWidth="1"/>
    <col min="6163" max="6163" width="15.5703125" style="297" customWidth="1"/>
    <col min="6164" max="6164" width="14.140625" style="297" customWidth="1"/>
    <col min="6165" max="6165" width="1.7109375" style="297" customWidth="1"/>
    <col min="6166" max="6166" width="13.7109375" style="297" customWidth="1"/>
    <col min="6167" max="6167" width="13.85546875" style="297" bestFit="1" customWidth="1"/>
    <col min="6168" max="6168" width="2.5703125" style="297" customWidth="1"/>
    <col min="6169" max="6169" width="12.42578125" style="297" customWidth="1"/>
    <col min="6170" max="6170" width="13.5703125" style="297" customWidth="1"/>
    <col min="6171" max="6171" width="2.5703125" style="297" customWidth="1"/>
    <col min="6172" max="6172" width="12.42578125" style="297" customWidth="1"/>
    <col min="6173" max="6173" width="13.5703125" style="297" customWidth="1"/>
    <col min="6174" max="6174" width="2.5703125" style="297" customWidth="1"/>
    <col min="6175" max="6175" width="11.5703125" style="297" customWidth="1"/>
    <col min="6176" max="6176" width="13" style="297" customWidth="1"/>
    <col min="6177" max="6177" width="1.42578125" style="297" customWidth="1"/>
    <col min="6178" max="6178" width="10.5703125" style="297" customWidth="1"/>
    <col min="6179" max="6410" width="11" style="297"/>
    <col min="6411" max="6411" width="1.5703125" style="297" customWidth="1"/>
    <col min="6412" max="6412" width="8.5703125" style="297" customWidth="1"/>
    <col min="6413" max="6413" width="28.7109375" style="297" customWidth="1"/>
    <col min="6414" max="6414" width="26.5703125" style="297" customWidth="1"/>
    <col min="6415" max="6415" width="7.7109375" style="297" customWidth="1"/>
    <col min="6416" max="6416" width="19.42578125" style="297" customWidth="1"/>
    <col min="6417" max="6417" width="44.28515625" style="297" customWidth="1"/>
    <col min="6418" max="6418" width="17" style="297" customWidth="1"/>
    <col min="6419" max="6419" width="15.5703125" style="297" customWidth="1"/>
    <col min="6420" max="6420" width="14.140625" style="297" customWidth="1"/>
    <col min="6421" max="6421" width="1.7109375" style="297" customWidth="1"/>
    <col min="6422" max="6422" width="13.7109375" style="297" customWidth="1"/>
    <col min="6423" max="6423" width="13.85546875" style="297" bestFit="1" customWidth="1"/>
    <col min="6424" max="6424" width="2.5703125" style="297" customWidth="1"/>
    <col min="6425" max="6425" width="12.42578125" style="297" customWidth="1"/>
    <col min="6426" max="6426" width="13.5703125" style="297" customWidth="1"/>
    <col min="6427" max="6427" width="2.5703125" style="297" customWidth="1"/>
    <col min="6428" max="6428" width="12.42578125" style="297" customWidth="1"/>
    <col min="6429" max="6429" width="13.5703125" style="297" customWidth="1"/>
    <col min="6430" max="6430" width="2.5703125" style="297" customWidth="1"/>
    <col min="6431" max="6431" width="11.5703125" style="297" customWidth="1"/>
    <col min="6432" max="6432" width="13" style="297" customWidth="1"/>
    <col min="6433" max="6433" width="1.42578125" style="297" customWidth="1"/>
    <col min="6434" max="6434" width="10.5703125" style="297" customWidth="1"/>
    <col min="6435" max="6666" width="11" style="297"/>
    <col min="6667" max="6667" width="1.5703125" style="297" customWidth="1"/>
    <col min="6668" max="6668" width="8.5703125" style="297" customWidth="1"/>
    <col min="6669" max="6669" width="28.7109375" style="297" customWidth="1"/>
    <col min="6670" max="6670" width="26.5703125" style="297" customWidth="1"/>
    <col min="6671" max="6671" width="7.7109375" style="297" customWidth="1"/>
    <col min="6672" max="6672" width="19.42578125" style="297" customWidth="1"/>
    <col min="6673" max="6673" width="44.28515625" style="297" customWidth="1"/>
    <col min="6674" max="6674" width="17" style="297" customWidth="1"/>
    <col min="6675" max="6675" width="15.5703125" style="297" customWidth="1"/>
    <col min="6676" max="6676" width="14.140625" style="297" customWidth="1"/>
    <col min="6677" max="6677" width="1.7109375" style="297" customWidth="1"/>
    <col min="6678" max="6678" width="13.7109375" style="297" customWidth="1"/>
    <col min="6679" max="6679" width="13.85546875" style="297" bestFit="1" customWidth="1"/>
    <col min="6680" max="6680" width="2.5703125" style="297" customWidth="1"/>
    <col min="6681" max="6681" width="12.42578125" style="297" customWidth="1"/>
    <col min="6682" max="6682" width="13.5703125" style="297" customWidth="1"/>
    <col min="6683" max="6683" width="2.5703125" style="297" customWidth="1"/>
    <col min="6684" max="6684" width="12.42578125" style="297" customWidth="1"/>
    <col min="6685" max="6685" width="13.5703125" style="297" customWidth="1"/>
    <col min="6686" max="6686" width="2.5703125" style="297" customWidth="1"/>
    <col min="6687" max="6687" width="11.5703125" style="297" customWidth="1"/>
    <col min="6688" max="6688" width="13" style="297" customWidth="1"/>
    <col min="6689" max="6689" width="1.42578125" style="297" customWidth="1"/>
    <col min="6690" max="6690" width="10.5703125" style="297" customWidth="1"/>
    <col min="6691" max="6922" width="11" style="297"/>
    <col min="6923" max="6923" width="1.5703125" style="297" customWidth="1"/>
    <col min="6924" max="6924" width="8.5703125" style="297" customWidth="1"/>
    <col min="6925" max="6925" width="28.7109375" style="297" customWidth="1"/>
    <col min="6926" max="6926" width="26.5703125" style="297" customWidth="1"/>
    <col min="6927" max="6927" width="7.7109375" style="297" customWidth="1"/>
    <col min="6928" max="6928" width="19.42578125" style="297" customWidth="1"/>
    <col min="6929" max="6929" width="44.28515625" style="297" customWidth="1"/>
    <col min="6930" max="6930" width="17" style="297" customWidth="1"/>
    <col min="6931" max="6931" width="15.5703125" style="297" customWidth="1"/>
    <col min="6932" max="6932" width="14.140625" style="297" customWidth="1"/>
    <col min="6933" max="6933" width="1.7109375" style="297" customWidth="1"/>
    <col min="6934" max="6934" width="13.7109375" style="297" customWidth="1"/>
    <col min="6935" max="6935" width="13.85546875" style="297" bestFit="1" customWidth="1"/>
    <col min="6936" max="6936" width="2.5703125" style="297" customWidth="1"/>
    <col min="6937" max="6937" width="12.42578125" style="297" customWidth="1"/>
    <col min="6938" max="6938" width="13.5703125" style="297" customWidth="1"/>
    <col min="6939" max="6939" width="2.5703125" style="297" customWidth="1"/>
    <col min="6940" max="6940" width="12.42578125" style="297" customWidth="1"/>
    <col min="6941" max="6941" width="13.5703125" style="297" customWidth="1"/>
    <col min="6942" max="6942" width="2.5703125" style="297" customWidth="1"/>
    <col min="6943" max="6943" width="11.5703125" style="297" customWidth="1"/>
    <col min="6944" max="6944" width="13" style="297" customWidth="1"/>
    <col min="6945" max="6945" width="1.42578125" style="297" customWidth="1"/>
    <col min="6946" max="6946" width="10.5703125" style="297" customWidth="1"/>
    <col min="6947" max="7178" width="11" style="297"/>
    <col min="7179" max="7179" width="1.5703125" style="297" customWidth="1"/>
    <col min="7180" max="7180" width="8.5703125" style="297" customWidth="1"/>
    <col min="7181" max="7181" width="28.7109375" style="297" customWidth="1"/>
    <col min="7182" max="7182" width="26.5703125" style="297" customWidth="1"/>
    <col min="7183" max="7183" width="7.7109375" style="297" customWidth="1"/>
    <col min="7184" max="7184" width="19.42578125" style="297" customWidth="1"/>
    <col min="7185" max="7185" width="44.28515625" style="297" customWidth="1"/>
    <col min="7186" max="7186" width="17" style="297" customWidth="1"/>
    <col min="7187" max="7187" width="15.5703125" style="297" customWidth="1"/>
    <col min="7188" max="7188" width="14.140625" style="297" customWidth="1"/>
    <col min="7189" max="7189" width="1.7109375" style="297" customWidth="1"/>
    <col min="7190" max="7190" width="13.7109375" style="297" customWidth="1"/>
    <col min="7191" max="7191" width="13.85546875" style="297" bestFit="1" customWidth="1"/>
    <col min="7192" max="7192" width="2.5703125" style="297" customWidth="1"/>
    <col min="7193" max="7193" width="12.42578125" style="297" customWidth="1"/>
    <col min="7194" max="7194" width="13.5703125" style="297" customWidth="1"/>
    <col min="7195" max="7195" width="2.5703125" style="297" customWidth="1"/>
    <col min="7196" max="7196" width="12.42578125" style="297" customWidth="1"/>
    <col min="7197" max="7197" width="13.5703125" style="297" customWidth="1"/>
    <col min="7198" max="7198" width="2.5703125" style="297" customWidth="1"/>
    <col min="7199" max="7199" width="11.5703125" style="297" customWidth="1"/>
    <col min="7200" max="7200" width="13" style="297" customWidth="1"/>
    <col min="7201" max="7201" width="1.42578125" style="297" customWidth="1"/>
    <col min="7202" max="7202" width="10.5703125" style="297" customWidth="1"/>
    <col min="7203" max="7434" width="11" style="297"/>
    <col min="7435" max="7435" width="1.5703125" style="297" customWidth="1"/>
    <col min="7436" max="7436" width="8.5703125" style="297" customWidth="1"/>
    <col min="7437" max="7437" width="28.7109375" style="297" customWidth="1"/>
    <col min="7438" max="7438" width="26.5703125" style="297" customWidth="1"/>
    <col min="7439" max="7439" width="7.7109375" style="297" customWidth="1"/>
    <col min="7440" max="7440" width="19.42578125" style="297" customWidth="1"/>
    <col min="7441" max="7441" width="44.28515625" style="297" customWidth="1"/>
    <col min="7442" max="7442" width="17" style="297" customWidth="1"/>
    <col min="7443" max="7443" width="15.5703125" style="297" customWidth="1"/>
    <col min="7444" max="7444" width="14.140625" style="297" customWidth="1"/>
    <col min="7445" max="7445" width="1.7109375" style="297" customWidth="1"/>
    <col min="7446" max="7446" width="13.7109375" style="297" customWidth="1"/>
    <col min="7447" max="7447" width="13.85546875" style="297" bestFit="1" customWidth="1"/>
    <col min="7448" max="7448" width="2.5703125" style="297" customWidth="1"/>
    <col min="7449" max="7449" width="12.42578125" style="297" customWidth="1"/>
    <col min="7450" max="7450" width="13.5703125" style="297" customWidth="1"/>
    <col min="7451" max="7451" width="2.5703125" style="297" customWidth="1"/>
    <col min="7452" max="7452" width="12.42578125" style="297" customWidth="1"/>
    <col min="7453" max="7453" width="13.5703125" style="297" customWidth="1"/>
    <col min="7454" max="7454" width="2.5703125" style="297" customWidth="1"/>
    <col min="7455" max="7455" width="11.5703125" style="297" customWidth="1"/>
    <col min="7456" max="7456" width="13" style="297" customWidth="1"/>
    <col min="7457" max="7457" width="1.42578125" style="297" customWidth="1"/>
    <col min="7458" max="7458" width="10.5703125" style="297" customWidth="1"/>
    <col min="7459" max="7690" width="11" style="297"/>
    <col min="7691" max="7691" width="1.5703125" style="297" customWidth="1"/>
    <col min="7692" max="7692" width="8.5703125" style="297" customWidth="1"/>
    <col min="7693" max="7693" width="28.7109375" style="297" customWidth="1"/>
    <col min="7694" max="7694" width="26.5703125" style="297" customWidth="1"/>
    <col min="7695" max="7695" width="7.7109375" style="297" customWidth="1"/>
    <col min="7696" max="7696" width="19.42578125" style="297" customWidth="1"/>
    <col min="7697" max="7697" width="44.28515625" style="297" customWidth="1"/>
    <col min="7698" max="7698" width="17" style="297" customWidth="1"/>
    <col min="7699" max="7699" width="15.5703125" style="297" customWidth="1"/>
    <col min="7700" max="7700" width="14.140625" style="297" customWidth="1"/>
    <col min="7701" max="7701" width="1.7109375" style="297" customWidth="1"/>
    <col min="7702" max="7702" width="13.7109375" style="297" customWidth="1"/>
    <col min="7703" max="7703" width="13.85546875" style="297" bestFit="1" customWidth="1"/>
    <col min="7704" max="7704" width="2.5703125" style="297" customWidth="1"/>
    <col min="7705" max="7705" width="12.42578125" style="297" customWidth="1"/>
    <col min="7706" max="7706" width="13.5703125" style="297" customWidth="1"/>
    <col min="7707" max="7707" width="2.5703125" style="297" customWidth="1"/>
    <col min="7708" max="7708" width="12.42578125" style="297" customWidth="1"/>
    <col min="7709" max="7709" width="13.5703125" style="297" customWidth="1"/>
    <col min="7710" max="7710" width="2.5703125" style="297" customWidth="1"/>
    <col min="7711" max="7711" width="11.5703125" style="297" customWidth="1"/>
    <col min="7712" max="7712" width="13" style="297" customWidth="1"/>
    <col min="7713" max="7713" width="1.42578125" style="297" customWidth="1"/>
    <col min="7714" max="7714" width="10.5703125" style="297" customWidth="1"/>
    <col min="7715" max="7946" width="11" style="297"/>
    <col min="7947" max="7947" width="1.5703125" style="297" customWidth="1"/>
    <col min="7948" max="7948" width="8.5703125" style="297" customWidth="1"/>
    <col min="7949" max="7949" width="28.7109375" style="297" customWidth="1"/>
    <col min="7950" max="7950" width="26.5703125" style="297" customWidth="1"/>
    <col min="7951" max="7951" width="7.7109375" style="297" customWidth="1"/>
    <col min="7952" max="7952" width="19.42578125" style="297" customWidth="1"/>
    <col min="7953" max="7953" width="44.28515625" style="297" customWidth="1"/>
    <col min="7954" max="7954" width="17" style="297" customWidth="1"/>
    <col min="7955" max="7955" width="15.5703125" style="297" customWidth="1"/>
    <col min="7956" max="7956" width="14.140625" style="297" customWidth="1"/>
    <col min="7957" max="7957" width="1.7109375" style="297" customWidth="1"/>
    <col min="7958" max="7958" width="13.7109375" style="297" customWidth="1"/>
    <col min="7959" max="7959" width="13.85546875" style="297" bestFit="1" customWidth="1"/>
    <col min="7960" max="7960" width="2.5703125" style="297" customWidth="1"/>
    <col min="7961" max="7961" width="12.42578125" style="297" customWidth="1"/>
    <col min="7962" max="7962" width="13.5703125" style="297" customWidth="1"/>
    <col min="7963" max="7963" width="2.5703125" style="297" customWidth="1"/>
    <col min="7964" max="7964" width="12.42578125" style="297" customWidth="1"/>
    <col min="7965" max="7965" width="13.5703125" style="297" customWidth="1"/>
    <col min="7966" max="7966" width="2.5703125" style="297" customWidth="1"/>
    <col min="7967" max="7967" width="11.5703125" style="297" customWidth="1"/>
    <col min="7968" max="7968" width="13" style="297" customWidth="1"/>
    <col min="7969" max="7969" width="1.42578125" style="297" customWidth="1"/>
    <col min="7970" max="7970" width="10.5703125" style="297" customWidth="1"/>
    <col min="7971" max="8202" width="11" style="297"/>
    <col min="8203" max="8203" width="1.5703125" style="297" customWidth="1"/>
    <col min="8204" max="8204" width="8.5703125" style="297" customWidth="1"/>
    <col min="8205" max="8205" width="28.7109375" style="297" customWidth="1"/>
    <col min="8206" max="8206" width="26.5703125" style="297" customWidth="1"/>
    <col min="8207" max="8207" width="7.7109375" style="297" customWidth="1"/>
    <col min="8208" max="8208" width="19.42578125" style="297" customWidth="1"/>
    <col min="8209" max="8209" width="44.28515625" style="297" customWidth="1"/>
    <col min="8210" max="8210" width="17" style="297" customWidth="1"/>
    <col min="8211" max="8211" width="15.5703125" style="297" customWidth="1"/>
    <col min="8212" max="8212" width="14.140625" style="297" customWidth="1"/>
    <col min="8213" max="8213" width="1.7109375" style="297" customWidth="1"/>
    <col min="8214" max="8214" width="13.7109375" style="297" customWidth="1"/>
    <col min="8215" max="8215" width="13.85546875" style="297" bestFit="1" customWidth="1"/>
    <col min="8216" max="8216" width="2.5703125" style="297" customWidth="1"/>
    <col min="8217" max="8217" width="12.42578125" style="297" customWidth="1"/>
    <col min="8218" max="8218" width="13.5703125" style="297" customWidth="1"/>
    <col min="8219" max="8219" width="2.5703125" style="297" customWidth="1"/>
    <col min="8220" max="8220" width="12.42578125" style="297" customWidth="1"/>
    <col min="8221" max="8221" width="13.5703125" style="297" customWidth="1"/>
    <col min="8222" max="8222" width="2.5703125" style="297" customWidth="1"/>
    <col min="8223" max="8223" width="11.5703125" style="297" customWidth="1"/>
    <col min="8224" max="8224" width="13" style="297" customWidth="1"/>
    <col min="8225" max="8225" width="1.42578125" style="297" customWidth="1"/>
    <col min="8226" max="8226" width="10.5703125" style="297" customWidth="1"/>
    <col min="8227" max="8458" width="11" style="297"/>
    <col min="8459" max="8459" width="1.5703125" style="297" customWidth="1"/>
    <col min="8460" max="8460" width="8.5703125" style="297" customWidth="1"/>
    <col min="8461" max="8461" width="28.7109375" style="297" customWidth="1"/>
    <col min="8462" max="8462" width="26.5703125" style="297" customWidth="1"/>
    <col min="8463" max="8463" width="7.7109375" style="297" customWidth="1"/>
    <col min="8464" max="8464" width="19.42578125" style="297" customWidth="1"/>
    <col min="8465" max="8465" width="44.28515625" style="297" customWidth="1"/>
    <col min="8466" max="8466" width="17" style="297" customWidth="1"/>
    <col min="8467" max="8467" width="15.5703125" style="297" customWidth="1"/>
    <col min="8468" max="8468" width="14.140625" style="297" customWidth="1"/>
    <col min="8469" max="8469" width="1.7109375" style="297" customWidth="1"/>
    <col min="8470" max="8470" width="13.7109375" style="297" customWidth="1"/>
    <col min="8471" max="8471" width="13.85546875" style="297" bestFit="1" customWidth="1"/>
    <col min="8472" max="8472" width="2.5703125" style="297" customWidth="1"/>
    <col min="8473" max="8473" width="12.42578125" style="297" customWidth="1"/>
    <col min="8474" max="8474" width="13.5703125" style="297" customWidth="1"/>
    <col min="8475" max="8475" width="2.5703125" style="297" customWidth="1"/>
    <col min="8476" max="8476" width="12.42578125" style="297" customWidth="1"/>
    <col min="8477" max="8477" width="13.5703125" style="297" customWidth="1"/>
    <col min="8478" max="8478" width="2.5703125" style="297" customWidth="1"/>
    <col min="8479" max="8479" width="11.5703125" style="297" customWidth="1"/>
    <col min="8480" max="8480" width="13" style="297" customWidth="1"/>
    <col min="8481" max="8481" width="1.42578125" style="297" customWidth="1"/>
    <col min="8482" max="8482" width="10.5703125" style="297" customWidth="1"/>
    <col min="8483" max="8714" width="11" style="297"/>
    <col min="8715" max="8715" width="1.5703125" style="297" customWidth="1"/>
    <col min="8716" max="8716" width="8.5703125" style="297" customWidth="1"/>
    <col min="8717" max="8717" width="28.7109375" style="297" customWidth="1"/>
    <col min="8718" max="8718" width="26.5703125" style="297" customWidth="1"/>
    <col min="8719" max="8719" width="7.7109375" style="297" customWidth="1"/>
    <col min="8720" max="8720" width="19.42578125" style="297" customWidth="1"/>
    <col min="8721" max="8721" width="44.28515625" style="297" customWidth="1"/>
    <col min="8722" max="8722" width="17" style="297" customWidth="1"/>
    <col min="8723" max="8723" width="15.5703125" style="297" customWidth="1"/>
    <col min="8724" max="8724" width="14.140625" style="297" customWidth="1"/>
    <col min="8725" max="8725" width="1.7109375" style="297" customWidth="1"/>
    <col min="8726" max="8726" width="13.7109375" style="297" customWidth="1"/>
    <col min="8727" max="8727" width="13.85546875" style="297" bestFit="1" customWidth="1"/>
    <col min="8728" max="8728" width="2.5703125" style="297" customWidth="1"/>
    <col min="8729" max="8729" width="12.42578125" style="297" customWidth="1"/>
    <col min="8730" max="8730" width="13.5703125" style="297" customWidth="1"/>
    <col min="8731" max="8731" width="2.5703125" style="297" customWidth="1"/>
    <col min="8732" max="8732" width="12.42578125" style="297" customWidth="1"/>
    <col min="8733" max="8733" width="13.5703125" style="297" customWidth="1"/>
    <col min="8734" max="8734" width="2.5703125" style="297" customWidth="1"/>
    <col min="8735" max="8735" width="11.5703125" style="297" customWidth="1"/>
    <col min="8736" max="8736" width="13" style="297" customWidth="1"/>
    <col min="8737" max="8737" width="1.42578125" style="297" customWidth="1"/>
    <col min="8738" max="8738" width="10.5703125" style="297" customWidth="1"/>
    <col min="8739" max="8970" width="11" style="297"/>
    <col min="8971" max="8971" width="1.5703125" style="297" customWidth="1"/>
    <col min="8972" max="8972" width="8.5703125" style="297" customWidth="1"/>
    <col min="8973" max="8973" width="28.7109375" style="297" customWidth="1"/>
    <col min="8974" max="8974" width="26.5703125" style="297" customWidth="1"/>
    <col min="8975" max="8975" width="7.7109375" style="297" customWidth="1"/>
    <col min="8976" max="8976" width="19.42578125" style="297" customWidth="1"/>
    <col min="8977" max="8977" width="44.28515625" style="297" customWidth="1"/>
    <col min="8978" max="8978" width="17" style="297" customWidth="1"/>
    <col min="8979" max="8979" width="15.5703125" style="297" customWidth="1"/>
    <col min="8980" max="8980" width="14.140625" style="297" customWidth="1"/>
    <col min="8981" max="8981" width="1.7109375" style="297" customWidth="1"/>
    <col min="8982" max="8982" width="13.7109375" style="297" customWidth="1"/>
    <col min="8983" max="8983" width="13.85546875" style="297" bestFit="1" customWidth="1"/>
    <col min="8984" max="8984" width="2.5703125" style="297" customWidth="1"/>
    <col min="8985" max="8985" width="12.42578125" style="297" customWidth="1"/>
    <col min="8986" max="8986" width="13.5703125" style="297" customWidth="1"/>
    <col min="8987" max="8987" width="2.5703125" style="297" customWidth="1"/>
    <col min="8988" max="8988" width="12.42578125" style="297" customWidth="1"/>
    <col min="8989" max="8989" width="13.5703125" style="297" customWidth="1"/>
    <col min="8990" max="8990" width="2.5703125" style="297" customWidth="1"/>
    <col min="8991" max="8991" width="11.5703125" style="297" customWidth="1"/>
    <col min="8992" max="8992" width="13" style="297" customWidth="1"/>
    <col min="8993" max="8993" width="1.42578125" style="297" customWidth="1"/>
    <col min="8994" max="8994" width="10.5703125" style="297" customWidth="1"/>
    <col min="8995" max="9226" width="11" style="297"/>
    <col min="9227" max="9227" width="1.5703125" style="297" customWidth="1"/>
    <col min="9228" max="9228" width="8.5703125" style="297" customWidth="1"/>
    <col min="9229" max="9229" width="28.7109375" style="297" customWidth="1"/>
    <col min="9230" max="9230" width="26.5703125" style="297" customWidth="1"/>
    <col min="9231" max="9231" width="7.7109375" style="297" customWidth="1"/>
    <col min="9232" max="9232" width="19.42578125" style="297" customWidth="1"/>
    <col min="9233" max="9233" width="44.28515625" style="297" customWidth="1"/>
    <col min="9234" max="9234" width="17" style="297" customWidth="1"/>
    <col min="9235" max="9235" width="15.5703125" style="297" customWidth="1"/>
    <col min="9236" max="9236" width="14.140625" style="297" customWidth="1"/>
    <col min="9237" max="9237" width="1.7109375" style="297" customWidth="1"/>
    <col min="9238" max="9238" width="13.7109375" style="297" customWidth="1"/>
    <col min="9239" max="9239" width="13.85546875" style="297" bestFit="1" customWidth="1"/>
    <col min="9240" max="9240" width="2.5703125" style="297" customWidth="1"/>
    <col min="9241" max="9241" width="12.42578125" style="297" customWidth="1"/>
    <col min="9242" max="9242" width="13.5703125" style="297" customWidth="1"/>
    <col min="9243" max="9243" width="2.5703125" style="297" customWidth="1"/>
    <col min="9244" max="9244" width="12.42578125" style="297" customWidth="1"/>
    <col min="9245" max="9245" width="13.5703125" style="297" customWidth="1"/>
    <col min="9246" max="9246" width="2.5703125" style="297" customWidth="1"/>
    <col min="9247" max="9247" width="11.5703125" style="297" customWidth="1"/>
    <col min="9248" max="9248" width="13" style="297" customWidth="1"/>
    <col min="9249" max="9249" width="1.42578125" style="297" customWidth="1"/>
    <col min="9250" max="9250" width="10.5703125" style="297" customWidth="1"/>
    <col min="9251" max="9482" width="11" style="297"/>
    <col min="9483" max="9483" width="1.5703125" style="297" customWidth="1"/>
    <col min="9484" max="9484" width="8.5703125" style="297" customWidth="1"/>
    <col min="9485" max="9485" width="28.7109375" style="297" customWidth="1"/>
    <col min="9486" max="9486" width="26.5703125" style="297" customWidth="1"/>
    <col min="9487" max="9487" width="7.7109375" style="297" customWidth="1"/>
    <col min="9488" max="9488" width="19.42578125" style="297" customWidth="1"/>
    <col min="9489" max="9489" width="44.28515625" style="297" customWidth="1"/>
    <col min="9490" max="9490" width="17" style="297" customWidth="1"/>
    <col min="9491" max="9491" width="15.5703125" style="297" customWidth="1"/>
    <col min="9492" max="9492" width="14.140625" style="297" customWidth="1"/>
    <col min="9493" max="9493" width="1.7109375" style="297" customWidth="1"/>
    <col min="9494" max="9494" width="13.7109375" style="297" customWidth="1"/>
    <col min="9495" max="9495" width="13.85546875" style="297" bestFit="1" customWidth="1"/>
    <col min="9496" max="9496" width="2.5703125" style="297" customWidth="1"/>
    <col min="9497" max="9497" width="12.42578125" style="297" customWidth="1"/>
    <col min="9498" max="9498" width="13.5703125" style="297" customWidth="1"/>
    <col min="9499" max="9499" width="2.5703125" style="297" customWidth="1"/>
    <col min="9500" max="9500" width="12.42578125" style="297" customWidth="1"/>
    <col min="9501" max="9501" width="13.5703125" style="297" customWidth="1"/>
    <col min="9502" max="9502" width="2.5703125" style="297" customWidth="1"/>
    <col min="9503" max="9503" width="11.5703125" style="297" customWidth="1"/>
    <col min="9504" max="9504" width="13" style="297" customWidth="1"/>
    <col min="9505" max="9505" width="1.42578125" style="297" customWidth="1"/>
    <col min="9506" max="9506" width="10.5703125" style="297" customWidth="1"/>
    <col min="9507" max="9738" width="11" style="297"/>
    <col min="9739" max="9739" width="1.5703125" style="297" customWidth="1"/>
    <col min="9740" max="9740" width="8.5703125" style="297" customWidth="1"/>
    <col min="9741" max="9741" width="28.7109375" style="297" customWidth="1"/>
    <col min="9742" max="9742" width="26.5703125" style="297" customWidth="1"/>
    <col min="9743" max="9743" width="7.7109375" style="297" customWidth="1"/>
    <col min="9744" max="9744" width="19.42578125" style="297" customWidth="1"/>
    <col min="9745" max="9745" width="44.28515625" style="297" customWidth="1"/>
    <col min="9746" max="9746" width="17" style="297" customWidth="1"/>
    <col min="9747" max="9747" width="15.5703125" style="297" customWidth="1"/>
    <col min="9748" max="9748" width="14.140625" style="297" customWidth="1"/>
    <col min="9749" max="9749" width="1.7109375" style="297" customWidth="1"/>
    <col min="9750" max="9750" width="13.7109375" style="297" customWidth="1"/>
    <col min="9751" max="9751" width="13.85546875" style="297" bestFit="1" customWidth="1"/>
    <col min="9752" max="9752" width="2.5703125" style="297" customWidth="1"/>
    <col min="9753" max="9753" width="12.42578125" style="297" customWidth="1"/>
    <col min="9754" max="9754" width="13.5703125" style="297" customWidth="1"/>
    <col min="9755" max="9755" width="2.5703125" style="297" customWidth="1"/>
    <col min="9756" max="9756" width="12.42578125" style="297" customWidth="1"/>
    <col min="9757" max="9757" width="13.5703125" style="297" customWidth="1"/>
    <col min="9758" max="9758" width="2.5703125" style="297" customWidth="1"/>
    <col min="9759" max="9759" width="11.5703125" style="297" customWidth="1"/>
    <col min="9760" max="9760" width="13" style="297" customWidth="1"/>
    <col min="9761" max="9761" width="1.42578125" style="297" customWidth="1"/>
    <col min="9762" max="9762" width="10.5703125" style="297" customWidth="1"/>
    <col min="9763" max="9994" width="11" style="297"/>
    <col min="9995" max="9995" width="1.5703125" style="297" customWidth="1"/>
    <col min="9996" max="9996" width="8.5703125" style="297" customWidth="1"/>
    <col min="9997" max="9997" width="28.7109375" style="297" customWidth="1"/>
    <col min="9998" max="9998" width="26.5703125" style="297" customWidth="1"/>
    <col min="9999" max="9999" width="7.7109375" style="297" customWidth="1"/>
    <col min="10000" max="10000" width="19.42578125" style="297" customWidth="1"/>
    <col min="10001" max="10001" width="44.28515625" style="297" customWidth="1"/>
    <col min="10002" max="10002" width="17" style="297" customWidth="1"/>
    <col min="10003" max="10003" width="15.5703125" style="297" customWidth="1"/>
    <col min="10004" max="10004" width="14.140625" style="297" customWidth="1"/>
    <col min="10005" max="10005" width="1.7109375" style="297" customWidth="1"/>
    <col min="10006" max="10006" width="13.7109375" style="297" customWidth="1"/>
    <col min="10007" max="10007" width="13.85546875" style="297" bestFit="1" customWidth="1"/>
    <col min="10008" max="10008" width="2.5703125" style="297" customWidth="1"/>
    <col min="10009" max="10009" width="12.42578125" style="297" customWidth="1"/>
    <col min="10010" max="10010" width="13.5703125" style="297" customWidth="1"/>
    <col min="10011" max="10011" width="2.5703125" style="297" customWidth="1"/>
    <col min="10012" max="10012" width="12.42578125" style="297" customWidth="1"/>
    <col min="10013" max="10013" width="13.5703125" style="297" customWidth="1"/>
    <col min="10014" max="10014" width="2.5703125" style="297" customWidth="1"/>
    <col min="10015" max="10015" width="11.5703125" style="297" customWidth="1"/>
    <col min="10016" max="10016" width="13" style="297" customWidth="1"/>
    <col min="10017" max="10017" width="1.42578125" style="297" customWidth="1"/>
    <col min="10018" max="10018" width="10.5703125" style="297" customWidth="1"/>
    <col min="10019" max="10250" width="11" style="297"/>
    <col min="10251" max="10251" width="1.5703125" style="297" customWidth="1"/>
    <col min="10252" max="10252" width="8.5703125" style="297" customWidth="1"/>
    <col min="10253" max="10253" width="28.7109375" style="297" customWidth="1"/>
    <col min="10254" max="10254" width="26.5703125" style="297" customWidth="1"/>
    <col min="10255" max="10255" width="7.7109375" style="297" customWidth="1"/>
    <col min="10256" max="10256" width="19.42578125" style="297" customWidth="1"/>
    <col min="10257" max="10257" width="44.28515625" style="297" customWidth="1"/>
    <col min="10258" max="10258" width="17" style="297" customWidth="1"/>
    <col min="10259" max="10259" width="15.5703125" style="297" customWidth="1"/>
    <col min="10260" max="10260" width="14.140625" style="297" customWidth="1"/>
    <col min="10261" max="10261" width="1.7109375" style="297" customWidth="1"/>
    <col min="10262" max="10262" width="13.7109375" style="297" customWidth="1"/>
    <col min="10263" max="10263" width="13.85546875" style="297" bestFit="1" customWidth="1"/>
    <col min="10264" max="10264" width="2.5703125" style="297" customWidth="1"/>
    <col min="10265" max="10265" width="12.42578125" style="297" customWidth="1"/>
    <col min="10266" max="10266" width="13.5703125" style="297" customWidth="1"/>
    <col min="10267" max="10267" width="2.5703125" style="297" customWidth="1"/>
    <col min="10268" max="10268" width="12.42578125" style="297" customWidth="1"/>
    <col min="10269" max="10269" width="13.5703125" style="297" customWidth="1"/>
    <col min="10270" max="10270" width="2.5703125" style="297" customWidth="1"/>
    <col min="10271" max="10271" width="11.5703125" style="297" customWidth="1"/>
    <col min="10272" max="10272" width="13" style="297" customWidth="1"/>
    <col min="10273" max="10273" width="1.42578125" style="297" customWidth="1"/>
    <col min="10274" max="10274" width="10.5703125" style="297" customWidth="1"/>
    <col min="10275" max="10506" width="11" style="297"/>
    <col min="10507" max="10507" width="1.5703125" style="297" customWidth="1"/>
    <col min="10508" max="10508" width="8.5703125" style="297" customWidth="1"/>
    <col min="10509" max="10509" width="28.7109375" style="297" customWidth="1"/>
    <col min="10510" max="10510" width="26.5703125" style="297" customWidth="1"/>
    <col min="10511" max="10511" width="7.7109375" style="297" customWidth="1"/>
    <col min="10512" max="10512" width="19.42578125" style="297" customWidth="1"/>
    <col min="10513" max="10513" width="44.28515625" style="297" customWidth="1"/>
    <col min="10514" max="10514" width="17" style="297" customWidth="1"/>
    <col min="10515" max="10515" width="15.5703125" style="297" customWidth="1"/>
    <col min="10516" max="10516" width="14.140625" style="297" customWidth="1"/>
    <col min="10517" max="10517" width="1.7109375" style="297" customWidth="1"/>
    <col min="10518" max="10518" width="13.7109375" style="297" customWidth="1"/>
    <col min="10519" max="10519" width="13.85546875" style="297" bestFit="1" customWidth="1"/>
    <col min="10520" max="10520" width="2.5703125" style="297" customWidth="1"/>
    <col min="10521" max="10521" width="12.42578125" style="297" customWidth="1"/>
    <col min="10522" max="10522" width="13.5703125" style="297" customWidth="1"/>
    <col min="10523" max="10523" width="2.5703125" style="297" customWidth="1"/>
    <col min="10524" max="10524" width="12.42578125" style="297" customWidth="1"/>
    <col min="10525" max="10525" width="13.5703125" style="297" customWidth="1"/>
    <col min="10526" max="10526" width="2.5703125" style="297" customWidth="1"/>
    <col min="10527" max="10527" width="11.5703125" style="297" customWidth="1"/>
    <col min="10528" max="10528" width="13" style="297" customWidth="1"/>
    <col min="10529" max="10529" width="1.42578125" style="297" customWidth="1"/>
    <col min="10530" max="10530" width="10.5703125" style="297" customWidth="1"/>
    <col min="10531" max="10762" width="11" style="297"/>
    <col min="10763" max="10763" width="1.5703125" style="297" customWidth="1"/>
    <col min="10764" max="10764" width="8.5703125" style="297" customWidth="1"/>
    <col min="10765" max="10765" width="28.7109375" style="297" customWidth="1"/>
    <col min="10766" max="10766" width="26.5703125" style="297" customWidth="1"/>
    <col min="10767" max="10767" width="7.7109375" style="297" customWidth="1"/>
    <col min="10768" max="10768" width="19.42578125" style="297" customWidth="1"/>
    <col min="10769" max="10769" width="44.28515625" style="297" customWidth="1"/>
    <col min="10770" max="10770" width="17" style="297" customWidth="1"/>
    <col min="10771" max="10771" width="15.5703125" style="297" customWidth="1"/>
    <col min="10772" max="10772" width="14.140625" style="297" customWidth="1"/>
    <col min="10773" max="10773" width="1.7109375" style="297" customWidth="1"/>
    <col min="10774" max="10774" width="13.7109375" style="297" customWidth="1"/>
    <col min="10775" max="10775" width="13.85546875" style="297" bestFit="1" customWidth="1"/>
    <col min="10776" max="10776" width="2.5703125" style="297" customWidth="1"/>
    <col min="10777" max="10777" width="12.42578125" style="297" customWidth="1"/>
    <col min="10778" max="10778" width="13.5703125" style="297" customWidth="1"/>
    <col min="10779" max="10779" width="2.5703125" style="297" customWidth="1"/>
    <col min="10780" max="10780" width="12.42578125" style="297" customWidth="1"/>
    <col min="10781" max="10781" width="13.5703125" style="297" customWidth="1"/>
    <col min="10782" max="10782" width="2.5703125" style="297" customWidth="1"/>
    <col min="10783" max="10783" width="11.5703125" style="297" customWidth="1"/>
    <col min="10784" max="10784" width="13" style="297" customWidth="1"/>
    <col min="10785" max="10785" width="1.42578125" style="297" customWidth="1"/>
    <col min="10786" max="10786" width="10.5703125" style="297" customWidth="1"/>
    <col min="10787" max="11018" width="11" style="297"/>
    <col min="11019" max="11019" width="1.5703125" style="297" customWidth="1"/>
    <col min="11020" max="11020" width="8.5703125" style="297" customWidth="1"/>
    <col min="11021" max="11021" width="28.7109375" style="297" customWidth="1"/>
    <col min="11022" max="11022" width="26.5703125" style="297" customWidth="1"/>
    <col min="11023" max="11023" width="7.7109375" style="297" customWidth="1"/>
    <col min="11024" max="11024" width="19.42578125" style="297" customWidth="1"/>
    <col min="11025" max="11025" width="44.28515625" style="297" customWidth="1"/>
    <col min="11026" max="11026" width="17" style="297" customWidth="1"/>
    <col min="11027" max="11027" width="15.5703125" style="297" customWidth="1"/>
    <col min="11028" max="11028" width="14.140625" style="297" customWidth="1"/>
    <col min="11029" max="11029" width="1.7109375" style="297" customWidth="1"/>
    <col min="11030" max="11030" width="13.7109375" style="297" customWidth="1"/>
    <col min="11031" max="11031" width="13.85546875" style="297" bestFit="1" customWidth="1"/>
    <col min="11032" max="11032" width="2.5703125" style="297" customWidth="1"/>
    <col min="11033" max="11033" width="12.42578125" style="297" customWidth="1"/>
    <col min="11034" max="11034" width="13.5703125" style="297" customWidth="1"/>
    <col min="11035" max="11035" width="2.5703125" style="297" customWidth="1"/>
    <col min="11036" max="11036" width="12.42578125" style="297" customWidth="1"/>
    <col min="11037" max="11037" width="13.5703125" style="297" customWidth="1"/>
    <col min="11038" max="11038" width="2.5703125" style="297" customWidth="1"/>
    <col min="11039" max="11039" width="11.5703125" style="297" customWidth="1"/>
    <col min="11040" max="11040" width="13" style="297" customWidth="1"/>
    <col min="11041" max="11041" width="1.42578125" style="297" customWidth="1"/>
    <col min="11042" max="11042" width="10.5703125" style="297" customWidth="1"/>
    <col min="11043" max="11274" width="11" style="297"/>
    <col min="11275" max="11275" width="1.5703125" style="297" customWidth="1"/>
    <col min="11276" max="11276" width="8.5703125" style="297" customWidth="1"/>
    <col min="11277" max="11277" width="28.7109375" style="297" customWidth="1"/>
    <col min="11278" max="11278" width="26.5703125" style="297" customWidth="1"/>
    <col min="11279" max="11279" width="7.7109375" style="297" customWidth="1"/>
    <col min="11280" max="11280" width="19.42578125" style="297" customWidth="1"/>
    <col min="11281" max="11281" width="44.28515625" style="297" customWidth="1"/>
    <col min="11282" max="11282" width="17" style="297" customWidth="1"/>
    <col min="11283" max="11283" width="15.5703125" style="297" customWidth="1"/>
    <col min="11284" max="11284" width="14.140625" style="297" customWidth="1"/>
    <col min="11285" max="11285" width="1.7109375" style="297" customWidth="1"/>
    <col min="11286" max="11286" width="13.7109375" style="297" customWidth="1"/>
    <col min="11287" max="11287" width="13.85546875" style="297" bestFit="1" customWidth="1"/>
    <col min="11288" max="11288" width="2.5703125" style="297" customWidth="1"/>
    <col min="11289" max="11289" width="12.42578125" style="297" customWidth="1"/>
    <col min="11290" max="11290" width="13.5703125" style="297" customWidth="1"/>
    <col min="11291" max="11291" width="2.5703125" style="297" customWidth="1"/>
    <col min="11292" max="11292" width="12.42578125" style="297" customWidth="1"/>
    <col min="11293" max="11293" width="13.5703125" style="297" customWidth="1"/>
    <col min="11294" max="11294" width="2.5703125" style="297" customWidth="1"/>
    <col min="11295" max="11295" width="11.5703125" style="297" customWidth="1"/>
    <col min="11296" max="11296" width="13" style="297" customWidth="1"/>
    <col min="11297" max="11297" width="1.42578125" style="297" customWidth="1"/>
    <col min="11298" max="11298" width="10.5703125" style="297" customWidth="1"/>
    <col min="11299" max="11530" width="11" style="297"/>
    <col min="11531" max="11531" width="1.5703125" style="297" customWidth="1"/>
    <col min="11532" max="11532" width="8.5703125" style="297" customWidth="1"/>
    <col min="11533" max="11533" width="28.7109375" style="297" customWidth="1"/>
    <col min="11534" max="11534" width="26.5703125" style="297" customWidth="1"/>
    <col min="11535" max="11535" width="7.7109375" style="297" customWidth="1"/>
    <col min="11536" max="11536" width="19.42578125" style="297" customWidth="1"/>
    <col min="11537" max="11537" width="44.28515625" style="297" customWidth="1"/>
    <col min="11538" max="11538" width="17" style="297" customWidth="1"/>
    <col min="11539" max="11539" width="15.5703125" style="297" customWidth="1"/>
    <col min="11540" max="11540" width="14.140625" style="297" customWidth="1"/>
    <col min="11541" max="11541" width="1.7109375" style="297" customWidth="1"/>
    <col min="11542" max="11542" width="13.7109375" style="297" customWidth="1"/>
    <col min="11543" max="11543" width="13.85546875" style="297" bestFit="1" customWidth="1"/>
    <col min="11544" max="11544" width="2.5703125" style="297" customWidth="1"/>
    <col min="11545" max="11545" width="12.42578125" style="297" customWidth="1"/>
    <col min="11546" max="11546" width="13.5703125" style="297" customWidth="1"/>
    <col min="11547" max="11547" width="2.5703125" style="297" customWidth="1"/>
    <col min="11548" max="11548" width="12.42578125" style="297" customWidth="1"/>
    <col min="11549" max="11549" width="13.5703125" style="297" customWidth="1"/>
    <col min="11550" max="11550" width="2.5703125" style="297" customWidth="1"/>
    <col min="11551" max="11551" width="11.5703125" style="297" customWidth="1"/>
    <col min="11552" max="11552" width="13" style="297" customWidth="1"/>
    <col min="11553" max="11553" width="1.42578125" style="297" customWidth="1"/>
    <col min="11554" max="11554" width="10.5703125" style="297" customWidth="1"/>
    <col min="11555" max="11786" width="11" style="297"/>
    <col min="11787" max="11787" width="1.5703125" style="297" customWidth="1"/>
    <col min="11788" max="11788" width="8.5703125" style="297" customWidth="1"/>
    <col min="11789" max="11789" width="28.7109375" style="297" customWidth="1"/>
    <col min="11790" max="11790" width="26.5703125" style="297" customWidth="1"/>
    <col min="11791" max="11791" width="7.7109375" style="297" customWidth="1"/>
    <col min="11792" max="11792" width="19.42578125" style="297" customWidth="1"/>
    <col min="11793" max="11793" width="44.28515625" style="297" customWidth="1"/>
    <col min="11794" max="11794" width="17" style="297" customWidth="1"/>
    <col min="11795" max="11795" width="15.5703125" style="297" customWidth="1"/>
    <col min="11796" max="11796" width="14.140625" style="297" customWidth="1"/>
    <col min="11797" max="11797" width="1.7109375" style="297" customWidth="1"/>
    <col min="11798" max="11798" width="13.7109375" style="297" customWidth="1"/>
    <col min="11799" max="11799" width="13.85546875" style="297" bestFit="1" customWidth="1"/>
    <col min="11800" max="11800" width="2.5703125" style="297" customWidth="1"/>
    <col min="11801" max="11801" width="12.42578125" style="297" customWidth="1"/>
    <col min="11802" max="11802" width="13.5703125" style="297" customWidth="1"/>
    <col min="11803" max="11803" width="2.5703125" style="297" customWidth="1"/>
    <col min="11804" max="11804" width="12.42578125" style="297" customWidth="1"/>
    <col min="11805" max="11805" width="13.5703125" style="297" customWidth="1"/>
    <col min="11806" max="11806" width="2.5703125" style="297" customWidth="1"/>
    <col min="11807" max="11807" width="11.5703125" style="297" customWidth="1"/>
    <col min="11808" max="11808" width="13" style="297" customWidth="1"/>
    <col min="11809" max="11809" width="1.42578125" style="297" customWidth="1"/>
    <col min="11810" max="11810" width="10.5703125" style="297" customWidth="1"/>
    <col min="11811" max="12042" width="11" style="297"/>
    <col min="12043" max="12043" width="1.5703125" style="297" customWidth="1"/>
    <col min="12044" max="12044" width="8.5703125" style="297" customWidth="1"/>
    <col min="12045" max="12045" width="28.7109375" style="297" customWidth="1"/>
    <col min="12046" max="12046" width="26.5703125" style="297" customWidth="1"/>
    <col min="12047" max="12047" width="7.7109375" style="297" customWidth="1"/>
    <col min="12048" max="12048" width="19.42578125" style="297" customWidth="1"/>
    <col min="12049" max="12049" width="44.28515625" style="297" customWidth="1"/>
    <col min="12050" max="12050" width="17" style="297" customWidth="1"/>
    <col min="12051" max="12051" width="15.5703125" style="297" customWidth="1"/>
    <col min="12052" max="12052" width="14.140625" style="297" customWidth="1"/>
    <col min="12053" max="12053" width="1.7109375" style="297" customWidth="1"/>
    <col min="12054" max="12054" width="13.7109375" style="297" customWidth="1"/>
    <col min="12055" max="12055" width="13.85546875" style="297" bestFit="1" customWidth="1"/>
    <col min="12056" max="12056" width="2.5703125" style="297" customWidth="1"/>
    <col min="12057" max="12057" width="12.42578125" style="297" customWidth="1"/>
    <col min="12058" max="12058" width="13.5703125" style="297" customWidth="1"/>
    <col min="12059" max="12059" width="2.5703125" style="297" customWidth="1"/>
    <col min="12060" max="12060" width="12.42578125" style="297" customWidth="1"/>
    <col min="12061" max="12061" width="13.5703125" style="297" customWidth="1"/>
    <col min="12062" max="12062" width="2.5703125" style="297" customWidth="1"/>
    <col min="12063" max="12063" width="11.5703125" style="297" customWidth="1"/>
    <col min="12064" max="12064" width="13" style="297" customWidth="1"/>
    <col min="12065" max="12065" width="1.42578125" style="297" customWidth="1"/>
    <col min="12066" max="12066" width="10.5703125" style="297" customWidth="1"/>
    <col min="12067" max="12298" width="11" style="297"/>
    <col min="12299" max="12299" width="1.5703125" style="297" customWidth="1"/>
    <col min="12300" max="12300" width="8.5703125" style="297" customWidth="1"/>
    <col min="12301" max="12301" width="28.7109375" style="297" customWidth="1"/>
    <col min="12302" max="12302" width="26.5703125" style="297" customWidth="1"/>
    <col min="12303" max="12303" width="7.7109375" style="297" customWidth="1"/>
    <col min="12304" max="12304" width="19.42578125" style="297" customWidth="1"/>
    <col min="12305" max="12305" width="44.28515625" style="297" customWidth="1"/>
    <col min="12306" max="12306" width="17" style="297" customWidth="1"/>
    <col min="12307" max="12307" width="15.5703125" style="297" customWidth="1"/>
    <col min="12308" max="12308" width="14.140625" style="297" customWidth="1"/>
    <col min="12309" max="12309" width="1.7109375" style="297" customWidth="1"/>
    <col min="12310" max="12310" width="13.7109375" style="297" customWidth="1"/>
    <col min="12311" max="12311" width="13.85546875" style="297" bestFit="1" customWidth="1"/>
    <col min="12312" max="12312" width="2.5703125" style="297" customWidth="1"/>
    <col min="12313" max="12313" width="12.42578125" style="297" customWidth="1"/>
    <col min="12314" max="12314" width="13.5703125" style="297" customWidth="1"/>
    <col min="12315" max="12315" width="2.5703125" style="297" customWidth="1"/>
    <col min="12316" max="12316" width="12.42578125" style="297" customWidth="1"/>
    <col min="12317" max="12317" width="13.5703125" style="297" customWidth="1"/>
    <col min="12318" max="12318" width="2.5703125" style="297" customWidth="1"/>
    <col min="12319" max="12319" width="11.5703125" style="297" customWidth="1"/>
    <col min="12320" max="12320" width="13" style="297" customWidth="1"/>
    <col min="12321" max="12321" width="1.42578125" style="297" customWidth="1"/>
    <col min="12322" max="12322" width="10.5703125" style="297" customWidth="1"/>
    <col min="12323" max="12554" width="11" style="297"/>
    <col min="12555" max="12555" width="1.5703125" style="297" customWidth="1"/>
    <col min="12556" max="12556" width="8.5703125" style="297" customWidth="1"/>
    <col min="12557" max="12557" width="28.7109375" style="297" customWidth="1"/>
    <col min="12558" max="12558" width="26.5703125" style="297" customWidth="1"/>
    <col min="12559" max="12559" width="7.7109375" style="297" customWidth="1"/>
    <col min="12560" max="12560" width="19.42578125" style="297" customWidth="1"/>
    <col min="12561" max="12561" width="44.28515625" style="297" customWidth="1"/>
    <col min="12562" max="12562" width="17" style="297" customWidth="1"/>
    <col min="12563" max="12563" width="15.5703125" style="297" customWidth="1"/>
    <col min="12564" max="12564" width="14.140625" style="297" customWidth="1"/>
    <col min="12565" max="12565" width="1.7109375" style="297" customWidth="1"/>
    <col min="12566" max="12566" width="13.7109375" style="297" customWidth="1"/>
    <col min="12567" max="12567" width="13.85546875" style="297" bestFit="1" customWidth="1"/>
    <col min="12568" max="12568" width="2.5703125" style="297" customWidth="1"/>
    <col min="12569" max="12569" width="12.42578125" style="297" customWidth="1"/>
    <col min="12570" max="12570" width="13.5703125" style="297" customWidth="1"/>
    <col min="12571" max="12571" width="2.5703125" style="297" customWidth="1"/>
    <col min="12572" max="12572" width="12.42578125" style="297" customWidth="1"/>
    <col min="12573" max="12573" width="13.5703125" style="297" customWidth="1"/>
    <col min="12574" max="12574" width="2.5703125" style="297" customWidth="1"/>
    <col min="12575" max="12575" width="11.5703125" style="297" customWidth="1"/>
    <col min="12576" max="12576" width="13" style="297" customWidth="1"/>
    <col min="12577" max="12577" width="1.42578125" style="297" customWidth="1"/>
    <col min="12578" max="12578" width="10.5703125" style="297" customWidth="1"/>
    <col min="12579" max="12810" width="11" style="297"/>
    <col min="12811" max="12811" width="1.5703125" style="297" customWidth="1"/>
    <col min="12812" max="12812" width="8.5703125" style="297" customWidth="1"/>
    <col min="12813" max="12813" width="28.7109375" style="297" customWidth="1"/>
    <col min="12814" max="12814" width="26.5703125" style="297" customWidth="1"/>
    <col min="12815" max="12815" width="7.7109375" style="297" customWidth="1"/>
    <col min="12816" max="12816" width="19.42578125" style="297" customWidth="1"/>
    <col min="12817" max="12817" width="44.28515625" style="297" customWidth="1"/>
    <col min="12818" max="12818" width="17" style="297" customWidth="1"/>
    <col min="12819" max="12819" width="15.5703125" style="297" customWidth="1"/>
    <col min="12820" max="12820" width="14.140625" style="297" customWidth="1"/>
    <col min="12821" max="12821" width="1.7109375" style="297" customWidth="1"/>
    <col min="12822" max="12822" width="13.7109375" style="297" customWidth="1"/>
    <col min="12823" max="12823" width="13.85546875" style="297" bestFit="1" customWidth="1"/>
    <col min="12824" max="12824" width="2.5703125" style="297" customWidth="1"/>
    <col min="12825" max="12825" width="12.42578125" style="297" customWidth="1"/>
    <col min="12826" max="12826" width="13.5703125" style="297" customWidth="1"/>
    <col min="12827" max="12827" width="2.5703125" style="297" customWidth="1"/>
    <col min="12828" max="12828" width="12.42578125" style="297" customWidth="1"/>
    <col min="12829" max="12829" width="13.5703125" style="297" customWidth="1"/>
    <col min="12830" max="12830" width="2.5703125" style="297" customWidth="1"/>
    <col min="12831" max="12831" width="11.5703125" style="297" customWidth="1"/>
    <col min="12832" max="12832" width="13" style="297" customWidth="1"/>
    <col min="12833" max="12833" width="1.42578125" style="297" customWidth="1"/>
    <col min="12834" max="12834" width="10.5703125" style="297" customWidth="1"/>
    <col min="12835" max="13066" width="11" style="297"/>
    <col min="13067" max="13067" width="1.5703125" style="297" customWidth="1"/>
    <col min="13068" max="13068" width="8.5703125" style="297" customWidth="1"/>
    <col min="13069" max="13069" width="28.7109375" style="297" customWidth="1"/>
    <col min="13070" max="13070" width="26.5703125" style="297" customWidth="1"/>
    <col min="13071" max="13071" width="7.7109375" style="297" customWidth="1"/>
    <col min="13072" max="13072" width="19.42578125" style="297" customWidth="1"/>
    <col min="13073" max="13073" width="44.28515625" style="297" customWidth="1"/>
    <col min="13074" max="13074" width="17" style="297" customWidth="1"/>
    <col min="13075" max="13075" width="15.5703125" style="297" customWidth="1"/>
    <col min="13076" max="13076" width="14.140625" style="297" customWidth="1"/>
    <col min="13077" max="13077" width="1.7109375" style="297" customWidth="1"/>
    <col min="13078" max="13078" width="13.7109375" style="297" customWidth="1"/>
    <col min="13079" max="13079" width="13.85546875" style="297" bestFit="1" customWidth="1"/>
    <col min="13080" max="13080" width="2.5703125" style="297" customWidth="1"/>
    <col min="13081" max="13081" width="12.42578125" style="297" customWidth="1"/>
    <col min="13082" max="13082" width="13.5703125" style="297" customWidth="1"/>
    <col min="13083" max="13083" width="2.5703125" style="297" customWidth="1"/>
    <col min="13084" max="13084" width="12.42578125" style="297" customWidth="1"/>
    <col min="13085" max="13085" width="13.5703125" style="297" customWidth="1"/>
    <col min="13086" max="13086" width="2.5703125" style="297" customWidth="1"/>
    <col min="13087" max="13087" width="11.5703125" style="297" customWidth="1"/>
    <col min="13088" max="13088" width="13" style="297" customWidth="1"/>
    <col min="13089" max="13089" width="1.42578125" style="297" customWidth="1"/>
    <col min="13090" max="13090" width="10.5703125" style="297" customWidth="1"/>
    <col min="13091" max="13322" width="11" style="297"/>
    <col min="13323" max="13323" width="1.5703125" style="297" customWidth="1"/>
    <col min="13324" max="13324" width="8.5703125" style="297" customWidth="1"/>
    <col min="13325" max="13325" width="28.7109375" style="297" customWidth="1"/>
    <col min="13326" max="13326" width="26.5703125" style="297" customWidth="1"/>
    <col min="13327" max="13327" width="7.7109375" style="297" customWidth="1"/>
    <col min="13328" max="13328" width="19.42578125" style="297" customWidth="1"/>
    <col min="13329" max="13329" width="44.28515625" style="297" customWidth="1"/>
    <col min="13330" max="13330" width="17" style="297" customWidth="1"/>
    <col min="13331" max="13331" width="15.5703125" style="297" customWidth="1"/>
    <col min="13332" max="13332" width="14.140625" style="297" customWidth="1"/>
    <col min="13333" max="13333" width="1.7109375" style="297" customWidth="1"/>
    <col min="13334" max="13334" width="13.7109375" style="297" customWidth="1"/>
    <col min="13335" max="13335" width="13.85546875" style="297" bestFit="1" customWidth="1"/>
    <col min="13336" max="13336" width="2.5703125" style="297" customWidth="1"/>
    <col min="13337" max="13337" width="12.42578125" style="297" customWidth="1"/>
    <col min="13338" max="13338" width="13.5703125" style="297" customWidth="1"/>
    <col min="13339" max="13339" width="2.5703125" style="297" customWidth="1"/>
    <col min="13340" max="13340" width="12.42578125" style="297" customWidth="1"/>
    <col min="13341" max="13341" width="13.5703125" style="297" customWidth="1"/>
    <col min="13342" max="13342" width="2.5703125" style="297" customWidth="1"/>
    <col min="13343" max="13343" width="11.5703125" style="297" customWidth="1"/>
    <col min="13344" max="13344" width="13" style="297" customWidth="1"/>
    <col min="13345" max="13345" width="1.42578125" style="297" customWidth="1"/>
    <col min="13346" max="13346" width="10.5703125" style="297" customWidth="1"/>
    <col min="13347" max="13578" width="11" style="297"/>
    <col min="13579" max="13579" width="1.5703125" style="297" customWidth="1"/>
    <col min="13580" max="13580" width="8.5703125" style="297" customWidth="1"/>
    <col min="13581" max="13581" width="28.7109375" style="297" customWidth="1"/>
    <col min="13582" max="13582" width="26.5703125" style="297" customWidth="1"/>
    <col min="13583" max="13583" width="7.7109375" style="297" customWidth="1"/>
    <col min="13584" max="13584" width="19.42578125" style="297" customWidth="1"/>
    <col min="13585" max="13585" width="44.28515625" style="297" customWidth="1"/>
    <col min="13586" max="13586" width="17" style="297" customWidth="1"/>
    <col min="13587" max="13587" width="15.5703125" style="297" customWidth="1"/>
    <col min="13588" max="13588" width="14.140625" style="297" customWidth="1"/>
    <col min="13589" max="13589" width="1.7109375" style="297" customWidth="1"/>
    <col min="13590" max="13590" width="13.7109375" style="297" customWidth="1"/>
    <col min="13591" max="13591" width="13.85546875" style="297" bestFit="1" customWidth="1"/>
    <col min="13592" max="13592" width="2.5703125" style="297" customWidth="1"/>
    <col min="13593" max="13593" width="12.42578125" style="297" customWidth="1"/>
    <col min="13594" max="13594" width="13.5703125" style="297" customWidth="1"/>
    <col min="13595" max="13595" width="2.5703125" style="297" customWidth="1"/>
    <col min="13596" max="13596" width="12.42578125" style="297" customWidth="1"/>
    <col min="13597" max="13597" width="13.5703125" style="297" customWidth="1"/>
    <col min="13598" max="13598" width="2.5703125" style="297" customWidth="1"/>
    <col min="13599" max="13599" width="11.5703125" style="297" customWidth="1"/>
    <col min="13600" max="13600" width="13" style="297" customWidth="1"/>
    <col min="13601" max="13601" width="1.42578125" style="297" customWidth="1"/>
    <col min="13602" max="13602" width="10.5703125" style="297" customWidth="1"/>
    <col min="13603" max="13834" width="11" style="297"/>
    <col min="13835" max="13835" width="1.5703125" style="297" customWidth="1"/>
    <col min="13836" max="13836" width="8.5703125" style="297" customWidth="1"/>
    <col min="13837" max="13837" width="28.7109375" style="297" customWidth="1"/>
    <col min="13838" max="13838" width="26.5703125" style="297" customWidth="1"/>
    <col min="13839" max="13839" width="7.7109375" style="297" customWidth="1"/>
    <col min="13840" max="13840" width="19.42578125" style="297" customWidth="1"/>
    <col min="13841" max="13841" width="44.28515625" style="297" customWidth="1"/>
    <col min="13842" max="13842" width="17" style="297" customWidth="1"/>
    <col min="13843" max="13843" width="15.5703125" style="297" customWidth="1"/>
    <col min="13844" max="13844" width="14.140625" style="297" customWidth="1"/>
    <col min="13845" max="13845" width="1.7109375" style="297" customWidth="1"/>
    <col min="13846" max="13846" width="13.7109375" style="297" customWidth="1"/>
    <col min="13847" max="13847" width="13.85546875" style="297" bestFit="1" customWidth="1"/>
    <col min="13848" max="13848" width="2.5703125" style="297" customWidth="1"/>
    <col min="13849" max="13849" width="12.42578125" style="297" customWidth="1"/>
    <col min="13850" max="13850" width="13.5703125" style="297" customWidth="1"/>
    <col min="13851" max="13851" width="2.5703125" style="297" customWidth="1"/>
    <col min="13852" max="13852" width="12.42578125" style="297" customWidth="1"/>
    <col min="13853" max="13853" width="13.5703125" style="297" customWidth="1"/>
    <col min="13854" max="13854" width="2.5703125" style="297" customWidth="1"/>
    <col min="13855" max="13855" width="11.5703125" style="297" customWidth="1"/>
    <col min="13856" max="13856" width="13" style="297" customWidth="1"/>
    <col min="13857" max="13857" width="1.42578125" style="297" customWidth="1"/>
    <col min="13858" max="13858" width="10.5703125" style="297" customWidth="1"/>
    <col min="13859" max="14090" width="11" style="297"/>
    <col min="14091" max="14091" width="1.5703125" style="297" customWidth="1"/>
    <col min="14092" max="14092" width="8.5703125" style="297" customWidth="1"/>
    <col min="14093" max="14093" width="28.7109375" style="297" customWidth="1"/>
    <col min="14094" max="14094" width="26.5703125" style="297" customWidth="1"/>
    <col min="14095" max="14095" width="7.7109375" style="297" customWidth="1"/>
    <col min="14096" max="14096" width="19.42578125" style="297" customWidth="1"/>
    <col min="14097" max="14097" width="44.28515625" style="297" customWidth="1"/>
    <col min="14098" max="14098" width="17" style="297" customWidth="1"/>
    <col min="14099" max="14099" width="15.5703125" style="297" customWidth="1"/>
    <col min="14100" max="14100" width="14.140625" style="297" customWidth="1"/>
    <col min="14101" max="14101" width="1.7109375" style="297" customWidth="1"/>
    <col min="14102" max="14102" width="13.7109375" style="297" customWidth="1"/>
    <col min="14103" max="14103" width="13.85546875" style="297" bestFit="1" customWidth="1"/>
    <col min="14104" max="14104" width="2.5703125" style="297" customWidth="1"/>
    <col min="14105" max="14105" width="12.42578125" style="297" customWidth="1"/>
    <col min="14106" max="14106" width="13.5703125" style="297" customWidth="1"/>
    <col min="14107" max="14107" width="2.5703125" style="297" customWidth="1"/>
    <col min="14108" max="14108" width="12.42578125" style="297" customWidth="1"/>
    <col min="14109" max="14109" width="13.5703125" style="297" customWidth="1"/>
    <col min="14110" max="14110" width="2.5703125" style="297" customWidth="1"/>
    <col min="14111" max="14111" width="11.5703125" style="297" customWidth="1"/>
    <col min="14112" max="14112" width="13" style="297" customWidth="1"/>
    <col min="14113" max="14113" width="1.42578125" style="297" customWidth="1"/>
    <col min="14114" max="14114" width="10.5703125" style="297" customWidth="1"/>
    <col min="14115" max="14346" width="11" style="297"/>
    <col min="14347" max="14347" width="1.5703125" style="297" customWidth="1"/>
    <col min="14348" max="14348" width="8.5703125" style="297" customWidth="1"/>
    <col min="14349" max="14349" width="28.7109375" style="297" customWidth="1"/>
    <col min="14350" max="14350" width="26.5703125" style="297" customWidth="1"/>
    <col min="14351" max="14351" width="7.7109375" style="297" customWidth="1"/>
    <col min="14352" max="14352" width="19.42578125" style="297" customWidth="1"/>
    <col min="14353" max="14353" width="44.28515625" style="297" customWidth="1"/>
    <col min="14354" max="14354" width="17" style="297" customWidth="1"/>
    <col min="14355" max="14355" width="15.5703125" style="297" customWidth="1"/>
    <col min="14356" max="14356" width="14.140625" style="297" customWidth="1"/>
    <col min="14357" max="14357" width="1.7109375" style="297" customWidth="1"/>
    <col min="14358" max="14358" width="13.7109375" style="297" customWidth="1"/>
    <col min="14359" max="14359" width="13.85546875" style="297" bestFit="1" customWidth="1"/>
    <col min="14360" max="14360" width="2.5703125" style="297" customWidth="1"/>
    <col min="14361" max="14361" width="12.42578125" style="297" customWidth="1"/>
    <col min="14362" max="14362" width="13.5703125" style="297" customWidth="1"/>
    <col min="14363" max="14363" width="2.5703125" style="297" customWidth="1"/>
    <col min="14364" max="14364" width="12.42578125" style="297" customWidth="1"/>
    <col min="14365" max="14365" width="13.5703125" style="297" customWidth="1"/>
    <col min="14366" max="14366" width="2.5703125" style="297" customWidth="1"/>
    <col min="14367" max="14367" width="11.5703125" style="297" customWidth="1"/>
    <col min="14368" max="14368" width="13" style="297" customWidth="1"/>
    <col min="14369" max="14369" width="1.42578125" style="297" customWidth="1"/>
    <col min="14370" max="14370" width="10.5703125" style="297" customWidth="1"/>
    <col min="14371" max="14602" width="11" style="297"/>
    <col min="14603" max="14603" width="1.5703125" style="297" customWidth="1"/>
    <col min="14604" max="14604" width="8.5703125" style="297" customWidth="1"/>
    <col min="14605" max="14605" width="28.7109375" style="297" customWidth="1"/>
    <col min="14606" max="14606" width="26.5703125" style="297" customWidth="1"/>
    <col min="14607" max="14607" width="7.7109375" style="297" customWidth="1"/>
    <col min="14608" max="14608" width="19.42578125" style="297" customWidth="1"/>
    <col min="14609" max="14609" width="44.28515625" style="297" customWidth="1"/>
    <col min="14610" max="14610" width="17" style="297" customWidth="1"/>
    <col min="14611" max="14611" width="15.5703125" style="297" customWidth="1"/>
    <col min="14612" max="14612" width="14.140625" style="297" customWidth="1"/>
    <col min="14613" max="14613" width="1.7109375" style="297" customWidth="1"/>
    <col min="14614" max="14614" width="13.7109375" style="297" customWidth="1"/>
    <col min="14615" max="14615" width="13.85546875" style="297" bestFit="1" customWidth="1"/>
    <col min="14616" max="14616" width="2.5703125" style="297" customWidth="1"/>
    <col min="14617" max="14617" width="12.42578125" style="297" customWidth="1"/>
    <col min="14618" max="14618" width="13.5703125" style="297" customWidth="1"/>
    <col min="14619" max="14619" width="2.5703125" style="297" customWidth="1"/>
    <col min="14620" max="14620" width="12.42578125" style="297" customWidth="1"/>
    <col min="14621" max="14621" width="13.5703125" style="297" customWidth="1"/>
    <col min="14622" max="14622" width="2.5703125" style="297" customWidth="1"/>
    <col min="14623" max="14623" width="11.5703125" style="297" customWidth="1"/>
    <col min="14624" max="14624" width="13" style="297" customWidth="1"/>
    <col min="14625" max="14625" width="1.42578125" style="297" customWidth="1"/>
    <col min="14626" max="14626" width="10.5703125" style="297" customWidth="1"/>
    <col min="14627" max="14858" width="11" style="297"/>
    <col min="14859" max="14859" width="1.5703125" style="297" customWidth="1"/>
    <col min="14860" max="14860" width="8.5703125" style="297" customWidth="1"/>
    <col min="14861" max="14861" width="28.7109375" style="297" customWidth="1"/>
    <col min="14862" max="14862" width="26.5703125" style="297" customWidth="1"/>
    <col min="14863" max="14863" width="7.7109375" style="297" customWidth="1"/>
    <col min="14864" max="14864" width="19.42578125" style="297" customWidth="1"/>
    <col min="14865" max="14865" width="44.28515625" style="297" customWidth="1"/>
    <col min="14866" max="14866" width="17" style="297" customWidth="1"/>
    <col min="14867" max="14867" width="15.5703125" style="297" customWidth="1"/>
    <col min="14868" max="14868" width="14.140625" style="297" customWidth="1"/>
    <col min="14869" max="14869" width="1.7109375" style="297" customWidth="1"/>
    <col min="14870" max="14870" width="13.7109375" style="297" customWidth="1"/>
    <col min="14871" max="14871" width="13.85546875" style="297" bestFit="1" customWidth="1"/>
    <col min="14872" max="14872" width="2.5703125" style="297" customWidth="1"/>
    <col min="14873" max="14873" width="12.42578125" style="297" customWidth="1"/>
    <col min="14874" max="14874" width="13.5703125" style="297" customWidth="1"/>
    <col min="14875" max="14875" width="2.5703125" style="297" customWidth="1"/>
    <col min="14876" max="14876" width="12.42578125" style="297" customWidth="1"/>
    <col min="14877" max="14877" width="13.5703125" style="297" customWidth="1"/>
    <col min="14878" max="14878" width="2.5703125" style="297" customWidth="1"/>
    <col min="14879" max="14879" width="11.5703125" style="297" customWidth="1"/>
    <col min="14880" max="14880" width="13" style="297" customWidth="1"/>
    <col min="14881" max="14881" width="1.42578125" style="297" customWidth="1"/>
    <col min="14882" max="14882" width="10.5703125" style="297" customWidth="1"/>
    <col min="14883" max="15114" width="11" style="297"/>
    <col min="15115" max="15115" width="1.5703125" style="297" customWidth="1"/>
    <col min="15116" max="15116" width="8.5703125" style="297" customWidth="1"/>
    <col min="15117" max="15117" width="28.7109375" style="297" customWidth="1"/>
    <col min="15118" max="15118" width="26.5703125" style="297" customWidth="1"/>
    <col min="15119" max="15119" width="7.7109375" style="297" customWidth="1"/>
    <col min="15120" max="15120" width="19.42578125" style="297" customWidth="1"/>
    <col min="15121" max="15121" width="44.28515625" style="297" customWidth="1"/>
    <col min="15122" max="15122" width="17" style="297" customWidth="1"/>
    <col min="15123" max="15123" width="15.5703125" style="297" customWidth="1"/>
    <col min="15124" max="15124" width="14.140625" style="297" customWidth="1"/>
    <col min="15125" max="15125" width="1.7109375" style="297" customWidth="1"/>
    <col min="15126" max="15126" width="13.7109375" style="297" customWidth="1"/>
    <col min="15127" max="15127" width="13.85546875" style="297" bestFit="1" customWidth="1"/>
    <col min="15128" max="15128" width="2.5703125" style="297" customWidth="1"/>
    <col min="15129" max="15129" width="12.42578125" style="297" customWidth="1"/>
    <col min="15130" max="15130" width="13.5703125" style="297" customWidth="1"/>
    <col min="15131" max="15131" width="2.5703125" style="297" customWidth="1"/>
    <col min="15132" max="15132" width="12.42578125" style="297" customWidth="1"/>
    <col min="15133" max="15133" width="13.5703125" style="297" customWidth="1"/>
    <col min="15134" max="15134" width="2.5703125" style="297" customWidth="1"/>
    <col min="15135" max="15135" width="11.5703125" style="297" customWidth="1"/>
    <col min="15136" max="15136" width="13" style="297" customWidth="1"/>
    <col min="15137" max="15137" width="1.42578125" style="297" customWidth="1"/>
    <col min="15138" max="15138" width="10.5703125" style="297" customWidth="1"/>
    <col min="15139" max="15370" width="11" style="297"/>
    <col min="15371" max="15371" width="1.5703125" style="297" customWidth="1"/>
    <col min="15372" max="15372" width="8.5703125" style="297" customWidth="1"/>
    <col min="15373" max="15373" width="28.7109375" style="297" customWidth="1"/>
    <col min="15374" max="15374" width="26.5703125" style="297" customWidth="1"/>
    <col min="15375" max="15375" width="7.7109375" style="297" customWidth="1"/>
    <col min="15376" max="15376" width="19.42578125" style="297" customWidth="1"/>
    <col min="15377" max="15377" width="44.28515625" style="297" customWidth="1"/>
    <col min="15378" max="15378" width="17" style="297" customWidth="1"/>
    <col min="15379" max="15379" width="15.5703125" style="297" customWidth="1"/>
    <col min="15380" max="15380" width="14.140625" style="297" customWidth="1"/>
    <col min="15381" max="15381" width="1.7109375" style="297" customWidth="1"/>
    <col min="15382" max="15382" width="13.7109375" style="297" customWidth="1"/>
    <col min="15383" max="15383" width="13.85546875" style="297" bestFit="1" customWidth="1"/>
    <col min="15384" max="15384" width="2.5703125" style="297" customWidth="1"/>
    <col min="15385" max="15385" width="12.42578125" style="297" customWidth="1"/>
    <col min="15386" max="15386" width="13.5703125" style="297" customWidth="1"/>
    <col min="15387" max="15387" width="2.5703125" style="297" customWidth="1"/>
    <col min="15388" max="15388" width="12.42578125" style="297" customWidth="1"/>
    <col min="15389" max="15389" width="13.5703125" style="297" customWidth="1"/>
    <col min="15390" max="15390" width="2.5703125" style="297" customWidth="1"/>
    <col min="15391" max="15391" width="11.5703125" style="297" customWidth="1"/>
    <col min="15392" max="15392" width="13" style="297" customWidth="1"/>
    <col min="15393" max="15393" width="1.42578125" style="297" customWidth="1"/>
    <col min="15394" max="15394" width="10.5703125" style="297" customWidth="1"/>
    <col min="15395" max="15626" width="11" style="297"/>
    <col min="15627" max="15627" width="1.5703125" style="297" customWidth="1"/>
    <col min="15628" max="15628" width="8.5703125" style="297" customWidth="1"/>
    <col min="15629" max="15629" width="28.7109375" style="297" customWidth="1"/>
    <col min="15630" max="15630" width="26.5703125" style="297" customWidth="1"/>
    <col min="15631" max="15631" width="7.7109375" style="297" customWidth="1"/>
    <col min="15632" max="15632" width="19.42578125" style="297" customWidth="1"/>
    <col min="15633" max="15633" width="44.28515625" style="297" customWidth="1"/>
    <col min="15634" max="15634" width="17" style="297" customWidth="1"/>
    <col min="15635" max="15635" width="15.5703125" style="297" customWidth="1"/>
    <col min="15636" max="15636" width="14.140625" style="297" customWidth="1"/>
    <col min="15637" max="15637" width="1.7109375" style="297" customWidth="1"/>
    <col min="15638" max="15638" width="13.7109375" style="297" customWidth="1"/>
    <col min="15639" max="15639" width="13.85546875" style="297" bestFit="1" customWidth="1"/>
    <col min="15640" max="15640" width="2.5703125" style="297" customWidth="1"/>
    <col min="15641" max="15641" width="12.42578125" style="297" customWidth="1"/>
    <col min="15642" max="15642" width="13.5703125" style="297" customWidth="1"/>
    <col min="15643" max="15643" width="2.5703125" style="297" customWidth="1"/>
    <col min="15644" max="15644" width="12.42578125" style="297" customWidth="1"/>
    <col min="15645" max="15645" width="13.5703125" style="297" customWidth="1"/>
    <col min="15646" max="15646" width="2.5703125" style="297" customWidth="1"/>
    <col min="15647" max="15647" width="11.5703125" style="297" customWidth="1"/>
    <col min="15648" max="15648" width="13" style="297" customWidth="1"/>
    <col min="15649" max="15649" width="1.42578125" style="297" customWidth="1"/>
    <col min="15650" max="15650" width="10.5703125" style="297" customWidth="1"/>
    <col min="15651" max="15882" width="11" style="297"/>
    <col min="15883" max="15883" width="1.5703125" style="297" customWidth="1"/>
    <col min="15884" max="15884" width="8.5703125" style="297" customWidth="1"/>
    <col min="15885" max="15885" width="28.7109375" style="297" customWidth="1"/>
    <col min="15886" max="15886" width="26.5703125" style="297" customWidth="1"/>
    <col min="15887" max="15887" width="7.7109375" style="297" customWidth="1"/>
    <col min="15888" max="15888" width="19.42578125" style="297" customWidth="1"/>
    <col min="15889" max="15889" width="44.28515625" style="297" customWidth="1"/>
    <col min="15890" max="15890" width="17" style="297" customWidth="1"/>
    <col min="15891" max="15891" width="15.5703125" style="297" customWidth="1"/>
    <col min="15892" max="15892" width="14.140625" style="297" customWidth="1"/>
    <col min="15893" max="15893" width="1.7109375" style="297" customWidth="1"/>
    <col min="15894" max="15894" width="13.7109375" style="297" customWidth="1"/>
    <col min="15895" max="15895" width="13.85546875" style="297" bestFit="1" customWidth="1"/>
    <col min="15896" max="15896" width="2.5703125" style="297" customWidth="1"/>
    <col min="15897" max="15897" width="12.42578125" style="297" customWidth="1"/>
    <col min="15898" max="15898" width="13.5703125" style="297" customWidth="1"/>
    <col min="15899" max="15899" width="2.5703125" style="297" customWidth="1"/>
    <col min="15900" max="15900" width="12.42578125" style="297" customWidth="1"/>
    <col min="15901" max="15901" width="13.5703125" style="297" customWidth="1"/>
    <col min="15902" max="15902" width="2.5703125" style="297" customWidth="1"/>
    <col min="15903" max="15903" width="11.5703125" style="297" customWidth="1"/>
    <col min="15904" max="15904" width="13" style="297" customWidth="1"/>
    <col min="15905" max="15905" width="1.42578125" style="297" customWidth="1"/>
    <col min="15906" max="15906" width="10.5703125" style="297" customWidth="1"/>
    <col min="15907" max="16138" width="11" style="297"/>
    <col min="16139" max="16139" width="1.5703125" style="297" customWidth="1"/>
    <col min="16140" max="16140" width="8.5703125" style="297" customWidth="1"/>
    <col min="16141" max="16141" width="28.7109375" style="297" customWidth="1"/>
    <col min="16142" max="16142" width="26.5703125" style="297" customWidth="1"/>
    <col min="16143" max="16143" width="7.7109375" style="297" customWidth="1"/>
    <col min="16144" max="16144" width="19.42578125" style="297" customWidth="1"/>
    <col min="16145" max="16145" width="44.28515625" style="297" customWidth="1"/>
    <col min="16146" max="16146" width="17" style="297" customWidth="1"/>
    <col min="16147" max="16147" width="15.5703125" style="297" customWidth="1"/>
    <col min="16148" max="16148" width="14.140625" style="297" customWidth="1"/>
    <col min="16149" max="16149" width="1.7109375" style="297" customWidth="1"/>
    <col min="16150" max="16150" width="13.7109375" style="297" customWidth="1"/>
    <col min="16151" max="16151" width="13.85546875" style="297" bestFit="1" customWidth="1"/>
    <col min="16152" max="16152" width="2.5703125" style="297" customWidth="1"/>
    <col min="16153" max="16153" width="12.42578125" style="297" customWidth="1"/>
    <col min="16154" max="16154" width="13.5703125" style="297" customWidth="1"/>
    <col min="16155" max="16155" width="2.5703125" style="297" customWidth="1"/>
    <col min="16156" max="16156" width="12.42578125" style="297" customWidth="1"/>
    <col min="16157" max="16157" width="13.5703125" style="297" customWidth="1"/>
    <col min="16158" max="16158" width="2.5703125" style="297" customWidth="1"/>
    <col min="16159" max="16159" width="11.5703125" style="297" customWidth="1"/>
    <col min="16160" max="16160" width="13" style="297" customWidth="1"/>
    <col min="16161" max="16161" width="1.42578125" style="297" customWidth="1"/>
    <col min="16162" max="16162" width="10.5703125" style="297" customWidth="1"/>
    <col min="16163" max="16384" width="11" style="297"/>
  </cols>
  <sheetData>
    <row r="1" spans="2:90" s="419" customFormat="1" ht="19.5" customHeight="1" x14ac:dyDescent="0.2">
      <c r="B1" s="1171"/>
      <c r="C1" s="1172"/>
      <c r="D1" s="1337" t="s">
        <v>952</v>
      </c>
      <c r="E1" s="1196"/>
      <c r="F1" s="1196" t="s">
        <v>953</v>
      </c>
      <c r="G1" s="1196"/>
      <c r="H1" s="1196"/>
      <c r="I1" s="1196"/>
      <c r="J1" s="1196"/>
      <c r="K1" s="1196"/>
      <c r="L1" s="1196"/>
      <c r="M1" s="1196"/>
      <c r="N1" s="1196"/>
      <c r="O1" s="1196"/>
      <c r="P1" s="1196"/>
      <c r="Q1" s="1196"/>
      <c r="R1" s="1196"/>
      <c r="S1" s="1196"/>
      <c r="T1" s="1196"/>
      <c r="U1" s="1196"/>
      <c r="V1" s="1314"/>
      <c r="W1" s="1381"/>
      <c r="X1" s="1337"/>
      <c r="Y1" s="1196"/>
      <c r="Z1" s="1196"/>
      <c r="AA1" s="1196"/>
      <c r="AB1" s="1196"/>
      <c r="AC1" s="1196"/>
      <c r="AD1" s="1196"/>
      <c r="AE1" s="1196"/>
      <c r="AF1" s="1196"/>
      <c r="AG1" s="1314"/>
      <c r="AH1" s="1382"/>
      <c r="AI1" s="1013"/>
    </row>
    <row r="2" spans="2:90" s="419" customFormat="1" ht="23.25" customHeight="1" x14ac:dyDescent="0.2">
      <c r="B2" s="1173"/>
      <c r="C2" s="1174"/>
      <c r="D2" s="1340" t="s">
        <v>954</v>
      </c>
      <c r="E2" s="1320"/>
      <c r="F2" s="1320" t="s">
        <v>800</v>
      </c>
      <c r="G2" s="1320"/>
      <c r="H2" s="1320"/>
      <c r="I2" s="1320"/>
      <c r="J2" s="1320"/>
      <c r="K2" s="1320"/>
      <c r="L2" s="1320"/>
      <c r="M2" s="1320"/>
      <c r="N2" s="1320"/>
      <c r="O2" s="1320"/>
      <c r="P2" s="1320"/>
      <c r="Q2" s="1320"/>
      <c r="R2" s="1320"/>
      <c r="S2" s="1320"/>
      <c r="T2" s="1320"/>
      <c r="U2" s="1320"/>
      <c r="V2" s="1321"/>
      <c r="W2" s="1383"/>
      <c r="X2" s="1340"/>
      <c r="Y2" s="1320"/>
      <c r="Z2" s="1320"/>
      <c r="AA2" s="1320"/>
      <c r="AB2" s="1320"/>
      <c r="AC2" s="1320"/>
      <c r="AD2" s="1320"/>
      <c r="AE2" s="1320"/>
      <c r="AF2" s="1320"/>
      <c r="AG2" s="1321"/>
      <c r="AH2" s="1384"/>
      <c r="AI2" s="1013"/>
    </row>
    <row r="3" spans="2:90" s="419" customFormat="1" ht="19.5" customHeight="1" thickBot="1" x14ac:dyDescent="0.25">
      <c r="B3" s="1175"/>
      <c r="C3" s="1176"/>
      <c r="D3" s="1343" t="s">
        <v>852</v>
      </c>
      <c r="E3" s="1200"/>
      <c r="F3" s="420" t="s">
        <v>958</v>
      </c>
      <c r="G3" s="1387" t="s">
        <v>959</v>
      </c>
      <c r="H3" s="1387"/>
      <c r="I3" s="1387"/>
      <c r="J3" s="1387"/>
      <c r="K3" s="1387"/>
      <c r="L3" s="1387"/>
      <c r="M3" s="1387"/>
      <c r="N3" s="1387"/>
      <c r="O3" s="1387"/>
      <c r="P3" s="1387"/>
      <c r="Q3" s="628"/>
      <c r="R3" s="1344" t="s">
        <v>957</v>
      </c>
      <c r="S3" s="1342"/>
      <c r="T3" s="1342"/>
      <c r="U3" s="1343"/>
      <c r="V3" s="421">
        <v>1</v>
      </c>
      <c r="W3" s="1385"/>
      <c r="X3" s="1343"/>
      <c r="Y3" s="1200"/>
      <c r="Z3" s="1200"/>
      <c r="AA3" s="1200"/>
      <c r="AB3" s="1200"/>
      <c r="AC3" s="1200"/>
      <c r="AD3" s="1200"/>
      <c r="AE3" s="1200"/>
      <c r="AF3" s="1200"/>
      <c r="AG3" s="1344"/>
      <c r="AH3" s="1386"/>
      <c r="AI3" s="1013"/>
    </row>
    <row r="4" spans="2:90" ht="18.75" thickBot="1" x14ac:dyDescent="0.25">
      <c r="B4" s="416"/>
      <c r="C4" s="416"/>
      <c r="D4" s="416"/>
      <c r="E4" s="416"/>
      <c r="F4" s="416"/>
      <c r="G4" s="416"/>
      <c r="H4" s="416"/>
      <c r="I4" s="416"/>
      <c r="J4" s="416"/>
      <c r="K4" s="416"/>
      <c r="L4" s="416"/>
      <c r="M4" s="416"/>
      <c r="N4" s="687"/>
      <c r="O4" s="416"/>
      <c r="P4" s="416"/>
      <c r="Q4" s="416"/>
      <c r="R4" s="416"/>
      <c r="S4" s="416"/>
      <c r="T4" s="416"/>
      <c r="U4" s="416"/>
      <c r="V4" s="416"/>
      <c r="W4" s="416"/>
      <c r="X4" s="416"/>
      <c r="Y4" s="416"/>
      <c r="Z4" s="416"/>
      <c r="AA4" s="416"/>
      <c r="AB4" s="687"/>
      <c r="AC4" s="416"/>
      <c r="AD4" s="416"/>
      <c r="AE4" s="416"/>
      <c r="AF4" s="416"/>
      <c r="AG4" s="416"/>
      <c r="AH4" s="416"/>
    </row>
    <row r="5" spans="2:90" ht="18.75" customHeight="1" thickBot="1" x14ac:dyDescent="0.25">
      <c r="B5" s="1408" t="s">
        <v>926</v>
      </c>
      <c r="C5" s="1409"/>
      <c r="D5" s="1408" t="s">
        <v>927</v>
      </c>
      <c r="E5" s="1409"/>
      <c r="AH5" s="300"/>
    </row>
    <row r="6" spans="2:90" ht="18.75" customHeight="1" x14ac:dyDescent="0.2">
      <c r="B6" s="405" t="s">
        <v>740</v>
      </c>
      <c r="C6" s="301" t="s">
        <v>741</v>
      </c>
      <c r="D6" s="405" t="s">
        <v>740</v>
      </c>
      <c r="E6" s="301" t="s">
        <v>741</v>
      </c>
      <c r="AH6" s="300"/>
    </row>
    <row r="7" spans="2:90" ht="18.75" customHeight="1" x14ac:dyDescent="0.2">
      <c r="B7" s="406" t="s">
        <v>778</v>
      </c>
      <c r="C7" s="302" t="s">
        <v>780</v>
      </c>
      <c r="D7" s="406" t="s">
        <v>920</v>
      </c>
      <c r="E7" s="302" t="s">
        <v>780</v>
      </c>
      <c r="F7" s="303"/>
      <c r="G7" s="304"/>
      <c r="I7" s="305"/>
      <c r="J7" s="305"/>
      <c r="AH7" s="300"/>
    </row>
    <row r="8" spans="2:90" ht="25.5" x14ac:dyDescent="0.2">
      <c r="B8" s="407" t="s">
        <v>1820</v>
      </c>
      <c r="C8" s="302" t="s">
        <v>745</v>
      </c>
      <c r="D8" s="407" t="s">
        <v>1822</v>
      </c>
      <c r="E8" s="302" t="s">
        <v>745</v>
      </c>
      <c r="G8" s="304"/>
      <c r="H8" s="306"/>
      <c r="I8" s="305"/>
      <c r="J8" s="305"/>
      <c r="AH8" s="307"/>
    </row>
    <row r="9" spans="2:90" ht="25.5" x14ac:dyDescent="0.2">
      <c r="B9" s="408" t="s">
        <v>1821</v>
      </c>
      <c r="C9" s="302" t="s">
        <v>747</v>
      </c>
      <c r="D9" s="408" t="s">
        <v>1823</v>
      </c>
      <c r="E9" s="302" t="s">
        <v>747</v>
      </c>
      <c r="G9" s="304"/>
      <c r="H9" s="304"/>
      <c r="I9" s="305"/>
      <c r="J9" s="305"/>
      <c r="AH9" s="308"/>
    </row>
    <row r="10" spans="2:90" ht="15" x14ac:dyDescent="0.2">
      <c r="B10" s="409" t="s">
        <v>777</v>
      </c>
      <c r="C10" s="302" t="s">
        <v>748</v>
      </c>
      <c r="D10" s="409" t="s">
        <v>923</v>
      </c>
      <c r="E10" s="302" t="s">
        <v>748</v>
      </c>
      <c r="G10" s="304"/>
      <c r="I10" s="305"/>
      <c r="J10" s="305"/>
      <c r="AH10" s="308"/>
    </row>
    <row r="11" spans="2:90" ht="15.75" thickBot="1" x14ac:dyDescent="0.25">
      <c r="B11" s="410" t="s">
        <v>749</v>
      </c>
      <c r="C11" s="309" t="s">
        <v>750</v>
      </c>
      <c r="D11" s="411" t="s">
        <v>950</v>
      </c>
      <c r="E11" s="309" t="s">
        <v>750</v>
      </c>
      <c r="AH11" s="308"/>
    </row>
    <row r="12" spans="2:90" ht="15.75" thickBot="1" x14ac:dyDescent="0.25">
      <c r="D12" s="310"/>
      <c r="E12" s="310"/>
      <c r="F12" s="310"/>
      <c r="AH12" s="308"/>
    </row>
    <row r="13" spans="2:90" ht="21" customHeight="1" thickBot="1" x14ac:dyDescent="0.25">
      <c r="G13" s="311"/>
      <c r="H13" s="1460" t="s">
        <v>781</v>
      </c>
      <c r="I13" s="1461"/>
      <c r="J13" s="1461"/>
      <c r="K13" s="1461"/>
      <c r="L13" s="1461"/>
      <c r="M13" s="1461"/>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3"/>
      <c r="AJ13" s="1438" t="s">
        <v>781</v>
      </c>
      <c r="AK13" s="1439"/>
      <c r="AL13" s="1439"/>
      <c r="AM13" s="1439"/>
      <c r="AN13" s="1439"/>
      <c r="AO13" s="1439"/>
      <c r="AP13" s="1439"/>
      <c r="AQ13" s="1439"/>
      <c r="AR13" s="1439"/>
      <c r="AS13" s="1439"/>
      <c r="AT13" s="1439"/>
      <c r="AU13" s="1439"/>
      <c r="AV13" s="1440"/>
      <c r="AX13" s="1438" t="s">
        <v>782</v>
      </c>
      <c r="AY13" s="1439"/>
      <c r="AZ13" s="1439"/>
      <c r="BA13" s="1439"/>
      <c r="BB13" s="1439"/>
      <c r="BC13" s="1439"/>
      <c r="BD13" s="1439"/>
      <c r="BE13" s="1439"/>
      <c r="BF13" s="1439"/>
      <c r="BG13" s="1439"/>
      <c r="BH13" s="1439"/>
      <c r="BI13" s="1439"/>
      <c r="BJ13" s="1440"/>
      <c r="BL13" s="1438" t="s">
        <v>783</v>
      </c>
      <c r="BM13" s="1439"/>
      <c r="BN13" s="1439"/>
      <c r="BO13" s="1439"/>
      <c r="BP13" s="1439"/>
      <c r="BQ13" s="1439"/>
      <c r="BR13" s="1439"/>
      <c r="BS13" s="1439"/>
      <c r="BT13" s="1439"/>
      <c r="BU13" s="1439"/>
      <c r="BV13" s="1439"/>
      <c r="BW13" s="1439"/>
      <c r="BX13" s="1440"/>
      <c r="BZ13" s="1438" t="s">
        <v>784</v>
      </c>
      <c r="CA13" s="1439"/>
      <c r="CB13" s="1439"/>
      <c r="CC13" s="1439"/>
      <c r="CD13" s="1439"/>
      <c r="CE13" s="1439"/>
      <c r="CF13" s="1439"/>
      <c r="CG13" s="1439"/>
      <c r="CH13" s="1439"/>
      <c r="CI13" s="1439"/>
      <c r="CJ13" s="1439"/>
      <c r="CK13" s="1439"/>
      <c r="CL13" s="1440"/>
    </row>
    <row r="14" spans="2:90" s="318" customFormat="1" ht="59.25" customHeight="1" thickBot="1" x14ac:dyDescent="0.3">
      <c r="B14" s="312" t="s">
        <v>785</v>
      </c>
      <c r="C14" s="312" t="s">
        <v>795</v>
      </c>
      <c r="D14" s="312" t="s">
        <v>797</v>
      </c>
      <c r="E14" s="312" t="s">
        <v>796</v>
      </c>
      <c r="F14" s="313" t="s">
        <v>0</v>
      </c>
      <c r="G14" s="314"/>
      <c r="H14" s="680" t="s">
        <v>802</v>
      </c>
      <c r="I14" s="1410" t="s">
        <v>924</v>
      </c>
      <c r="J14" s="1411"/>
      <c r="K14" s="1412" t="s">
        <v>801</v>
      </c>
      <c r="L14" s="1355"/>
      <c r="M14" s="1413"/>
      <c r="N14" s="689"/>
      <c r="O14" s="678" t="s">
        <v>803</v>
      </c>
      <c r="P14" s="1376" t="s">
        <v>924</v>
      </c>
      <c r="Q14" s="1377"/>
      <c r="R14" s="1365" t="s">
        <v>801</v>
      </c>
      <c r="S14" s="1366"/>
      <c r="T14" s="1367"/>
      <c r="U14" s="316"/>
      <c r="V14" s="315" t="s">
        <v>804</v>
      </c>
      <c r="W14" s="1464" t="s">
        <v>924</v>
      </c>
      <c r="X14" s="1465"/>
      <c r="Y14" s="1365" t="s">
        <v>801</v>
      </c>
      <c r="Z14" s="1366"/>
      <c r="AA14" s="1367"/>
      <c r="AB14" s="689"/>
      <c r="AC14" s="680" t="s">
        <v>805</v>
      </c>
      <c r="AD14" s="1410" t="s">
        <v>924</v>
      </c>
      <c r="AE14" s="1466"/>
      <c r="AF14" s="1354" t="s">
        <v>801</v>
      </c>
      <c r="AG14" s="1355"/>
      <c r="AH14" s="317" t="s">
        <v>806</v>
      </c>
      <c r="AI14" s="1015"/>
      <c r="AJ14" s="319" t="s">
        <v>786</v>
      </c>
      <c r="AK14" s="319" t="s">
        <v>925</v>
      </c>
      <c r="AL14" s="316"/>
      <c r="AM14" s="319" t="s">
        <v>787</v>
      </c>
      <c r="AN14" s="319" t="s">
        <v>925</v>
      </c>
      <c r="AO14" s="316"/>
      <c r="AP14" s="319" t="s">
        <v>790</v>
      </c>
      <c r="AQ14" s="319" t="s">
        <v>925</v>
      </c>
      <c r="AR14" s="316"/>
      <c r="AS14" s="319" t="s">
        <v>788</v>
      </c>
      <c r="AT14" s="319" t="s">
        <v>925</v>
      </c>
      <c r="AU14" s="316"/>
      <c r="AV14" s="319" t="s">
        <v>789</v>
      </c>
      <c r="AX14" s="319" t="s">
        <v>786</v>
      </c>
      <c r="AY14" s="319" t="s">
        <v>925</v>
      </c>
      <c r="AZ14" s="316"/>
      <c r="BA14" s="319" t="s">
        <v>787</v>
      </c>
      <c r="BB14" s="319" t="s">
        <v>925</v>
      </c>
      <c r="BC14" s="316"/>
      <c r="BD14" s="319" t="s">
        <v>790</v>
      </c>
      <c r="BE14" s="319" t="s">
        <v>925</v>
      </c>
      <c r="BF14" s="316"/>
      <c r="BG14" s="319" t="s">
        <v>788</v>
      </c>
      <c r="BH14" s="319" t="s">
        <v>925</v>
      </c>
      <c r="BI14" s="316"/>
      <c r="BJ14" s="319" t="s">
        <v>789</v>
      </c>
      <c r="BL14" s="319" t="s">
        <v>786</v>
      </c>
      <c r="BM14" s="319" t="s">
        <v>925</v>
      </c>
      <c r="BN14" s="316"/>
      <c r="BO14" s="319" t="s">
        <v>787</v>
      </c>
      <c r="BP14" s="319" t="s">
        <v>925</v>
      </c>
      <c r="BQ14" s="316"/>
      <c r="BR14" s="319" t="s">
        <v>790</v>
      </c>
      <c r="BS14" s="319" t="s">
        <v>925</v>
      </c>
      <c r="BT14" s="316"/>
      <c r="BU14" s="319" t="s">
        <v>788</v>
      </c>
      <c r="BV14" s="319" t="s">
        <v>925</v>
      </c>
      <c r="BW14" s="316"/>
      <c r="BX14" s="319" t="s">
        <v>789</v>
      </c>
      <c r="BZ14" s="319" t="s">
        <v>786</v>
      </c>
      <c r="CA14" s="319" t="s">
        <v>925</v>
      </c>
      <c r="CB14" s="316"/>
      <c r="CC14" s="319" t="s">
        <v>787</v>
      </c>
      <c r="CD14" s="319" t="s">
        <v>925</v>
      </c>
      <c r="CE14" s="316"/>
      <c r="CF14" s="319" t="s">
        <v>790</v>
      </c>
      <c r="CG14" s="319" t="s">
        <v>925</v>
      </c>
      <c r="CH14" s="316"/>
      <c r="CI14" s="319" t="s">
        <v>788</v>
      </c>
      <c r="CJ14" s="319" t="s">
        <v>925</v>
      </c>
      <c r="CK14" s="316"/>
      <c r="CL14" s="319" t="s">
        <v>789</v>
      </c>
    </row>
    <row r="15" spans="2:90" ht="43.5" thickBot="1" x14ac:dyDescent="0.25">
      <c r="B15" s="1490" t="s">
        <v>791</v>
      </c>
      <c r="C15" s="1496" t="s">
        <v>256</v>
      </c>
      <c r="D15" s="1443" t="str">
        <f>+'Plan de Accion 2018'!G102</f>
        <v>Seguimiento Ejecución Presupuestal de recursos administrados UGG</v>
      </c>
      <c r="E15" s="1497" t="str">
        <f>+'Plan de Accion 2018'!B102</f>
        <v>Dirección Administrativa y Financiera</v>
      </c>
      <c r="F15" s="320" t="str">
        <f>+'Plan de Accion 2018'!S102</f>
        <v>Ejecución del Trimestre / Presupuesto Proyectado del Trimestre</v>
      </c>
      <c r="G15" s="321"/>
      <c r="H15" s="666">
        <f>+'Plan de Accion 2018'!AB102</f>
        <v>0.19007508219003016</v>
      </c>
      <c r="I15" s="667">
        <f>+'Plan de Accion 2018'!BN102</f>
        <v>0.59744611281260607</v>
      </c>
      <c r="J15" s="667">
        <f>IF(I15&gt;100%,100%,I15)</f>
        <v>0.59744611281260607</v>
      </c>
      <c r="K15" s="667">
        <f>+'Plan de Accion 2018'!AG102</f>
        <v>0.19007508219003016</v>
      </c>
      <c r="L15" s="667">
        <f>+K15</f>
        <v>0.19007508219003016</v>
      </c>
      <c r="M15" s="681">
        <f>+L15</f>
        <v>0.19007508219003016</v>
      </c>
      <c r="N15" s="642"/>
      <c r="O15" s="666">
        <f>+'Plan de Accion 2018'!AL102</f>
        <v>0.2215642110919108</v>
      </c>
      <c r="P15" s="667">
        <f>+'Plan de Accion 2018'!BP102</f>
        <v>0.69632948866296296</v>
      </c>
      <c r="Q15" s="668">
        <f>IF(P15&gt;100%,100%,P15)</f>
        <v>0.69632948866296296</v>
      </c>
      <c r="R15" s="667">
        <f>+'Plan de Accion 2018'!AQ102</f>
        <v>0.41163929328194093</v>
      </c>
      <c r="S15" s="667">
        <f>IF(R15&gt;100%,100%,R15)</f>
        <v>0.41163929328194093</v>
      </c>
      <c r="T15" s="669">
        <f>+S15</f>
        <v>0.41163929328194093</v>
      </c>
      <c r="U15" s="322"/>
      <c r="V15" s="666">
        <f>+'Plan de Accion 2018'!AV102</f>
        <v>0.27977824303480647</v>
      </c>
      <c r="W15" s="667">
        <f>+'Plan de Accion 2018'!BR102</f>
        <v>0.8797568710413336</v>
      </c>
      <c r="X15" s="668">
        <f>IF(W15&gt;100%,100%,W15)</f>
        <v>0.8797568710413336</v>
      </c>
      <c r="Y15" s="882">
        <f>+'Plan de Accion 2018'!BA102</f>
        <v>0.69141753631674741</v>
      </c>
      <c r="Z15" s="882">
        <f>IF(Y15&gt;100%,100%,Y15)</f>
        <v>0.69141753631674741</v>
      </c>
      <c r="AA15" s="883">
        <f>+Z15</f>
        <v>0.69141753631674741</v>
      </c>
      <c r="AB15" s="642"/>
      <c r="AC15" s="666">
        <f>+'Plan de Accion 2018'!BF102</f>
        <v>0.29583329780502754</v>
      </c>
      <c r="AD15" s="667">
        <f>+'Plan de Accion 2018'!BT102</f>
        <v>6.4808103711402634</v>
      </c>
      <c r="AE15" s="668">
        <f>IF(AD15&gt;100%,100%,AD15)</f>
        <v>1</v>
      </c>
      <c r="AF15" s="667">
        <f>+'Plan de Accion 2018'!BK102</f>
        <v>0.98725083412177495</v>
      </c>
      <c r="AG15" s="669">
        <f>IF(AF15&gt;100%,100%,AF15)</f>
        <v>0.98725083412177495</v>
      </c>
      <c r="AH15" s="323"/>
      <c r="AJ15" s="324" t="e">
        <f>+(#REF!+#REF!+#REF!)/(#REF!+#REF!+#REF!)-1</f>
        <v>#REF!</v>
      </c>
      <c r="AK15" s="325" t="e">
        <f>+AJ15/#REF!</f>
        <v>#REF!</v>
      </c>
      <c r="AL15" s="321"/>
      <c r="AM15" s="324" t="e">
        <f>+(#REF!+#REF!+#REF!)/(#REF!+#REF!+#REF!)-1</f>
        <v>#REF!</v>
      </c>
      <c r="AN15" s="325" t="e">
        <f>+AM15/#REF!</f>
        <v>#REF!</v>
      </c>
      <c r="AO15" s="321"/>
      <c r="AP15" s="324" t="e">
        <f>+(#REF!+#REF!+#REF!)/(#REF!+#REF!+#REF!)-1</f>
        <v>#REF!</v>
      </c>
      <c r="AQ15" s="325" t="e">
        <f>+AP15/#REF!</f>
        <v>#REF!</v>
      </c>
      <c r="AR15" s="321"/>
      <c r="AS15" s="324" t="e">
        <f>+(#REF!+#REF!+#REF!)/(#REF!+#REF!+#REF!)-1</f>
        <v>#REF!</v>
      </c>
      <c r="AT15" s="325" t="e">
        <f>+AS15/#REF!</f>
        <v>#REF!</v>
      </c>
      <c r="AU15" s="326"/>
      <c r="AV15" s="327"/>
      <c r="AX15" s="324" t="e">
        <f>+(#REF!+#REF!+#REF!)/(#REF!+#REF!+#REF!)-1</f>
        <v>#REF!</v>
      </c>
      <c r="AY15" s="325" t="e">
        <f>+AX15/#REF!</f>
        <v>#REF!</v>
      </c>
      <c r="AZ15" s="321"/>
      <c r="BA15" s="324" t="e">
        <f>+(#REF!+#REF!+#REF!)/(#REF!+#REF!+#REF!)-1</f>
        <v>#REF!</v>
      </c>
      <c r="BB15" s="325" t="e">
        <f>+BA15/#REF!</f>
        <v>#REF!</v>
      </c>
      <c r="BC15" s="321"/>
      <c r="BD15" s="324" t="e">
        <f>+(#REF!+#REF!+#REF!)/(#REF!+#REF!+#REF!)-1</f>
        <v>#REF!</v>
      </c>
      <c r="BE15" s="325" t="e">
        <f>+BD15/#REF!</f>
        <v>#REF!</v>
      </c>
      <c r="BF15" s="321"/>
      <c r="BG15" s="324" t="e">
        <f>+(#REF!+#REF!+#REF!)/(#REF!+#REF!+#REF!)-1</f>
        <v>#REF!</v>
      </c>
      <c r="BH15" s="325" t="e">
        <f>+BG15/#REF!</f>
        <v>#REF!</v>
      </c>
      <c r="BI15" s="326"/>
      <c r="BJ15" s="327"/>
      <c r="BL15" s="324" t="e">
        <f>+(#REF!+#REF!+#REF!)/(#REF!+#REF!+#REF!)-1</f>
        <v>#REF!</v>
      </c>
      <c r="BM15" s="325" t="e">
        <f>+BL15/#REF!</f>
        <v>#REF!</v>
      </c>
      <c r="BN15" s="321"/>
      <c r="BO15" s="324" t="e">
        <f>+(#REF!+#REF!+#REF!)/(#REF!+#REF!+#REF!)-1</f>
        <v>#REF!</v>
      </c>
      <c r="BP15" s="325" t="e">
        <f>+BO15/#REF!</f>
        <v>#REF!</v>
      </c>
      <c r="BQ15" s="321"/>
      <c r="BR15" s="324" t="e">
        <f>+(#REF!+#REF!+#REF!)/(#REF!+#REF!+#REF!)-1</f>
        <v>#REF!</v>
      </c>
      <c r="BS15" s="325" t="e">
        <f>+BR15/#REF!</f>
        <v>#REF!</v>
      </c>
      <c r="BT15" s="321"/>
      <c r="BU15" s="324" t="e">
        <f>+(#REF!+#REF!+#REF!)/(#REF!+#REF!+#REF!)-1</f>
        <v>#REF!</v>
      </c>
      <c r="BV15" s="325" t="e">
        <f>+BU15/#REF!</f>
        <v>#REF!</v>
      </c>
      <c r="BW15" s="326"/>
      <c r="BX15" s="327"/>
      <c r="BZ15" s="324" t="e">
        <f>+(#REF!+#REF!+#REF!)/(#REF!+#REF!+#REF!)-1</f>
        <v>#REF!</v>
      </c>
      <c r="CA15" s="325" t="e">
        <f>+BZ15/#REF!</f>
        <v>#REF!</v>
      </c>
      <c r="CB15" s="321"/>
      <c r="CC15" s="324" t="e">
        <f>+(#REF!+#REF!+#REF!)/(#REF!+#REF!+#REF!)-1</f>
        <v>#REF!</v>
      </c>
      <c r="CD15" s="325" t="e">
        <f>+CC15/#REF!</f>
        <v>#REF!</v>
      </c>
      <c r="CE15" s="321"/>
      <c r="CF15" s="324" t="e">
        <f>+(#REF!+#REF!+#REF!)/(#REF!+#REF!+#REF!)-1</f>
        <v>#REF!</v>
      </c>
      <c r="CG15" s="325" t="e">
        <f>+CF15/#REF!</f>
        <v>#REF!</v>
      </c>
      <c r="CH15" s="321"/>
      <c r="CI15" s="324" t="e">
        <f>+(#REF!+#REF!+#REF!)/(#REF!+#REF!+#REF!)-1</f>
        <v>#REF!</v>
      </c>
      <c r="CJ15" s="325" t="e">
        <f>+CI15/#REF!</f>
        <v>#REF!</v>
      </c>
      <c r="CK15" s="326"/>
      <c r="CL15" s="327"/>
    </row>
    <row r="16" spans="2:90" ht="15" customHeight="1" x14ac:dyDescent="0.2">
      <c r="B16" s="1491"/>
      <c r="C16" s="1397"/>
      <c r="D16" s="1444"/>
      <c r="E16" s="1423"/>
      <c r="F16" s="673" t="str">
        <f>+'Plan de Accion 2018'!S103</f>
        <v>Valor pagado / Valor programado</v>
      </c>
      <c r="G16" s="321"/>
      <c r="H16" s="543">
        <f>+'Plan de Accion 2018'!AB103</f>
        <v>0</v>
      </c>
      <c r="I16" s="767">
        <f>+'Plan de Accion 2018'!BN103</f>
        <v>0</v>
      </c>
      <c r="J16" s="667">
        <f>IF(I16&gt;100%,100%,I16)</f>
        <v>0</v>
      </c>
      <c r="K16" s="767" t="s">
        <v>792</v>
      </c>
      <c r="L16" s="767" t="s">
        <v>792</v>
      </c>
      <c r="M16" s="682" t="s">
        <v>792</v>
      </c>
      <c r="N16" s="642"/>
      <c r="O16" s="543">
        <f>+'Plan de Accion 2018'!AL103</f>
        <v>0</v>
      </c>
      <c r="P16" s="767">
        <f>+'Plan de Accion 2018'!BP103</f>
        <v>0</v>
      </c>
      <c r="Q16" s="629">
        <f t="shared" ref="Q16:Q84" si="0">IF(P16&gt;100%,100%,P16)</f>
        <v>0</v>
      </c>
      <c r="R16" s="751" t="s">
        <v>792</v>
      </c>
      <c r="S16" s="751" t="s">
        <v>792</v>
      </c>
      <c r="T16" s="637" t="s">
        <v>792</v>
      </c>
      <c r="U16" s="322"/>
      <c r="V16" s="543">
        <f>+'Plan de Accion 2018'!AV103</f>
        <v>0</v>
      </c>
      <c r="W16" s="767">
        <f>+'Plan de Accion 2018'!BR103</f>
        <v>0</v>
      </c>
      <c r="X16" s="629">
        <f t="shared" ref="X16:X83" si="1">IF(W16&gt;100%,100%,W16)</f>
        <v>0</v>
      </c>
      <c r="Y16" s="882" t="s">
        <v>792</v>
      </c>
      <c r="Z16" s="882" t="s">
        <v>792</v>
      </c>
      <c r="AA16" s="883" t="s">
        <v>792</v>
      </c>
      <c r="AB16" s="642"/>
      <c r="AC16" s="543">
        <f>+'Plan de Accion 2018'!BF103</f>
        <v>0</v>
      </c>
      <c r="AD16" s="767" t="str">
        <f>+'Plan de Accion 2018'!BT103</f>
        <v>No Prog ni Ejec</v>
      </c>
      <c r="AE16" s="629" t="s">
        <v>792</v>
      </c>
      <c r="AF16" s="767" t="s">
        <v>792</v>
      </c>
      <c r="AG16" s="637" t="s">
        <v>792</v>
      </c>
      <c r="AH16" s="1457"/>
      <c r="AJ16" s="1448" t="e">
        <f>+#REF!</f>
        <v>#REF!</v>
      </c>
      <c r="AK16" s="1445" t="e">
        <f>+AJ16/AH17</f>
        <v>#REF!</v>
      </c>
      <c r="AL16" s="321"/>
      <c r="AM16" s="1454" t="e">
        <f>+(#REF!+#REF!)/2</f>
        <v>#REF!</v>
      </c>
      <c r="AN16" s="1445" t="e">
        <f>+AM16/AH17</f>
        <v>#REF!</v>
      </c>
      <c r="AO16" s="321"/>
      <c r="AP16" s="1448" t="e">
        <f>+#REF!</f>
        <v>#REF!</v>
      </c>
      <c r="AQ16" s="1445" t="e">
        <f>+AP16/AH17</f>
        <v>#REF!</v>
      </c>
      <c r="AR16" s="321"/>
      <c r="AS16" s="1448" t="e">
        <f>+(#REF!+#REF!)/2</f>
        <v>#REF!</v>
      </c>
      <c r="AT16" s="1445" t="e">
        <f>+AS16/AH17</f>
        <v>#REF!</v>
      </c>
      <c r="AU16" s="326"/>
      <c r="AV16" s="1451"/>
      <c r="AX16" s="1448" t="e">
        <f>+#REF!</f>
        <v>#REF!</v>
      </c>
      <c r="AY16" s="1445" t="e">
        <f>+AX16/AV17</f>
        <v>#REF!</v>
      </c>
      <c r="AZ16" s="321"/>
      <c r="BA16" s="1454" t="e">
        <f>+(#REF!+#REF!)/2</f>
        <v>#REF!</v>
      </c>
      <c r="BB16" s="1445" t="e">
        <f>+BA16/AV17</f>
        <v>#REF!</v>
      </c>
      <c r="BC16" s="321"/>
      <c r="BD16" s="1448" t="e">
        <f>+#REF!</f>
        <v>#REF!</v>
      </c>
      <c r="BE16" s="1445" t="e">
        <f>+BD16/AV17</f>
        <v>#REF!</v>
      </c>
      <c r="BF16" s="321"/>
      <c r="BG16" s="1448" t="e">
        <f>+(#REF!+#REF!)/2</f>
        <v>#REF!</v>
      </c>
      <c r="BH16" s="1445" t="e">
        <f>+BG16/AV17</f>
        <v>#REF!</v>
      </c>
      <c r="BI16" s="326"/>
      <c r="BJ16" s="1451"/>
      <c r="BL16" s="1448" t="e">
        <f>+#REF!</f>
        <v>#REF!</v>
      </c>
      <c r="BM16" s="1445" t="e">
        <f>+BL16/BJ17</f>
        <v>#REF!</v>
      </c>
      <c r="BN16" s="321"/>
      <c r="BO16" s="1454" t="e">
        <f>+(#REF!+#REF!)/2</f>
        <v>#REF!</v>
      </c>
      <c r="BP16" s="1445" t="e">
        <f>+BO16/BJ17</f>
        <v>#REF!</v>
      </c>
      <c r="BQ16" s="321"/>
      <c r="BR16" s="1448" t="e">
        <f>+#REF!</f>
        <v>#REF!</v>
      </c>
      <c r="BS16" s="1445" t="e">
        <f>+BR16/BJ17</f>
        <v>#REF!</v>
      </c>
      <c r="BT16" s="321"/>
      <c r="BU16" s="1448" t="e">
        <f>+(#REF!+#REF!)/2</f>
        <v>#REF!</v>
      </c>
      <c r="BV16" s="1445" t="e">
        <f>+BU16/BJ17</f>
        <v>#REF!</v>
      </c>
      <c r="BW16" s="326"/>
      <c r="BX16" s="1451"/>
      <c r="BZ16" s="1448" t="e">
        <f>+#REF!</f>
        <v>#REF!</v>
      </c>
      <c r="CA16" s="1445" t="e">
        <f>+BZ16/BX17</f>
        <v>#REF!</v>
      </c>
      <c r="CB16" s="321"/>
      <c r="CC16" s="1454" t="e">
        <f>+(#REF!+#REF!)/2</f>
        <v>#REF!</v>
      </c>
      <c r="CD16" s="1445" t="e">
        <f>+CC16/BX17</f>
        <v>#REF!</v>
      </c>
      <c r="CE16" s="321"/>
      <c r="CF16" s="1448" t="e">
        <f>+#REF!</f>
        <v>#REF!</v>
      </c>
      <c r="CG16" s="1445" t="e">
        <f>+CF16/BX17</f>
        <v>#REF!</v>
      </c>
      <c r="CH16" s="321"/>
      <c r="CI16" s="1448" t="e">
        <f>+(#REF!+#REF!)/2</f>
        <v>#REF!</v>
      </c>
      <c r="CJ16" s="1445" t="e">
        <f>+CI16/BX17</f>
        <v>#REF!</v>
      </c>
      <c r="CK16" s="326"/>
      <c r="CL16" s="1451"/>
    </row>
    <row r="17" spans="2:90" ht="28.5" x14ac:dyDescent="0.2">
      <c r="B17" s="1491"/>
      <c r="C17" s="1397"/>
      <c r="D17" s="1444"/>
      <c r="E17" s="1423"/>
      <c r="F17" s="673" t="str">
        <f>+'Plan de Accion 2018'!S104</f>
        <v>Valor pagado / Valor programado</v>
      </c>
      <c r="G17" s="321"/>
      <c r="H17" s="543" t="s">
        <v>792</v>
      </c>
      <c r="I17" s="767" t="str">
        <f>+'Plan de Accion 2018'!BN104</f>
        <v>No Prog ni Ejec</v>
      </c>
      <c r="J17" s="767" t="s">
        <v>792</v>
      </c>
      <c r="K17" s="767" t="s">
        <v>792</v>
      </c>
      <c r="L17" s="875" t="s">
        <v>792</v>
      </c>
      <c r="M17" s="682" t="s">
        <v>792</v>
      </c>
      <c r="N17" s="642"/>
      <c r="O17" s="543" t="s">
        <v>792</v>
      </c>
      <c r="P17" s="767" t="str">
        <f>+'Plan de Accion 2018'!BP104</f>
        <v>No Prog ni Ejec</v>
      </c>
      <c r="Q17" s="629" t="s">
        <v>792</v>
      </c>
      <c r="R17" s="751" t="s">
        <v>792</v>
      </c>
      <c r="S17" s="873" t="s">
        <v>792</v>
      </c>
      <c r="T17" s="637" t="str">
        <f t="shared" ref="T17:T83" si="2">+S17</f>
        <v>N.A</v>
      </c>
      <c r="U17" s="322"/>
      <c r="V17" s="543" t="s">
        <v>792</v>
      </c>
      <c r="W17" s="767" t="str">
        <f>+'Plan de Accion 2018'!BR104</f>
        <v>No Prog ni Ejec</v>
      </c>
      <c r="X17" s="629" t="s">
        <v>792</v>
      </c>
      <c r="Y17" s="882" t="s">
        <v>792</v>
      </c>
      <c r="Z17" s="882" t="s">
        <v>792</v>
      </c>
      <c r="AA17" s="883" t="str">
        <f t="shared" ref="AA17:AA87" si="3">+Z17</f>
        <v>N.A</v>
      </c>
      <c r="AB17" s="642"/>
      <c r="AC17" s="543" t="s">
        <v>792</v>
      </c>
      <c r="AD17" s="767" t="str">
        <f>+'Plan de Accion 2018'!BT104</f>
        <v>No Prog ni Ejec</v>
      </c>
      <c r="AE17" s="629" t="s">
        <v>792</v>
      </c>
      <c r="AF17" s="767" t="s">
        <v>792</v>
      </c>
      <c r="AG17" s="637" t="s">
        <v>792</v>
      </c>
      <c r="AH17" s="1458"/>
      <c r="AJ17" s="1449"/>
      <c r="AK17" s="1446"/>
      <c r="AL17" s="321"/>
      <c r="AM17" s="1455"/>
      <c r="AN17" s="1446"/>
      <c r="AO17" s="321"/>
      <c r="AP17" s="1449"/>
      <c r="AQ17" s="1446"/>
      <c r="AR17" s="321"/>
      <c r="AS17" s="1449"/>
      <c r="AT17" s="1446"/>
      <c r="AU17" s="326"/>
      <c r="AV17" s="1452"/>
      <c r="AX17" s="1449"/>
      <c r="AY17" s="1446"/>
      <c r="AZ17" s="321"/>
      <c r="BA17" s="1455"/>
      <c r="BB17" s="1446"/>
      <c r="BC17" s="321"/>
      <c r="BD17" s="1449"/>
      <c r="BE17" s="1446"/>
      <c r="BF17" s="321"/>
      <c r="BG17" s="1449"/>
      <c r="BH17" s="1446"/>
      <c r="BI17" s="326"/>
      <c r="BJ17" s="1452"/>
      <c r="BL17" s="1449"/>
      <c r="BM17" s="1446"/>
      <c r="BN17" s="321"/>
      <c r="BO17" s="1455"/>
      <c r="BP17" s="1446"/>
      <c r="BQ17" s="321"/>
      <c r="BR17" s="1449"/>
      <c r="BS17" s="1446"/>
      <c r="BT17" s="321"/>
      <c r="BU17" s="1449"/>
      <c r="BV17" s="1446"/>
      <c r="BW17" s="326"/>
      <c r="BX17" s="1452"/>
      <c r="BZ17" s="1449"/>
      <c r="CA17" s="1446"/>
      <c r="CB17" s="321"/>
      <c r="CC17" s="1455"/>
      <c r="CD17" s="1446"/>
      <c r="CE17" s="321"/>
      <c r="CF17" s="1449"/>
      <c r="CG17" s="1446"/>
      <c r="CH17" s="321"/>
      <c r="CI17" s="1449"/>
      <c r="CJ17" s="1446"/>
      <c r="CK17" s="326"/>
      <c r="CL17" s="1452"/>
    </row>
    <row r="18" spans="2:90" ht="28.5" x14ac:dyDescent="0.2">
      <c r="B18" s="1491"/>
      <c r="C18" s="1397"/>
      <c r="D18" s="754" t="str">
        <f>+'Plan de Accion 2018'!G178</f>
        <v>Estudio de seguridad hojas de vida</v>
      </c>
      <c r="E18" s="1423"/>
      <c r="F18" s="673" t="str">
        <f>+'Plan de Accion 2018'!S178</f>
        <v>Valor pagado / Valor programado</v>
      </c>
      <c r="G18" s="321"/>
      <c r="H18" s="543">
        <f>+'Plan de Accion 2018'!AB178</f>
        <v>7.8399999999999997E-2</v>
      </c>
      <c r="I18" s="767">
        <f>+'Plan de Accion 2018'!BN178</f>
        <v>0.31359999999999999</v>
      </c>
      <c r="J18" s="767">
        <f t="shared" ref="J18:J88" si="4">IF(I18&gt;100%,100%,I18)</f>
        <v>0.31359999999999999</v>
      </c>
      <c r="K18" s="767">
        <f>+'Plan de Accion 2018'!AG178</f>
        <v>7.8399999999999997E-2</v>
      </c>
      <c r="L18" s="875">
        <f t="shared" ref="L18:L42" si="5">+K18</f>
        <v>7.8399999999999997E-2</v>
      </c>
      <c r="M18" s="682">
        <f t="shared" ref="M18:M88" si="6">+L18</f>
        <v>7.8399999999999997E-2</v>
      </c>
      <c r="N18" s="642"/>
      <c r="O18" s="543">
        <f>+'Plan de Accion 2018'!AL178</f>
        <v>0</v>
      </c>
      <c r="P18" s="767">
        <f>+'Plan de Accion 2018'!BP178</f>
        <v>0</v>
      </c>
      <c r="Q18" s="629">
        <f t="shared" si="0"/>
        <v>0</v>
      </c>
      <c r="R18" s="751">
        <f>+'Plan de Accion 2018'!AQ178</f>
        <v>7.8399999999999997E-2</v>
      </c>
      <c r="S18" s="873">
        <f t="shared" ref="S18:S42" si="7">IF(R18&gt;100%,100%,R18)</f>
        <v>7.8399999999999997E-2</v>
      </c>
      <c r="T18" s="637">
        <f t="shared" si="2"/>
        <v>7.8399999999999997E-2</v>
      </c>
      <c r="U18" s="322"/>
      <c r="V18" s="543">
        <f>+'Plan de Accion 2018'!AV178</f>
        <v>7.0477411764705886E-2</v>
      </c>
      <c r="W18" s="767">
        <f>+'Plan de Accion 2018'!BR178</f>
        <v>0.28190964705882354</v>
      </c>
      <c r="X18" s="629">
        <f t="shared" si="1"/>
        <v>0.28190964705882354</v>
      </c>
      <c r="Y18" s="882">
        <f>+'Plan de Accion 2018'!BA178</f>
        <v>0.14887741176470587</v>
      </c>
      <c r="Z18" s="882">
        <f t="shared" ref="Z18:Z42" si="8">IF(Y18&gt;100%,100%,Y18)</f>
        <v>0.14887741176470587</v>
      </c>
      <c r="AA18" s="883">
        <f t="shared" si="3"/>
        <v>0.14887741176470587</v>
      </c>
      <c r="AB18" s="642"/>
      <c r="AC18" s="543">
        <f>+'Plan de Accion 2018'!BF178</f>
        <v>0.112764</v>
      </c>
      <c r="AD18" s="767">
        <f>+'Plan de Accion 2018'!BT178</f>
        <v>0.112764</v>
      </c>
      <c r="AE18" s="629">
        <f t="shared" ref="AE18:AE83" si="9">IF(AD18&gt;100%,100%,AD18)</f>
        <v>0.112764</v>
      </c>
      <c r="AF18" s="767">
        <f>+'Plan de Accion 2018'!BK178</f>
        <v>0.17706841176470589</v>
      </c>
      <c r="AG18" s="637">
        <f t="shared" ref="AG18:AG83" si="10">IF(AF18&gt;100%,100%,AF18)</f>
        <v>0.17706841176470589</v>
      </c>
      <c r="AH18" s="1458"/>
      <c r="AJ18" s="1449"/>
      <c r="AK18" s="1446"/>
      <c r="AL18" s="321"/>
      <c r="AM18" s="1455"/>
      <c r="AN18" s="1446"/>
      <c r="AO18" s="321"/>
      <c r="AP18" s="1449"/>
      <c r="AQ18" s="1446"/>
      <c r="AR18" s="321"/>
      <c r="AS18" s="1449"/>
      <c r="AT18" s="1446"/>
      <c r="AU18" s="326"/>
      <c r="AV18" s="1452"/>
      <c r="AX18" s="1449"/>
      <c r="AY18" s="1446"/>
      <c r="AZ18" s="321"/>
      <c r="BA18" s="1455"/>
      <c r="BB18" s="1446"/>
      <c r="BC18" s="321"/>
      <c r="BD18" s="1449"/>
      <c r="BE18" s="1446"/>
      <c r="BF18" s="321"/>
      <c r="BG18" s="1449"/>
      <c r="BH18" s="1446"/>
      <c r="BI18" s="326"/>
      <c r="BJ18" s="1452"/>
      <c r="BL18" s="1449"/>
      <c r="BM18" s="1446"/>
      <c r="BN18" s="321"/>
      <c r="BO18" s="1455"/>
      <c r="BP18" s="1446"/>
      <c r="BQ18" s="321"/>
      <c r="BR18" s="1449"/>
      <c r="BS18" s="1446"/>
      <c r="BT18" s="321"/>
      <c r="BU18" s="1449"/>
      <c r="BV18" s="1446"/>
      <c r="BW18" s="326"/>
      <c r="BX18" s="1452"/>
      <c r="BZ18" s="1449"/>
      <c r="CA18" s="1446"/>
      <c r="CB18" s="321"/>
      <c r="CC18" s="1455"/>
      <c r="CD18" s="1446"/>
      <c r="CE18" s="321"/>
      <c r="CF18" s="1449"/>
      <c r="CG18" s="1446"/>
      <c r="CH18" s="321"/>
      <c r="CI18" s="1449"/>
      <c r="CJ18" s="1446"/>
      <c r="CK18" s="326"/>
      <c r="CL18" s="1452"/>
    </row>
    <row r="19" spans="2:90" ht="42.75" x14ac:dyDescent="0.2">
      <c r="B19" s="1491"/>
      <c r="C19" s="1397"/>
      <c r="D19" s="754" t="str">
        <f>+'Plan de Accion 2018'!G136</f>
        <v>Salud Ocupacional</v>
      </c>
      <c r="E19" s="1423"/>
      <c r="F19" s="544" t="str">
        <f>+'Plan de Accion 2018'!S136</f>
        <v>Ejecución del Trimestre / Presupuesto Proyectado del Trimestre</v>
      </c>
      <c r="G19" s="321"/>
      <c r="H19" s="543">
        <f>+'Plan de Accion 2018'!AB136</f>
        <v>8.2317134218377691E-2</v>
      </c>
      <c r="I19" s="767">
        <f>+'Plan de Accion 2018'!BN136</f>
        <v>0.32926853687351076</v>
      </c>
      <c r="J19" s="767">
        <f t="shared" si="4"/>
        <v>0.32926853687351076</v>
      </c>
      <c r="K19" s="767">
        <f>+'Plan de Accion 2018'!AG136</f>
        <v>8.2317134218377691E-2</v>
      </c>
      <c r="L19" s="875">
        <f t="shared" si="5"/>
        <v>8.2317134218377691E-2</v>
      </c>
      <c r="M19" s="682">
        <f t="shared" si="6"/>
        <v>8.2317134218377691E-2</v>
      </c>
      <c r="N19" s="642"/>
      <c r="O19" s="543">
        <f>+'Plan de Accion 2018'!AL136</f>
        <v>0.1480496986444004</v>
      </c>
      <c r="P19" s="767">
        <f>+'Plan de Accion 2018'!BP136</f>
        <v>0.59219879457760161</v>
      </c>
      <c r="Q19" s="629">
        <f t="shared" si="0"/>
        <v>0.59219879457760161</v>
      </c>
      <c r="R19" s="751">
        <f>+'Plan de Accion 2018'!AQ136</f>
        <v>0.23036683286277806</v>
      </c>
      <c r="S19" s="873">
        <f t="shared" si="7"/>
        <v>0.23036683286277806</v>
      </c>
      <c r="T19" s="637">
        <f t="shared" si="2"/>
        <v>0.23036683286277806</v>
      </c>
      <c r="U19" s="322"/>
      <c r="V19" s="543">
        <f>+'Plan de Accion 2018'!AV136</f>
        <v>5.5377845858112576E-2</v>
      </c>
      <c r="W19" s="767">
        <f>+'Plan de Accion 2018'!BR136</f>
        <v>0.2215113834324503</v>
      </c>
      <c r="X19" s="629">
        <f t="shared" si="1"/>
        <v>0.2215113834324503</v>
      </c>
      <c r="Y19" s="882">
        <f>+'Plan de Accion 2018'!BA136</f>
        <v>0.28574467872089065</v>
      </c>
      <c r="Z19" s="882">
        <f t="shared" si="8"/>
        <v>0.28574467872089065</v>
      </c>
      <c r="AA19" s="883">
        <f t="shared" si="3"/>
        <v>0.28574467872089065</v>
      </c>
      <c r="AB19" s="642"/>
      <c r="AC19" s="543">
        <f>+'Plan de Accion 2018'!BF136</f>
        <v>7.6590376644440433E-2</v>
      </c>
      <c r="AD19" s="767">
        <f>+'Plan de Accion 2018'!BT136</f>
        <v>7.6590376644440433E-2</v>
      </c>
      <c r="AE19" s="629">
        <f t="shared" si="9"/>
        <v>7.6590376644440433E-2</v>
      </c>
      <c r="AF19" s="767">
        <f>+'Plan de Accion 2018'!BK136</f>
        <v>0.30489227288200077</v>
      </c>
      <c r="AG19" s="637">
        <f t="shared" si="10"/>
        <v>0.30489227288200077</v>
      </c>
      <c r="AH19" s="1458"/>
      <c r="AJ19" s="1449"/>
      <c r="AK19" s="1446"/>
      <c r="AL19" s="321"/>
      <c r="AM19" s="1455"/>
      <c r="AN19" s="1446"/>
      <c r="AO19" s="321"/>
      <c r="AP19" s="1449"/>
      <c r="AQ19" s="1446"/>
      <c r="AR19" s="321"/>
      <c r="AS19" s="1449"/>
      <c r="AT19" s="1446"/>
      <c r="AU19" s="326"/>
      <c r="AV19" s="1452"/>
      <c r="AX19" s="1449"/>
      <c r="AY19" s="1446"/>
      <c r="AZ19" s="321"/>
      <c r="BA19" s="1455"/>
      <c r="BB19" s="1446"/>
      <c r="BC19" s="321"/>
      <c r="BD19" s="1449"/>
      <c r="BE19" s="1446"/>
      <c r="BF19" s="321"/>
      <c r="BG19" s="1449"/>
      <c r="BH19" s="1446"/>
      <c r="BI19" s="326"/>
      <c r="BJ19" s="1452"/>
      <c r="BL19" s="1449"/>
      <c r="BM19" s="1446"/>
      <c r="BN19" s="321"/>
      <c r="BO19" s="1455"/>
      <c r="BP19" s="1446"/>
      <c r="BQ19" s="321"/>
      <c r="BR19" s="1449"/>
      <c r="BS19" s="1446"/>
      <c r="BT19" s="321"/>
      <c r="BU19" s="1449"/>
      <c r="BV19" s="1446"/>
      <c r="BW19" s="326"/>
      <c r="BX19" s="1452"/>
      <c r="BZ19" s="1449"/>
      <c r="CA19" s="1446"/>
      <c r="CB19" s="321"/>
      <c r="CC19" s="1455"/>
      <c r="CD19" s="1446"/>
      <c r="CE19" s="321"/>
      <c r="CF19" s="1449"/>
      <c r="CG19" s="1446"/>
      <c r="CH19" s="321"/>
      <c r="CI19" s="1449"/>
      <c r="CJ19" s="1446"/>
      <c r="CK19" s="326"/>
      <c r="CL19" s="1452"/>
    </row>
    <row r="20" spans="2:90" ht="28.5" x14ac:dyDescent="0.2">
      <c r="B20" s="1491"/>
      <c r="C20" s="1397"/>
      <c r="D20" s="754" t="str">
        <f>+'Plan de Accion 2018'!G141</f>
        <v>Funcionamiento Operativo de la ADRES</v>
      </c>
      <c r="E20" s="1423"/>
      <c r="F20" s="544" t="str">
        <f>+'Plan de Accion 2018'!S141</f>
        <v>Valor pagado / Valor programado</v>
      </c>
      <c r="G20" s="321"/>
      <c r="H20" s="543">
        <f>+'Plan de Accion 2018'!AB141</f>
        <v>0.18953582791830384</v>
      </c>
      <c r="I20" s="767">
        <f>+'Plan de Accion 2018'!BN141</f>
        <v>0.94767913959151917</v>
      </c>
      <c r="J20" s="767">
        <f t="shared" si="4"/>
        <v>0.94767913959151917</v>
      </c>
      <c r="K20" s="767">
        <f>+'Plan de Accion 2018'!AG141</f>
        <v>0.1901758092615651</v>
      </c>
      <c r="L20" s="875">
        <f t="shared" si="5"/>
        <v>0.1901758092615651</v>
      </c>
      <c r="M20" s="682">
        <f t="shared" si="6"/>
        <v>0.1901758092615651</v>
      </c>
      <c r="N20" s="642"/>
      <c r="O20" s="543">
        <f>+'Plan de Accion 2018'!AL141</f>
        <v>0.21156725312857658</v>
      </c>
      <c r="P20" s="767">
        <f>+'Plan de Accion 2018'!BP141</f>
        <v>1.0542764255303823</v>
      </c>
      <c r="Q20" s="629">
        <f t="shared" si="0"/>
        <v>1</v>
      </c>
      <c r="R20" s="751">
        <f>+'Plan de Accion 2018'!AQ141</f>
        <v>0.40174306239014168</v>
      </c>
      <c r="S20" s="873">
        <f t="shared" si="7"/>
        <v>0.40174306239014168</v>
      </c>
      <c r="T20" s="637">
        <f t="shared" si="2"/>
        <v>0.40174306239014168</v>
      </c>
      <c r="U20" s="642">
        <v>1</v>
      </c>
      <c r="V20" s="543">
        <f>+'Plan de Accion 2018'!AV141</f>
        <v>0.20689261162492462</v>
      </c>
      <c r="W20" s="767">
        <f>+'Plan de Accion 2018'!BR141</f>
        <v>0.69119795853190602</v>
      </c>
      <c r="X20" s="629">
        <f t="shared" si="1"/>
        <v>0.69119795853190602</v>
      </c>
      <c r="Y20" s="882">
        <f>+'Plan de Accion 2018'!BA141</f>
        <v>0.60863567401506635</v>
      </c>
      <c r="Z20" s="882">
        <f t="shared" si="8"/>
        <v>0.60863567401506635</v>
      </c>
      <c r="AA20" s="883">
        <f t="shared" si="3"/>
        <v>0.60863567401506635</v>
      </c>
      <c r="AB20" s="642"/>
      <c r="AC20" s="543">
        <f>+'Plan de Accion 2018'!BF141</f>
        <v>0.28032474917313988</v>
      </c>
      <c r="AD20" s="767">
        <f>+'Plan de Accion 2018'!BT141</f>
        <v>0.93652399103410444</v>
      </c>
      <c r="AE20" s="629">
        <f t="shared" si="9"/>
        <v>0.93652399103410444</v>
      </c>
      <c r="AF20" s="767">
        <f>+'Plan de Accion 2018'!BK141</f>
        <v>0.88896042318820623</v>
      </c>
      <c r="AG20" s="637">
        <f t="shared" si="10"/>
        <v>0.88896042318820623</v>
      </c>
      <c r="AH20" s="1458"/>
      <c r="AJ20" s="1449"/>
      <c r="AK20" s="1446"/>
      <c r="AL20" s="321"/>
      <c r="AM20" s="1455"/>
      <c r="AN20" s="1446"/>
      <c r="AO20" s="321"/>
      <c r="AP20" s="1449"/>
      <c r="AQ20" s="1446"/>
      <c r="AR20" s="321"/>
      <c r="AS20" s="1449"/>
      <c r="AT20" s="1446"/>
      <c r="AU20" s="326"/>
      <c r="AV20" s="1452"/>
      <c r="AX20" s="1449"/>
      <c r="AY20" s="1446"/>
      <c r="AZ20" s="321"/>
      <c r="BA20" s="1455"/>
      <c r="BB20" s="1446"/>
      <c r="BC20" s="321"/>
      <c r="BD20" s="1449"/>
      <c r="BE20" s="1446"/>
      <c r="BF20" s="321"/>
      <c r="BG20" s="1449"/>
      <c r="BH20" s="1446"/>
      <c r="BI20" s="326"/>
      <c r="BJ20" s="1452"/>
      <c r="BL20" s="1449"/>
      <c r="BM20" s="1446"/>
      <c r="BN20" s="321"/>
      <c r="BO20" s="1455"/>
      <c r="BP20" s="1446"/>
      <c r="BQ20" s="321"/>
      <c r="BR20" s="1449"/>
      <c r="BS20" s="1446"/>
      <c r="BT20" s="321"/>
      <c r="BU20" s="1449"/>
      <c r="BV20" s="1446"/>
      <c r="BW20" s="326"/>
      <c r="BX20" s="1452"/>
      <c r="BZ20" s="1449"/>
      <c r="CA20" s="1446"/>
      <c r="CB20" s="321"/>
      <c r="CC20" s="1455"/>
      <c r="CD20" s="1446"/>
      <c r="CE20" s="321"/>
      <c r="CF20" s="1449"/>
      <c r="CG20" s="1446"/>
      <c r="CH20" s="321"/>
      <c r="CI20" s="1449"/>
      <c r="CJ20" s="1446"/>
      <c r="CK20" s="326"/>
      <c r="CL20" s="1452"/>
    </row>
    <row r="21" spans="2:90" ht="28.5" x14ac:dyDescent="0.2">
      <c r="B21" s="1491"/>
      <c r="C21" s="1397"/>
      <c r="D21" s="754" t="str">
        <f>+'Plan de Accion 2018'!G142</f>
        <v xml:space="preserve">Suministro de Tiquetes Aéreos y Viatico </v>
      </c>
      <c r="E21" s="1423"/>
      <c r="F21" s="544" t="str">
        <f>+'Plan de Accion 2018'!S142</f>
        <v>Valor pagado / Valor programado</v>
      </c>
      <c r="G21" s="321"/>
      <c r="H21" s="543">
        <f>+'Plan de Accion 2018'!AB142</f>
        <v>2.8526488808374856E-2</v>
      </c>
      <c r="I21" s="767">
        <f>+'Plan de Accion 2018'!BN142</f>
        <v>0.11410595523349942</v>
      </c>
      <c r="J21" s="767">
        <f t="shared" si="4"/>
        <v>0.11410595523349942</v>
      </c>
      <c r="K21" s="767">
        <f>+'Plan de Accion 2018'!AG142</f>
        <v>2.8526488808374856E-2</v>
      </c>
      <c r="L21" s="875">
        <f t="shared" si="5"/>
        <v>2.8526488808374856E-2</v>
      </c>
      <c r="M21" s="682">
        <f t="shared" si="6"/>
        <v>2.8526488808374856E-2</v>
      </c>
      <c r="N21" s="642"/>
      <c r="O21" s="543">
        <f>+'Plan de Accion 2018'!AL142</f>
        <v>6.3398401763759604E-2</v>
      </c>
      <c r="P21" s="767">
        <f>+'Plan de Accion 2018'!BP142</f>
        <v>0.25359360705503842</v>
      </c>
      <c r="Q21" s="629">
        <f t="shared" si="0"/>
        <v>0.25359360705503842</v>
      </c>
      <c r="R21" s="751">
        <f>+'Plan de Accion 2018'!AQ142</f>
        <v>9.192489057213446E-2</v>
      </c>
      <c r="S21" s="873">
        <f t="shared" si="7"/>
        <v>9.192489057213446E-2</v>
      </c>
      <c r="T21" s="637">
        <f t="shared" si="2"/>
        <v>9.192489057213446E-2</v>
      </c>
      <c r="U21" s="322"/>
      <c r="V21" s="543">
        <f>+'Plan de Accion 2018'!AV142</f>
        <v>5.3514000997211916E-2</v>
      </c>
      <c r="W21" s="767">
        <f>+'Plan de Accion 2018'!BR142</f>
        <v>0.21405600398884767</v>
      </c>
      <c r="X21" s="629">
        <f t="shared" si="1"/>
        <v>0.21405600398884767</v>
      </c>
      <c r="Y21" s="882">
        <f>+'Plan de Accion 2018'!BA142</f>
        <v>0.14543889156934636</v>
      </c>
      <c r="Z21" s="882">
        <f t="shared" si="8"/>
        <v>0.14543889156934636</v>
      </c>
      <c r="AA21" s="883">
        <f t="shared" si="3"/>
        <v>0.14543889156934636</v>
      </c>
      <c r="AB21" s="642"/>
      <c r="AC21" s="543">
        <f>+'Plan de Accion 2018'!BF142</f>
        <v>6.3772332826851325E-2</v>
      </c>
      <c r="AD21" s="767">
        <f>+'Plan de Accion 2018'!BT142</f>
        <v>0.2550893313074053</v>
      </c>
      <c r="AE21" s="629">
        <f t="shared" si="9"/>
        <v>0.2550893313074053</v>
      </c>
      <c r="AF21" s="767">
        <f>+'Plan de Accion 2018'!BK142</f>
        <v>0.20921122439619769</v>
      </c>
      <c r="AG21" s="637">
        <f t="shared" si="10"/>
        <v>0.20921122439619769</v>
      </c>
      <c r="AH21" s="1458"/>
      <c r="AJ21" s="1449"/>
      <c r="AK21" s="1446"/>
      <c r="AL21" s="321"/>
      <c r="AM21" s="1455"/>
      <c r="AN21" s="1446"/>
      <c r="AO21" s="321"/>
      <c r="AP21" s="1449"/>
      <c r="AQ21" s="1446"/>
      <c r="AR21" s="321"/>
      <c r="AS21" s="1449"/>
      <c r="AT21" s="1446"/>
      <c r="AU21" s="326"/>
      <c r="AV21" s="1452"/>
      <c r="AX21" s="1449"/>
      <c r="AY21" s="1446"/>
      <c r="AZ21" s="321"/>
      <c r="BA21" s="1455"/>
      <c r="BB21" s="1446"/>
      <c r="BC21" s="321"/>
      <c r="BD21" s="1449"/>
      <c r="BE21" s="1446"/>
      <c r="BF21" s="321"/>
      <c r="BG21" s="1449"/>
      <c r="BH21" s="1446"/>
      <c r="BI21" s="326"/>
      <c r="BJ21" s="1452"/>
      <c r="BL21" s="1449"/>
      <c r="BM21" s="1446"/>
      <c r="BN21" s="321"/>
      <c r="BO21" s="1455"/>
      <c r="BP21" s="1446"/>
      <c r="BQ21" s="321"/>
      <c r="BR21" s="1449"/>
      <c r="BS21" s="1446"/>
      <c r="BT21" s="321"/>
      <c r="BU21" s="1449"/>
      <c r="BV21" s="1446"/>
      <c r="BW21" s="326"/>
      <c r="BX21" s="1452"/>
      <c r="BZ21" s="1449"/>
      <c r="CA21" s="1446"/>
      <c r="CB21" s="321"/>
      <c r="CC21" s="1455"/>
      <c r="CD21" s="1446"/>
      <c r="CE21" s="321"/>
      <c r="CF21" s="1449"/>
      <c r="CG21" s="1446"/>
      <c r="CH21" s="321"/>
      <c r="CI21" s="1449"/>
      <c r="CJ21" s="1446"/>
      <c r="CK21" s="326"/>
      <c r="CL21" s="1452"/>
    </row>
    <row r="22" spans="2:90" ht="57" customHeight="1" x14ac:dyDescent="0.2">
      <c r="B22" s="1491"/>
      <c r="C22" s="1397"/>
      <c r="D22" s="754" t="str">
        <f>+'Plan de Accion 2018'!G146</f>
        <v xml:space="preserve">Garantizar la gestión de Servicio al ciudadano de la entidad  por los diferentes canales  de atención.. </v>
      </c>
      <c r="E22" s="1423"/>
      <c r="F22" s="1403" t="s">
        <v>815</v>
      </c>
      <c r="G22" s="321"/>
      <c r="H22" s="543">
        <f>+'Plan de Accion 2018'!AE146</f>
        <v>0.74537312091503272</v>
      </c>
      <c r="I22" s="767">
        <f>+'Plan de Accion 2018'!BN146</f>
        <v>0.74537312091503272</v>
      </c>
      <c r="J22" s="767">
        <f t="shared" si="4"/>
        <v>0.74537312091503272</v>
      </c>
      <c r="K22" s="767">
        <f>+'Plan de Accion 2018'!AG146</f>
        <v>0.18634328022875818</v>
      </c>
      <c r="L22" s="875">
        <f t="shared" si="5"/>
        <v>0.18634328022875818</v>
      </c>
      <c r="M22" s="682">
        <f t="shared" si="6"/>
        <v>0.18634328022875818</v>
      </c>
      <c r="N22" s="642"/>
      <c r="O22" s="543">
        <f>+'Plan de Accion 2018'!AO146</f>
        <v>1</v>
      </c>
      <c r="P22" s="767">
        <f>+'Plan de Accion 2018'!BP146</f>
        <v>1</v>
      </c>
      <c r="Q22" s="629">
        <f t="shared" si="0"/>
        <v>1</v>
      </c>
      <c r="R22" s="751">
        <f>+'Plan de Accion 2018'!AQ146</f>
        <v>0.43634328022875818</v>
      </c>
      <c r="S22" s="873">
        <f t="shared" si="7"/>
        <v>0.43634328022875818</v>
      </c>
      <c r="T22" s="637">
        <f t="shared" si="2"/>
        <v>0.43634328022875818</v>
      </c>
      <c r="U22" s="322"/>
      <c r="V22" s="543">
        <f>+'Plan de Accion 2018'!AV146</f>
        <v>0.25</v>
      </c>
      <c r="W22" s="767">
        <f>+'Plan de Accion 2018'!BR146</f>
        <v>1</v>
      </c>
      <c r="X22" s="629">
        <f t="shared" si="1"/>
        <v>1</v>
      </c>
      <c r="Y22" s="882">
        <f>+'Plan de Accion 2018'!BA146</f>
        <v>0.68634328022875812</v>
      </c>
      <c r="Z22" s="882">
        <f t="shared" si="8"/>
        <v>0.68634328022875812</v>
      </c>
      <c r="AA22" s="883">
        <f t="shared" si="3"/>
        <v>0.68634328022875812</v>
      </c>
      <c r="AB22" s="642"/>
      <c r="AC22" s="543">
        <f>+'Plan de Accion 2018'!BF146</f>
        <v>0.25</v>
      </c>
      <c r="AD22" s="767">
        <f>+'Plan de Accion 2018'!BT146</f>
        <v>1</v>
      </c>
      <c r="AE22" s="629">
        <f t="shared" si="9"/>
        <v>1</v>
      </c>
      <c r="AF22" s="767">
        <f>+'Plan de Accion 2018'!BK146</f>
        <v>0.93634328022875812</v>
      </c>
      <c r="AG22" s="637">
        <f t="shared" si="10"/>
        <v>0.93634328022875812</v>
      </c>
      <c r="AH22" s="1458"/>
      <c r="AJ22" s="1449"/>
      <c r="AK22" s="1446"/>
      <c r="AL22" s="321"/>
      <c r="AM22" s="1455"/>
      <c r="AN22" s="1446"/>
      <c r="AO22" s="321"/>
      <c r="AP22" s="1449"/>
      <c r="AQ22" s="1446"/>
      <c r="AR22" s="321"/>
      <c r="AS22" s="1449"/>
      <c r="AT22" s="1446"/>
      <c r="AU22" s="326"/>
      <c r="AV22" s="1452"/>
      <c r="AX22" s="1449"/>
      <c r="AY22" s="1446"/>
      <c r="AZ22" s="321"/>
      <c r="BA22" s="1455"/>
      <c r="BB22" s="1446"/>
      <c r="BC22" s="321"/>
      <c r="BD22" s="1449"/>
      <c r="BE22" s="1446"/>
      <c r="BF22" s="321"/>
      <c r="BG22" s="1449"/>
      <c r="BH22" s="1446"/>
      <c r="BI22" s="326"/>
      <c r="BJ22" s="1452"/>
      <c r="BL22" s="1449"/>
      <c r="BM22" s="1446"/>
      <c r="BN22" s="321"/>
      <c r="BO22" s="1455"/>
      <c r="BP22" s="1446"/>
      <c r="BQ22" s="321"/>
      <c r="BR22" s="1449"/>
      <c r="BS22" s="1446"/>
      <c r="BT22" s="321"/>
      <c r="BU22" s="1449"/>
      <c r="BV22" s="1446"/>
      <c r="BW22" s="326"/>
      <c r="BX22" s="1452"/>
      <c r="BZ22" s="1449"/>
      <c r="CA22" s="1446"/>
      <c r="CB22" s="321"/>
      <c r="CC22" s="1455"/>
      <c r="CD22" s="1446"/>
      <c r="CE22" s="321"/>
      <c r="CF22" s="1449"/>
      <c r="CG22" s="1446"/>
      <c r="CH22" s="321"/>
      <c r="CI22" s="1449"/>
      <c r="CJ22" s="1446"/>
      <c r="CK22" s="326"/>
      <c r="CL22" s="1452"/>
    </row>
    <row r="23" spans="2:90" ht="99.75" x14ac:dyDescent="0.2">
      <c r="B23" s="1491"/>
      <c r="C23" s="1397"/>
      <c r="D23" s="754" t="str">
        <f>+'Plan de Accion 2018'!G109</f>
        <v>Trámite los Procesos  Precontractuales y Contractuales para la adquisición de Bienes y Servicios de conformidad con lo establecido en el Plan de Adquisiciones de la Dirección Administrativa y Financiera</v>
      </c>
      <c r="E23" s="1423"/>
      <c r="F23" s="1404"/>
      <c r="G23" s="321"/>
      <c r="H23" s="543">
        <f>+'Plan de Accion 2018'!AE109</f>
        <v>0.60064014643951447</v>
      </c>
      <c r="I23" s="767">
        <f>+'Plan de Accion 2018'!BN109</f>
        <v>0.60064014643951447</v>
      </c>
      <c r="J23" s="767">
        <f t="shared" si="4"/>
        <v>0.60064014643951447</v>
      </c>
      <c r="K23" s="767">
        <f>+'Plan de Accion 2018'!AG109</f>
        <v>0.14794770856799236</v>
      </c>
      <c r="L23" s="875">
        <f t="shared" si="5"/>
        <v>0.14794770856799236</v>
      </c>
      <c r="M23" s="682">
        <f t="shared" si="6"/>
        <v>0.14794770856799236</v>
      </c>
      <c r="N23" s="642"/>
      <c r="O23" s="543">
        <f>+'Plan de Accion 2018'!AO109</f>
        <v>1.035825988587703</v>
      </c>
      <c r="P23" s="767">
        <f>+'Plan de Accion 2018'!BP109</f>
        <v>1.035825988587703</v>
      </c>
      <c r="Q23" s="629">
        <f t="shared" si="0"/>
        <v>1</v>
      </c>
      <c r="R23" s="751">
        <f>+'Plan de Accion 2018'!AQ109</f>
        <v>0.37110906056809778</v>
      </c>
      <c r="S23" s="873">
        <f t="shared" si="7"/>
        <v>0.37110906056809778</v>
      </c>
      <c r="T23" s="637">
        <f t="shared" si="2"/>
        <v>0.37110906056809778</v>
      </c>
      <c r="U23" s="322"/>
      <c r="V23" s="543">
        <f>+'Plan de Accion 2018'!AY109</f>
        <v>0.93103448675605793</v>
      </c>
      <c r="W23" s="767">
        <f>+'Plan de Accion 2018'!BR109</f>
        <v>0.93103448675605793</v>
      </c>
      <c r="X23" s="629">
        <f t="shared" si="1"/>
        <v>0.93103448675605793</v>
      </c>
      <c r="Y23" s="882">
        <f>+'Plan de Accion 2018'!BA109</f>
        <v>0.59427041256820323</v>
      </c>
      <c r="Z23" s="882">
        <f t="shared" si="8"/>
        <v>0.59427041256820323</v>
      </c>
      <c r="AA23" s="883">
        <f t="shared" si="3"/>
        <v>0.59427041256820323</v>
      </c>
      <c r="AB23" s="642"/>
      <c r="AC23" s="543">
        <f>+'Plan de Accion 2018'!BI109</f>
        <v>0.98421970558510119</v>
      </c>
      <c r="AD23" s="767">
        <f>+'Plan de Accion 2018'!BT109</f>
        <v>0.98421970558510119</v>
      </c>
      <c r="AE23" s="629">
        <f t="shared" si="9"/>
        <v>0.98421970558510119</v>
      </c>
      <c r="AF23" s="767">
        <f>+'Plan de Accion 2018'!BK109</f>
        <v>0.88810779327192058</v>
      </c>
      <c r="AG23" s="637">
        <f t="shared" si="10"/>
        <v>0.88810779327192058</v>
      </c>
      <c r="AH23" s="1458"/>
      <c r="AJ23" s="1449"/>
      <c r="AK23" s="1446"/>
      <c r="AL23" s="321"/>
      <c r="AM23" s="1455"/>
      <c r="AN23" s="1446"/>
      <c r="AO23" s="321"/>
      <c r="AP23" s="1449"/>
      <c r="AQ23" s="1446"/>
      <c r="AR23" s="321"/>
      <c r="AS23" s="1449"/>
      <c r="AT23" s="1446"/>
      <c r="AU23" s="326"/>
      <c r="AV23" s="1452"/>
      <c r="AX23" s="1449"/>
      <c r="AY23" s="1446"/>
      <c r="AZ23" s="321"/>
      <c r="BA23" s="1455"/>
      <c r="BB23" s="1446"/>
      <c r="BC23" s="321"/>
      <c r="BD23" s="1449"/>
      <c r="BE23" s="1446"/>
      <c r="BF23" s="321"/>
      <c r="BG23" s="1449"/>
      <c r="BH23" s="1446"/>
      <c r="BI23" s="326"/>
      <c r="BJ23" s="1452"/>
      <c r="BL23" s="1449"/>
      <c r="BM23" s="1446"/>
      <c r="BN23" s="321"/>
      <c r="BO23" s="1455"/>
      <c r="BP23" s="1446"/>
      <c r="BQ23" s="321"/>
      <c r="BR23" s="1449"/>
      <c r="BS23" s="1446"/>
      <c r="BT23" s="321"/>
      <c r="BU23" s="1449"/>
      <c r="BV23" s="1446"/>
      <c r="BW23" s="326"/>
      <c r="BX23" s="1452"/>
      <c r="BZ23" s="1449"/>
      <c r="CA23" s="1446"/>
      <c r="CB23" s="321"/>
      <c r="CC23" s="1455"/>
      <c r="CD23" s="1446"/>
      <c r="CE23" s="321"/>
      <c r="CF23" s="1449"/>
      <c r="CG23" s="1446"/>
      <c r="CH23" s="321"/>
      <c r="CI23" s="1449"/>
      <c r="CJ23" s="1446"/>
      <c r="CK23" s="326"/>
      <c r="CL23" s="1452"/>
    </row>
    <row r="24" spans="2:90" ht="15" x14ac:dyDescent="0.2">
      <c r="B24" s="1491"/>
      <c r="C24" s="1397"/>
      <c r="D24" s="754" t="str">
        <f>+'Plan de Accion 2018'!G188</f>
        <v>Asesoría Jurídica</v>
      </c>
      <c r="E24" s="1423"/>
      <c r="F24" s="1404"/>
      <c r="G24" s="321"/>
      <c r="H24" s="543">
        <f>+'Plan de Accion 2018'!AB188</f>
        <v>0.2</v>
      </c>
      <c r="I24" s="767">
        <f>+'Plan de Accion 2018'!BN188</f>
        <v>1</v>
      </c>
      <c r="J24" s="767">
        <f t="shared" si="4"/>
        <v>1</v>
      </c>
      <c r="K24" s="767">
        <f>+'Plan de Accion 2018'!AG188</f>
        <v>0.33333333333333331</v>
      </c>
      <c r="L24" s="875">
        <f t="shared" si="5"/>
        <v>0.33333333333333331</v>
      </c>
      <c r="M24" s="682">
        <f t="shared" si="6"/>
        <v>0.33333333333333331</v>
      </c>
      <c r="N24" s="642"/>
      <c r="O24" s="543">
        <f>+'Plan de Accion 2018'!AO188</f>
        <v>1</v>
      </c>
      <c r="P24" s="767">
        <f>+'Plan de Accion 2018'!BP188</f>
        <v>1</v>
      </c>
      <c r="Q24" s="629">
        <f t="shared" si="0"/>
        <v>1</v>
      </c>
      <c r="R24" s="751">
        <f>+'Plan de Accion 2018'!AQ188</f>
        <v>1</v>
      </c>
      <c r="S24" s="873">
        <f t="shared" si="7"/>
        <v>1</v>
      </c>
      <c r="T24" s="637">
        <f t="shared" si="2"/>
        <v>1</v>
      </c>
      <c r="U24" s="322"/>
      <c r="V24" s="543" t="e">
        <f>+'Plan de Accion 2018'!AY188</f>
        <v>#DIV/0!</v>
      </c>
      <c r="W24" s="767" t="str">
        <f>+'Plan de Accion 2018'!BR188</f>
        <v>No Prog ni Ejec</v>
      </c>
      <c r="X24" s="629" t="s">
        <v>792</v>
      </c>
      <c r="Y24" s="882">
        <f>+'Plan de Accion 2018'!BA188</f>
        <v>1</v>
      </c>
      <c r="Z24" s="882">
        <f t="shared" si="8"/>
        <v>1</v>
      </c>
      <c r="AA24" s="883">
        <f>+Z24</f>
        <v>1</v>
      </c>
      <c r="AB24" s="642"/>
      <c r="AC24" s="543" t="e">
        <f>+'Plan de Accion 2018'!BI188</f>
        <v>#DIV/0!</v>
      </c>
      <c r="AD24" s="767" t="str">
        <f>+'Plan de Accion 2018'!BT188</f>
        <v>No Prog ni Ejec</v>
      </c>
      <c r="AE24" s="629" t="s">
        <v>792</v>
      </c>
      <c r="AF24" s="767">
        <f>+'Plan de Accion 2018'!BK188</f>
        <v>1</v>
      </c>
      <c r="AG24" s="637">
        <f t="shared" si="10"/>
        <v>1</v>
      </c>
      <c r="AH24" s="1458"/>
      <c r="AJ24" s="1449"/>
      <c r="AK24" s="1446"/>
      <c r="AL24" s="321"/>
      <c r="AM24" s="1455"/>
      <c r="AN24" s="1446"/>
      <c r="AO24" s="321"/>
      <c r="AP24" s="1449"/>
      <c r="AQ24" s="1446"/>
      <c r="AR24" s="321"/>
      <c r="AS24" s="1449"/>
      <c r="AT24" s="1446"/>
      <c r="AU24" s="326"/>
      <c r="AV24" s="1452"/>
      <c r="AX24" s="1449"/>
      <c r="AY24" s="1446"/>
      <c r="AZ24" s="321"/>
      <c r="BA24" s="1455"/>
      <c r="BB24" s="1446"/>
      <c r="BC24" s="321"/>
      <c r="BD24" s="1449"/>
      <c r="BE24" s="1446"/>
      <c r="BF24" s="321"/>
      <c r="BG24" s="1449"/>
      <c r="BH24" s="1446"/>
      <c r="BI24" s="326"/>
      <c r="BJ24" s="1452"/>
      <c r="BL24" s="1449"/>
      <c r="BM24" s="1446"/>
      <c r="BN24" s="321"/>
      <c r="BO24" s="1455"/>
      <c r="BP24" s="1446"/>
      <c r="BQ24" s="321"/>
      <c r="BR24" s="1449"/>
      <c r="BS24" s="1446"/>
      <c r="BT24" s="321"/>
      <c r="BU24" s="1449"/>
      <c r="BV24" s="1446"/>
      <c r="BW24" s="326"/>
      <c r="BX24" s="1452"/>
      <c r="BZ24" s="1449"/>
      <c r="CA24" s="1446"/>
      <c r="CB24" s="321"/>
      <c r="CC24" s="1455"/>
      <c r="CD24" s="1446"/>
      <c r="CE24" s="321"/>
      <c r="CF24" s="1449"/>
      <c r="CG24" s="1446"/>
      <c r="CH24" s="321"/>
      <c r="CI24" s="1449"/>
      <c r="CJ24" s="1446"/>
      <c r="CK24" s="326"/>
      <c r="CL24" s="1452"/>
    </row>
    <row r="25" spans="2:90" ht="15" x14ac:dyDescent="0.2">
      <c r="B25" s="1491"/>
      <c r="C25" s="1397"/>
      <c r="D25" s="754" t="str">
        <f>+'Plan de Accion 2018'!G111</f>
        <v>Plan de capacitación</v>
      </c>
      <c r="E25" s="1423"/>
      <c r="F25" s="1404"/>
      <c r="G25" s="321"/>
      <c r="H25" s="543">
        <f>+'Plan de Accion 2018'!AE111</f>
        <v>0</v>
      </c>
      <c r="I25" s="767">
        <f>+'Plan de Accion 2018'!BN111</f>
        <v>0</v>
      </c>
      <c r="J25" s="767">
        <f t="shared" si="4"/>
        <v>0</v>
      </c>
      <c r="K25" s="767">
        <f>+'Plan de Accion 2018'!AG111</f>
        <v>0</v>
      </c>
      <c r="L25" s="875">
        <f t="shared" si="5"/>
        <v>0</v>
      </c>
      <c r="M25" s="682">
        <f t="shared" si="6"/>
        <v>0</v>
      </c>
      <c r="N25" s="642"/>
      <c r="O25" s="543">
        <f>+'Plan de Accion 2018'!AO111</f>
        <v>0</v>
      </c>
      <c r="P25" s="767">
        <f>+'Plan de Accion 2018'!BP111</f>
        <v>0</v>
      </c>
      <c r="Q25" s="629">
        <f t="shared" si="0"/>
        <v>0</v>
      </c>
      <c r="R25" s="751">
        <f>+'Plan de Accion 2018'!AQ111</f>
        <v>0</v>
      </c>
      <c r="S25" s="873">
        <f t="shared" si="7"/>
        <v>0</v>
      </c>
      <c r="T25" s="637">
        <f t="shared" si="2"/>
        <v>0</v>
      </c>
      <c r="U25" s="322"/>
      <c r="V25" s="543" t="e">
        <f>+'Plan de Accion 2018'!AY111</f>
        <v>#DIV/0!</v>
      </c>
      <c r="W25" s="767" t="str">
        <f>+'Plan de Accion 2018'!BR111</f>
        <v>No Prog ni Ejec</v>
      </c>
      <c r="X25" s="629" t="s">
        <v>792</v>
      </c>
      <c r="Y25" s="882">
        <f>+'Plan de Accion 2018'!BA111</f>
        <v>0</v>
      </c>
      <c r="Z25" s="882">
        <f t="shared" si="8"/>
        <v>0</v>
      </c>
      <c r="AA25" s="883">
        <f>+Z25</f>
        <v>0</v>
      </c>
      <c r="AB25" s="642"/>
      <c r="AC25" s="543">
        <f>+'Plan de Accion 2018'!BI111</f>
        <v>0.99157421922220612</v>
      </c>
      <c r="AD25" s="767">
        <f>+'Plan de Accion 2018'!BT111</f>
        <v>0.99157421922220612</v>
      </c>
      <c r="AE25" s="629">
        <f t="shared" si="9"/>
        <v>0.99157421922220612</v>
      </c>
      <c r="AF25" s="767">
        <f>+'Plan de Accion 2018'!BK111</f>
        <v>0.99157421922220612</v>
      </c>
      <c r="AG25" s="637">
        <f t="shared" si="10"/>
        <v>0.99157421922220612</v>
      </c>
      <c r="AH25" s="1458"/>
      <c r="AJ25" s="1449"/>
      <c r="AK25" s="1446"/>
      <c r="AL25" s="321"/>
      <c r="AM25" s="1455"/>
      <c r="AN25" s="1446"/>
      <c r="AO25" s="321"/>
      <c r="AP25" s="1449"/>
      <c r="AQ25" s="1446"/>
      <c r="AR25" s="321"/>
      <c r="AS25" s="1449"/>
      <c r="AT25" s="1446"/>
      <c r="AU25" s="326"/>
      <c r="AV25" s="1452"/>
      <c r="AX25" s="1449"/>
      <c r="AY25" s="1446"/>
      <c r="AZ25" s="321"/>
      <c r="BA25" s="1455"/>
      <c r="BB25" s="1446"/>
      <c r="BC25" s="321"/>
      <c r="BD25" s="1449"/>
      <c r="BE25" s="1446"/>
      <c r="BF25" s="321"/>
      <c r="BG25" s="1449"/>
      <c r="BH25" s="1446"/>
      <c r="BI25" s="326"/>
      <c r="BJ25" s="1452"/>
      <c r="BL25" s="1449"/>
      <c r="BM25" s="1446"/>
      <c r="BN25" s="321"/>
      <c r="BO25" s="1455"/>
      <c r="BP25" s="1446"/>
      <c r="BQ25" s="321"/>
      <c r="BR25" s="1449"/>
      <c r="BS25" s="1446"/>
      <c r="BT25" s="321"/>
      <c r="BU25" s="1449"/>
      <c r="BV25" s="1446"/>
      <c r="BW25" s="326"/>
      <c r="BX25" s="1452"/>
      <c r="BZ25" s="1449"/>
      <c r="CA25" s="1446"/>
      <c r="CB25" s="321"/>
      <c r="CC25" s="1455"/>
      <c r="CD25" s="1446"/>
      <c r="CE25" s="321"/>
      <c r="CF25" s="1449"/>
      <c r="CG25" s="1446"/>
      <c r="CH25" s="321"/>
      <c r="CI25" s="1449"/>
      <c r="CJ25" s="1446"/>
      <c r="CK25" s="326"/>
      <c r="CL25" s="1452"/>
    </row>
    <row r="26" spans="2:90" ht="15" x14ac:dyDescent="0.2">
      <c r="B26" s="1491"/>
      <c r="C26" s="1397"/>
      <c r="D26" s="754" t="str">
        <f>+'Plan de Accion 2018'!G122</f>
        <v>Plan de Bienestar</v>
      </c>
      <c r="E26" s="1423"/>
      <c r="F26" s="1404"/>
      <c r="G26" s="321"/>
      <c r="H26" s="543">
        <f>+'Plan de Accion 2018'!AE122</f>
        <v>0</v>
      </c>
      <c r="I26" s="767">
        <f>+'Plan de Accion 2018'!BN122</f>
        <v>0</v>
      </c>
      <c r="J26" s="767">
        <f t="shared" si="4"/>
        <v>0</v>
      </c>
      <c r="K26" s="767">
        <f>+'Plan de Accion 2018'!AG122</f>
        <v>0</v>
      </c>
      <c r="L26" s="875">
        <f t="shared" si="5"/>
        <v>0</v>
      </c>
      <c r="M26" s="682">
        <f t="shared" si="6"/>
        <v>0</v>
      </c>
      <c r="N26" s="642"/>
      <c r="O26" s="543">
        <f>+'Plan de Accion 2018'!AO122</f>
        <v>0</v>
      </c>
      <c r="P26" s="767">
        <f>+'Plan de Accion 2018'!BP122</f>
        <v>0</v>
      </c>
      <c r="Q26" s="629">
        <f t="shared" si="0"/>
        <v>0</v>
      </c>
      <c r="R26" s="751">
        <f>+'Plan de Accion 2018'!AQ122</f>
        <v>0</v>
      </c>
      <c r="S26" s="873">
        <f t="shared" si="7"/>
        <v>0</v>
      </c>
      <c r="T26" s="637">
        <f t="shared" si="2"/>
        <v>0</v>
      </c>
      <c r="U26" s="322"/>
      <c r="V26" s="543" t="e">
        <f>+'Plan de Accion 2018'!AY122</f>
        <v>#DIV/0!</v>
      </c>
      <c r="W26" s="767">
        <f>+'Plan de Accion 2018'!BA122</f>
        <v>3.8984608401875058E-2</v>
      </c>
      <c r="X26" s="629">
        <f t="shared" si="1"/>
        <v>3.8984608401875058E-2</v>
      </c>
      <c r="Y26" s="882">
        <f>+'Plan de Accion 2018'!BA122</f>
        <v>3.8984608401875058E-2</v>
      </c>
      <c r="Z26" s="882">
        <f t="shared" si="8"/>
        <v>3.8984608401875058E-2</v>
      </c>
      <c r="AA26" s="883">
        <f>+Z26</f>
        <v>3.8984608401875058E-2</v>
      </c>
      <c r="AB26" s="642"/>
      <c r="AC26" s="543">
        <f>+'Plan de Accion 2018'!BI122</f>
        <v>0.63916378636949411</v>
      </c>
      <c r="AD26" s="767">
        <f>+'Plan de Accion 2018'!BT122</f>
        <v>0.63916378636949411</v>
      </c>
      <c r="AE26" s="629">
        <f t="shared" si="9"/>
        <v>0.63916378636949411</v>
      </c>
      <c r="AF26" s="767">
        <f>+'Plan de Accion 2018'!BK122</f>
        <v>0.67814839477136923</v>
      </c>
      <c r="AG26" s="637">
        <f t="shared" si="10"/>
        <v>0.67814839477136923</v>
      </c>
      <c r="AH26" s="1458"/>
      <c r="AJ26" s="1449"/>
      <c r="AK26" s="1446"/>
      <c r="AL26" s="321"/>
      <c r="AM26" s="1455"/>
      <c r="AN26" s="1446"/>
      <c r="AO26" s="321"/>
      <c r="AP26" s="1449"/>
      <c r="AQ26" s="1446"/>
      <c r="AR26" s="321"/>
      <c r="AS26" s="1449"/>
      <c r="AT26" s="1446"/>
      <c r="AU26" s="326"/>
      <c r="AV26" s="1452"/>
      <c r="AX26" s="1449"/>
      <c r="AY26" s="1446"/>
      <c r="AZ26" s="321"/>
      <c r="BA26" s="1455"/>
      <c r="BB26" s="1446"/>
      <c r="BC26" s="321"/>
      <c r="BD26" s="1449"/>
      <c r="BE26" s="1446"/>
      <c r="BF26" s="321"/>
      <c r="BG26" s="1449"/>
      <c r="BH26" s="1446"/>
      <c r="BI26" s="326"/>
      <c r="BJ26" s="1452"/>
      <c r="BL26" s="1449"/>
      <c r="BM26" s="1446"/>
      <c r="BN26" s="321"/>
      <c r="BO26" s="1455"/>
      <c r="BP26" s="1446"/>
      <c r="BQ26" s="321"/>
      <c r="BR26" s="1449"/>
      <c r="BS26" s="1446"/>
      <c r="BT26" s="321"/>
      <c r="BU26" s="1449"/>
      <c r="BV26" s="1446"/>
      <c r="BW26" s="326"/>
      <c r="BX26" s="1452"/>
      <c r="BZ26" s="1449"/>
      <c r="CA26" s="1446"/>
      <c r="CB26" s="321"/>
      <c r="CC26" s="1455"/>
      <c r="CD26" s="1446"/>
      <c r="CE26" s="321"/>
      <c r="CF26" s="1449"/>
      <c r="CG26" s="1446"/>
      <c r="CH26" s="321"/>
      <c r="CI26" s="1449"/>
      <c r="CJ26" s="1446"/>
      <c r="CK26" s="326"/>
      <c r="CL26" s="1452"/>
    </row>
    <row r="27" spans="2:90" ht="15" x14ac:dyDescent="0.2">
      <c r="B27" s="1491"/>
      <c r="C27" s="1397"/>
      <c r="D27" s="754" t="str">
        <f>+'Plan de Accion 2018'!G137</f>
        <v>Sistema de nómina ( Solredes)</v>
      </c>
      <c r="E27" s="1423"/>
      <c r="F27" s="1404"/>
      <c r="G27" s="321"/>
      <c r="H27" s="543">
        <f>+'Plan de Accion 2018'!AE137</f>
        <v>0</v>
      </c>
      <c r="I27" s="767">
        <f>+'Plan de Accion 2018'!BN137</f>
        <v>0</v>
      </c>
      <c r="J27" s="767">
        <f t="shared" si="4"/>
        <v>0</v>
      </c>
      <c r="K27" s="767">
        <f>+'Plan de Accion 2018'!AG137</f>
        <v>0</v>
      </c>
      <c r="L27" s="875">
        <f t="shared" si="5"/>
        <v>0</v>
      </c>
      <c r="M27" s="682">
        <f t="shared" si="6"/>
        <v>0</v>
      </c>
      <c r="N27" s="642"/>
      <c r="O27" s="543">
        <f>+'Plan de Accion 2018'!AO137</f>
        <v>0</v>
      </c>
      <c r="P27" s="767">
        <f>+'Plan de Accion 2018'!BP137</f>
        <v>0</v>
      </c>
      <c r="Q27" s="629">
        <f t="shared" si="0"/>
        <v>0</v>
      </c>
      <c r="R27" s="751">
        <f>+'Plan de Accion 2018'!AQ137</f>
        <v>0</v>
      </c>
      <c r="S27" s="873">
        <f t="shared" si="7"/>
        <v>0</v>
      </c>
      <c r="T27" s="637">
        <f t="shared" si="2"/>
        <v>0</v>
      </c>
      <c r="U27" s="322"/>
      <c r="V27" s="543">
        <f>+'Plan de Accion 2018'!AY137</f>
        <v>0</v>
      </c>
      <c r="W27" s="767">
        <f>+'Plan de Accion 2018'!BR137</f>
        <v>0</v>
      </c>
      <c r="X27" s="629">
        <f t="shared" si="1"/>
        <v>0</v>
      </c>
      <c r="Y27" s="882">
        <f>+'Plan de Accion 2018'!BA137</f>
        <v>0</v>
      </c>
      <c r="Z27" s="882">
        <f t="shared" si="8"/>
        <v>0</v>
      </c>
      <c r="AA27" s="883">
        <f t="shared" si="3"/>
        <v>0</v>
      </c>
      <c r="AB27" s="642"/>
      <c r="AC27" s="543">
        <f>+'Plan de Accion 2018'!BI137</f>
        <v>0</v>
      </c>
      <c r="AD27" s="767">
        <f>+'Plan de Accion 2018'!BT137</f>
        <v>0</v>
      </c>
      <c r="AE27" s="629">
        <f t="shared" si="9"/>
        <v>0</v>
      </c>
      <c r="AF27" s="767">
        <f>+'Plan de Accion 2018'!BK137</f>
        <v>0</v>
      </c>
      <c r="AG27" s="637">
        <f t="shared" si="10"/>
        <v>0</v>
      </c>
      <c r="AH27" s="1458"/>
      <c r="AJ27" s="1449"/>
      <c r="AK27" s="1446"/>
      <c r="AL27" s="321"/>
      <c r="AM27" s="1455"/>
      <c r="AN27" s="1446"/>
      <c r="AO27" s="321"/>
      <c r="AP27" s="1449"/>
      <c r="AQ27" s="1446"/>
      <c r="AR27" s="321"/>
      <c r="AS27" s="1449"/>
      <c r="AT27" s="1446"/>
      <c r="AU27" s="326"/>
      <c r="AV27" s="1452"/>
      <c r="AX27" s="1449"/>
      <c r="AY27" s="1446"/>
      <c r="AZ27" s="321"/>
      <c r="BA27" s="1455"/>
      <c r="BB27" s="1446"/>
      <c r="BC27" s="321"/>
      <c r="BD27" s="1449"/>
      <c r="BE27" s="1446"/>
      <c r="BF27" s="321"/>
      <c r="BG27" s="1449"/>
      <c r="BH27" s="1446"/>
      <c r="BI27" s="326"/>
      <c r="BJ27" s="1452"/>
      <c r="BL27" s="1449"/>
      <c r="BM27" s="1446"/>
      <c r="BN27" s="321"/>
      <c r="BO27" s="1455"/>
      <c r="BP27" s="1446"/>
      <c r="BQ27" s="321"/>
      <c r="BR27" s="1449"/>
      <c r="BS27" s="1446"/>
      <c r="BT27" s="321"/>
      <c r="BU27" s="1449"/>
      <c r="BV27" s="1446"/>
      <c r="BW27" s="326"/>
      <c r="BX27" s="1452"/>
      <c r="BZ27" s="1449"/>
      <c r="CA27" s="1446"/>
      <c r="CB27" s="321"/>
      <c r="CC27" s="1455"/>
      <c r="CD27" s="1446"/>
      <c r="CE27" s="321"/>
      <c r="CF27" s="1449"/>
      <c r="CG27" s="1446"/>
      <c r="CH27" s="321"/>
      <c r="CI27" s="1449"/>
      <c r="CJ27" s="1446"/>
      <c r="CK27" s="326"/>
      <c r="CL27" s="1452"/>
    </row>
    <row r="28" spans="2:90" ht="15" x14ac:dyDescent="0.2">
      <c r="B28" s="1491"/>
      <c r="C28" s="1397"/>
      <c r="D28" s="754" t="str">
        <f>+'Plan de Accion 2018'!G143</f>
        <v>Gestión de Correspondencia</v>
      </c>
      <c r="E28" s="1423"/>
      <c r="F28" s="1404"/>
      <c r="G28" s="321"/>
      <c r="H28" s="543">
        <f>+'Plan de Accion 2018'!AE143</f>
        <v>0.43977388786953714</v>
      </c>
      <c r="I28" s="767">
        <f>+'Plan de Accion 2018'!BN143</f>
        <v>0.43977388786953714</v>
      </c>
      <c r="J28" s="767">
        <f t="shared" si="4"/>
        <v>0.43977388786953714</v>
      </c>
      <c r="K28" s="767">
        <f>+'Plan de Accion 2018'!AG143</f>
        <v>0.10994347196738428</v>
      </c>
      <c r="L28" s="875">
        <f t="shared" si="5"/>
        <v>0.10994347196738428</v>
      </c>
      <c r="M28" s="682">
        <f t="shared" si="6"/>
        <v>0.10994347196738428</v>
      </c>
      <c r="N28" s="642"/>
      <c r="O28" s="543">
        <f>+'Plan de Accion 2018'!AO143</f>
        <v>0.48164800029361349</v>
      </c>
      <c r="P28" s="767">
        <f>+'Plan de Accion 2018'!BP143</f>
        <v>0.48164800029361349</v>
      </c>
      <c r="Q28" s="629">
        <f t="shared" si="0"/>
        <v>0.48164800029361349</v>
      </c>
      <c r="R28" s="751">
        <f>+'Plan de Accion 2018'!AQ143</f>
        <v>0.23035547204078766</v>
      </c>
      <c r="S28" s="873">
        <f t="shared" si="7"/>
        <v>0.23035547204078766</v>
      </c>
      <c r="T28" s="637">
        <f t="shared" si="2"/>
        <v>0.23035547204078766</v>
      </c>
      <c r="U28" s="322"/>
      <c r="V28" s="543">
        <f>+'Plan de Accion 2018'!AY143</f>
        <v>0.42721398743574129</v>
      </c>
      <c r="W28" s="767">
        <f>+'Plan de Accion 2018'!BR143</f>
        <v>0.42721398743574129</v>
      </c>
      <c r="X28" s="629">
        <f t="shared" si="1"/>
        <v>0.42721398743574129</v>
      </c>
      <c r="Y28" s="882">
        <f>+'Plan de Accion 2018'!BA143</f>
        <v>0.33715896889972297</v>
      </c>
      <c r="Z28" s="882">
        <f t="shared" si="8"/>
        <v>0.33715896889972297</v>
      </c>
      <c r="AA28" s="883">
        <f t="shared" si="3"/>
        <v>0.33715896889972297</v>
      </c>
      <c r="AB28" s="642"/>
      <c r="AC28" s="543">
        <f>+'Plan de Accion 2018'!BI143</f>
        <v>1.2424945797885949</v>
      </c>
      <c r="AD28" s="767">
        <f>+'Plan de Accion 2018'!BT143</f>
        <v>1.2424945797885949</v>
      </c>
      <c r="AE28" s="629">
        <f t="shared" si="9"/>
        <v>1</v>
      </c>
      <c r="AF28" s="767">
        <f>+'Plan de Accion 2018'!BK143</f>
        <v>0.64778261384687175</v>
      </c>
      <c r="AG28" s="637">
        <f t="shared" si="10"/>
        <v>0.64778261384687175</v>
      </c>
      <c r="AH28" s="1458"/>
      <c r="AJ28" s="1449"/>
      <c r="AK28" s="1446"/>
      <c r="AL28" s="321"/>
      <c r="AM28" s="1455"/>
      <c r="AN28" s="1446"/>
      <c r="AO28" s="321"/>
      <c r="AP28" s="1449"/>
      <c r="AQ28" s="1446"/>
      <c r="AR28" s="321"/>
      <c r="AS28" s="1449"/>
      <c r="AT28" s="1446"/>
      <c r="AU28" s="326"/>
      <c r="AV28" s="1452"/>
      <c r="AX28" s="1449"/>
      <c r="AY28" s="1446"/>
      <c r="AZ28" s="321"/>
      <c r="BA28" s="1455"/>
      <c r="BB28" s="1446"/>
      <c r="BC28" s="321"/>
      <c r="BD28" s="1449"/>
      <c r="BE28" s="1446"/>
      <c r="BF28" s="321"/>
      <c r="BG28" s="1449"/>
      <c r="BH28" s="1446"/>
      <c r="BI28" s="326"/>
      <c r="BJ28" s="1452"/>
      <c r="BL28" s="1449"/>
      <c r="BM28" s="1446"/>
      <c r="BN28" s="321"/>
      <c r="BO28" s="1455"/>
      <c r="BP28" s="1446"/>
      <c r="BQ28" s="321"/>
      <c r="BR28" s="1449"/>
      <c r="BS28" s="1446"/>
      <c r="BT28" s="321"/>
      <c r="BU28" s="1449"/>
      <c r="BV28" s="1446"/>
      <c r="BW28" s="326"/>
      <c r="BX28" s="1452"/>
      <c r="BZ28" s="1449"/>
      <c r="CA28" s="1446"/>
      <c r="CB28" s="321"/>
      <c r="CC28" s="1455"/>
      <c r="CD28" s="1446"/>
      <c r="CE28" s="321"/>
      <c r="CF28" s="1449"/>
      <c r="CG28" s="1446"/>
      <c r="CH28" s="321"/>
      <c r="CI28" s="1449"/>
      <c r="CJ28" s="1446"/>
      <c r="CK28" s="326"/>
      <c r="CL28" s="1452"/>
    </row>
    <row r="29" spans="2:90" ht="99.75" x14ac:dyDescent="0.2">
      <c r="B29" s="1491"/>
      <c r="C29" s="1397"/>
      <c r="D29" s="754" t="str">
        <f>+'Plan de Accion 2018'!G144</f>
        <v>Fortalecimiento de canales de atención al ciudadano con el fin de brindar la atención, respuesta inmediata, seguimiento a solicitudes de los ciudadanos, empresas y servidores públicos. Call Center .</v>
      </c>
      <c r="E29" s="1423"/>
      <c r="F29" s="1404"/>
      <c r="G29" s="321"/>
      <c r="H29" s="543">
        <f>+'Plan de Accion 2018'!AE144</f>
        <v>1.023519968924556</v>
      </c>
      <c r="I29" s="767">
        <f>+'Plan de Accion 2018'!BN144</f>
        <v>1.023519968924556</v>
      </c>
      <c r="J29" s="767">
        <f t="shared" si="4"/>
        <v>1</v>
      </c>
      <c r="K29" s="767">
        <f>+'Plan de Accion 2018'!AG144</f>
        <v>0.24759298250691866</v>
      </c>
      <c r="L29" s="875">
        <f t="shared" si="5"/>
        <v>0.24759298250691866</v>
      </c>
      <c r="M29" s="682">
        <f t="shared" si="6"/>
        <v>0.24759298250691866</v>
      </c>
      <c r="N29" s="642">
        <v>1</v>
      </c>
      <c r="O29" s="543">
        <f>+'Plan de Accion 2018'!AO144</f>
        <v>1.0430536742320939</v>
      </c>
      <c r="P29" s="767">
        <f>+'Plan de Accion 2018'!BP144</f>
        <v>1.0430536742320939</v>
      </c>
      <c r="Q29" s="629">
        <f t="shared" si="0"/>
        <v>1</v>
      </c>
      <c r="R29" s="751">
        <f>+'Plan de Accion 2018'!AQ144</f>
        <v>0.49991123516326719</v>
      </c>
      <c r="S29" s="873">
        <f t="shared" si="7"/>
        <v>0.49991123516326719</v>
      </c>
      <c r="T29" s="637">
        <f t="shared" si="2"/>
        <v>0.49991123516326719</v>
      </c>
      <c r="U29" s="642">
        <v>1</v>
      </c>
      <c r="V29" s="543">
        <f>+'Plan de Accion 2018'!AY144</f>
        <v>1.0430269648823653</v>
      </c>
      <c r="W29" s="767">
        <f>+'Plan de Accion 2018'!BR144</f>
        <v>1.0430269648823653</v>
      </c>
      <c r="X29" s="629">
        <f t="shared" si="1"/>
        <v>1</v>
      </c>
      <c r="Y29" s="882">
        <f>+'Plan de Accion 2018'!BA144</f>
        <v>0.75222302673652897</v>
      </c>
      <c r="Z29" s="882">
        <f t="shared" si="8"/>
        <v>0.75222302673652897</v>
      </c>
      <c r="AA29" s="883">
        <f t="shared" si="3"/>
        <v>0.75222302673652897</v>
      </c>
      <c r="AB29" s="642">
        <v>1</v>
      </c>
      <c r="AC29" s="543">
        <f>+'Plan de Accion 2018'!BI144</f>
        <v>0.88940303002143684</v>
      </c>
      <c r="AD29" s="767">
        <f>+'Plan de Accion 2018'!BT144</f>
        <v>0.88940303002143684</v>
      </c>
      <c r="AE29" s="629">
        <f t="shared" si="9"/>
        <v>0.88940303002143684</v>
      </c>
      <c r="AF29" s="767">
        <f>+'Plan de Accion 2018'!BK144</f>
        <v>0.9961771484623726</v>
      </c>
      <c r="AG29" s="637">
        <f t="shared" si="10"/>
        <v>0.9961771484623726</v>
      </c>
      <c r="AH29" s="1458"/>
      <c r="AJ29" s="1449"/>
      <c r="AK29" s="1446"/>
      <c r="AL29" s="321"/>
      <c r="AM29" s="1455"/>
      <c r="AN29" s="1446"/>
      <c r="AO29" s="321"/>
      <c r="AP29" s="1449"/>
      <c r="AQ29" s="1446"/>
      <c r="AR29" s="321"/>
      <c r="AS29" s="1449"/>
      <c r="AT29" s="1446"/>
      <c r="AU29" s="326"/>
      <c r="AV29" s="1452"/>
      <c r="AX29" s="1449"/>
      <c r="AY29" s="1446"/>
      <c r="AZ29" s="321"/>
      <c r="BA29" s="1455"/>
      <c r="BB29" s="1446"/>
      <c r="BC29" s="321"/>
      <c r="BD29" s="1449"/>
      <c r="BE29" s="1446"/>
      <c r="BF29" s="321"/>
      <c r="BG29" s="1449"/>
      <c r="BH29" s="1446"/>
      <c r="BI29" s="326"/>
      <c r="BJ29" s="1452"/>
      <c r="BL29" s="1449"/>
      <c r="BM29" s="1446"/>
      <c r="BN29" s="321"/>
      <c r="BO29" s="1455"/>
      <c r="BP29" s="1446"/>
      <c r="BQ29" s="321"/>
      <c r="BR29" s="1449"/>
      <c r="BS29" s="1446"/>
      <c r="BT29" s="321"/>
      <c r="BU29" s="1449"/>
      <c r="BV29" s="1446"/>
      <c r="BW29" s="326"/>
      <c r="BX29" s="1452"/>
      <c r="BZ29" s="1449"/>
      <c r="CA29" s="1446"/>
      <c r="CB29" s="321"/>
      <c r="CC29" s="1455"/>
      <c r="CD29" s="1446"/>
      <c r="CE29" s="321"/>
      <c r="CF29" s="1449"/>
      <c r="CG29" s="1446"/>
      <c r="CH29" s="321"/>
      <c r="CI29" s="1449"/>
      <c r="CJ29" s="1446"/>
      <c r="CK29" s="326"/>
      <c r="CL29" s="1452"/>
    </row>
    <row r="30" spans="2:90" ht="28.5" x14ac:dyDescent="0.2">
      <c r="B30" s="1491"/>
      <c r="C30" s="1397"/>
      <c r="D30" s="754" t="str">
        <f>+'Plan de Accion 2018'!G140</f>
        <v xml:space="preserve">Publicación Diario Oficial y diario de Amplia Circulación </v>
      </c>
      <c r="E30" s="1423"/>
      <c r="F30" s="1404"/>
      <c r="G30" s="321"/>
      <c r="H30" s="543">
        <f>+'Plan de Accion 2018'!AB140</f>
        <v>1</v>
      </c>
      <c r="I30" s="767" t="str">
        <f>+'Plan de Accion 2018'!BN140</f>
        <v>No Prog, Ejec=  57600</v>
      </c>
      <c r="J30" s="767">
        <f t="shared" si="4"/>
        <v>1</v>
      </c>
      <c r="K30" s="603">
        <f>+'Plan de Accion 2018'!AG140</f>
        <v>5.7600000000000001E-4</v>
      </c>
      <c r="L30" s="875">
        <f t="shared" si="5"/>
        <v>5.7600000000000001E-4</v>
      </c>
      <c r="M30" s="682">
        <f t="shared" si="6"/>
        <v>5.7600000000000001E-4</v>
      </c>
      <c r="N30" s="642"/>
      <c r="O30" s="674">
        <f>+'Plan de Accion 2018'!AO140</f>
        <v>1.134E-3</v>
      </c>
      <c r="P30" s="603">
        <f>+'Plan de Accion 2018'!BP140</f>
        <v>1.134E-3</v>
      </c>
      <c r="Q30" s="630">
        <f t="shared" si="0"/>
        <v>1.134E-3</v>
      </c>
      <c r="R30" s="675">
        <f>+'Plan de Accion 2018'!AQ140</f>
        <v>1.1429999999999999E-3</v>
      </c>
      <c r="S30" s="873">
        <f t="shared" si="7"/>
        <v>1.1429999999999999E-3</v>
      </c>
      <c r="T30" s="676">
        <f t="shared" si="2"/>
        <v>1.1429999999999999E-3</v>
      </c>
      <c r="U30" s="322"/>
      <c r="V30" s="543" t="e">
        <f>+'Plan de Accion 2018'!AY140</f>
        <v>#DIV/0!</v>
      </c>
      <c r="W30" s="767">
        <f>+'Plan de Accion 2018'!BA140</f>
        <v>4.0069E-2</v>
      </c>
      <c r="X30" s="629">
        <f>IF(W30&gt;100%,100%,W30)</f>
        <v>4.0069E-2</v>
      </c>
      <c r="Y30" s="882">
        <f>+'Plan de Accion 2018'!BA140</f>
        <v>4.0069E-2</v>
      </c>
      <c r="Z30" s="882">
        <f t="shared" si="8"/>
        <v>4.0069E-2</v>
      </c>
      <c r="AA30" s="883">
        <f>+Z30</f>
        <v>4.0069E-2</v>
      </c>
      <c r="AB30" s="642"/>
      <c r="AC30" s="543">
        <f>+'Plan de Accion 2018'!BI140</f>
        <v>6.1460000000000004E-3</v>
      </c>
      <c r="AD30" s="767">
        <f>+'Plan de Accion 2018'!BT140</f>
        <v>6.1460000000000004E-3</v>
      </c>
      <c r="AE30" s="629">
        <f t="shared" si="9"/>
        <v>6.1460000000000004E-3</v>
      </c>
      <c r="AF30" s="767">
        <f>+'Plan de Accion 2018'!BK140</f>
        <v>4.3142E-2</v>
      </c>
      <c r="AG30" s="637">
        <f t="shared" si="10"/>
        <v>4.3142E-2</v>
      </c>
      <c r="AH30" s="1458"/>
      <c r="AJ30" s="1449"/>
      <c r="AK30" s="1446"/>
      <c r="AL30" s="321"/>
      <c r="AM30" s="1455"/>
      <c r="AN30" s="1446"/>
      <c r="AO30" s="321"/>
      <c r="AP30" s="1449"/>
      <c r="AQ30" s="1446"/>
      <c r="AR30" s="321"/>
      <c r="AS30" s="1449"/>
      <c r="AT30" s="1446"/>
      <c r="AU30" s="326"/>
      <c r="AV30" s="1452"/>
      <c r="AX30" s="1449"/>
      <c r="AY30" s="1446"/>
      <c r="AZ30" s="321"/>
      <c r="BA30" s="1455"/>
      <c r="BB30" s="1446"/>
      <c r="BC30" s="321"/>
      <c r="BD30" s="1449"/>
      <c r="BE30" s="1446"/>
      <c r="BF30" s="321"/>
      <c r="BG30" s="1449"/>
      <c r="BH30" s="1446"/>
      <c r="BI30" s="326"/>
      <c r="BJ30" s="1452"/>
      <c r="BL30" s="1449"/>
      <c r="BM30" s="1446"/>
      <c r="BN30" s="321"/>
      <c r="BO30" s="1455"/>
      <c r="BP30" s="1446"/>
      <c r="BQ30" s="321"/>
      <c r="BR30" s="1449"/>
      <c r="BS30" s="1446"/>
      <c r="BT30" s="321"/>
      <c r="BU30" s="1449"/>
      <c r="BV30" s="1446"/>
      <c r="BW30" s="326"/>
      <c r="BX30" s="1452"/>
      <c r="BZ30" s="1449"/>
      <c r="CA30" s="1446"/>
      <c r="CB30" s="321"/>
      <c r="CC30" s="1455"/>
      <c r="CD30" s="1446"/>
      <c r="CE30" s="321"/>
      <c r="CF30" s="1449"/>
      <c r="CG30" s="1446"/>
      <c r="CH30" s="321"/>
      <c r="CI30" s="1449"/>
      <c r="CJ30" s="1446"/>
      <c r="CK30" s="326"/>
      <c r="CL30" s="1452"/>
    </row>
    <row r="31" spans="2:90" s="542" customFormat="1" ht="39.75" customHeight="1" x14ac:dyDescent="0.2">
      <c r="B31" s="1491"/>
      <c r="C31" s="1397"/>
      <c r="D31" s="754" t="str">
        <f>+'Plan de Accion 2018'!G286</f>
        <v xml:space="preserve">Las unidades documentales transferidas al custodio final </v>
      </c>
      <c r="E31" s="1423"/>
      <c r="F31" s="1404"/>
      <c r="G31" s="321"/>
      <c r="H31" s="543" t="e">
        <f>+'Plan de Accion 2018'!AE286</f>
        <v>#DIV/0!</v>
      </c>
      <c r="I31" s="767" t="str">
        <f>+'Plan de Accion 2018'!BN286</f>
        <v>No Prog ni Ejec</v>
      </c>
      <c r="J31" s="767" t="s">
        <v>792</v>
      </c>
      <c r="K31" s="767">
        <f>+'Plan de Accion 2018'!AG286</f>
        <v>0</v>
      </c>
      <c r="L31" s="875">
        <f t="shared" si="5"/>
        <v>0</v>
      </c>
      <c r="M31" s="682" t="s">
        <v>792</v>
      </c>
      <c r="N31" s="642">
        <v>1</v>
      </c>
      <c r="O31" s="543" t="e">
        <f>+'Plan de Accion 2018'!AO286</f>
        <v>#DIV/0!</v>
      </c>
      <c r="P31" s="767" t="str">
        <f>+'Plan de Accion 2018'!BP286</f>
        <v>No Prog ni Ejec</v>
      </c>
      <c r="Q31" s="629" t="s">
        <v>792</v>
      </c>
      <c r="R31" s="751">
        <f>+'Plan de Accion 2018'!AQ286</f>
        <v>0</v>
      </c>
      <c r="S31" s="873">
        <f t="shared" si="7"/>
        <v>0</v>
      </c>
      <c r="T31" s="637" t="s">
        <v>792</v>
      </c>
      <c r="U31" s="642">
        <v>1</v>
      </c>
      <c r="V31" s="543">
        <f>+'Plan de Accion 2018'!AY286</f>
        <v>0.30079814999999999</v>
      </c>
      <c r="W31" s="767">
        <f>+'Plan de Accion 2018'!BR286</f>
        <v>0.30079814999999999</v>
      </c>
      <c r="X31" s="629">
        <f>IF(W31&gt;100%,100%,W31)</f>
        <v>0.30079814999999999</v>
      </c>
      <c r="Y31" s="882">
        <f>+'Plan de Accion 2018'!BA286</f>
        <v>0.15039907499999999</v>
      </c>
      <c r="Z31" s="882">
        <f t="shared" si="8"/>
        <v>0.15039907499999999</v>
      </c>
      <c r="AA31" s="883">
        <f>+Z31</f>
        <v>0.15039907499999999</v>
      </c>
      <c r="AB31" s="642"/>
      <c r="AC31" s="543">
        <f>+'Plan de Accion 2018'!BI286</f>
        <v>0.81827510000000003</v>
      </c>
      <c r="AD31" s="767">
        <f>+'Plan de Accion 2018'!BT286</f>
        <v>0.81827510000000003</v>
      </c>
      <c r="AE31" s="629">
        <f>IF(AD31&gt;100%,100%,AD31)</f>
        <v>0.81827510000000003</v>
      </c>
      <c r="AF31" s="767">
        <f>+'Plan de Accion 2018'!BK286</f>
        <v>0.55953662500000001</v>
      </c>
      <c r="AG31" s="637">
        <f>IF(AF31&gt;100%,100%,AF31)</f>
        <v>0.55953662500000001</v>
      </c>
      <c r="AH31" s="1458"/>
      <c r="AI31" s="1014"/>
      <c r="AJ31" s="1449"/>
      <c r="AK31" s="1446"/>
      <c r="AL31" s="321"/>
      <c r="AM31" s="1455"/>
      <c r="AN31" s="1446"/>
      <c r="AO31" s="321"/>
      <c r="AP31" s="1449"/>
      <c r="AQ31" s="1446"/>
      <c r="AR31" s="321"/>
      <c r="AS31" s="1449"/>
      <c r="AT31" s="1446"/>
      <c r="AU31" s="326"/>
      <c r="AV31" s="1452"/>
      <c r="AX31" s="1449"/>
      <c r="AY31" s="1446"/>
      <c r="AZ31" s="321"/>
      <c r="BA31" s="1455"/>
      <c r="BB31" s="1446"/>
      <c r="BC31" s="321"/>
      <c r="BD31" s="1449"/>
      <c r="BE31" s="1446"/>
      <c r="BF31" s="321"/>
      <c r="BG31" s="1449"/>
      <c r="BH31" s="1446"/>
      <c r="BI31" s="326"/>
      <c r="BJ31" s="1452"/>
      <c r="BL31" s="1449"/>
      <c r="BM31" s="1446"/>
      <c r="BN31" s="321"/>
      <c r="BO31" s="1455"/>
      <c r="BP31" s="1446"/>
      <c r="BQ31" s="321"/>
      <c r="BR31" s="1449"/>
      <c r="BS31" s="1446"/>
      <c r="BT31" s="321"/>
      <c r="BU31" s="1449"/>
      <c r="BV31" s="1446"/>
      <c r="BW31" s="326"/>
      <c r="BX31" s="1452"/>
      <c r="BZ31" s="1449"/>
      <c r="CA31" s="1446"/>
      <c r="CB31" s="321"/>
      <c r="CC31" s="1455"/>
      <c r="CD31" s="1446"/>
      <c r="CE31" s="321"/>
      <c r="CF31" s="1449"/>
      <c r="CG31" s="1446"/>
      <c r="CH31" s="321"/>
      <c r="CI31" s="1449"/>
      <c r="CJ31" s="1446"/>
      <c r="CK31" s="326"/>
      <c r="CL31" s="1452"/>
    </row>
    <row r="32" spans="2:90" s="542" customFormat="1" ht="39.75" customHeight="1" x14ac:dyDescent="0.2">
      <c r="B32" s="1491"/>
      <c r="C32" s="1397"/>
      <c r="D32" s="754" t="str">
        <f>+'Plan de Accion 2018'!G299</f>
        <v>Actividades  relacionadas  con  todo  el  plan del SST</v>
      </c>
      <c r="E32" s="1423"/>
      <c r="F32" s="1404"/>
      <c r="G32" s="321"/>
      <c r="H32" s="543" t="e">
        <f>+'Plan de Accion 2018'!AE299</f>
        <v>#DIV/0!</v>
      </c>
      <c r="I32" s="767" t="str">
        <f>+'Plan de Accion 2018'!BN299</f>
        <v>No Prog ni Ejec</v>
      </c>
      <c r="J32" s="767" t="s">
        <v>792</v>
      </c>
      <c r="K32" s="767" t="s">
        <v>792</v>
      </c>
      <c r="L32" s="875" t="s">
        <v>792</v>
      </c>
      <c r="M32" s="682" t="s">
        <v>792</v>
      </c>
      <c r="N32" s="642"/>
      <c r="O32" s="543" t="e">
        <f>+'Plan de Accion 2018'!AO299</f>
        <v>#DIV/0!</v>
      </c>
      <c r="P32" s="767" t="str">
        <f>+'Plan de Accion 2018'!BP299</f>
        <v>No Prog ni Ejec</v>
      </c>
      <c r="Q32" s="629" t="s">
        <v>792</v>
      </c>
      <c r="R32" s="751" t="s">
        <v>792</v>
      </c>
      <c r="S32" s="873" t="s">
        <v>792</v>
      </c>
      <c r="T32" s="637" t="s">
        <v>792</v>
      </c>
      <c r="U32" s="642">
        <v>1</v>
      </c>
      <c r="V32" s="543" t="e">
        <f>+'Plan de Accion 2018'!AY299</f>
        <v>#DIV/0!</v>
      </c>
      <c r="W32" s="767" t="str">
        <f>+'Plan de Accion 2018'!BR299</f>
        <v>No Prog ni Ejec</v>
      </c>
      <c r="X32" s="629" t="s">
        <v>792</v>
      </c>
      <c r="Y32" s="882" t="s">
        <v>792</v>
      </c>
      <c r="Z32" s="882" t="s">
        <v>792</v>
      </c>
      <c r="AA32" s="883" t="s">
        <v>792</v>
      </c>
      <c r="AB32" s="642"/>
      <c r="AC32" s="543" t="e">
        <f>+'Plan de Accion 2018'!BI299</f>
        <v>#DIV/0!</v>
      </c>
      <c r="AD32" s="767" t="str">
        <f>+'Plan de Accion 2018'!BT299</f>
        <v>No Prog ni Ejec</v>
      </c>
      <c r="AE32" s="629" t="s">
        <v>792</v>
      </c>
      <c r="AF32" s="767" t="s">
        <v>792</v>
      </c>
      <c r="AG32" s="637" t="s">
        <v>792</v>
      </c>
      <c r="AH32" s="1458"/>
      <c r="AI32" s="1014"/>
      <c r="AJ32" s="1449"/>
      <c r="AK32" s="1446"/>
      <c r="AL32" s="321"/>
      <c r="AM32" s="1455"/>
      <c r="AN32" s="1446"/>
      <c r="AO32" s="321"/>
      <c r="AP32" s="1449"/>
      <c r="AQ32" s="1446"/>
      <c r="AR32" s="321"/>
      <c r="AS32" s="1449"/>
      <c r="AT32" s="1446"/>
      <c r="AU32" s="326"/>
      <c r="AV32" s="1452"/>
      <c r="AX32" s="1449"/>
      <c r="AY32" s="1446"/>
      <c r="AZ32" s="321"/>
      <c r="BA32" s="1455"/>
      <c r="BB32" s="1446"/>
      <c r="BC32" s="321"/>
      <c r="BD32" s="1449"/>
      <c r="BE32" s="1446"/>
      <c r="BF32" s="321"/>
      <c r="BG32" s="1449"/>
      <c r="BH32" s="1446"/>
      <c r="BI32" s="326"/>
      <c r="BJ32" s="1452"/>
      <c r="BL32" s="1449"/>
      <c r="BM32" s="1446"/>
      <c r="BN32" s="321"/>
      <c r="BO32" s="1455"/>
      <c r="BP32" s="1446"/>
      <c r="BQ32" s="321"/>
      <c r="BR32" s="1449"/>
      <c r="BS32" s="1446"/>
      <c r="BT32" s="321"/>
      <c r="BU32" s="1449"/>
      <c r="BV32" s="1446"/>
      <c r="BW32" s="326"/>
      <c r="BX32" s="1452"/>
      <c r="BZ32" s="1449"/>
      <c r="CA32" s="1446"/>
      <c r="CB32" s="321"/>
      <c r="CC32" s="1455"/>
      <c r="CD32" s="1446"/>
      <c r="CE32" s="321"/>
      <c r="CF32" s="1449"/>
      <c r="CG32" s="1446"/>
      <c r="CH32" s="321"/>
      <c r="CI32" s="1449"/>
      <c r="CJ32" s="1446"/>
      <c r="CK32" s="326"/>
      <c r="CL32" s="1452"/>
    </row>
    <row r="33" spans="2:90" s="542" customFormat="1" ht="39.75" customHeight="1" x14ac:dyDescent="0.2">
      <c r="B33" s="1491"/>
      <c r="C33" s="1397"/>
      <c r="D33" s="754" t="str">
        <f>+'Plan de Accion 2018'!G305</f>
        <v>Apoyo a los procesos disciplinarios de la ADRES</v>
      </c>
      <c r="E33" s="1423"/>
      <c r="F33" s="1404"/>
      <c r="G33" s="321"/>
      <c r="H33" s="543" t="e">
        <f>+'Plan de Accion 2018'!AE305</f>
        <v>#DIV/0!</v>
      </c>
      <c r="I33" s="767" t="str">
        <f>+'Plan de Accion 2018'!BN305</f>
        <v>No Prog ni Ejec</v>
      </c>
      <c r="J33" s="767" t="s">
        <v>792</v>
      </c>
      <c r="K33" s="767">
        <f>+'Plan de Accion 2018'!AG305</f>
        <v>0</v>
      </c>
      <c r="L33" s="875">
        <f t="shared" si="5"/>
        <v>0</v>
      </c>
      <c r="M33" s="682" t="s">
        <v>792</v>
      </c>
      <c r="N33" s="642"/>
      <c r="O33" s="543" t="e">
        <f>+'Plan de Accion 2018'!AO305</f>
        <v>#DIV/0!</v>
      </c>
      <c r="P33" s="767" t="str">
        <f>+'Plan de Accion 2018'!BP305</f>
        <v>No Prog ni Ejec</v>
      </c>
      <c r="Q33" s="629" t="s">
        <v>792</v>
      </c>
      <c r="R33" s="751">
        <f>+'Plan de Accion 2018'!AQ305</f>
        <v>0</v>
      </c>
      <c r="S33" s="873">
        <f t="shared" si="7"/>
        <v>0</v>
      </c>
      <c r="T33" s="637" t="s">
        <v>792</v>
      </c>
      <c r="U33" s="642">
        <v>1</v>
      </c>
      <c r="V33" s="543" t="e">
        <f>+'Plan de Accion 2018'!AY305</f>
        <v>#DIV/0!</v>
      </c>
      <c r="W33" s="767" t="str">
        <f>+'Plan de Accion 2018'!BR305</f>
        <v>No Prog ni Ejec</v>
      </c>
      <c r="X33" s="629" t="s">
        <v>792</v>
      </c>
      <c r="Y33" s="882">
        <f>+'Plan de Accion 2018'!BA305</f>
        <v>0</v>
      </c>
      <c r="Z33" s="882">
        <f t="shared" si="8"/>
        <v>0</v>
      </c>
      <c r="AA33" s="883" t="s">
        <v>792</v>
      </c>
      <c r="AB33" s="642"/>
      <c r="AC33" s="543">
        <f>+'Plan de Accion 2018'!BI305</f>
        <v>0.40833332814530143</v>
      </c>
      <c r="AD33" s="767">
        <f>+'Plan de Accion 2018'!BT305</f>
        <v>0.40833332814530143</v>
      </c>
      <c r="AE33" s="629">
        <f>IF(AD33&gt;100%,100%,AD33)</f>
        <v>0.40833332814530143</v>
      </c>
      <c r="AF33" s="767">
        <f>+'Plan de Accion 2018'!BK305</f>
        <v>0.40833332814530143</v>
      </c>
      <c r="AG33" s="637">
        <f>IF(AF33&gt;100%,100%,AF33)</f>
        <v>0.40833332814530143</v>
      </c>
      <c r="AH33" s="1458"/>
      <c r="AI33" s="1014"/>
      <c r="AJ33" s="1449"/>
      <c r="AK33" s="1446"/>
      <c r="AL33" s="321"/>
      <c r="AM33" s="1455"/>
      <c r="AN33" s="1446"/>
      <c r="AO33" s="321"/>
      <c r="AP33" s="1449"/>
      <c r="AQ33" s="1446"/>
      <c r="AR33" s="321"/>
      <c r="AS33" s="1449"/>
      <c r="AT33" s="1446"/>
      <c r="AU33" s="326"/>
      <c r="AV33" s="1452"/>
      <c r="AX33" s="1449"/>
      <c r="AY33" s="1446"/>
      <c r="AZ33" s="321"/>
      <c r="BA33" s="1455"/>
      <c r="BB33" s="1446"/>
      <c r="BC33" s="321"/>
      <c r="BD33" s="1449"/>
      <c r="BE33" s="1446"/>
      <c r="BF33" s="321"/>
      <c r="BG33" s="1449"/>
      <c r="BH33" s="1446"/>
      <c r="BI33" s="326"/>
      <c r="BJ33" s="1452"/>
      <c r="BL33" s="1449"/>
      <c r="BM33" s="1446"/>
      <c r="BN33" s="321"/>
      <c r="BO33" s="1455"/>
      <c r="BP33" s="1446"/>
      <c r="BQ33" s="321"/>
      <c r="BR33" s="1449"/>
      <c r="BS33" s="1446"/>
      <c r="BT33" s="321"/>
      <c r="BU33" s="1449"/>
      <c r="BV33" s="1446"/>
      <c r="BW33" s="326"/>
      <c r="BX33" s="1452"/>
      <c r="BZ33" s="1449"/>
      <c r="CA33" s="1446"/>
      <c r="CB33" s="321"/>
      <c r="CC33" s="1455"/>
      <c r="CD33" s="1446"/>
      <c r="CE33" s="321"/>
      <c r="CF33" s="1449"/>
      <c r="CG33" s="1446"/>
      <c r="CH33" s="321"/>
      <c r="CI33" s="1449"/>
      <c r="CJ33" s="1446"/>
      <c r="CK33" s="326"/>
      <c r="CL33" s="1452"/>
    </row>
    <row r="34" spans="2:90" ht="28.5" x14ac:dyDescent="0.2">
      <c r="B34" s="1491"/>
      <c r="C34" s="1397"/>
      <c r="D34" s="754" t="str">
        <f>+'Plan de Accion 2018'!G147</f>
        <v>Custodia documental y atención de consultas</v>
      </c>
      <c r="E34" s="1423"/>
      <c r="F34" s="1404"/>
      <c r="G34" s="321"/>
      <c r="H34" s="543">
        <f>+'Plan de Accion 2018'!AE147</f>
        <v>1.3636394578199698</v>
      </c>
      <c r="I34" s="767">
        <f>+'Plan de Accion 2018'!BN147</f>
        <v>1.3636394578199698</v>
      </c>
      <c r="J34" s="767">
        <f t="shared" si="4"/>
        <v>1</v>
      </c>
      <c r="K34" s="767">
        <f>+'Plan de Accion 2018'!AG147</f>
        <v>0.34090986445499244</v>
      </c>
      <c r="L34" s="875">
        <f t="shared" si="5"/>
        <v>0.34090986445499244</v>
      </c>
      <c r="M34" s="682">
        <f t="shared" si="6"/>
        <v>0.34090986445499244</v>
      </c>
      <c r="N34" s="642">
        <v>1</v>
      </c>
      <c r="O34" s="543">
        <f>+'Plan de Accion 2018'!AO147</f>
        <v>0.67606493433348269</v>
      </c>
      <c r="P34" s="767">
        <f>+'Plan de Accion 2018'!BP147</f>
        <v>0.67606493433348269</v>
      </c>
      <c r="Q34" s="629">
        <f t="shared" si="0"/>
        <v>0.67606493433348269</v>
      </c>
      <c r="R34" s="751">
        <f>+'Plan de Accion 2018'!AQ147</f>
        <v>0.50992609803836308</v>
      </c>
      <c r="S34" s="873">
        <f t="shared" si="7"/>
        <v>0.50992609803836308</v>
      </c>
      <c r="T34" s="637">
        <f t="shared" si="2"/>
        <v>0.50992609803836308</v>
      </c>
      <c r="U34" s="322"/>
      <c r="V34" s="543">
        <f>+'Plan de Accion 2018'!AY147</f>
        <v>0.8678580507667315</v>
      </c>
      <c r="W34" s="767">
        <f>+'Plan de Accion 2018'!BR147</f>
        <v>0.8678580507667315</v>
      </c>
      <c r="X34" s="629">
        <f t="shared" si="1"/>
        <v>0.8678580507667315</v>
      </c>
      <c r="Y34" s="882">
        <f>+'Plan de Accion 2018'!BA147</f>
        <v>0.72689061073004602</v>
      </c>
      <c r="Z34" s="882">
        <f t="shared" si="8"/>
        <v>0.72689061073004602</v>
      </c>
      <c r="AA34" s="883">
        <f t="shared" si="3"/>
        <v>0.72689061073004602</v>
      </c>
      <c r="AB34" s="642"/>
      <c r="AC34" s="543">
        <f>+'Plan de Accion 2018'!BI147</f>
        <v>0.64792097207492638</v>
      </c>
      <c r="AD34" s="767">
        <f>+'Plan de Accion 2018'!BT147</f>
        <v>0.64792097207492638</v>
      </c>
      <c r="AE34" s="629">
        <f t="shared" si="9"/>
        <v>0.64792097207492638</v>
      </c>
      <c r="AF34" s="767">
        <f>+'Plan de Accion 2018'!BK147</f>
        <v>0.88887085374877761</v>
      </c>
      <c r="AG34" s="637">
        <f t="shared" si="10"/>
        <v>0.88887085374877761</v>
      </c>
      <c r="AH34" s="1458"/>
      <c r="AJ34" s="1449"/>
      <c r="AK34" s="1446"/>
      <c r="AL34" s="321"/>
      <c r="AM34" s="1455"/>
      <c r="AN34" s="1446"/>
      <c r="AO34" s="321"/>
      <c r="AP34" s="1449"/>
      <c r="AQ34" s="1446"/>
      <c r="AR34" s="321"/>
      <c r="AS34" s="1449"/>
      <c r="AT34" s="1446"/>
      <c r="AU34" s="326"/>
      <c r="AV34" s="1452"/>
      <c r="AX34" s="1449"/>
      <c r="AY34" s="1446"/>
      <c r="AZ34" s="321"/>
      <c r="BA34" s="1455"/>
      <c r="BB34" s="1446"/>
      <c r="BC34" s="321"/>
      <c r="BD34" s="1449"/>
      <c r="BE34" s="1446"/>
      <c r="BF34" s="321"/>
      <c r="BG34" s="1449"/>
      <c r="BH34" s="1446"/>
      <c r="BI34" s="326"/>
      <c r="BJ34" s="1452"/>
      <c r="BL34" s="1449"/>
      <c r="BM34" s="1446"/>
      <c r="BN34" s="321"/>
      <c r="BO34" s="1455"/>
      <c r="BP34" s="1446"/>
      <c r="BQ34" s="321"/>
      <c r="BR34" s="1449"/>
      <c r="BS34" s="1446"/>
      <c r="BT34" s="321"/>
      <c r="BU34" s="1449"/>
      <c r="BV34" s="1446"/>
      <c r="BW34" s="326"/>
      <c r="BX34" s="1452"/>
      <c r="BZ34" s="1449"/>
      <c r="CA34" s="1446"/>
      <c r="CB34" s="321"/>
      <c r="CC34" s="1455"/>
      <c r="CD34" s="1446"/>
      <c r="CE34" s="321"/>
      <c r="CF34" s="1449"/>
      <c r="CG34" s="1446"/>
      <c r="CH34" s="321"/>
      <c r="CI34" s="1449"/>
      <c r="CJ34" s="1446"/>
      <c r="CK34" s="326"/>
      <c r="CL34" s="1452"/>
    </row>
    <row r="35" spans="2:90" ht="28.5" x14ac:dyDescent="0.2">
      <c r="B35" s="1491"/>
      <c r="C35" s="1397"/>
      <c r="D35" s="754" t="str">
        <f>+'Plan de Accion 2018'!G300</f>
        <v>Informe mensual de los contenidos digitales de la ADRES</v>
      </c>
      <c r="E35" s="768" t="str">
        <f>+'Plan de Accion 2018'!B300</f>
        <v xml:space="preserve">Dirección General </v>
      </c>
      <c r="F35" s="1404"/>
      <c r="G35" s="321"/>
      <c r="H35" s="543" t="e">
        <f>+'Plan de Accion 2018'!AE300</f>
        <v>#DIV/0!</v>
      </c>
      <c r="I35" s="767" t="str">
        <f>+'Plan de Accion 2018'!BN300</f>
        <v>No Prog ni Ejec</v>
      </c>
      <c r="J35" s="767" t="s">
        <v>792</v>
      </c>
      <c r="K35" s="767">
        <f>+'Plan de Accion 2018'!AG300</f>
        <v>0</v>
      </c>
      <c r="L35" s="875">
        <f t="shared" si="5"/>
        <v>0</v>
      </c>
      <c r="M35" s="682" t="s">
        <v>792</v>
      </c>
      <c r="N35" s="644"/>
      <c r="O35" s="543" t="e">
        <f>+'Plan de Accion 2018'!AO300</f>
        <v>#DIV/0!</v>
      </c>
      <c r="P35" s="767" t="str">
        <f>+'Plan de Accion 2018'!BP300</f>
        <v>No Prog ni Ejec</v>
      </c>
      <c r="Q35" s="629" t="s">
        <v>792</v>
      </c>
      <c r="R35" s="751">
        <f>+'Plan de Accion 2018'!AQ300</f>
        <v>0</v>
      </c>
      <c r="S35" s="873">
        <f t="shared" si="7"/>
        <v>0</v>
      </c>
      <c r="T35" s="637" t="s">
        <v>792</v>
      </c>
      <c r="U35" s="329"/>
      <c r="V35" s="543">
        <f>+'Plan de Accion 2018'!AY300</f>
        <v>0.77777760525598005</v>
      </c>
      <c r="W35" s="767">
        <f>+'Plan de Accion 2018'!BR300</f>
        <v>0.77777760525598005</v>
      </c>
      <c r="X35" s="629">
        <f t="shared" si="1"/>
        <v>0.77777760525598005</v>
      </c>
      <c r="Y35" s="882">
        <f>+'Plan de Accion 2018'!BA300</f>
        <v>0.38888880262799003</v>
      </c>
      <c r="Z35" s="882">
        <f t="shared" si="8"/>
        <v>0.38888880262799003</v>
      </c>
      <c r="AA35" s="883">
        <f t="shared" si="3"/>
        <v>0.38888880262799003</v>
      </c>
      <c r="AB35" s="644"/>
      <c r="AC35" s="543">
        <f>+'Plan de Accion 2018'!BI300</f>
        <v>1.2</v>
      </c>
      <c r="AD35" s="767">
        <f>+'Plan de Accion 2018'!BT300</f>
        <v>1.2</v>
      </c>
      <c r="AE35" s="629">
        <f t="shared" si="9"/>
        <v>1</v>
      </c>
      <c r="AF35" s="767">
        <f>+'Plan de Accion 2018'!BK300</f>
        <v>0.98888880262799006</v>
      </c>
      <c r="AG35" s="637">
        <f t="shared" si="10"/>
        <v>0.98888880262799006</v>
      </c>
      <c r="AH35" s="1458"/>
      <c r="AJ35" s="1449"/>
      <c r="AK35" s="1446"/>
      <c r="AL35" s="321"/>
      <c r="AM35" s="1455"/>
      <c r="AN35" s="1446"/>
      <c r="AO35" s="321"/>
      <c r="AP35" s="1449"/>
      <c r="AQ35" s="1446"/>
      <c r="AR35" s="321"/>
      <c r="AS35" s="1449"/>
      <c r="AT35" s="1446"/>
      <c r="AU35" s="326"/>
      <c r="AV35" s="1452"/>
      <c r="AX35" s="1449"/>
      <c r="AY35" s="1446"/>
      <c r="AZ35" s="321"/>
      <c r="BA35" s="1455"/>
      <c r="BB35" s="1446"/>
      <c r="BC35" s="321"/>
      <c r="BD35" s="1449"/>
      <c r="BE35" s="1446"/>
      <c r="BF35" s="321"/>
      <c r="BG35" s="1449"/>
      <c r="BH35" s="1446"/>
      <c r="BI35" s="326"/>
      <c r="BJ35" s="1452"/>
      <c r="BL35" s="1449"/>
      <c r="BM35" s="1446"/>
      <c r="BN35" s="321"/>
      <c r="BO35" s="1455"/>
      <c r="BP35" s="1446"/>
      <c r="BQ35" s="321"/>
      <c r="BR35" s="1449"/>
      <c r="BS35" s="1446"/>
      <c r="BT35" s="321"/>
      <c r="BU35" s="1449"/>
      <c r="BV35" s="1446"/>
      <c r="BW35" s="326"/>
      <c r="BX35" s="1452"/>
      <c r="BZ35" s="1449"/>
      <c r="CA35" s="1446"/>
      <c r="CB35" s="321"/>
      <c r="CC35" s="1455"/>
      <c r="CD35" s="1446"/>
      <c r="CE35" s="321"/>
      <c r="CF35" s="1449"/>
      <c r="CG35" s="1446"/>
      <c r="CH35" s="321"/>
      <c r="CI35" s="1449"/>
      <c r="CJ35" s="1446"/>
      <c r="CK35" s="326"/>
      <c r="CL35" s="1452"/>
    </row>
    <row r="36" spans="2:90" ht="15" x14ac:dyDescent="0.2">
      <c r="B36" s="1491"/>
      <c r="C36" s="1397"/>
      <c r="D36" s="754" t="str">
        <f>+'Plan de Accion 2018'!G268</f>
        <v>Documento anexo técnico</v>
      </c>
      <c r="E36" s="768" t="str">
        <f>+'Plan de Accion 2018'!B268</f>
        <v>Dirección General</v>
      </c>
      <c r="F36" s="1404"/>
      <c r="G36" s="321"/>
      <c r="H36" s="543" t="e">
        <f>+'Plan de Accion 2018'!AE268</f>
        <v>#DIV/0!</v>
      </c>
      <c r="I36" s="767" t="str">
        <f>+'Plan de Accion 2018'!BN268</f>
        <v>No Prog ni Ejec</v>
      </c>
      <c r="J36" s="767" t="s">
        <v>792</v>
      </c>
      <c r="K36" s="767">
        <f>+'Plan de Accion 2018'!AG268</f>
        <v>0</v>
      </c>
      <c r="L36" s="875">
        <f t="shared" si="5"/>
        <v>0</v>
      </c>
      <c r="M36" s="682" t="s">
        <v>792</v>
      </c>
      <c r="N36" s="644"/>
      <c r="O36" s="543" t="e">
        <f>+'Plan de Accion 2018'!AO268</f>
        <v>#DIV/0!</v>
      </c>
      <c r="P36" s="767" t="str">
        <f>+'Plan de Accion 2018'!BP268</f>
        <v>No Prog ni Ejec</v>
      </c>
      <c r="Q36" s="629" t="s">
        <v>792</v>
      </c>
      <c r="R36" s="751">
        <f>+'Plan de Accion 2018'!AQ268</f>
        <v>0</v>
      </c>
      <c r="S36" s="873">
        <f t="shared" si="7"/>
        <v>0</v>
      </c>
      <c r="T36" s="637" t="s">
        <v>792</v>
      </c>
      <c r="U36" s="329"/>
      <c r="V36" s="543">
        <f>+'Plan de Accion 2018'!AY268</f>
        <v>0.31111117167581076</v>
      </c>
      <c r="W36" s="767">
        <f>+'Plan de Accion 2018'!BR268</f>
        <v>0.31111117167581076</v>
      </c>
      <c r="X36" s="629">
        <f>IF(W36&gt;100%,100%,W36)</f>
        <v>0.31111117167581076</v>
      </c>
      <c r="Y36" s="882">
        <f>+'Plan de Accion 2018'!BA268</f>
        <v>0.15555558583790538</v>
      </c>
      <c r="Z36" s="882">
        <f t="shared" si="8"/>
        <v>0.15555558583790538</v>
      </c>
      <c r="AA36" s="883">
        <f>+Z36</f>
        <v>0.15555558583790538</v>
      </c>
      <c r="AB36" s="644"/>
      <c r="AC36" s="543">
        <f>+'Plan de Accion 2018'!BI268</f>
        <v>1.2000000389344498</v>
      </c>
      <c r="AD36" s="767">
        <f>+'Plan de Accion 2018'!BT268</f>
        <v>1.2000000389344498</v>
      </c>
      <c r="AE36" s="629">
        <f>IF(AD36&gt;100%,100%,AD36)</f>
        <v>1</v>
      </c>
      <c r="AF36" s="767">
        <f>+'Plan de Accion 2018'!BK268</f>
        <v>0.75555560530513022</v>
      </c>
      <c r="AG36" s="637">
        <f>IF(AF36&gt;100%,100%,AF36)</f>
        <v>0.75555560530513022</v>
      </c>
      <c r="AH36" s="1458"/>
      <c r="AJ36" s="1449"/>
      <c r="AK36" s="1446"/>
      <c r="AL36" s="321"/>
      <c r="AM36" s="1455"/>
      <c r="AN36" s="1446"/>
      <c r="AO36" s="321"/>
      <c r="AP36" s="1449"/>
      <c r="AQ36" s="1446"/>
      <c r="AR36" s="321"/>
      <c r="AS36" s="1449"/>
      <c r="AT36" s="1446"/>
      <c r="AU36" s="326"/>
      <c r="AV36" s="1452"/>
      <c r="AX36" s="1449"/>
      <c r="AY36" s="1446"/>
      <c r="AZ36" s="321"/>
      <c r="BA36" s="1455"/>
      <c r="BB36" s="1446"/>
      <c r="BC36" s="321"/>
      <c r="BD36" s="1449"/>
      <c r="BE36" s="1446"/>
      <c r="BF36" s="321"/>
      <c r="BG36" s="1449"/>
      <c r="BH36" s="1446"/>
      <c r="BI36" s="326"/>
      <c r="BJ36" s="1452"/>
      <c r="BL36" s="1449"/>
      <c r="BM36" s="1446"/>
      <c r="BN36" s="321"/>
      <c r="BO36" s="1455"/>
      <c r="BP36" s="1446"/>
      <c r="BQ36" s="321"/>
      <c r="BR36" s="1449"/>
      <c r="BS36" s="1446"/>
      <c r="BT36" s="321"/>
      <c r="BU36" s="1449"/>
      <c r="BV36" s="1446"/>
      <c r="BW36" s="326"/>
      <c r="BX36" s="1452"/>
      <c r="BZ36" s="1449"/>
      <c r="CA36" s="1446"/>
      <c r="CB36" s="321"/>
      <c r="CC36" s="1455"/>
      <c r="CD36" s="1446"/>
      <c r="CE36" s="321"/>
      <c r="CF36" s="1449"/>
      <c r="CG36" s="1446"/>
      <c r="CH36" s="321"/>
      <c r="CI36" s="1449"/>
      <c r="CJ36" s="1446"/>
      <c r="CK36" s="326"/>
      <c r="CL36" s="1452"/>
    </row>
    <row r="37" spans="2:90" ht="85.5" x14ac:dyDescent="0.2">
      <c r="B37" s="1491"/>
      <c r="C37" s="1397"/>
      <c r="D37" s="754" t="str">
        <f>+'Plan de Accion 2018'!G301</f>
        <v>NIIF implementadas</v>
      </c>
      <c r="E37" s="768" t="str">
        <f>+'Plan de Accion 2018'!B301</f>
        <v>Dirección de Gestión de Recursos Financieros para la Salud
Dirección Administrativa y Financiera</v>
      </c>
      <c r="F37" s="1404"/>
      <c r="G37" s="321"/>
      <c r="H37" s="543" t="e">
        <f>+'Plan de Accion 2018'!AE301</f>
        <v>#DIV/0!</v>
      </c>
      <c r="I37" s="767" t="str">
        <f>+'Plan de Accion 2018'!BN301</f>
        <v>No Prog ni Ejec</v>
      </c>
      <c r="J37" s="767" t="s">
        <v>792</v>
      </c>
      <c r="K37" s="767">
        <f>+'Plan de Accion 2018'!AG301</f>
        <v>0</v>
      </c>
      <c r="L37" s="875">
        <f t="shared" si="5"/>
        <v>0</v>
      </c>
      <c r="M37" s="682" t="s">
        <v>792</v>
      </c>
      <c r="N37" s="644"/>
      <c r="O37" s="543" t="e">
        <f>+'Plan de Accion 2018'!AO301</f>
        <v>#DIV/0!</v>
      </c>
      <c r="P37" s="767" t="str">
        <f>+'Plan de Accion 2018'!BP301</f>
        <v>No Prog ni Ejec</v>
      </c>
      <c r="Q37" s="629" t="s">
        <v>792</v>
      </c>
      <c r="R37" s="751">
        <f>+'Plan de Accion 2018'!AQ301</f>
        <v>0</v>
      </c>
      <c r="S37" s="873">
        <f t="shared" si="7"/>
        <v>0</v>
      </c>
      <c r="T37" s="637" t="s">
        <v>792</v>
      </c>
      <c r="U37" s="329"/>
      <c r="V37" s="543" t="e">
        <f>+'Plan de Accion 2018'!AY301</f>
        <v>#DIV/0!</v>
      </c>
      <c r="W37" s="767" t="str">
        <f>+'Plan de Accion 2018'!BR301</f>
        <v>No Prog ni Ejec</v>
      </c>
      <c r="X37" s="629" t="s">
        <v>792</v>
      </c>
      <c r="Y37" s="882">
        <f>+'Plan de Accion 2018'!BA301</f>
        <v>0</v>
      </c>
      <c r="Z37" s="882">
        <f t="shared" si="8"/>
        <v>0</v>
      </c>
      <c r="AA37" s="883" t="s">
        <v>792</v>
      </c>
      <c r="AB37" s="644"/>
      <c r="AC37" s="543">
        <f>+'Plan de Accion 2018'!BI301</f>
        <v>0.5</v>
      </c>
      <c r="AD37" s="767">
        <f>+'Plan de Accion 2018'!BT301</f>
        <v>0.5</v>
      </c>
      <c r="AE37" s="629">
        <f t="shared" si="9"/>
        <v>0.5</v>
      </c>
      <c r="AF37" s="767">
        <f>+'Plan de Accion 2018'!BK301</f>
        <v>0.5</v>
      </c>
      <c r="AG37" s="637">
        <f t="shared" si="10"/>
        <v>0.5</v>
      </c>
      <c r="AH37" s="1458"/>
      <c r="AJ37" s="1449"/>
      <c r="AK37" s="1446"/>
      <c r="AL37" s="321"/>
      <c r="AM37" s="1455"/>
      <c r="AN37" s="1446"/>
      <c r="AO37" s="321"/>
      <c r="AP37" s="1449"/>
      <c r="AQ37" s="1446"/>
      <c r="AR37" s="321"/>
      <c r="AS37" s="1449"/>
      <c r="AT37" s="1446"/>
      <c r="AU37" s="326"/>
      <c r="AV37" s="1452"/>
      <c r="AX37" s="1449"/>
      <c r="AY37" s="1446"/>
      <c r="AZ37" s="321"/>
      <c r="BA37" s="1455"/>
      <c r="BB37" s="1446"/>
      <c r="BC37" s="321"/>
      <c r="BD37" s="1449"/>
      <c r="BE37" s="1446"/>
      <c r="BF37" s="321"/>
      <c r="BG37" s="1449"/>
      <c r="BH37" s="1446"/>
      <c r="BI37" s="326"/>
      <c r="BJ37" s="1452"/>
      <c r="BL37" s="1449"/>
      <c r="BM37" s="1446"/>
      <c r="BN37" s="321"/>
      <c r="BO37" s="1455"/>
      <c r="BP37" s="1446"/>
      <c r="BQ37" s="321"/>
      <c r="BR37" s="1449"/>
      <c r="BS37" s="1446"/>
      <c r="BT37" s="321"/>
      <c r="BU37" s="1449"/>
      <c r="BV37" s="1446"/>
      <c r="BW37" s="326"/>
      <c r="BX37" s="1452"/>
      <c r="BZ37" s="1449"/>
      <c r="CA37" s="1446"/>
      <c r="CB37" s="321"/>
      <c r="CC37" s="1455"/>
      <c r="CD37" s="1446"/>
      <c r="CE37" s="321"/>
      <c r="CF37" s="1449"/>
      <c r="CG37" s="1446"/>
      <c r="CH37" s="321"/>
      <c r="CI37" s="1449"/>
      <c r="CJ37" s="1446"/>
      <c r="CK37" s="326"/>
      <c r="CL37" s="1452"/>
    </row>
    <row r="38" spans="2:90" s="542" customFormat="1" ht="28.5" x14ac:dyDescent="0.2">
      <c r="B38" s="1491"/>
      <c r="C38" s="1398"/>
      <c r="D38" s="986" t="str">
        <f>+'Plan de Accion 2018'!G135</f>
        <v>Otros incentivos</v>
      </c>
      <c r="E38" s="988" t="str">
        <f>+'Plan de Accion 2018'!B135</f>
        <v>Dirección Administrativa y Financiera</v>
      </c>
      <c r="F38" s="1019" t="str">
        <f>+'Plan de Accion 2018'!S135</f>
        <v>Valor pagado / Valor programado</v>
      </c>
      <c r="G38" s="321"/>
      <c r="H38" s="543">
        <f>+'Plan de Accion 2018'!AB135</f>
        <v>0</v>
      </c>
      <c r="I38" s="767" t="str">
        <f>+'Plan de Accion 2018'!BM135</f>
        <v>No Prog ni Ejec</v>
      </c>
      <c r="J38" s="751" t="s">
        <v>792</v>
      </c>
      <c r="K38" s="767">
        <f>+'Plan de Accion 2018'!AF135</f>
        <v>0</v>
      </c>
      <c r="L38" s="873">
        <f>IF(K38&gt;25%,100%,K38)</f>
        <v>0</v>
      </c>
      <c r="M38" s="849" t="s">
        <v>792</v>
      </c>
      <c r="N38" s="644"/>
      <c r="O38" s="543">
        <f>+'Plan de Accion 2018'!AL135</f>
        <v>0</v>
      </c>
      <c r="P38" s="767" t="str">
        <f>+'Plan de Accion 2018'!BO135</f>
        <v>No Prog ni Ejec</v>
      </c>
      <c r="Q38" s="751" t="s">
        <v>792</v>
      </c>
      <c r="R38" s="751">
        <f>+'Plan de Accion 2018'!AP135</f>
        <v>0</v>
      </c>
      <c r="S38" s="873">
        <f>IF(R38&gt;100%,100%,R38)</f>
        <v>0</v>
      </c>
      <c r="T38" s="637" t="s">
        <v>792</v>
      </c>
      <c r="U38" s="329"/>
      <c r="V38" s="543">
        <f>+'Plan de Accion 2018'!AV135</f>
        <v>0</v>
      </c>
      <c r="W38" s="767" t="str">
        <f>+'Plan de Accion 2018'!BQ135</f>
        <v>No Prog ni Ejec</v>
      </c>
      <c r="X38" s="751" t="s">
        <v>792</v>
      </c>
      <c r="Y38" s="882">
        <f>+'Plan de Accion 2018'!AZ135</f>
        <v>0</v>
      </c>
      <c r="Z38" s="882">
        <f>IF(Y38&gt;100%,100%,Y38)</f>
        <v>0</v>
      </c>
      <c r="AA38" s="883" t="s">
        <v>792</v>
      </c>
      <c r="AB38" s="644"/>
      <c r="AC38" s="543">
        <f>+'Plan de Accion 2018'!BF135</f>
        <v>0</v>
      </c>
      <c r="AD38" s="767">
        <f>+'Plan de Accion 2018'!BS135</f>
        <v>0</v>
      </c>
      <c r="AE38" s="629">
        <f>IF(AD38&gt;100%,100%,AD38)</f>
        <v>0</v>
      </c>
      <c r="AF38" s="767">
        <f>+'Plan de Accion 2018'!BJ135</f>
        <v>0</v>
      </c>
      <c r="AG38" s="637">
        <f>IF(AF38&gt;100%,100%,AF38)</f>
        <v>0</v>
      </c>
      <c r="AH38" s="1458"/>
      <c r="AI38" s="1014"/>
      <c r="AJ38" s="1449"/>
      <c r="AK38" s="1446"/>
      <c r="AL38" s="321"/>
      <c r="AM38" s="1455"/>
      <c r="AN38" s="1446"/>
      <c r="AO38" s="321"/>
      <c r="AP38" s="1449"/>
      <c r="AQ38" s="1446"/>
      <c r="AR38" s="321"/>
      <c r="AS38" s="1449"/>
      <c r="AT38" s="1446"/>
      <c r="AU38" s="326"/>
      <c r="AV38" s="1452"/>
      <c r="AX38" s="1449"/>
      <c r="AY38" s="1446"/>
      <c r="AZ38" s="321"/>
      <c r="BA38" s="1455"/>
      <c r="BB38" s="1446"/>
      <c r="BC38" s="321"/>
      <c r="BD38" s="1449"/>
      <c r="BE38" s="1446"/>
      <c r="BF38" s="321"/>
      <c r="BG38" s="1449"/>
      <c r="BH38" s="1446"/>
      <c r="BI38" s="326"/>
      <c r="BJ38" s="1452"/>
      <c r="BL38" s="1449"/>
      <c r="BM38" s="1446"/>
      <c r="BN38" s="321"/>
      <c r="BO38" s="1455"/>
      <c r="BP38" s="1446"/>
      <c r="BQ38" s="321"/>
      <c r="BR38" s="1449"/>
      <c r="BS38" s="1446"/>
      <c r="BT38" s="321"/>
      <c r="BU38" s="1449"/>
      <c r="BV38" s="1446"/>
      <c r="BW38" s="326"/>
      <c r="BX38" s="1452"/>
      <c r="BZ38" s="1449"/>
      <c r="CA38" s="1446"/>
      <c r="CB38" s="321"/>
      <c r="CC38" s="1455"/>
      <c r="CD38" s="1446"/>
      <c r="CE38" s="321"/>
      <c r="CF38" s="1449"/>
      <c r="CG38" s="1446"/>
      <c r="CH38" s="321"/>
      <c r="CI38" s="1449"/>
      <c r="CJ38" s="1446"/>
      <c r="CK38" s="326"/>
      <c r="CL38" s="1452"/>
    </row>
    <row r="39" spans="2:90" s="542" customFormat="1" ht="57" x14ac:dyDescent="0.2">
      <c r="B39" s="1491"/>
      <c r="C39" s="1398"/>
      <c r="D39" s="986" t="str">
        <f>+'Plan de Accion 2018'!G312</f>
        <v>Publicación en un diario impreso de alta circulación y cobertura nacional, las publicaciones que requiera la entidad.</v>
      </c>
      <c r="E39" s="988" t="str">
        <f>+'Plan de Accion 2018'!B312</f>
        <v>Dirección de Gestión de Recursos Financieros de Salud</v>
      </c>
      <c r="F39" s="1011" t="str">
        <f>+'Plan de Accion 2018'!S312</f>
        <v>Valor pagado / Valor programado</v>
      </c>
      <c r="G39" s="321"/>
      <c r="H39" s="543" t="e">
        <f>+'Plan de Accion 2018'!AE312</f>
        <v>#DIV/0!</v>
      </c>
      <c r="I39" s="991" t="str">
        <f>+'Plan de Accion 2018'!BN312</f>
        <v>No Prog ni Ejec</v>
      </c>
      <c r="J39" s="991" t="s">
        <v>792</v>
      </c>
      <c r="K39" s="991">
        <f>+'Plan de Accion 2018'!AG312</f>
        <v>0</v>
      </c>
      <c r="L39" s="991">
        <f>+K39</f>
        <v>0</v>
      </c>
      <c r="M39" s="682" t="s">
        <v>792</v>
      </c>
      <c r="N39" s="644"/>
      <c r="O39" s="543" t="e">
        <f>+'Plan de Accion 2018'!AO312</f>
        <v>#DIV/0!</v>
      </c>
      <c r="P39" s="991" t="str">
        <f>+'Plan de Accion 2018'!BP312</f>
        <v>No Prog ni Ejec</v>
      </c>
      <c r="Q39" s="629" t="s">
        <v>792</v>
      </c>
      <c r="R39" s="987">
        <f>+'Plan de Accion 2018'!AQ312</f>
        <v>0</v>
      </c>
      <c r="S39" s="987">
        <f t="shared" ref="S39" si="11">IF(R39&gt;100%,100%,R39)</f>
        <v>0</v>
      </c>
      <c r="T39" s="637" t="s">
        <v>792</v>
      </c>
      <c r="U39" s="329"/>
      <c r="V39" s="543" t="e">
        <f>+'Plan de Accion 2018'!AY312</f>
        <v>#DIV/0!</v>
      </c>
      <c r="W39" s="991" t="str">
        <f>+'Plan de Accion 2018'!BR312</f>
        <v>No Prog ni Ejec</v>
      </c>
      <c r="X39" s="629" t="s">
        <v>792</v>
      </c>
      <c r="Y39" s="882">
        <f>+'Plan de Accion 2018'!BA312</f>
        <v>0</v>
      </c>
      <c r="Z39" s="882">
        <f t="shared" ref="Z39" si="12">IF(Y39&gt;100%,100%,Y39)</f>
        <v>0</v>
      </c>
      <c r="AA39" s="883" t="s">
        <v>792</v>
      </c>
      <c r="AB39" s="644"/>
      <c r="AC39" s="543">
        <f>+'Plan de Accion 2018'!BI312</f>
        <v>0.34760190000000002</v>
      </c>
      <c r="AD39" s="991">
        <f>+'Plan de Accion 2018'!BT312</f>
        <v>0.34760190000000002</v>
      </c>
      <c r="AE39" s="629">
        <f t="shared" ref="AE39" si="13">IF(AD39&gt;100%,100%,AD39)</f>
        <v>0.34760190000000002</v>
      </c>
      <c r="AF39" s="991">
        <f>+'Plan de Accion 2018'!BK312</f>
        <v>0.34760190000000002</v>
      </c>
      <c r="AG39" s="637">
        <f t="shared" ref="AG39" si="14">IF(AF39&gt;100%,100%,AF39)</f>
        <v>0.34760190000000002</v>
      </c>
      <c r="AH39" s="1458"/>
      <c r="AI39" s="1014"/>
      <c r="AJ39" s="1449"/>
      <c r="AK39" s="1446"/>
      <c r="AL39" s="321"/>
      <c r="AM39" s="1455"/>
      <c r="AN39" s="1446"/>
      <c r="AO39" s="321"/>
      <c r="AP39" s="1449"/>
      <c r="AQ39" s="1446"/>
      <c r="AR39" s="321"/>
      <c r="AS39" s="1449"/>
      <c r="AT39" s="1446"/>
      <c r="AU39" s="326"/>
      <c r="AV39" s="1452"/>
      <c r="AX39" s="1449"/>
      <c r="AY39" s="1446"/>
      <c r="AZ39" s="321"/>
      <c r="BA39" s="1455"/>
      <c r="BB39" s="1446"/>
      <c r="BC39" s="321"/>
      <c r="BD39" s="1449"/>
      <c r="BE39" s="1446"/>
      <c r="BF39" s="321"/>
      <c r="BG39" s="1449"/>
      <c r="BH39" s="1446"/>
      <c r="BI39" s="326"/>
      <c r="BJ39" s="1452"/>
      <c r="BL39" s="1449"/>
      <c r="BM39" s="1446"/>
      <c r="BN39" s="321"/>
      <c r="BO39" s="1455"/>
      <c r="BP39" s="1446"/>
      <c r="BQ39" s="321"/>
      <c r="BR39" s="1449"/>
      <c r="BS39" s="1446"/>
      <c r="BT39" s="321"/>
      <c r="BU39" s="1449"/>
      <c r="BV39" s="1446"/>
      <c r="BW39" s="326"/>
      <c r="BX39" s="1452"/>
      <c r="BZ39" s="1449"/>
      <c r="CA39" s="1446"/>
      <c r="CB39" s="321"/>
      <c r="CC39" s="1455"/>
      <c r="CD39" s="1446"/>
      <c r="CE39" s="321"/>
      <c r="CF39" s="1449"/>
      <c r="CG39" s="1446"/>
      <c r="CH39" s="321"/>
      <c r="CI39" s="1449"/>
      <c r="CJ39" s="1446"/>
      <c r="CK39" s="326"/>
      <c r="CL39" s="1452"/>
    </row>
    <row r="40" spans="2:90" s="542" customFormat="1" ht="47.25" customHeight="1" x14ac:dyDescent="0.25">
      <c r="B40" s="1491"/>
      <c r="C40" s="1398"/>
      <c r="D40" s="755" t="str">
        <f>+'Plan de Accion 2018'!G303</f>
        <v xml:space="preserve">Piezas audiovisuales elaboradas para la audiencia pública de rendición de cuentas de la ADRES </v>
      </c>
      <c r="E40" s="1349" t="s">
        <v>1060</v>
      </c>
      <c r="F40" s="1494" t="str">
        <f>+'Plan de Accion 2018'!S303</f>
        <v>Valor pagado/valor proyectado</v>
      </c>
      <c r="G40" s="328"/>
      <c r="H40" s="543">
        <f>+'Plan de Accion 2018'!AB303</f>
        <v>0</v>
      </c>
      <c r="I40" s="767" t="str">
        <f>+'Plan de Accion 2018'!BN303</f>
        <v>No Prog ni Ejec</v>
      </c>
      <c r="J40" s="767" t="s">
        <v>792</v>
      </c>
      <c r="K40" s="767">
        <f>+'Plan de Accion 2018'!AG303</f>
        <v>0</v>
      </c>
      <c r="L40" s="875">
        <f t="shared" si="5"/>
        <v>0</v>
      </c>
      <c r="M40" s="682" t="s">
        <v>792</v>
      </c>
      <c r="N40" s="644"/>
      <c r="O40" s="748">
        <f>+'Plan de Accion 2018'!AL303</f>
        <v>0</v>
      </c>
      <c r="P40" s="767" t="str">
        <f>+'Plan de Accion 2018'!BP303</f>
        <v>No Prog ni Ejec</v>
      </c>
      <c r="Q40" s="629" t="s">
        <v>792</v>
      </c>
      <c r="R40" s="751">
        <f>+'Plan de Accion 2018'!AQ303</f>
        <v>0</v>
      </c>
      <c r="S40" s="873">
        <f t="shared" si="7"/>
        <v>0</v>
      </c>
      <c r="T40" s="637" t="s">
        <v>792</v>
      </c>
      <c r="U40" s="329"/>
      <c r="V40" s="748">
        <f>+'Plan de Accion 2018'!AV303</f>
        <v>1</v>
      </c>
      <c r="W40" s="767">
        <f>+'Plan de Accion 2018'!BR303</f>
        <v>0.99999864572445052</v>
      </c>
      <c r="X40" s="629">
        <f>IF(W40&gt;100%,100%,W40)</f>
        <v>0.99999864572445052</v>
      </c>
      <c r="Y40" s="882">
        <f>+'Plan de Accion 2018'!BA303</f>
        <v>0.99999864572445052</v>
      </c>
      <c r="Z40" s="882">
        <f t="shared" si="8"/>
        <v>0.99999864572445052</v>
      </c>
      <c r="AA40" s="883">
        <f>+Z40</f>
        <v>0.99999864572445052</v>
      </c>
      <c r="AB40" s="644"/>
      <c r="AC40" s="748">
        <f>+'Plan de Accion 2018'!BF303</f>
        <v>0</v>
      </c>
      <c r="AD40" s="767" t="str">
        <f>+'Plan de Accion 2018'!BT303</f>
        <v>No Prog ni Ejec</v>
      </c>
      <c r="AE40" s="629" t="s">
        <v>792</v>
      </c>
      <c r="AF40" s="767">
        <f>+'Plan de Accion 2018'!BK303</f>
        <v>0.99999864572445052</v>
      </c>
      <c r="AG40" s="637">
        <f>IF(AF40&gt;100%,100%,AF40)</f>
        <v>0.99999864572445052</v>
      </c>
      <c r="AH40" s="1458"/>
      <c r="AI40" s="1014"/>
      <c r="AJ40" s="1449"/>
      <c r="AK40" s="1446"/>
      <c r="AL40" s="321"/>
      <c r="AM40" s="1455"/>
      <c r="AN40" s="1446"/>
      <c r="AO40" s="321"/>
      <c r="AP40" s="1449"/>
      <c r="AQ40" s="1446"/>
      <c r="AR40" s="321"/>
      <c r="AS40" s="1449"/>
      <c r="AT40" s="1446"/>
      <c r="AU40" s="326"/>
      <c r="AV40" s="1452"/>
      <c r="AX40" s="1449"/>
      <c r="AY40" s="1446"/>
      <c r="AZ40" s="321"/>
      <c r="BA40" s="1455"/>
      <c r="BB40" s="1446"/>
      <c r="BC40" s="321"/>
      <c r="BD40" s="1449"/>
      <c r="BE40" s="1446"/>
      <c r="BF40" s="321"/>
      <c r="BG40" s="1449"/>
      <c r="BH40" s="1446"/>
      <c r="BI40" s="326"/>
      <c r="BJ40" s="1452"/>
      <c r="BL40" s="1449"/>
      <c r="BM40" s="1446"/>
      <c r="BN40" s="321"/>
      <c r="BO40" s="1455"/>
      <c r="BP40" s="1446"/>
      <c r="BQ40" s="321"/>
      <c r="BR40" s="1449"/>
      <c r="BS40" s="1446"/>
      <c r="BT40" s="321"/>
      <c r="BU40" s="1449"/>
      <c r="BV40" s="1446"/>
      <c r="BW40" s="326"/>
      <c r="BX40" s="1452"/>
      <c r="BZ40" s="1449"/>
      <c r="CA40" s="1446"/>
      <c r="CB40" s="321"/>
      <c r="CC40" s="1455"/>
      <c r="CD40" s="1446"/>
      <c r="CE40" s="321"/>
      <c r="CF40" s="1449"/>
      <c r="CG40" s="1446"/>
      <c r="CH40" s="321"/>
      <c r="CI40" s="1449"/>
      <c r="CJ40" s="1446"/>
      <c r="CK40" s="326"/>
      <c r="CL40" s="1452"/>
    </row>
    <row r="41" spans="2:90" s="542" customFormat="1" ht="47.25" customHeight="1" x14ac:dyDescent="0.25">
      <c r="B41" s="1491"/>
      <c r="C41" s="1398"/>
      <c r="D41" s="755" t="str">
        <f>+'Plan de Accion 2018'!G304</f>
        <v xml:space="preserve">Suscripciones </v>
      </c>
      <c r="E41" s="1349"/>
      <c r="F41" s="1495"/>
      <c r="G41" s="328"/>
      <c r="H41" s="543">
        <f>+'Plan de Accion 2018'!AB304</f>
        <v>0</v>
      </c>
      <c r="I41" s="767" t="str">
        <f>+'Plan de Accion 2018'!BN304</f>
        <v>No Prog ni Ejec</v>
      </c>
      <c r="J41" s="767" t="s">
        <v>792</v>
      </c>
      <c r="K41" s="767">
        <f>+'Plan de Accion 2018'!AG304</f>
        <v>0</v>
      </c>
      <c r="L41" s="875">
        <f t="shared" si="5"/>
        <v>0</v>
      </c>
      <c r="M41" s="682" t="s">
        <v>792</v>
      </c>
      <c r="N41" s="644"/>
      <c r="O41" s="748">
        <f>+'Plan de Accion 2018'!AL304</f>
        <v>0</v>
      </c>
      <c r="P41" s="767" t="str">
        <f>+'Plan de Accion 2018'!BP304</f>
        <v>No Prog ni Ejec</v>
      </c>
      <c r="Q41" s="629" t="s">
        <v>792</v>
      </c>
      <c r="R41" s="751">
        <f>+'Plan de Accion 2018'!AQ304</f>
        <v>0</v>
      </c>
      <c r="S41" s="873">
        <f t="shared" si="7"/>
        <v>0</v>
      </c>
      <c r="T41" s="637" t="s">
        <v>792</v>
      </c>
      <c r="U41" s="329"/>
      <c r="V41" s="748">
        <f>+'Plan de Accion 2018'!AV304</f>
        <v>0.99842248062015504</v>
      </c>
      <c r="W41" s="767">
        <f>+'Plan de Accion 2018'!BR304</f>
        <v>2</v>
      </c>
      <c r="X41" s="629">
        <f>IF(W41&gt;100%,100%,W41)</f>
        <v>1</v>
      </c>
      <c r="Y41" s="882">
        <f>+'Plan de Accion 2018'!BA304</f>
        <v>1</v>
      </c>
      <c r="Z41" s="882">
        <f t="shared" si="8"/>
        <v>1</v>
      </c>
      <c r="AA41" s="883">
        <f>+Z41</f>
        <v>1</v>
      </c>
      <c r="AB41" s="644">
        <v>1</v>
      </c>
      <c r="AC41" s="748">
        <f>+'Plan de Accion 2018'!BF304</f>
        <v>0</v>
      </c>
      <c r="AD41" s="767">
        <f>+'Plan de Accion 2018'!BT304</f>
        <v>0</v>
      </c>
      <c r="AE41" s="629">
        <f t="shared" si="9"/>
        <v>0</v>
      </c>
      <c r="AF41" s="767">
        <f>+'Plan de Accion 2018'!BK304</f>
        <v>1</v>
      </c>
      <c r="AG41" s="637">
        <f>IF(AF41&gt;100%,100%,AF41)</f>
        <v>1</v>
      </c>
      <c r="AH41" s="1458"/>
      <c r="AI41" s="1014"/>
      <c r="AJ41" s="1449"/>
      <c r="AK41" s="1446"/>
      <c r="AL41" s="321"/>
      <c r="AM41" s="1455"/>
      <c r="AN41" s="1446"/>
      <c r="AO41" s="321"/>
      <c r="AP41" s="1449"/>
      <c r="AQ41" s="1446"/>
      <c r="AR41" s="321"/>
      <c r="AS41" s="1449"/>
      <c r="AT41" s="1446"/>
      <c r="AU41" s="326"/>
      <c r="AV41" s="1452"/>
      <c r="AX41" s="1449"/>
      <c r="AY41" s="1446"/>
      <c r="AZ41" s="321"/>
      <c r="BA41" s="1455"/>
      <c r="BB41" s="1446"/>
      <c r="BC41" s="321"/>
      <c r="BD41" s="1449"/>
      <c r="BE41" s="1446"/>
      <c r="BF41" s="321"/>
      <c r="BG41" s="1449"/>
      <c r="BH41" s="1446"/>
      <c r="BI41" s="326"/>
      <c r="BJ41" s="1452"/>
      <c r="BL41" s="1449"/>
      <c r="BM41" s="1446"/>
      <c r="BN41" s="321"/>
      <c r="BO41" s="1455"/>
      <c r="BP41" s="1446"/>
      <c r="BQ41" s="321"/>
      <c r="BR41" s="1449"/>
      <c r="BS41" s="1446"/>
      <c r="BT41" s="321"/>
      <c r="BU41" s="1449"/>
      <c r="BV41" s="1446"/>
      <c r="BW41" s="326"/>
      <c r="BX41" s="1452"/>
      <c r="BZ41" s="1449"/>
      <c r="CA41" s="1446"/>
      <c r="CB41" s="321"/>
      <c r="CC41" s="1455"/>
      <c r="CD41" s="1446"/>
      <c r="CE41" s="321"/>
      <c r="CF41" s="1449"/>
      <c r="CG41" s="1446"/>
      <c r="CH41" s="321"/>
      <c r="CI41" s="1449"/>
      <c r="CJ41" s="1446"/>
      <c r="CK41" s="326"/>
      <c r="CL41" s="1452"/>
    </row>
    <row r="42" spans="2:90" ht="43.5" thickBot="1" x14ac:dyDescent="0.3">
      <c r="B42" s="1491"/>
      <c r="C42" s="1398"/>
      <c r="D42" s="755" t="str">
        <f>+'Plan de Accion 2018'!G176</f>
        <v>Modelo Integrado de Planeación</v>
      </c>
      <c r="E42" s="772" t="str">
        <f>+'Plan de Accion 2018'!B176</f>
        <v>Oficina Asesora de Planeación y Control de Riegos</v>
      </c>
      <c r="F42" s="535" t="str">
        <f>+'Plan de Accion 2018'!S176</f>
        <v>Ejecución del Trimestre / Presupuesto Proyectado del Trimestre</v>
      </c>
      <c r="G42" s="328"/>
      <c r="H42" s="748">
        <f>+'Plan de Accion 2018'!AE176</f>
        <v>0.5444444206511696</v>
      </c>
      <c r="I42" s="750">
        <f>+'Plan de Accion 2018'!BN176</f>
        <v>0.5444444206511696</v>
      </c>
      <c r="J42" s="750">
        <f t="shared" si="4"/>
        <v>0.5444444206511696</v>
      </c>
      <c r="K42" s="750">
        <f>+'Plan de Accion 2018'!AG176</f>
        <v>0.1361111051627924</v>
      </c>
      <c r="L42" s="875">
        <f t="shared" si="5"/>
        <v>0.1361111051627924</v>
      </c>
      <c r="M42" s="752">
        <f t="shared" si="6"/>
        <v>0.1361111051627924</v>
      </c>
      <c r="N42" s="644"/>
      <c r="O42" s="748">
        <f>+'Plan de Accion 2018'!AL176</f>
        <v>0.25</v>
      </c>
      <c r="P42" s="750">
        <f>+'Plan de Accion 2018'!BP176</f>
        <v>1</v>
      </c>
      <c r="Q42" s="631">
        <f t="shared" si="0"/>
        <v>1</v>
      </c>
      <c r="R42" s="751">
        <f>+'Plan de Accion 2018'!AQ176</f>
        <v>0.3861111051627924</v>
      </c>
      <c r="S42" s="873">
        <f t="shared" si="7"/>
        <v>0.3861111051627924</v>
      </c>
      <c r="T42" s="637">
        <f t="shared" si="2"/>
        <v>0.3861111051627924</v>
      </c>
      <c r="U42" s="329"/>
      <c r="V42" s="748">
        <f>+'Plan de Accion 2018'!AV176</f>
        <v>0.25</v>
      </c>
      <c r="W42" s="750">
        <f>+'Plan de Accion 2018'!BR176</f>
        <v>1</v>
      </c>
      <c r="X42" s="629">
        <f t="shared" si="1"/>
        <v>1</v>
      </c>
      <c r="Y42" s="882">
        <f>+'Plan de Accion 2018'!BA176</f>
        <v>0.63611110516279235</v>
      </c>
      <c r="Z42" s="882">
        <f t="shared" si="8"/>
        <v>0.63611110516279235</v>
      </c>
      <c r="AA42" s="883">
        <f t="shared" si="3"/>
        <v>0.63611110516279235</v>
      </c>
      <c r="AB42" s="644"/>
      <c r="AC42" s="748">
        <f>+'Plan de Accion 2018'!BF176</f>
        <v>4.4444436873856991E-2</v>
      </c>
      <c r="AD42" s="750">
        <f>+'Plan de Accion 2018'!BT176</f>
        <v>0.17777774749542796</v>
      </c>
      <c r="AE42" s="629">
        <f t="shared" si="9"/>
        <v>0.17777774749542796</v>
      </c>
      <c r="AF42" s="750">
        <f>+'Plan de Accion 2018'!BK176</f>
        <v>0.68055554203664936</v>
      </c>
      <c r="AG42" s="637">
        <f t="shared" si="10"/>
        <v>0.68055554203664936</v>
      </c>
      <c r="AH42" s="1458"/>
      <c r="AJ42" s="1449"/>
      <c r="AK42" s="1446"/>
      <c r="AL42" s="321"/>
      <c r="AM42" s="1455"/>
      <c r="AN42" s="1446"/>
      <c r="AO42" s="321"/>
      <c r="AP42" s="1449"/>
      <c r="AQ42" s="1446"/>
      <c r="AR42" s="321"/>
      <c r="AS42" s="1449"/>
      <c r="AT42" s="1446"/>
      <c r="AU42" s="326"/>
      <c r="AV42" s="1452"/>
      <c r="AX42" s="1449"/>
      <c r="AY42" s="1446"/>
      <c r="AZ42" s="321"/>
      <c r="BA42" s="1455"/>
      <c r="BB42" s="1446"/>
      <c r="BC42" s="321"/>
      <c r="BD42" s="1449"/>
      <c r="BE42" s="1446"/>
      <c r="BF42" s="321"/>
      <c r="BG42" s="1449"/>
      <c r="BH42" s="1446"/>
      <c r="BI42" s="326"/>
      <c r="BJ42" s="1452"/>
      <c r="BL42" s="1449"/>
      <c r="BM42" s="1446"/>
      <c r="BN42" s="321"/>
      <c r="BO42" s="1455"/>
      <c r="BP42" s="1446"/>
      <c r="BQ42" s="321"/>
      <c r="BR42" s="1449"/>
      <c r="BS42" s="1446"/>
      <c r="BT42" s="321"/>
      <c r="BU42" s="1449"/>
      <c r="BV42" s="1446"/>
      <c r="BW42" s="326"/>
      <c r="BX42" s="1452"/>
      <c r="BZ42" s="1449"/>
      <c r="CA42" s="1446"/>
      <c r="CB42" s="321"/>
      <c r="CC42" s="1455"/>
      <c r="CD42" s="1446"/>
      <c r="CE42" s="321"/>
      <c r="CF42" s="1449"/>
      <c r="CG42" s="1446"/>
      <c r="CH42" s="321"/>
      <c r="CI42" s="1449"/>
      <c r="CJ42" s="1446"/>
      <c r="CK42" s="326"/>
      <c r="CL42" s="1452"/>
    </row>
    <row r="43" spans="2:90" ht="15.75" thickBot="1" x14ac:dyDescent="0.25">
      <c r="B43" s="1492"/>
      <c r="C43" s="1399" t="s">
        <v>798</v>
      </c>
      <c r="D43" s="1400"/>
      <c r="E43" s="1400"/>
      <c r="F43" s="1401"/>
      <c r="G43" s="330"/>
      <c r="H43" s="331" t="s">
        <v>792</v>
      </c>
      <c r="I43" s="332">
        <f>SUM(I15:I42)/COUNT(I15:I42)</f>
        <v>0.50121817169568217</v>
      </c>
      <c r="J43" s="332">
        <f>IF(I43&gt;100%,100%,I43)</f>
        <v>0.50121817169568217</v>
      </c>
      <c r="K43" s="332">
        <f>SUM(K15:K42)/COUNT(K15:K42)</f>
        <v>8.2890090428020771E-2</v>
      </c>
      <c r="L43" s="670">
        <f>SUM(L15:L42)/COUNT(L15:L42)</f>
        <v>8.2890090428020771E-2</v>
      </c>
      <c r="M43" s="645">
        <f>SUM(M15:M42)/COUNT(M15:M42)</f>
        <v>0.12951576629378245</v>
      </c>
      <c r="N43" s="690"/>
      <c r="O43" s="331" t="s">
        <v>792</v>
      </c>
      <c r="P43" s="635">
        <f>SUM(P15:P42)/COUNT(P15:P42)</f>
        <v>0.51965440666311058</v>
      </c>
      <c r="Q43" s="635">
        <f>SUM(Q15:Q42)/COUNT(Q15:Q42)</f>
        <v>0.51182169558368829</v>
      </c>
      <c r="R43" s="786">
        <f>SUM(R15:R42)/COUNT(R15:R42)</f>
        <v>0.18595893321236245</v>
      </c>
      <c r="S43" s="670">
        <f>SUM(S15:S42)/COUNT(S15:S42)</f>
        <v>0.18595893321236245</v>
      </c>
      <c r="T43" s="645">
        <f>SUM(T15:T42)/COUNT(T15:T42)</f>
        <v>0.29056083314431636</v>
      </c>
      <c r="U43" s="333"/>
      <c r="V43" s="331" t="s">
        <v>792</v>
      </c>
      <c r="W43" s="332">
        <f>SUM(W15:W42)/COUNT(W15:W42)</f>
        <v>0.60131522674761873</v>
      </c>
      <c r="X43" s="332">
        <f>SUM(X15:X42)/COUNT(X15:X42)</f>
        <v>0.54916387850350046</v>
      </c>
      <c r="Y43" s="651">
        <f>SUM(Y15:Y42)/COUNT(Y15:Y42)</f>
        <v>0.37548029257220117</v>
      </c>
      <c r="Z43" s="651">
        <f>SUM(Z15:Z42)/COUNT(Z15:Z42)</f>
        <v>0.37548029257220117</v>
      </c>
      <c r="AA43" s="617">
        <f>SUM(AA15:AA42)/COUNT(AA15:AA42)</f>
        <v>0.44700034830023949</v>
      </c>
      <c r="AB43" s="690"/>
      <c r="AC43" s="331" t="s">
        <v>792</v>
      </c>
      <c r="AD43" s="332">
        <f>SUM(AD15:AD42)/COUNT(AD15:AD42)</f>
        <v>0.82237775990274575</v>
      </c>
      <c r="AE43" s="332">
        <f>SUM(AE15:AE42)/COUNT(AE15:AE42)</f>
        <v>0.55614710816955848</v>
      </c>
      <c r="AF43" s="787">
        <f>SUM(AF15:AF42)/COUNT(AF15:AF42)</f>
        <v>0.63511999674978736</v>
      </c>
      <c r="AG43" s="334">
        <f>SUM(AG15:AG42)/COUNT(AG15:AG42)</f>
        <v>0.63511999674978736</v>
      </c>
      <c r="AH43" s="1458"/>
      <c r="AJ43" s="1449"/>
      <c r="AK43" s="1446"/>
      <c r="AL43" s="321"/>
      <c r="AM43" s="1455"/>
      <c r="AN43" s="1446"/>
      <c r="AO43" s="321"/>
      <c r="AP43" s="1449"/>
      <c r="AQ43" s="1446"/>
      <c r="AR43" s="321"/>
      <c r="AS43" s="1449"/>
      <c r="AT43" s="1446"/>
      <c r="AU43" s="326"/>
      <c r="AV43" s="1452"/>
      <c r="AX43" s="1449"/>
      <c r="AY43" s="1446"/>
      <c r="AZ43" s="321"/>
      <c r="BA43" s="1455"/>
      <c r="BB43" s="1446"/>
      <c r="BC43" s="321"/>
      <c r="BD43" s="1449"/>
      <c r="BE43" s="1446"/>
      <c r="BF43" s="321"/>
      <c r="BG43" s="1449"/>
      <c r="BH43" s="1446"/>
      <c r="BI43" s="326"/>
      <c r="BJ43" s="1452"/>
      <c r="BL43" s="1449"/>
      <c r="BM43" s="1446"/>
      <c r="BN43" s="321"/>
      <c r="BO43" s="1455"/>
      <c r="BP43" s="1446"/>
      <c r="BQ43" s="321"/>
      <c r="BR43" s="1449"/>
      <c r="BS43" s="1446"/>
      <c r="BT43" s="321"/>
      <c r="BU43" s="1449"/>
      <c r="BV43" s="1446"/>
      <c r="BW43" s="326"/>
      <c r="BX43" s="1452"/>
      <c r="BZ43" s="1449"/>
      <c r="CA43" s="1446"/>
      <c r="CB43" s="321"/>
      <c r="CC43" s="1455"/>
      <c r="CD43" s="1446"/>
      <c r="CE43" s="321"/>
      <c r="CF43" s="1449"/>
      <c r="CG43" s="1446"/>
      <c r="CH43" s="321"/>
      <c r="CI43" s="1449"/>
      <c r="CJ43" s="1446"/>
      <c r="CK43" s="326"/>
      <c r="CL43" s="1452"/>
    </row>
    <row r="44" spans="2:90" ht="16.5" customHeight="1" thickBot="1" x14ac:dyDescent="0.25">
      <c r="B44" s="1491"/>
      <c r="C44" s="1396" t="s">
        <v>145</v>
      </c>
      <c r="D44" s="1351" t="str">
        <f>+'Plan de Accion 2018'!G15</f>
        <v>Seguimiento Ejecución Presupuestal de recursos administrados URA</v>
      </c>
      <c r="E44" s="1351" t="str">
        <f>+'Plan de Accion 2018'!B27</f>
        <v>Dirección de Gestión de Recursos Financieros de Salud</v>
      </c>
      <c r="F44" s="1441" t="str">
        <f>+'Plan de Accion 2018'!S27</f>
        <v>Ejecución del Trimestre / Presupuesto Proyectado del Trimestre</v>
      </c>
      <c r="G44" s="321"/>
      <c r="H44" s="517">
        <f>+'Plan de Accion 2018'!AB15</f>
        <v>0.24536724522564832</v>
      </c>
      <c r="I44" s="751">
        <f>+'Plan de Accion 2018'!BN15</f>
        <v>0.98146898090259327</v>
      </c>
      <c r="J44" s="751">
        <f t="shared" si="4"/>
        <v>0.98146898090259327</v>
      </c>
      <c r="K44" s="751">
        <f>+'Plan de Accion 2018'!AG15</f>
        <v>0.25</v>
      </c>
      <c r="L44" s="751">
        <f>+K44</f>
        <v>0.25</v>
      </c>
      <c r="M44" s="753">
        <f t="shared" si="6"/>
        <v>0.25</v>
      </c>
      <c r="N44" s="642"/>
      <c r="O44" s="749">
        <f>+'Plan de Accion 2018'!AL15</f>
        <v>0.24536724522564832</v>
      </c>
      <c r="P44" s="751">
        <f>+'Plan de Accion 2018'!BP15</f>
        <v>0.98146898090259327</v>
      </c>
      <c r="Q44" s="629">
        <f t="shared" si="0"/>
        <v>0.98146898090259327</v>
      </c>
      <c r="R44" s="751">
        <f>+'Plan de Accion 2018'!AQ15</f>
        <v>0.5</v>
      </c>
      <c r="S44" s="751">
        <f>IF(R44&gt;100%,100%,R44)</f>
        <v>0.5</v>
      </c>
      <c r="T44" s="637">
        <f t="shared" si="2"/>
        <v>0.5</v>
      </c>
      <c r="U44" s="322"/>
      <c r="V44" s="749">
        <f>+'Plan de Accion 2018'!AV15</f>
        <v>0.24536724522564832</v>
      </c>
      <c r="W44" s="751">
        <f>+'Plan de Accion 2018'!BR15</f>
        <v>0.98146898090259327</v>
      </c>
      <c r="X44" s="629">
        <f t="shared" si="1"/>
        <v>0.98146898090259327</v>
      </c>
      <c r="Y44" s="882">
        <f>+'Plan de Accion 2018'!BA15</f>
        <v>0.75</v>
      </c>
      <c r="Z44" s="882">
        <f>IF(Y44&gt;100%,100%,Y44)</f>
        <v>0.75</v>
      </c>
      <c r="AA44" s="883">
        <f t="shared" si="3"/>
        <v>0.75</v>
      </c>
      <c r="AB44" s="642"/>
      <c r="AC44" s="749">
        <f>+'Plan de Accion 2018'!BF15</f>
        <v>0.26501093609698795</v>
      </c>
      <c r="AD44" s="751">
        <f>+'Plan de Accion 2018'!BT15</f>
        <v>1.0600437443879518</v>
      </c>
      <c r="AE44" s="629">
        <f t="shared" si="9"/>
        <v>1</v>
      </c>
      <c r="AF44" s="751">
        <f>+'Plan de Accion 2018'!BK15</f>
        <v>1</v>
      </c>
      <c r="AG44" s="637">
        <f t="shared" si="10"/>
        <v>1</v>
      </c>
      <c r="AH44" s="1459"/>
      <c r="AJ44" s="1450"/>
      <c r="AK44" s="1447"/>
      <c r="AL44" s="321"/>
      <c r="AM44" s="1456"/>
      <c r="AN44" s="1447"/>
      <c r="AO44" s="321"/>
      <c r="AP44" s="1450"/>
      <c r="AQ44" s="1447"/>
      <c r="AR44" s="321"/>
      <c r="AS44" s="1450"/>
      <c r="AT44" s="1447"/>
      <c r="AU44" s="326"/>
      <c r="AV44" s="1453"/>
      <c r="AX44" s="1450"/>
      <c r="AY44" s="1447"/>
      <c r="AZ44" s="321"/>
      <c r="BA44" s="1456"/>
      <c r="BB44" s="1447"/>
      <c r="BC44" s="321"/>
      <c r="BD44" s="1450"/>
      <c r="BE44" s="1447"/>
      <c r="BF44" s="321"/>
      <c r="BG44" s="1450"/>
      <c r="BH44" s="1447"/>
      <c r="BI44" s="326"/>
      <c r="BJ44" s="1453"/>
      <c r="BL44" s="1450"/>
      <c r="BM44" s="1447"/>
      <c r="BN44" s="321"/>
      <c r="BO44" s="1456"/>
      <c r="BP44" s="1447"/>
      <c r="BQ44" s="321"/>
      <c r="BR44" s="1450"/>
      <c r="BS44" s="1447"/>
      <c r="BT44" s="321"/>
      <c r="BU44" s="1450"/>
      <c r="BV44" s="1447"/>
      <c r="BW44" s="326"/>
      <c r="BX44" s="1453"/>
      <c r="BZ44" s="1450"/>
      <c r="CA44" s="1447"/>
      <c r="CB44" s="321"/>
      <c r="CC44" s="1456"/>
      <c r="CD44" s="1447"/>
      <c r="CE44" s="321"/>
      <c r="CF44" s="1450"/>
      <c r="CG44" s="1447"/>
      <c r="CH44" s="321"/>
      <c r="CI44" s="1450"/>
      <c r="CJ44" s="1447"/>
      <c r="CK44" s="326"/>
      <c r="CL44" s="1453"/>
    </row>
    <row r="45" spans="2:90" ht="15" x14ac:dyDescent="0.2">
      <c r="B45" s="1491"/>
      <c r="C45" s="1397"/>
      <c r="D45" s="1402"/>
      <c r="E45" s="1402"/>
      <c r="F45" s="1442"/>
      <c r="G45" s="321"/>
      <c r="H45" s="372">
        <f>+'Plan de Accion 2018'!AB16</f>
        <v>0.17572054186308017</v>
      </c>
      <c r="I45" s="767">
        <f>+'Plan de Accion 2018'!BN16</f>
        <v>0.70288216745232068</v>
      </c>
      <c r="J45" s="767">
        <f t="shared" si="4"/>
        <v>0.70288216745232068</v>
      </c>
      <c r="K45" s="767">
        <f>+'Plan de Accion 2018'!AG16</f>
        <v>0.15584753866899748</v>
      </c>
      <c r="L45" s="767">
        <f>+K45</f>
        <v>0.15584753866899748</v>
      </c>
      <c r="M45" s="682">
        <f t="shared" si="6"/>
        <v>0.15584753866899748</v>
      </c>
      <c r="N45" s="642"/>
      <c r="O45" s="543">
        <f>+'Plan de Accion 2018'!AL16</f>
        <v>0.17339561109952031</v>
      </c>
      <c r="P45" s="767">
        <f>+'Plan de Accion 2018'!BP16</f>
        <v>0.69358244439808125</v>
      </c>
      <c r="Q45" s="629">
        <f t="shared" si="0"/>
        <v>0.69358244439808125</v>
      </c>
      <c r="R45" s="751">
        <f>+'Plan de Accion 2018'!AQ16</f>
        <v>0.30963308314406074</v>
      </c>
      <c r="S45" s="751">
        <f>IF(R45&gt;100%,100%,R45)</f>
        <v>0.30963308314406074</v>
      </c>
      <c r="T45" s="637">
        <f t="shared" si="2"/>
        <v>0.30963308314406074</v>
      </c>
      <c r="U45" s="322"/>
      <c r="V45" s="543">
        <f>+'Plan de Accion 2018'!AV16</f>
        <v>0.22112019730549393</v>
      </c>
      <c r="W45" s="767">
        <f>+'Plan de Accion 2018'!BR16</f>
        <v>0.88448078922197571</v>
      </c>
      <c r="X45" s="629">
        <f t="shared" si="1"/>
        <v>0.88448078922197571</v>
      </c>
      <c r="Y45" s="882">
        <f>+'Plan de Accion 2018'!AZ16</f>
        <v>0.57023635026809438</v>
      </c>
      <c r="Z45" s="882">
        <f>IF(Y45&gt;100%,100%,Y45)</f>
        <v>0.57023635026809438</v>
      </c>
      <c r="AA45" s="883">
        <f t="shared" si="3"/>
        <v>0.57023635026809438</v>
      </c>
      <c r="AB45" s="642"/>
      <c r="AC45" s="543">
        <f>+'Plan de Accion 2018'!BF16</f>
        <v>4.6808224120722288</v>
      </c>
      <c r="AD45" s="767">
        <f>+'Plan de Accion 2018'!BT16</f>
        <v>18.723289648288915</v>
      </c>
      <c r="AE45" s="629">
        <f t="shared" si="9"/>
        <v>1</v>
      </c>
      <c r="AF45" s="767">
        <f>+'Plan de Accion 2018'!BK16</f>
        <v>0.63067227738714637</v>
      </c>
      <c r="AG45" s="637">
        <f t="shared" si="10"/>
        <v>0.63067227738714637</v>
      </c>
      <c r="AH45" s="335"/>
      <c r="AJ45" s="1445"/>
      <c r="AK45" s="1445"/>
      <c r="AL45" s="321"/>
      <c r="AM45" s="1467"/>
      <c r="AN45" s="1445"/>
      <c r="AO45" s="321"/>
      <c r="AP45" s="1445"/>
      <c r="AQ45" s="1445"/>
      <c r="AR45" s="321"/>
      <c r="AS45" s="1445"/>
      <c r="AT45" s="1445"/>
      <c r="AU45" s="326"/>
      <c r="AV45" s="336"/>
      <c r="AX45" s="1445"/>
      <c r="AY45" s="1445"/>
      <c r="AZ45" s="321"/>
      <c r="BA45" s="1467"/>
      <c r="BB45" s="1445"/>
      <c r="BC45" s="321"/>
      <c r="BD45" s="1445"/>
      <c r="BE45" s="1445"/>
      <c r="BF45" s="321"/>
      <c r="BG45" s="1445"/>
      <c r="BH45" s="1445"/>
      <c r="BI45" s="326"/>
      <c r="BJ45" s="336"/>
      <c r="BL45" s="1445"/>
      <c r="BM45" s="1445"/>
      <c r="BN45" s="321"/>
      <c r="BO45" s="1467"/>
      <c r="BP45" s="1445"/>
      <c r="BQ45" s="321"/>
      <c r="BR45" s="1445"/>
      <c r="BS45" s="1445"/>
      <c r="BT45" s="321"/>
      <c r="BU45" s="1445"/>
      <c r="BV45" s="1445"/>
      <c r="BW45" s="326"/>
      <c r="BX45" s="336"/>
      <c r="BZ45" s="1445"/>
      <c r="CA45" s="1445"/>
      <c r="CB45" s="321"/>
      <c r="CC45" s="1467"/>
      <c r="CD45" s="1445"/>
      <c r="CE45" s="321"/>
      <c r="CF45" s="1445"/>
      <c r="CG45" s="1445"/>
      <c r="CH45" s="321"/>
      <c r="CI45" s="1445"/>
      <c r="CJ45" s="1445"/>
      <c r="CK45" s="326"/>
      <c r="CL45" s="336"/>
    </row>
    <row r="46" spans="2:90" ht="15" x14ac:dyDescent="0.2">
      <c r="B46" s="1491"/>
      <c r="C46" s="1397"/>
      <c r="D46" s="1402"/>
      <c r="E46" s="1402"/>
      <c r="F46" s="1442"/>
      <c r="G46" s="321"/>
      <c r="H46" s="372">
        <f>+'Plan de Accion 2018'!AB17</f>
        <v>0.48054275674666669</v>
      </c>
      <c r="I46" s="767">
        <f>+'Plan de Accion 2018'!BN17</f>
        <v>1.9221710269866668</v>
      </c>
      <c r="J46" s="767">
        <f t="shared" si="4"/>
        <v>1</v>
      </c>
      <c r="K46" s="767">
        <f>+'Plan de Accion 2018'!AG17</f>
        <v>0.18020353378000001</v>
      </c>
      <c r="L46" s="875">
        <f t="shared" ref="L46:L69" si="15">+K46</f>
        <v>0.18020353378000001</v>
      </c>
      <c r="M46" s="682">
        <f t="shared" si="6"/>
        <v>0.18020353378000001</v>
      </c>
      <c r="N46" s="642">
        <v>1</v>
      </c>
      <c r="O46" s="543">
        <f>+'Plan de Accion 2018'!AL17</f>
        <v>0.12648005387875</v>
      </c>
      <c r="P46" s="767">
        <f>+'Plan de Accion 2018'!BP17</f>
        <v>0.57819453201714288</v>
      </c>
      <c r="Q46" s="629">
        <f t="shared" si="0"/>
        <v>0.57819453201714288</v>
      </c>
      <c r="R46" s="751">
        <f>+'Plan de Accion 2018'!AQ17</f>
        <v>0.30668358765874998</v>
      </c>
      <c r="S46" s="873">
        <f t="shared" ref="S46:S68" si="16">IF(R46&gt;100%,100%,R46)</f>
        <v>0.30668358765874998</v>
      </c>
      <c r="T46" s="637">
        <f t="shared" si="2"/>
        <v>0.30668358765874998</v>
      </c>
      <c r="U46" s="322"/>
      <c r="V46" s="543">
        <f>+'Plan de Accion 2018'!AV17</f>
        <v>0.15833042775</v>
      </c>
      <c r="W46" s="767">
        <f>+'Plan de Accion 2018'!BR17</f>
        <v>0.12991214584615385</v>
      </c>
      <c r="X46" s="629">
        <f t="shared" si="1"/>
        <v>0.12991214584615385</v>
      </c>
      <c r="Y46" s="882">
        <f>+'Plan de Accion 2018'!BA17</f>
        <v>0.46501401540874998</v>
      </c>
      <c r="Z46" s="882">
        <f t="shared" ref="Z46:Z69" si="17">IF(Y46&gt;100%,100%,Y46)</f>
        <v>0.46501401540874998</v>
      </c>
      <c r="AA46" s="883">
        <f t="shared" si="3"/>
        <v>0.46501401540874998</v>
      </c>
      <c r="AB46" s="642"/>
      <c r="AC46" s="543">
        <f>+'Plan de Accion 2018'!BF17</f>
        <v>0.49560001337499998</v>
      </c>
      <c r="AD46" s="767">
        <f>+'Plan de Accion 2018'!BT17</f>
        <v>2.2656000611428571</v>
      </c>
      <c r="AE46" s="629">
        <f t="shared" si="9"/>
        <v>1</v>
      </c>
      <c r="AF46" s="767">
        <f>+'Plan de Accion 2018'!BK17</f>
        <v>0.96061402878375002</v>
      </c>
      <c r="AG46" s="637">
        <f t="shared" si="10"/>
        <v>0.96061402878375002</v>
      </c>
      <c r="AH46" s="337"/>
      <c r="AJ46" s="1446"/>
      <c r="AK46" s="1446"/>
      <c r="AL46" s="321"/>
      <c r="AM46" s="1468"/>
      <c r="AN46" s="1446"/>
      <c r="AO46" s="321"/>
      <c r="AP46" s="1446"/>
      <c r="AQ46" s="1446"/>
      <c r="AR46" s="321"/>
      <c r="AS46" s="1446"/>
      <c r="AT46" s="1446"/>
      <c r="AU46" s="326"/>
      <c r="AV46" s="338"/>
      <c r="AX46" s="1446"/>
      <c r="AY46" s="1446"/>
      <c r="AZ46" s="321"/>
      <c r="BA46" s="1468"/>
      <c r="BB46" s="1446"/>
      <c r="BC46" s="321"/>
      <c r="BD46" s="1446"/>
      <c r="BE46" s="1446"/>
      <c r="BF46" s="321"/>
      <c r="BG46" s="1446"/>
      <c r="BH46" s="1446"/>
      <c r="BI46" s="326"/>
      <c r="BJ46" s="338"/>
      <c r="BL46" s="1446"/>
      <c r="BM46" s="1446"/>
      <c r="BN46" s="321"/>
      <c r="BO46" s="1468"/>
      <c r="BP46" s="1446"/>
      <c r="BQ46" s="321"/>
      <c r="BR46" s="1446"/>
      <c r="BS46" s="1446"/>
      <c r="BT46" s="321"/>
      <c r="BU46" s="1446"/>
      <c r="BV46" s="1446"/>
      <c r="BW46" s="326"/>
      <c r="BX46" s="338"/>
      <c r="BZ46" s="1446"/>
      <c r="CA46" s="1446"/>
      <c r="CB46" s="321"/>
      <c r="CC46" s="1468"/>
      <c r="CD46" s="1446"/>
      <c r="CE46" s="321"/>
      <c r="CF46" s="1446"/>
      <c r="CG46" s="1446"/>
      <c r="CH46" s="321"/>
      <c r="CI46" s="1446"/>
      <c r="CJ46" s="1446"/>
      <c r="CK46" s="326"/>
      <c r="CL46" s="338"/>
    </row>
    <row r="47" spans="2:90" ht="15.75" thickBot="1" x14ac:dyDescent="0.25">
      <c r="B47" s="1491"/>
      <c r="C47" s="1397"/>
      <c r="D47" s="1402"/>
      <c r="E47" s="1402"/>
      <c r="F47" s="1442"/>
      <c r="G47" s="321"/>
      <c r="H47" s="372">
        <f>+'Plan de Accion 2018'!AB18</f>
        <v>0.22595685843040308</v>
      </c>
      <c r="I47" s="767">
        <f>+'Plan de Accion 2018'!BN18</f>
        <v>0.87963991599091418</v>
      </c>
      <c r="J47" s="767">
        <f t="shared" si="4"/>
        <v>0.87963991599091418</v>
      </c>
      <c r="K47" s="767">
        <f>+'Plan de Accion 2018'!AG18</f>
        <v>0.22595685843040306</v>
      </c>
      <c r="L47" s="875">
        <f t="shared" si="15"/>
        <v>0.22595685843040306</v>
      </c>
      <c r="M47" s="682">
        <f t="shared" si="6"/>
        <v>0.22595685843040306</v>
      </c>
      <c r="N47" s="642"/>
      <c r="O47" s="543">
        <f>+'Plan de Accion 2018'!AL18</f>
        <v>0.25350928626475255</v>
      </c>
      <c r="P47" s="643">
        <f>+'Plan de Accion 2018'!BP18</f>
        <v>1.0000831290159775</v>
      </c>
      <c r="Q47" s="629">
        <f t="shared" si="0"/>
        <v>1</v>
      </c>
      <c r="R47" s="751">
        <f>+'Plan de Accion 2018'!AQ18</f>
        <v>0.47946614469515564</v>
      </c>
      <c r="S47" s="873">
        <f t="shared" si="16"/>
        <v>0.47946614469515564</v>
      </c>
      <c r="T47" s="637">
        <f t="shared" si="2"/>
        <v>0.47946614469515564</v>
      </c>
      <c r="U47" s="322"/>
      <c r="V47" s="543">
        <f>+'Plan de Accion 2018'!AV18</f>
        <v>0.24659019719606429</v>
      </c>
      <c r="W47" s="767">
        <f>+'Plan de Accion 2018'!BR18</f>
        <v>0.91719234263357963</v>
      </c>
      <c r="X47" s="629">
        <f t="shared" si="1"/>
        <v>0.91719234263357963</v>
      </c>
      <c r="Y47" s="882">
        <f>+'Plan de Accion 2018'!BA18</f>
        <v>0.72605634189121993</v>
      </c>
      <c r="Z47" s="882">
        <f t="shared" si="17"/>
        <v>0.72605634189121993</v>
      </c>
      <c r="AA47" s="883">
        <f t="shared" si="3"/>
        <v>0.72605634189121993</v>
      </c>
      <c r="AB47" s="642"/>
      <c r="AC47" s="543">
        <f>+'Plan de Accion 2018'!BF18</f>
        <v>0.24835361696869401</v>
      </c>
      <c r="AD47" s="767">
        <f>+'Plan de Accion 2018'!BT18</f>
        <v>0.98678114606814549</v>
      </c>
      <c r="AE47" s="629">
        <f t="shared" si="9"/>
        <v>0.98678114606814549</v>
      </c>
      <c r="AF47" s="767">
        <f>+'Plan de Accion 2018'!BK18</f>
        <v>0.97440995885991388</v>
      </c>
      <c r="AG47" s="637">
        <f t="shared" si="10"/>
        <v>0.97440995885991388</v>
      </c>
      <c r="AH47" s="339"/>
      <c r="AJ47" s="1447"/>
      <c r="AK47" s="1447"/>
      <c r="AL47" s="321"/>
      <c r="AM47" s="1469"/>
      <c r="AN47" s="1447"/>
      <c r="AO47" s="321"/>
      <c r="AP47" s="1447"/>
      <c r="AQ47" s="1447"/>
      <c r="AR47" s="321"/>
      <c r="AS47" s="1447"/>
      <c r="AT47" s="1447"/>
      <c r="AU47" s="326"/>
      <c r="AV47" s="340"/>
      <c r="AX47" s="1447"/>
      <c r="AY47" s="1447"/>
      <c r="AZ47" s="321"/>
      <c r="BA47" s="1469"/>
      <c r="BB47" s="1447"/>
      <c r="BC47" s="321"/>
      <c r="BD47" s="1447"/>
      <c r="BE47" s="1447"/>
      <c r="BF47" s="321"/>
      <c r="BG47" s="1447"/>
      <c r="BH47" s="1447"/>
      <c r="BI47" s="326"/>
      <c r="BJ47" s="340"/>
      <c r="BL47" s="1447"/>
      <c r="BM47" s="1447"/>
      <c r="BN47" s="321"/>
      <c r="BO47" s="1469"/>
      <c r="BP47" s="1447"/>
      <c r="BQ47" s="321"/>
      <c r="BR47" s="1447"/>
      <c r="BS47" s="1447"/>
      <c r="BT47" s="321"/>
      <c r="BU47" s="1447"/>
      <c r="BV47" s="1447"/>
      <c r="BW47" s="326"/>
      <c r="BX47" s="340"/>
      <c r="BZ47" s="1447"/>
      <c r="CA47" s="1447"/>
      <c r="CB47" s="321"/>
      <c r="CC47" s="1469"/>
      <c r="CD47" s="1447"/>
      <c r="CE47" s="321"/>
      <c r="CF47" s="1447"/>
      <c r="CG47" s="1447"/>
      <c r="CH47" s="321"/>
      <c r="CI47" s="1447"/>
      <c r="CJ47" s="1447"/>
      <c r="CK47" s="326"/>
      <c r="CL47" s="340"/>
    </row>
    <row r="48" spans="2:90" ht="15" x14ac:dyDescent="0.2">
      <c r="B48" s="1491"/>
      <c r="C48" s="1397"/>
      <c r="D48" s="1402"/>
      <c r="E48" s="1402"/>
      <c r="F48" s="1442"/>
      <c r="G48" s="321"/>
      <c r="H48" s="372">
        <f>+'Plan de Accion 2018'!AB19</f>
        <v>0.25406609209837994</v>
      </c>
      <c r="I48" s="767">
        <f>+'Plan de Accion 2018'!BN19</f>
        <v>1.0162643683935197</v>
      </c>
      <c r="J48" s="767">
        <f t="shared" si="4"/>
        <v>1</v>
      </c>
      <c r="K48" s="767">
        <f>+'Plan de Accion 2018'!AG19</f>
        <v>0.2421735903187153</v>
      </c>
      <c r="L48" s="875">
        <f t="shared" si="15"/>
        <v>0.2421735903187153</v>
      </c>
      <c r="M48" s="682">
        <f t="shared" si="6"/>
        <v>0.2421735903187153</v>
      </c>
      <c r="N48" s="642">
        <v>1</v>
      </c>
      <c r="O48" s="543">
        <f>+'Plan de Accion 2018'!AL19</f>
        <v>0.25</v>
      </c>
      <c r="P48" s="767">
        <f>+'Plan de Accion 2018'!BP19</f>
        <v>1</v>
      </c>
      <c r="Q48" s="629">
        <f t="shared" si="0"/>
        <v>1</v>
      </c>
      <c r="R48" s="751">
        <f>+'Plan de Accion 2018'!AQ19</f>
        <v>0.49556127244558434</v>
      </c>
      <c r="S48" s="873">
        <f t="shared" si="16"/>
        <v>0.49556127244558434</v>
      </c>
      <c r="T48" s="637">
        <f t="shared" si="2"/>
        <v>0.49556127244558434</v>
      </c>
      <c r="U48" s="322"/>
      <c r="V48" s="543">
        <f>+'Plan de Accion 2018'!AV19</f>
        <v>0.38180255869926555</v>
      </c>
      <c r="W48" s="767">
        <f>+'Plan de Accion 2018'!BR19</f>
        <v>1.5272102347970622</v>
      </c>
      <c r="X48" s="629">
        <f t="shared" si="1"/>
        <v>1</v>
      </c>
      <c r="Y48" s="882">
        <f>+'Plan de Accion 2018'!BA19</f>
        <v>0.743731419101197</v>
      </c>
      <c r="Z48" s="882">
        <f t="shared" si="17"/>
        <v>0.743731419101197</v>
      </c>
      <c r="AA48" s="883">
        <f t="shared" si="3"/>
        <v>0.743731419101197</v>
      </c>
      <c r="AB48" s="642">
        <v>1</v>
      </c>
      <c r="AC48" s="543">
        <f>+'Plan de Accion 2018'!BF19</f>
        <v>0.18492993401964386</v>
      </c>
      <c r="AD48" s="767">
        <f>+'Plan de Accion 2018'!BT19</f>
        <v>0.73971973607857544</v>
      </c>
      <c r="AE48" s="629">
        <f t="shared" si="9"/>
        <v>0.73971973607857544</v>
      </c>
      <c r="AF48" s="767">
        <f>+'Plan de Accion 2018'!BK19</f>
        <v>0.99667097893439072</v>
      </c>
      <c r="AG48" s="637">
        <f t="shared" si="10"/>
        <v>0.99667097893439072</v>
      </c>
      <c r="AH48" s="335"/>
      <c r="AJ48" s="341"/>
      <c r="AK48" s="341"/>
      <c r="AL48" s="321"/>
      <c r="AM48" s="342"/>
      <c r="AN48" s="341"/>
      <c r="AO48" s="321"/>
      <c r="AP48" s="341"/>
      <c r="AQ48" s="341"/>
      <c r="AR48" s="321"/>
      <c r="AS48" s="341"/>
      <c r="AT48" s="341"/>
      <c r="AU48" s="326"/>
      <c r="AV48" s="338"/>
      <c r="AX48" s="341"/>
      <c r="AY48" s="341"/>
      <c r="AZ48" s="321"/>
      <c r="BA48" s="342"/>
      <c r="BB48" s="341"/>
      <c r="BC48" s="321"/>
      <c r="BD48" s="341"/>
      <c r="BE48" s="341"/>
      <c r="BF48" s="321"/>
      <c r="BG48" s="341"/>
      <c r="BH48" s="341"/>
      <c r="BI48" s="326"/>
      <c r="BJ48" s="338"/>
      <c r="BL48" s="341"/>
      <c r="BM48" s="341"/>
      <c r="BN48" s="321"/>
      <c r="BO48" s="342"/>
      <c r="BP48" s="341"/>
      <c r="BQ48" s="321"/>
      <c r="BR48" s="341"/>
      <c r="BS48" s="341"/>
      <c r="BT48" s="321"/>
      <c r="BU48" s="341"/>
      <c r="BV48" s="341"/>
      <c r="BW48" s="326"/>
      <c r="BX48" s="338"/>
      <c r="BZ48" s="341"/>
      <c r="CA48" s="341"/>
      <c r="CB48" s="321"/>
      <c r="CC48" s="342"/>
      <c r="CD48" s="341"/>
      <c r="CE48" s="321"/>
      <c r="CF48" s="341"/>
      <c r="CG48" s="341"/>
      <c r="CH48" s="321"/>
      <c r="CI48" s="341"/>
      <c r="CJ48" s="341"/>
      <c r="CK48" s="326"/>
      <c r="CL48" s="338"/>
    </row>
    <row r="49" spans="2:90" ht="15" x14ac:dyDescent="0.2">
      <c r="B49" s="1491"/>
      <c r="C49" s="1397"/>
      <c r="D49" s="1402"/>
      <c r="E49" s="1402"/>
      <c r="F49" s="1442"/>
      <c r="G49" s="321"/>
      <c r="H49" s="372">
        <f>+'Plan de Accion 2018'!AB20</f>
        <v>1.2711216975E-2</v>
      </c>
      <c r="I49" s="767">
        <f>+'Plan de Accion 2018'!BN20</f>
        <v>5.08448679E-2</v>
      </c>
      <c r="J49" s="767">
        <f t="shared" si="4"/>
        <v>5.08448679E-2</v>
      </c>
      <c r="K49" s="767">
        <f>+'Plan de Accion 2018'!AG20</f>
        <v>0.34125116701935371</v>
      </c>
      <c r="L49" s="875">
        <f t="shared" si="15"/>
        <v>0.34125116701935371</v>
      </c>
      <c r="M49" s="682">
        <f t="shared" si="6"/>
        <v>0.34125116701935371</v>
      </c>
      <c r="N49" s="642"/>
      <c r="O49" s="543">
        <f>+'Plan de Accion 2018'!AL20</f>
        <v>0.2833865848566553</v>
      </c>
      <c r="P49" s="767">
        <f>+'Plan de Accion 2018'!BP20</f>
        <v>4.2223309000000001E-2</v>
      </c>
      <c r="Q49" s="629">
        <f t="shared" si="0"/>
        <v>4.2223309000000001E-2</v>
      </c>
      <c r="R49" s="751">
        <f>+'Plan de Accion 2018'!AQ20</f>
        <v>0.62463775187600901</v>
      </c>
      <c r="S49" s="873">
        <f t="shared" si="16"/>
        <v>0.62463775187600901</v>
      </c>
      <c r="T49" s="637">
        <f t="shared" si="2"/>
        <v>0.62463775187600901</v>
      </c>
      <c r="U49" s="322"/>
      <c r="V49" s="674">
        <f>+'Plan de Accion 2018'!AV20</f>
        <v>4.1025298553571694E-3</v>
      </c>
      <c r="W49" s="767">
        <f>+'Plan de Accion 2018'!BR20</f>
        <v>1.6410119421428677E-2</v>
      </c>
      <c r="X49" s="629">
        <f t="shared" si="1"/>
        <v>1.6410119421428677E-2</v>
      </c>
      <c r="Y49" s="882">
        <f>+'Plan de Accion 2018'!BA20</f>
        <v>0.83041722356975467</v>
      </c>
      <c r="Z49" s="882">
        <f t="shared" si="17"/>
        <v>0.83041722356975467</v>
      </c>
      <c r="AA49" s="883">
        <f t="shared" si="3"/>
        <v>0.83041722356975467</v>
      </c>
      <c r="AB49" s="642"/>
      <c r="AC49" s="543">
        <f>+'Plan de Accion 2018'!BF20</f>
        <v>2.6241981348374237E-3</v>
      </c>
      <c r="AD49" s="767">
        <f>+'Plan de Accion 2018'!BT20</f>
        <v>1.0496792539349695E-2</v>
      </c>
      <c r="AE49" s="629">
        <f t="shared" si="9"/>
        <v>1.0496792539349695E-2</v>
      </c>
      <c r="AF49" s="767">
        <f>+'Plan de Accion 2018'!BK20</f>
        <v>0.96204481065517389</v>
      </c>
      <c r="AG49" s="637">
        <f t="shared" si="10"/>
        <v>0.96204481065517389</v>
      </c>
      <c r="AH49" s="337"/>
      <c r="AJ49" s="341"/>
      <c r="AK49" s="341"/>
      <c r="AL49" s="321"/>
      <c r="AM49" s="342"/>
      <c r="AN49" s="341"/>
      <c r="AO49" s="321"/>
      <c r="AP49" s="341"/>
      <c r="AQ49" s="341"/>
      <c r="AR49" s="321"/>
      <c r="AS49" s="341"/>
      <c r="AT49" s="341"/>
      <c r="AU49" s="326"/>
      <c r="AV49" s="338"/>
      <c r="AX49" s="341"/>
      <c r="AY49" s="341"/>
      <c r="AZ49" s="321"/>
      <c r="BA49" s="342"/>
      <c r="BB49" s="341"/>
      <c r="BC49" s="321"/>
      <c r="BD49" s="341"/>
      <c r="BE49" s="341"/>
      <c r="BF49" s="321"/>
      <c r="BG49" s="341"/>
      <c r="BH49" s="341"/>
      <c r="BI49" s="326"/>
      <c r="BJ49" s="338"/>
      <c r="BL49" s="341"/>
      <c r="BM49" s="341"/>
      <c r="BN49" s="321"/>
      <c r="BO49" s="342"/>
      <c r="BP49" s="341"/>
      <c r="BQ49" s="321"/>
      <c r="BR49" s="341"/>
      <c r="BS49" s="341"/>
      <c r="BT49" s="321"/>
      <c r="BU49" s="341"/>
      <c r="BV49" s="341"/>
      <c r="BW49" s="326"/>
      <c r="BX49" s="338"/>
      <c r="BZ49" s="341"/>
      <c r="CA49" s="341"/>
      <c r="CB49" s="321"/>
      <c r="CC49" s="342"/>
      <c r="CD49" s="341"/>
      <c r="CE49" s="321"/>
      <c r="CF49" s="341"/>
      <c r="CG49" s="341"/>
      <c r="CH49" s="321"/>
      <c r="CI49" s="341"/>
      <c r="CJ49" s="341"/>
      <c r="CK49" s="326"/>
      <c r="CL49" s="338"/>
    </row>
    <row r="50" spans="2:90" ht="15.75" thickBot="1" x14ac:dyDescent="0.25">
      <c r="B50" s="1491"/>
      <c r="C50" s="1397"/>
      <c r="D50" s="1402"/>
      <c r="E50" s="1402"/>
      <c r="F50" s="1442"/>
      <c r="G50" s="321"/>
      <c r="H50" s="372">
        <f>+'Plan de Accion 2018'!AB21</f>
        <v>0</v>
      </c>
      <c r="I50" s="767">
        <f>+'Plan de Accion 2018'!BN21</f>
        <v>0</v>
      </c>
      <c r="J50" s="767">
        <f t="shared" si="4"/>
        <v>0</v>
      </c>
      <c r="K50" s="767" t="s">
        <v>792</v>
      </c>
      <c r="L50" s="875" t="s">
        <v>792</v>
      </c>
      <c r="M50" s="682" t="str">
        <f t="shared" si="6"/>
        <v>N.A</v>
      </c>
      <c r="N50" s="642"/>
      <c r="O50" s="543">
        <f>+'Plan de Accion 2018'!AL21</f>
        <v>0</v>
      </c>
      <c r="P50" s="767">
        <f>+'Plan de Accion 2018'!BP21</f>
        <v>0</v>
      </c>
      <c r="Q50" s="629">
        <f t="shared" si="0"/>
        <v>0</v>
      </c>
      <c r="R50" s="751" t="s">
        <v>792</v>
      </c>
      <c r="S50" s="873" t="s">
        <v>792</v>
      </c>
      <c r="T50" s="637" t="s">
        <v>792</v>
      </c>
      <c r="U50" s="322"/>
      <c r="V50" s="372">
        <f>+'Plan de Accion 2018'!AV21</f>
        <v>0</v>
      </c>
      <c r="W50" s="767">
        <f>+'Plan de Accion 2018'!BR21</f>
        <v>0</v>
      </c>
      <c r="X50" s="629">
        <f t="shared" si="1"/>
        <v>0</v>
      </c>
      <c r="Y50" s="882" t="s">
        <v>792</v>
      </c>
      <c r="Z50" s="882" t="s">
        <v>792</v>
      </c>
      <c r="AA50" s="883" t="str">
        <f t="shared" si="3"/>
        <v>N.A</v>
      </c>
      <c r="AB50" s="642"/>
      <c r="AC50" s="543">
        <f>+'Plan de Accion 2018'!BF21</f>
        <v>0</v>
      </c>
      <c r="AD50" s="767">
        <f>+'Plan de Accion 2018'!BT21</f>
        <v>0</v>
      </c>
      <c r="AE50" s="629">
        <f t="shared" si="9"/>
        <v>0</v>
      </c>
      <c r="AF50" s="767" t="s">
        <v>792</v>
      </c>
      <c r="AG50" s="637" t="s">
        <v>792</v>
      </c>
      <c r="AH50" s="339"/>
      <c r="AJ50" s="341"/>
      <c r="AK50" s="341"/>
      <c r="AL50" s="321"/>
      <c r="AM50" s="342"/>
      <c r="AN50" s="341"/>
      <c r="AO50" s="321"/>
      <c r="AP50" s="341"/>
      <c r="AQ50" s="341"/>
      <c r="AR50" s="321"/>
      <c r="AS50" s="341"/>
      <c r="AT50" s="341"/>
      <c r="AU50" s="326"/>
      <c r="AV50" s="338"/>
      <c r="AX50" s="341"/>
      <c r="AY50" s="341"/>
      <c r="AZ50" s="321"/>
      <c r="BA50" s="342"/>
      <c r="BB50" s="341"/>
      <c r="BC50" s="321"/>
      <c r="BD50" s="341"/>
      <c r="BE50" s="341"/>
      <c r="BF50" s="321"/>
      <c r="BG50" s="341"/>
      <c r="BH50" s="341"/>
      <c r="BI50" s="326"/>
      <c r="BJ50" s="338"/>
      <c r="BL50" s="341"/>
      <c r="BM50" s="341"/>
      <c r="BN50" s="321"/>
      <c r="BO50" s="342"/>
      <c r="BP50" s="341"/>
      <c r="BQ50" s="321"/>
      <c r="BR50" s="341"/>
      <c r="BS50" s="341"/>
      <c r="BT50" s="321"/>
      <c r="BU50" s="341"/>
      <c r="BV50" s="341"/>
      <c r="BW50" s="326"/>
      <c r="BX50" s="338"/>
      <c r="BZ50" s="341"/>
      <c r="CA50" s="341"/>
      <c r="CB50" s="321"/>
      <c r="CC50" s="342"/>
      <c r="CD50" s="341"/>
      <c r="CE50" s="321"/>
      <c r="CF50" s="341"/>
      <c r="CG50" s="341"/>
      <c r="CH50" s="321"/>
      <c r="CI50" s="341"/>
      <c r="CJ50" s="341"/>
      <c r="CK50" s="326"/>
      <c r="CL50" s="338"/>
    </row>
    <row r="51" spans="2:90" ht="15" x14ac:dyDescent="0.2">
      <c r="B51" s="1491"/>
      <c r="C51" s="1397"/>
      <c r="D51" s="1402"/>
      <c r="E51" s="1402"/>
      <c r="F51" s="1442"/>
      <c r="G51" s="321"/>
      <c r="H51" s="372">
        <f>+'Plan de Accion 2018'!AB22</f>
        <v>0.24380171399700623</v>
      </c>
      <c r="I51" s="767">
        <f>+'Plan de Accion 2018'!BN22</f>
        <v>0.97520685598802492</v>
      </c>
      <c r="J51" s="767">
        <f t="shared" si="4"/>
        <v>0.97520685598802492</v>
      </c>
      <c r="K51" s="767">
        <f>+'Plan de Accion 2018'!AG22</f>
        <v>0.21755638885122586</v>
      </c>
      <c r="L51" s="875">
        <f t="shared" si="15"/>
        <v>0.21755638885122586</v>
      </c>
      <c r="M51" s="682">
        <f t="shared" si="6"/>
        <v>0.21755638885122586</v>
      </c>
      <c r="N51" s="642"/>
      <c r="O51" s="543">
        <f>+'Plan de Accion 2018'!AL22</f>
        <v>0.26836580200552163</v>
      </c>
      <c r="P51" s="767">
        <f>+'Plan de Accion 2018'!BP22</f>
        <v>1.0734632080220865</v>
      </c>
      <c r="Q51" s="629">
        <f t="shared" si="0"/>
        <v>1</v>
      </c>
      <c r="R51" s="751">
        <f>+'Plan de Accion 2018'!AQ22</f>
        <v>0.45703253452016601</v>
      </c>
      <c r="S51" s="873">
        <f t="shared" si="16"/>
        <v>0.45703253452016601</v>
      </c>
      <c r="T51" s="637">
        <f t="shared" si="2"/>
        <v>0.45703253452016601</v>
      </c>
      <c r="U51" s="642">
        <v>1</v>
      </c>
      <c r="V51" s="543">
        <f>+'Plan de Accion 2018'!AV22</f>
        <v>0.2602699159458593</v>
      </c>
      <c r="W51" s="767">
        <f>+'Plan de Accion 2018'!BR22</f>
        <v>1.0410796637834372</v>
      </c>
      <c r="X51" s="629">
        <f t="shared" si="1"/>
        <v>1</v>
      </c>
      <c r="Y51" s="882">
        <f>+'Plan de Accion 2018'!BA22</f>
        <v>0.68928431860929895</v>
      </c>
      <c r="Z51" s="882">
        <f t="shared" si="17"/>
        <v>0.68928431860929895</v>
      </c>
      <c r="AA51" s="883">
        <f t="shared" si="3"/>
        <v>0.68928431860929895</v>
      </c>
      <c r="AB51" s="642">
        <v>1</v>
      </c>
      <c r="AC51" s="543">
        <f>+'Plan de Accion 2018'!BF22</f>
        <v>0.17841418727575184</v>
      </c>
      <c r="AD51" s="767">
        <f>+'Plan de Accion 2018'!BT22</f>
        <v>0.71365674910300736</v>
      </c>
      <c r="AE51" s="629">
        <f t="shared" si="9"/>
        <v>0.71365674910300736</v>
      </c>
      <c r="AF51" s="767">
        <f>+'Plan de Accion 2018'!BK22</f>
        <v>0.9253175227357251</v>
      </c>
      <c r="AG51" s="637">
        <f t="shared" si="10"/>
        <v>0.9253175227357251</v>
      </c>
      <c r="AH51" s="335"/>
      <c r="AJ51" s="341"/>
      <c r="AK51" s="341"/>
      <c r="AL51" s="321"/>
      <c r="AM51" s="342"/>
      <c r="AN51" s="341"/>
      <c r="AO51" s="321"/>
      <c r="AP51" s="341"/>
      <c r="AQ51" s="341"/>
      <c r="AR51" s="321"/>
      <c r="AS51" s="341"/>
      <c r="AT51" s="341"/>
      <c r="AU51" s="326"/>
      <c r="AV51" s="338"/>
      <c r="AX51" s="341"/>
      <c r="AY51" s="341"/>
      <c r="AZ51" s="321"/>
      <c r="BA51" s="342"/>
      <c r="BB51" s="341"/>
      <c r="BC51" s="321"/>
      <c r="BD51" s="341"/>
      <c r="BE51" s="341"/>
      <c r="BF51" s="321"/>
      <c r="BG51" s="341"/>
      <c r="BH51" s="341"/>
      <c r="BI51" s="326"/>
      <c r="BJ51" s="338"/>
      <c r="BL51" s="341"/>
      <c r="BM51" s="341"/>
      <c r="BN51" s="321"/>
      <c r="BO51" s="342"/>
      <c r="BP51" s="341"/>
      <c r="BQ51" s="321"/>
      <c r="BR51" s="341"/>
      <c r="BS51" s="341"/>
      <c r="BT51" s="321"/>
      <c r="BU51" s="341"/>
      <c r="BV51" s="341"/>
      <c r="BW51" s="326"/>
      <c r="BX51" s="338"/>
      <c r="BZ51" s="341"/>
      <c r="CA51" s="341"/>
      <c r="CB51" s="321"/>
      <c r="CC51" s="342"/>
      <c r="CD51" s="341"/>
      <c r="CE51" s="321"/>
      <c r="CF51" s="341"/>
      <c r="CG51" s="341"/>
      <c r="CH51" s="321"/>
      <c r="CI51" s="341"/>
      <c r="CJ51" s="341"/>
      <c r="CK51" s="326"/>
      <c r="CL51" s="338"/>
    </row>
    <row r="52" spans="2:90" ht="15" x14ac:dyDescent="0.2">
      <c r="B52" s="1491"/>
      <c r="C52" s="1397"/>
      <c r="D52" s="1402"/>
      <c r="E52" s="1402"/>
      <c r="F52" s="1442"/>
      <c r="G52" s="321"/>
      <c r="H52" s="372">
        <f>+'Plan de Accion 2018'!AB23</f>
        <v>0.25892237729684275</v>
      </c>
      <c r="I52" s="767">
        <f>+'Plan de Accion 2018'!BN23</f>
        <v>1.035689509187371</v>
      </c>
      <c r="J52" s="767">
        <f t="shared" si="4"/>
        <v>1</v>
      </c>
      <c r="K52" s="767">
        <f>+'Plan de Accion 2018'!AG23</f>
        <v>0.23173304338922762</v>
      </c>
      <c r="L52" s="875">
        <f t="shared" si="15"/>
        <v>0.23173304338922762</v>
      </c>
      <c r="M52" s="682">
        <f t="shared" si="6"/>
        <v>0.23173304338922762</v>
      </c>
      <c r="N52" s="642">
        <v>1</v>
      </c>
      <c r="O52" s="543">
        <f>+'Plan de Accion 2018'!AL23</f>
        <v>0.24288484469730082</v>
      </c>
      <c r="P52" s="767">
        <f>+'Plan de Accion 2018'!BP23</f>
        <v>0.90606386867371358</v>
      </c>
      <c r="Q52" s="629">
        <f t="shared" si="0"/>
        <v>0.90606386867371358</v>
      </c>
      <c r="R52" s="751">
        <f>+'Plan de Accion 2018'!AQ23</f>
        <v>0.47461788808652844</v>
      </c>
      <c r="S52" s="873">
        <f t="shared" si="16"/>
        <v>0.47461788808652844</v>
      </c>
      <c r="T52" s="637">
        <f t="shared" si="2"/>
        <v>0.47461788808652844</v>
      </c>
      <c r="U52" s="322"/>
      <c r="V52" s="543">
        <f>+'Plan de Accion 2018'!AV23</f>
        <v>0.23908735315240476</v>
      </c>
      <c r="W52" s="767">
        <f>+'Plan de Accion 2018'!BR23</f>
        <v>0.8918976085897945</v>
      </c>
      <c r="X52" s="629">
        <f t="shared" si="1"/>
        <v>0.8918976085897945</v>
      </c>
      <c r="Y52" s="882">
        <f>+'Plan de Accion 2018'!BA23</f>
        <v>0.7137052412389332</v>
      </c>
      <c r="Z52" s="882">
        <f t="shared" si="17"/>
        <v>0.7137052412389332</v>
      </c>
      <c r="AA52" s="883">
        <f t="shared" si="3"/>
        <v>0.7137052412389332</v>
      </c>
      <c r="AB52" s="642"/>
      <c r="AC52" s="543">
        <f>+'Plan de Accion 2018'!BF23</f>
        <v>0.24086901000225078</v>
      </c>
      <c r="AD52" s="767">
        <f>+'Plan de Accion 2018'!BT23</f>
        <v>1.003116982913125</v>
      </c>
      <c r="AE52" s="629">
        <f t="shared" si="9"/>
        <v>1</v>
      </c>
      <c r="AF52" s="767">
        <f>+'Plan de Accion 2018'!BK23</f>
        <v>0.954574251241184</v>
      </c>
      <c r="AG52" s="637">
        <f t="shared" si="10"/>
        <v>0.954574251241184</v>
      </c>
      <c r="AH52" s="337"/>
      <c r="AJ52" s="341"/>
      <c r="AK52" s="341"/>
      <c r="AL52" s="321"/>
      <c r="AM52" s="342"/>
      <c r="AN52" s="341"/>
      <c r="AO52" s="321"/>
      <c r="AP52" s="341"/>
      <c r="AQ52" s="341"/>
      <c r="AR52" s="321"/>
      <c r="AS52" s="341"/>
      <c r="AT52" s="341"/>
      <c r="AU52" s="326"/>
      <c r="AV52" s="338"/>
      <c r="AX52" s="341"/>
      <c r="AY52" s="341"/>
      <c r="AZ52" s="321"/>
      <c r="BA52" s="342"/>
      <c r="BB52" s="341"/>
      <c r="BC52" s="321"/>
      <c r="BD52" s="341"/>
      <c r="BE52" s="341"/>
      <c r="BF52" s="321"/>
      <c r="BG52" s="341"/>
      <c r="BH52" s="341"/>
      <c r="BI52" s="326"/>
      <c r="BJ52" s="338"/>
      <c r="BL52" s="341"/>
      <c r="BM52" s="341"/>
      <c r="BN52" s="321"/>
      <c r="BO52" s="342"/>
      <c r="BP52" s="341"/>
      <c r="BQ52" s="321"/>
      <c r="BR52" s="341"/>
      <c r="BS52" s="341"/>
      <c r="BT52" s="321"/>
      <c r="BU52" s="341"/>
      <c r="BV52" s="341"/>
      <c r="BW52" s="326"/>
      <c r="BX52" s="338"/>
      <c r="BZ52" s="341"/>
      <c r="CA52" s="341"/>
      <c r="CB52" s="321"/>
      <c r="CC52" s="342"/>
      <c r="CD52" s="341"/>
      <c r="CE52" s="321"/>
      <c r="CF52" s="341"/>
      <c r="CG52" s="341"/>
      <c r="CH52" s="321"/>
      <c r="CI52" s="341"/>
      <c r="CJ52" s="341"/>
      <c r="CK52" s="326"/>
      <c r="CL52" s="338"/>
    </row>
    <row r="53" spans="2:90" ht="15.75" thickBot="1" x14ac:dyDescent="0.25">
      <c r="B53" s="1491"/>
      <c r="C53" s="1397"/>
      <c r="D53" s="1402"/>
      <c r="E53" s="1402"/>
      <c r="F53" s="1442"/>
      <c r="G53" s="321"/>
      <c r="H53" s="372">
        <f>+'Plan de Accion 2018'!AB24</f>
        <v>0.25045429000543146</v>
      </c>
      <c r="I53" s="767">
        <f>+'Plan de Accion 2018'!BN24</f>
        <v>1.0018171600217258</v>
      </c>
      <c r="J53" s="767">
        <f t="shared" si="4"/>
        <v>1</v>
      </c>
      <c r="K53" s="767">
        <f>+'Plan de Accion 2018'!AG24</f>
        <v>0.21632092620943599</v>
      </c>
      <c r="L53" s="875">
        <f t="shared" si="15"/>
        <v>0.21632092620943599</v>
      </c>
      <c r="M53" s="682">
        <f t="shared" si="6"/>
        <v>0.21632092620943599</v>
      </c>
      <c r="N53" s="642"/>
      <c r="O53" s="543">
        <f>+'Plan de Accion 2018'!AL24</f>
        <v>0.29107446829134082</v>
      </c>
      <c r="P53" s="767">
        <f>+'Plan de Accion 2018'!BP24</f>
        <v>1.1642978731653633</v>
      </c>
      <c r="Q53" s="629">
        <f t="shared" si="0"/>
        <v>1</v>
      </c>
      <c r="R53" s="751">
        <f>+'Plan de Accion 2018'!AQ24</f>
        <v>0.46772607712674091</v>
      </c>
      <c r="S53" s="873">
        <f t="shared" si="16"/>
        <v>0.46772607712674091</v>
      </c>
      <c r="T53" s="637">
        <f t="shared" si="2"/>
        <v>0.46772607712674091</v>
      </c>
      <c r="U53" s="642">
        <v>1</v>
      </c>
      <c r="V53" s="543">
        <f>+'Plan de Accion 2018'!AV24</f>
        <v>0.28329940466638526</v>
      </c>
      <c r="W53" s="767">
        <f>+'Plan de Accion 2018'!BR24</f>
        <v>1.133197618665541</v>
      </c>
      <c r="X53" s="629">
        <f t="shared" si="1"/>
        <v>1</v>
      </c>
      <c r="Y53" s="882">
        <f>+'Plan de Accion 2018'!BA24</f>
        <v>0.71241579520138543</v>
      </c>
      <c r="Z53" s="882">
        <f t="shared" si="17"/>
        <v>0.71241579520138543</v>
      </c>
      <c r="AA53" s="883">
        <f t="shared" si="3"/>
        <v>0.71241579520138543</v>
      </c>
      <c r="AB53" s="642">
        <v>1</v>
      </c>
      <c r="AC53" s="543">
        <f>+'Plan de Accion 2018'!BF24</f>
        <v>0.19658258316775787</v>
      </c>
      <c r="AD53" s="767">
        <f>+'Plan de Accion 2018'!BT24</f>
        <v>0.78633033267103147</v>
      </c>
      <c r="AE53" s="629">
        <f t="shared" si="9"/>
        <v>0.78633033267103147</v>
      </c>
      <c r="AF53" s="767">
        <f>+'Plan de Accion 2018'!BK24</f>
        <v>0.98937262343090004</v>
      </c>
      <c r="AG53" s="637">
        <f t="shared" si="10"/>
        <v>0.98937262343090004</v>
      </c>
      <c r="AH53" s="339"/>
      <c r="AJ53" s="341"/>
      <c r="AK53" s="341"/>
      <c r="AL53" s="321"/>
      <c r="AM53" s="342"/>
      <c r="AN53" s="341"/>
      <c r="AO53" s="321"/>
      <c r="AP53" s="341"/>
      <c r="AQ53" s="341"/>
      <c r="AR53" s="321"/>
      <c r="AS53" s="341"/>
      <c r="AT53" s="341"/>
      <c r="AU53" s="326"/>
      <c r="AV53" s="338"/>
      <c r="AX53" s="341"/>
      <c r="AY53" s="341"/>
      <c r="AZ53" s="321"/>
      <c r="BA53" s="342"/>
      <c r="BB53" s="341"/>
      <c r="BC53" s="321"/>
      <c r="BD53" s="341"/>
      <c r="BE53" s="341"/>
      <c r="BF53" s="321"/>
      <c r="BG53" s="341"/>
      <c r="BH53" s="341"/>
      <c r="BI53" s="326"/>
      <c r="BJ53" s="338"/>
      <c r="BL53" s="341"/>
      <c r="BM53" s="341"/>
      <c r="BN53" s="321"/>
      <c r="BO53" s="342"/>
      <c r="BP53" s="341"/>
      <c r="BQ53" s="321"/>
      <c r="BR53" s="341"/>
      <c r="BS53" s="341"/>
      <c r="BT53" s="321"/>
      <c r="BU53" s="341"/>
      <c r="BV53" s="341"/>
      <c r="BW53" s="326"/>
      <c r="BX53" s="338"/>
      <c r="BZ53" s="341"/>
      <c r="CA53" s="341"/>
      <c r="CB53" s="321"/>
      <c r="CC53" s="342"/>
      <c r="CD53" s="341"/>
      <c r="CE53" s="321"/>
      <c r="CF53" s="341"/>
      <c r="CG53" s="341"/>
      <c r="CH53" s="321"/>
      <c r="CI53" s="341"/>
      <c r="CJ53" s="341"/>
      <c r="CK53" s="326"/>
      <c r="CL53" s="338"/>
    </row>
    <row r="54" spans="2:90" ht="15" x14ac:dyDescent="0.2">
      <c r="B54" s="1491"/>
      <c r="C54" s="1397"/>
      <c r="D54" s="1402"/>
      <c r="E54" s="1402"/>
      <c r="F54" s="1442"/>
      <c r="G54" s="321"/>
      <c r="H54" s="372">
        <f>+'Plan de Accion 2018'!AB25</f>
        <v>0.42038601666666664</v>
      </c>
      <c r="I54" s="767">
        <f>+'Plan de Accion 2018'!BN25</f>
        <v>1.6815440666666666</v>
      </c>
      <c r="J54" s="767">
        <f t="shared" si="4"/>
        <v>1</v>
      </c>
      <c r="K54" s="767">
        <f>+'Plan de Accion 2018'!AG25</f>
        <v>0.15379976219512195</v>
      </c>
      <c r="L54" s="875">
        <f t="shared" si="15"/>
        <v>0.15379976219512195</v>
      </c>
      <c r="M54" s="682">
        <f t="shared" si="6"/>
        <v>0.15379976219512195</v>
      </c>
      <c r="N54" s="642">
        <v>1</v>
      </c>
      <c r="O54" s="543">
        <f>+'Plan de Accion 2018'!AL25</f>
        <v>0.14907192731707317</v>
      </c>
      <c r="P54" s="767">
        <f>+'Plan de Accion 2018'!BP25</f>
        <v>0.58674710592000001</v>
      </c>
      <c r="Q54" s="629">
        <f t="shared" si="0"/>
        <v>0.58674710592000001</v>
      </c>
      <c r="R54" s="751">
        <f>+'Plan de Accion 2018'!AQ25</f>
        <v>0.30287168951219512</v>
      </c>
      <c r="S54" s="873">
        <f t="shared" si="16"/>
        <v>0.30287168951219512</v>
      </c>
      <c r="T54" s="637">
        <f t="shared" si="2"/>
        <v>0.30287168951219512</v>
      </c>
      <c r="U54" s="322"/>
      <c r="V54" s="543">
        <f>+'Plan de Accion 2018'!AV25</f>
        <v>0.17073090585365852</v>
      </c>
      <c r="W54" s="767">
        <f>+'Plan de Accion 2018'!BR25</f>
        <v>0.67199684544000005</v>
      </c>
      <c r="X54" s="629">
        <f t="shared" si="1"/>
        <v>0.67199684544000005</v>
      </c>
      <c r="Y54" s="882">
        <f>+'Plan de Accion 2018'!BA25</f>
        <v>0.47360259536585364</v>
      </c>
      <c r="Z54" s="882">
        <f t="shared" si="17"/>
        <v>0.47360259536585364</v>
      </c>
      <c r="AA54" s="883">
        <f t="shared" si="3"/>
        <v>0.47360259536585364</v>
      </c>
      <c r="AB54" s="642"/>
      <c r="AC54" s="543">
        <f>+'Plan de Accion 2018'!BF25</f>
        <v>0.24473758243902438</v>
      </c>
      <c r="AD54" s="767">
        <f>+'Plan de Accion 2018'!BT25</f>
        <v>0.61122279472081098</v>
      </c>
      <c r="AE54" s="629">
        <f t="shared" si="9"/>
        <v>0.61122279472081098</v>
      </c>
      <c r="AF54" s="767">
        <f>+'Plan de Accion 2018'!BK25</f>
        <v>0.71834017780487802</v>
      </c>
      <c r="AG54" s="637">
        <f t="shared" si="10"/>
        <v>0.71834017780487802</v>
      </c>
      <c r="AH54" s="335"/>
      <c r="AJ54" s="341"/>
      <c r="AK54" s="341"/>
      <c r="AL54" s="321"/>
      <c r="AM54" s="342"/>
      <c r="AN54" s="341"/>
      <c r="AO54" s="321"/>
      <c r="AP54" s="341"/>
      <c r="AQ54" s="341"/>
      <c r="AR54" s="321"/>
      <c r="AS54" s="341"/>
      <c r="AT54" s="341"/>
      <c r="AU54" s="326"/>
      <c r="AV54" s="338"/>
      <c r="AX54" s="341"/>
      <c r="AY54" s="341"/>
      <c r="AZ54" s="321"/>
      <c r="BA54" s="342"/>
      <c r="BB54" s="341"/>
      <c r="BC54" s="321"/>
      <c r="BD54" s="341"/>
      <c r="BE54" s="341"/>
      <c r="BF54" s="321"/>
      <c r="BG54" s="341"/>
      <c r="BH54" s="341"/>
      <c r="BI54" s="326"/>
      <c r="BJ54" s="338"/>
      <c r="BL54" s="341"/>
      <c r="BM54" s="341"/>
      <c r="BN54" s="321"/>
      <c r="BO54" s="342"/>
      <c r="BP54" s="341"/>
      <c r="BQ54" s="321"/>
      <c r="BR54" s="341"/>
      <c r="BS54" s="341"/>
      <c r="BT54" s="321"/>
      <c r="BU54" s="341"/>
      <c r="BV54" s="341"/>
      <c r="BW54" s="326"/>
      <c r="BX54" s="338"/>
      <c r="BZ54" s="341"/>
      <c r="CA54" s="341"/>
      <c r="CB54" s="321"/>
      <c r="CC54" s="342"/>
      <c r="CD54" s="341"/>
      <c r="CE54" s="321"/>
      <c r="CF54" s="341"/>
      <c r="CG54" s="341"/>
      <c r="CH54" s="321"/>
      <c r="CI54" s="341"/>
      <c r="CJ54" s="341"/>
      <c r="CK54" s="326"/>
      <c r="CL54" s="338"/>
    </row>
    <row r="55" spans="2:90" ht="15" x14ac:dyDescent="0.2">
      <c r="B55" s="1491"/>
      <c r="C55" s="1397"/>
      <c r="D55" s="1402"/>
      <c r="E55" s="1402"/>
      <c r="F55" s="1442"/>
      <c r="G55" s="321"/>
      <c r="H55" s="372">
        <f>+'Plan de Accion 2018'!AB26</f>
        <v>0.24873164869078085</v>
      </c>
      <c r="I55" s="767">
        <f>+'Plan de Accion 2018'!BN26</f>
        <v>0.9949265947631234</v>
      </c>
      <c r="J55" s="767">
        <f t="shared" si="4"/>
        <v>0.9949265947631234</v>
      </c>
      <c r="K55" s="767">
        <f>+'Plan de Accion 2018'!AG26</f>
        <v>0.24153268781632353</v>
      </c>
      <c r="L55" s="875">
        <f t="shared" si="15"/>
        <v>0.24153268781632353</v>
      </c>
      <c r="M55" s="682">
        <f t="shared" si="6"/>
        <v>0.24153268781632353</v>
      </c>
      <c r="N55" s="642"/>
      <c r="O55" s="543">
        <f>+'Plan de Accion 2018'!AL26</f>
        <v>0.25797109481752045</v>
      </c>
      <c r="P55" s="767">
        <f>+'Plan de Accion 2018'!BP26</f>
        <v>1.0318843792700818</v>
      </c>
      <c r="Q55" s="629">
        <f t="shared" si="0"/>
        <v>1</v>
      </c>
      <c r="R55" s="751">
        <f>+'Plan de Accion 2018'!AQ26</f>
        <v>0.49203740741337093</v>
      </c>
      <c r="S55" s="873">
        <f t="shared" si="16"/>
        <v>0.49203740741337093</v>
      </c>
      <c r="T55" s="637">
        <f t="shared" si="2"/>
        <v>0.49203740741337093</v>
      </c>
      <c r="U55" s="642">
        <v>1</v>
      </c>
      <c r="V55" s="543">
        <f>+'Plan de Accion 2018'!AV26</f>
        <v>0.24369940090248818</v>
      </c>
      <c r="W55" s="767">
        <f>+'Plan de Accion 2018'!BR26</f>
        <v>0.97479760360995271</v>
      </c>
      <c r="X55" s="629">
        <f t="shared" si="1"/>
        <v>0.97479760360995271</v>
      </c>
      <c r="Y55" s="882">
        <f>+'Plan de Accion 2018'!BA26</f>
        <v>0.74351660210195369</v>
      </c>
      <c r="Z55" s="882">
        <f t="shared" si="17"/>
        <v>0.74351660210195369</v>
      </c>
      <c r="AA55" s="883">
        <f t="shared" si="3"/>
        <v>0.74351660210195369</v>
      </c>
      <c r="AB55" s="642"/>
      <c r="AC55" s="543">
        <f>+'Plan de Accion 2018'!BF26</f>
        <v>0.2547895470080247</v>
      </c>
      <c r="AD55" s="767">
        <f>+'Plan de Accion 2018'!BT26</f>
        <v>1.0191581880320988</v>
      </c>
      <c r="AE55" s="629">
        <f t="shared" si="9"/>
        <v>1</v>
      </c>
      <c r="AF55" s="767">
        <f>+'Plan de Accion 2018'!BK26</f>
        <v>0.99828745793067253</v>
      </c>
      <c r="AG55" s="637">
        <f t="shared" si="10"/>
        <v>0.99828745793067253</v>
      </c>
      <c r="AH55" s="337"/>
      <c r="AJ55" s="341"/>
      <c r="AK55" s="341"/>
      <c r="AL55" s="321"/>
      <c r="AM55" s="342"/>
      <c r="AN55" s="341"/>
      <c r="AO55" s="321"/>
      <c r="AP55" s="341"/>
      <c r="AQ55" s="341"/>
      <c r="AR55" s="321"/>
      <c r="AS55" s="341"/>
      <c r="AT55" s="341"/>
      <c r="AU55" s="326"/>
      <c r="AV55" s="338"/>
      <c r="AX55" s="341"/>
      <c r="AY55" s="341"/>
      <c r="AZ55" s="321"/>
      <c r="BA55" s="342"/>
      <c r="BB55" s="341"/>
      <c r="BC55" s="321"/>
      <c r="BD55" s="341"/>
      <c r="BE55" s="341"/>
      <c r="BF55" s="321"/>
      <c r="BG55" s="341"/>
      <c r="BH55" s="341"/>
      <c r="BI55" s="326"/>
      <c r="BJ55" s="338"/>
      <c r="BL55" s="341"/>
      <c r="BM55" s="341"/>
      <c r="BN55" s="321"/>
      <c r="BO55" s="342"/>
      <c r="BP55" s="341"/>
      <c r="BQ55" s="321"/>
      <c r="BR55" s="341"/>
      <c r="BS55" s="341"/>
      <c r="BT55" s="321"/>
      <c r="BU55" s="341"/>
      <c r="BV55" s="341"/>
      <c r="BW55" s="326"/>
      <c r="BX55" s="338"/>
      <c r="BZ55" s="341"/>
      <c r="CA55" s="341"/>
      <c r="CB55" s="321"/>
      <c r="CC55" s="342"/>
      <c r="CD55" s="341"/>
      <c r="CE55" s="321"/>
      <c r="CF55" s="341"/>
      <c r="CG55" s="341"/>
      <c r="CH55" s="321"/>
      <c r="CI55" s="341"/>
      <c r="CJ55" s="341"/>
      <c r="CK55" s="326"/>
      <c r="CL55" s="338"/>
    </row>
    <row r="56" spans="2:90" ht="15.75" thickBot="1" x14ac:dyDescent="0.25">
      <c r="B56" s="1491"/>
      <c r="C56" s="1397"/>
      <c r="D56" s="1402"/>
      <c r="E56" s="1402"/>
      <c r="F56" s="1442"/>
      <c r="G56" s="321"/>
      <c r="H56" s="372">
        <f>+'Plan de Accion 2018'!AB27</f>
        <v>0.24367466379737907</v>
      </c>
      <c r="I56" s="767">
        <f>+'Plan de Accion 2018'!BN27</f>
        <v>0.97469865518951626</v>
      </c>
      <c r="J56" s="767">
        <f t="shared" si="4"/>
        <v>0.97469865518951626</v>
      </c>
      <c r="K56" s="767">
        <f>+'Plan de Accion 2018'!AG27</f>
        <v>0.23627111549015237</v>
      </c>
      <c r="L56" s="875">
        <f t="shared" si="15"/>
        <v>0.23627111549015237</v>
      </c>
      <c r="M56" s="682">
        <f t="shared" si="6"/>
        <v>0.23627111549015237</v>
      </c>
      <c r="N56" s="642"/>
      <c r="O56" s="543">
        <f>+'Plan de Accion 2018'!AL27</f>
        <v>0.24367466379737907</v>
      </c>
      <c r="P56" s="767">
        <f>+'Plan de Accion 2018'!BP27</f>
        <v>0.97469865518951626</v>
      </c>
      <c r="Q56" s="629">
        <f t="shared" si="0"/>
        <v>0.97469865518951626</v>
      </c>
      <c r="R56" s="751">
        <f>+'Plan de Accion 2018'!AQ27</f>
        <v>0.47254223098030473</v>
      </c>
      <c r="S56" s="873">
        <f t="shared" si="16"/>
        <v>0.47254223098030473</v>
      </c>
      <c r="T56" s="637">
        <f t="shared" si="2"/>
        <v>0.47254223098030473</v>
      </c>
      <c r="U56" s="322"/>
      <c r="V56" s="543">
        <f>+'Plan de Accion 2018'!AV27</f>
        <v>0.24845469085577745</v>
      </c>
      <c r="W56" s="767">
        <f>+'Plan de Accion 2018'!BR27</f>
        <v>0.99381876342310982</v>
      </c>
      <c r="X56" s="629">
        <f t="shared" si="1"/>
        <v>0.99381876342310982</v>
      </c>
      <c r="Y56" s="882">
        <f>+'Plan de Accion 2018'!BA27</f>
        <v>0.71344814233950982</v>
      </c>
      <c r="Z56" s="882">
        <f t="shared" si="17"/>
        <v>0.71344814233950982</v>
      </c>
      <c r="AA56" s="883">
        <f t="shared" si="3"/>
        <v>0.71344814233950982</v>
      </c>
      <c r="AB56" s="642"/>
      <c r="AC56" s="543">
        <f>+'Plan de Accion 2018'!BF27</f>
        <v>0.26261483912867711</v>
      </c>
      <c r="AD56" s="767">
        <f>+'Plan de Accion 2018'!BT27</f>
        <v>1.0504593565147085</v>
      </c>
      <c r="AE56" s="629">
        <f t="shared" si="9"/>
        <v>1</v>
      </c>
      <c r="AF56" s="767">
        <f>+'Plan de Accion 2018'!BK27</f>
        <v>1</v>
      </c>
      <c r="AG56" s="637">
        <f t="shared" si="10"/>
        <v>1</v>
      </c>
      <c r="AH56" s="339"/>
      <c r="AJ56" s="341"/>
      <c r="AK56" s="341"/>
      <c r="AL56" s="321"/>
      <c r="AM56" s="342"/>
      <c r="AN56" s="341"/>
      <c r="AO56" s="321"/>
      <c r="AP56" s="341"/>
      <c r="AQ56" s="341"/>
      <c r="AR56" s="321"/>
      <c r="AS56" s="341"/>
      <c r="AT56" s="341"/>
      <c r="AU56" s="326"/>
      <c r="AV56" s="338"/>
      <c r="AX56" s="341"/>
      <c r="AY56" s="341"/>
      <c r="AZ56" s="321"/>
      <c r="BA56" s="342"/>
      <c r="BB56" s="341"/>
      <c r="BC56" s="321"/>
      <c r="BD56" s="341"/>
      <c r="BE56" s="341"/>
      <c r="BF56" s="321"/>
      <c r="BG56" s="341"/>
      <c r="BH56" s="341"/>
      <c r="BI56" s="326"/>
      <c r="BJ56" s="338"/>
      <c r="BL56" s="341"/>
      <c r="BM56" s="341"/>
      <c r="BN56" s="321"/>
      <c r="BO56" s="342"/>
      <c r="BP56" s="341"/>
      <c r="BQ56" s="321"/>
      <c r="BR56" s="341"/>
      <c r="BS56" s="341"/>
      <c r="BT56" s="321"/>
      <c r="BU56" s="341"/>
      <c r="BV56" s="341"/>
      <c r="BW56" s="326"/>
      <c r="BX56" s="338"/>
      <c r="BZ56" s="341"/>
      <c r="CA56" s="341"/>
      <c r="CB56" s="321"/>
      <c r="CC56" s="342"/>
      <c r="CD56" s="341"/>
      <c r="CE56" s="321"/>
      <c r="CF56" s="341"/>
      <c r="CG56" s="341"/>
      <c r="CH56" s="321"/>
      <c r="CI56" s="341"/>
      <c r="CJ56" s="341"/>
      <c r="CK56" s="326"/>
      <c r="CL56" s="338"/>
    </row>
    <row r="57" spans="2:90" ht="15" x14ac:dyDescent="0.2">
      <c r="B57" s="1491"/>
      <c r="C57" s="1397"/>
      <c r="D57" s="1402"/>
      <c r="E57" s="1402"/>
      <c r="F57" s="1442"/>
      <c r="G57" s="321"/>
      <c r="H57" s="372">
        <f>+'Plan de Accion 2018'!AB28</f>
        <v>1.7238950595778137</v>
      </c>
      <c r="I57" s="767">
        <f>+'Plan de Accion 2018'!BN28</f>
        <v>10.167936732055814</v>
      </c>
      <c r="J57" s="767">
        <f t="shared" si="4"/>
        <v>1</v>
      </c>
      <c r="K57" s="767">
        <f>+'Plan de Accion 2018'!AG28</f>
        <v>0.16954226850595935</v>
      </c>
      <c r="L57" s="875">
        <f t="shared" si="15"/>
        <v>0.16954226850595935</v>
      </c>
      <c r="M57" s="682">
        <f t="shared" si="6"/>
        <v>0.16954226850595935</v>
      </c>
      <c r="N57" s="642">
        <v>1</v>
      </c>
      <c r="O57" s="543">
        <f>+'Plan de Accion 2018'!AL28</f>
        <v>0.2683500409990594</v>
      </c>
      <c r="P57" s="767">
        <f>+'Plan de Accion 2018'!BP28</f>
        <v>1</v>
      </c>
      <c r="Q57" s="629">
        <f t="shared" si="0"/>
        <v>1</v>
      </c>
      <c r="R57" s="751">
        <f>+'Plan de Accion 2018'!AQ28</f>
        <v>0.43789230950501873</v>
      </c>
      <c r="S57" s="873">
        <f t="shared" si="16"/>
        <v>0.43789230950501873</v>
      </c>
      <c r="T57" s="637">
        <f t="shared" si="2"/>
        <v>0.43789230950501873</v>
      </c>
      <c r="U57" s="322"/>
      <c r="V57" s="543">
        <f>+'Plan de Accion 2018'!AV28</f>
        <v>0.28634848348233594</v>
      </c>
      <c r="W57" s="767">
        <f>+'Plan de Accion 2018'!BR28</f>
        <v>1.6944814282736598</v>
      </c>
      <c r="X57" s="629">
        <f t="shared" si="1"/>
        <v>1</v>
      </c>
      <c r="Y57" s="882">
        <f>+'Plan de Accion 2018'!BA28</f>
        <v>0.72424079298735466</v>
      </c>
      <c r="Z57" s="882">
        <f t="shared" si="17"/>
        <v>0.72424079298735466</v>
      </c>
      <c r="AA57" s="883">
        <f t="shared" si="3"/>
        <v>0.72424079298735466</v>
      </c>
      <c r="AB57" s="642">
        <v>1</v>
      </c>
      <c r="AC57" s="543">
        <f>+'Plan de Accion 2018'!BF28</f>
        <v>0.27373078451751431</v>
      </c>
      <c r="AD57" s="767">
        <f>+'Plan de Accion 2018'!BT28</f>
        <v>0.6963054494456592</v>
      </c>
      <c r="AE57" s="629">
        <f t="shared" si="9"/>
        <v>0.6963054494456592</v>
      </c>
      <c r="AF57" s="767">
        <f>+'Plan de Accion 2018'!BK28</f>
        <v>0.99797157750486898</v>
      </c>
      <c r="AG57" s="637">
        <f t="shared" si="10"/>
        <v>0.99797157750486898</v>
      </c>
      <c r="AH57" s="335"/>
      <c r="AJ57" s="341"/>
      <c r="AK57" s="341"/>
      <c r="AL57" s="321"/>
      <c r="AM57" s="342"/>
      <c r="AN57" s="341"/>
      <c r="AO57" s="321"/>
      <c r="AP57" s="341"/>
      <c r="AQ57" s="341"/>
      <c r="AR57" s="321"/>
      <c r="AS57" s="341"/>
      <c r="AT57" s="341"/>
      <c r="AU57" s="326"/>
      <c r="AV57" s="338"/>
      <c r="AX57" s="341"/>
      <c r="AY57" s="341"/>
      <c r="AZ57" s="321"/>
      <c r="BA57" s="342"/>
      <c r="BB57" s="341"/>
      <c r="BC57" s="321"/>
      <c r="BD57" s="341"/>
      <c r="BE57" s="341"/>
      <c r="BF57" s="321"/>
      <c r="BG57" s="341"/>
      <c r="BH57" s="341"/>
      <c r="BI57" s="326"/>
      <c r="BJ57" s="338"/>
      <c r="BL57" s="341"/>
      <c r="BM57" s="341"/>
      <c r="BN57" s="321"/>
      <c r="BO57" s="342"/>
      <c r="BP57" s="341"/>
      <c r="BQ57" s="321"/>
      <c r="BR57" s="341"/>
      <c r="BS57" s="341"/>
      <c r="BT57" s="321"/>
      <c r="BU57" s="341"/>
      <c r="BV57" s="341"/>
      <c r="BW57" s="326"/>
      <c r="BX57" s="338"/>
      <c r="BZ57" s="341"/>
      <c r="CA57" s="341"/>
      <c r="CB57" s="321"/>
      <c r="CC57" s="342"/>
      <c r="CD57" s="341"/>
      <c r="CE57" s="321"/>
      <c r="CF57" s="341"/>
      <c r="CG57" s="341"/>
      <c r="CH57" s="321"/>
      <c r="CI57" s="341"/>
      <c r="CJ57" s="341"/>
      <c r="CK57" s="326"/>
      <c r="CL57" s="338"/>
    </row>
    <row r="58" spans="2:90" ht="15" x14ac:dyDescent="0.2">
      <c r="B58" s="1491"/>
      <c r="C58" s="1397"/>
      <c r="D58" s="1402"/>
      <c r="E58" s="1402"/>
      <c r="F58" s="1442"/>
      <c r="G58" s="321"/>
      <c r="H58" s="372">
        <f>+'Plan de Accion 2018'!AB29</f>
        <v>0.37511077803977039</v>
      </c>
      <c r="I58" s="767">
        <f>+'Plan de Accion 2018'!BN29</f>
        <v>1.5004431121590815</v>
      </c>
      <c r="J58" s="767">
        <f t="shared" si="4"/>
        <v>1</v>
      </c>
      <c r="K58" s="767">
        <f>+'Plan de Accion 2018'!AG29</f>
        <v>0.24950488514174121</v>
      </c>
      <c r="L58" s="875">
        <f t="shared" si="15"/>
        <v>0.24950488514174121</v>
      </c>
      <c r="M58" s="682">
        <f t="shared" si="6"/>
        <v>0.24950488514174121</v>
      </c>
      <c r="N58" s="642">
        <v>1</v>
      </c>
      <c r="O58" s="543">
        <f>+'Plan de Accion 2018'!AL29</f>
        <v>0.33268006801037503</v>
      </c>
      <c r="P58" s="767">
        <f>+'Plan de Accion 2018'!BP29</f>
        <v>1.3307202720415001</v>
      </c>
      <c r="Q58" s="629">
        <f t="shared" si="0"/>
        <v>1</v>
      </c>
      <c r="R58" s="751">
        <f>+'Plan de Accion 2018'!AQ29</f>
        <v>0.47078698903552696</v>
      </c>
      <c r="S58" s="873">
        <f t="shared" si="16"/>
        <v>0.47078698903552696</v>
      </c>
      <c r="T58" s="637">
        <f t="shared" si="2"/>
        <v>0.47078698903552696</v>
      </c>
      <c r="U58" s="642">
        <v>1</v>
      </c>
      <c r="V58" s="543">
        <f>+'Plan de Accion 2018'!AV29</f>
        <v>0.25</v>
      </c>
      <c r="W58" s="767">
        <f>+'Plan de Accion 2018'!BR29</f>
        <v>1</v>
      </c>
      <c r="X58" s="629">
        <f t="shared" si="1"/>
        <v>1</v>
      </c>
      <c r="Y58" s="882">
        <f>+'Plan de Accion 2018'!BA29</f>
        <v>0.6346577526750532</v>
      </c>
      <c r="Z58" s="882">
        <f t="shared" si="17"/>
        <v>0.6346577526750532</v>
      </c>
      <c r="AA58" s="883">
        <f t="shared" si="3"/>
        <v>0.6346577526750532</v>
      </c>
      <c r="AB58" s="642"/>
      <c r="AC58" s="543">
        <f>+'Plan de Accion 2018'!BF29</f>
        <v>0.33037666175301561</v>
      </c>
      <c r="AD58" s="767">
        <f>+'Plan de Accion 2018'!BT29</f>
        <v>1.3215066470120624</v>
      </c>
      <c r="AE58" s="629">
        <f t="shared" si="9"/>
        <v>1</v>
      </c>
      <c r="AF58" s="767">
        <f>+'Plan de Accion 2018'!BK29</f>
        <v>0.85478705936420929</v>
      </c>
      <c r="AG58" s="637">
        <f t="shared" si="10"/>
        <v>0.85478705936420929</v>
      </c>
      <c r="AH58" s="337"/>
      <c r="AJ58" s="341"/>
      <c r="AK58" s="341"/>
      <c r="AL58" s="321"/>
      <c r="AM58" s="342"/>
      <c r="AN58" s="341"/>
      <c r="AO58" s="321"/>
      <c r="AP58" s="341"/>
      <c r="AQ58" s="341"/>
      <c r="AR58" s="321"/>
      <c r="AS58" s="341"/>
      <c r="AT58" s="341"/>
      <c r="AU58" s="326"/>
      <c r="AV58" s="338"/>
      <c r="AX58" s="341"/>
      <c r="AY58" s="341"/>
      <c r="AZ58" s="321"/>
      <c r="BA58" s="342"/>
      <c r="BB58" s="341"/>
      <c r="BC58" s="321"/>
      <c r="BD58" s="341"/>
      <c r="BE58" s="341"/>
      <c r="BF58" s="321"/>
      <c r="BG58" s="341"/>
      <c r="BH58" s="341"/>
      <c r="BI58" s="326"/>
      <c r="BJ58" s="338"/>
      <c r="BL58" s="341"/>
      <c r="BM58" s="341"/>
      <c r="BN58" s="321"/>
      <c r="BO58" s="342"/>
      <c r="BP58" s="341"/>
      <c r="BQ58" s="321"/>
      <c r="BR58" s="341"/>
      <c r="BS58" s="341"/>
      <c r="BT58" s="321"/>
      <c r="BU58" s="341"/>
      <c r="BV58" s="341"/>
      <c r="BW58" s="326"/>
      <c r="BX58" s="338"/>
      <c r="BZ58" s="341"/>
      <c r="CA58" s="341"/>
      <c r="CB58" s="321"/>
      <c r="CC58" s="342"/>
      <c r="CD58" s="341"/>
      <c r="CE58" s="321"/>
      <c r="CF58" s="341"/>
      <c r="CG58" s="341"/>
      <c r="CH58" s="321"/>
      <c r="CI58" s="341"/>
      <c r="CJ58" s="341"/>
      <c r="CK58" s="326"/>
      <c r="CL58" s="338"/>
    </row>
    <row r="59" spans="2:90" ht="15.75" thickBot="1" x14ac:dyDescent="0.25">
      <c r="B59" s="1491"/>
      <c r="C59" s="1397"/>
      <c r="D59" s="1402"/>
      <c r="E59" s="1402"/>
      <c r="F59" s="1442"/>
      <c r="G59" s="321"/>
      <c r="H59" s="372">
        <f>+'Plan de Accion 2018'!AB30</f>
        <v>0</v>
      </c>
      <c r="I59" s="767">
        <f>+'Plan de Accion 2018'!BN30</f>
        <v>0</v>
      </c>
      <c r="J59" s="767">
        <f t="shared" si="4"/>
        <v>0</v>
      </c>
      <c r="K59" s="643">
        <f>+'Plan de Accion 2018'!AG30</f>
        <v>0</v>
      </c>
      <c r="L59" s="875">
        <f t="shared" si="15"/>
        <v>0</v>
      </c>
      <c r="M59" s="682">
        <f t="shared" si="6"/>
        <v>0</v>
      </c>
      <c r="N59" s="642"/>
      <c r="O59" s="543">
        <f>+'Plan de Accion 2018'!AL30</f>
        <v>0</v>
      </c>
      <c r="P59" s="767">
        <f>+'Plan de Accion 2018'!BP30</f>
        <v>0</v>
      </c>
      <c r="Q59" s="629">
        <f t="shared" si="0"/>
        <v>0</v>
      </c>
      <c r="R59" s="751">
        <f>+'Plan de Accion 2018'!AQ30</f>
        <v>0</v>
      </c>
      <c r="S59" s="873">
        <f t="shared" si="16"/>
        <v>0</v>
      </c>
      <c r="T59" s="637">
        <f t="shared" si="2"/>
        <v>0</v>
      </c>
      <c r="U59" s="322"/>
      <c r="V59" s="543">
        <f>+'Plan de Accion 2018'!AV30</f>
        <v>0</v>
      </c>
      <c r="W59" s="767">
        <f>+'Plan de Accion 2018'!BR30</f>
        <v>0</v>
      </c>
      <c r="X59" s="629">
        <f t="shared" si="1"/>
        <v>0</v>
      </c>
      <c r="Y59" s="882">
        <f>+'Plan de Accion 2018'!BA30</f>
        <v>0</v>
      </c>
      <c r="Z59" s="882">
        <f t="shared" si="17"/>
        <v>0</v>
      </c>
      <c r="AA59" s="883">
        <f t="shared" si="3"/>
        <v>0</v>
      </c>
      <c r="AB59" s="642"/>
      <c r="AC59" s="543">
        <f>+'Plan de Accion 2018'!BF30</f>
        <v>0.5</v>
      </c>
      <c r="AD59" s="767">
        <f>+'Plan de Accion 2018'!BT30</f>
        <v>2</v>
      </c>
      <c r="AE59" s="629">
        <f t="shared" si="9"/>
        <v>1</v>
      </c>
      <c r="AF59" s="767">
        <f>+'Plan de Accion 2018'!BK30</f>
        <v>1</v>
      </c>
      <c r="AG59" s="637">
        <f t="shared" si="10"/>
        <v>1</v>
      </c>
      <c r="AH59" s="339"/>
      <c r="AJ59" s="341"/>
      <c r="AK59" s="341"/>
      <c r="AL59" s="321"/>
      <c r="AM59" s="342"/>
      <c r="AN59" s="341"/>
      <c r="AO59" s="321"/>
      <c r="AP59" s="341"/>
      <c r="AQ59" s="341"/>
      <c r="AR59" s="321"/>
      <c r="AS59" s="341"/>
      <c r="AT59" s="341"/>
      <c r="AU59" s="326"/>
      <c r="AV59" s="338"/>
      <c r="AX59" s="341"/>
      <c r="AY59" s="341"/>
      <c r="AZ59" s="321"/>
      <c r="BA59" s="342"/>
      <c r="BB59" s="341"/>
      <c r="BC59" s="321"/>
      <c r="BD59" s="341"/>
      <c r="BE59" s="341"/>
      <c r="BF59" s="321"/>
      <c r="BG59" s="341"/>
      <c r="BH59" s="341"/>
      <c r="BI59" s="326"/>
      <c r="BJ59" s="338"/>
      <c r="BL59" s="341"/>
      <c r="BM59" s="341"/>
      <c r="BN59" s="321"/>
      <c r="BO59" s="342"/>
      <c r="BP59" s="341"/>
      <c r="BQ59" s="321"/>
      <c r="BR59" s="341"/>
      <c r="BS59" s="341"/>
      <c r="BT59" s="321"/>
      <c r="BU59" s="341"/>
      <c r="BV59" s="341"/>
      <c r="BW59" s="326"/>
      <c r="BX59" s="338"/>
      <c r="BZ59" s="341"/>
      <c r="CA59" s="341"/>
      <c r="CB59" s="321"/>
      <c r="CC59" s="342"/>
      <c r="CD59" s="341"/>
      <c r="CE59" s="321"/>
      <c r="CF59" s="341"/>
      <c r="CG59" s="341"/>
      <c r="CH59" s="321"/>
      <c r="CI59" s="341"/>
      <c r="CJ59" s="341"/>
      <c r="CK59" s="326"/>
      <c r="CL59" s="338"/>
    </row>
    <row r="60" spans="2:90" ht="15.75" thickBot="1" x14ac:dyDescent="0.25">
      <c r="B60" s="1491"/>
      <c r="C60" s="1397"/>
      <c r="D60" s="1402"/>
      <c r="E60" s="1402"/>
      <c r="F60" s="1442"/>
      <c r="G60" s="321"/>
      <c r="H60" s="372">
        <f>+'Plan de Accion 2018'!AB31</f>
        <v>2.7353518929039064E-4</v>
      </c>
      <c r="I60" s="767">
        <f>+'Plan de Accion 2018'!BN31</f>
        <v>3.7011241548927931E-3</v>
      </c>
      <c r="J60" s="767">
        <f t="shared" si="4"/>
        <v>3.7011241548927931E-3</v>
      </c>
      <c r="K60" s="603">
        <f>+'Plan de Accion 2018'!AG31</f>
        <v>2.7353518929039059E-4</v>
      </c>
      <c r="L60" s="875">
        <f t="shared" si="15"/>
        <v>2.7353518929039059E-4</v>
      </c>
      <c r="M60" s="682">
        <f t="shared" si="6"/>
        <v>2.7353518929039059E-4</v>
      </c>
      <c r="N60" s="642"/>
      <c r="O60" s="543">
        <f>+'Plan de Accion 2018'!AL31</f>
        <v>0</v>
      </c>
      <c r="P60" s="767">
        <f>+'Plan de Accion 2018'!BP31</f>
        <v>0</v>
      </c>
      <c r="Q60" s="629">
        <f t="shared" si="0"/>
        <v>0</v>
      </c>
      <c r="R60" s="751">
        <f>+'Plan de Accion 2018'!AQ31</f>
        <v>2.7353518929039059E-4</v>
      </c>
      <c r="S60" s="873">
        <f t="shared" si="16"/>
        <v>2.7353518929039059E-4</v>
      </c>
      <c r="T60" s="637">
        <f t="shared" si="2"/>
        <v>2.7353518929039059E-4</v>
      </c>
      <c r="U60" s="322"/>
      <c r="V60" s="674">
        <f>+'Plan de Accion 2018'!AV31</f>
        <v>8.8262966410547863E-5</v>
      </c>
      <c r="W60" s="767">
        <f>+'Plan de Accion 2018'!BR31</f>
        <v>2.0526271258266944E-4</v>
      </c>
      <c r="X60" s="629">
        <f t="shared" si="1"/>
        <v>2.0526271258266944E-4</v>
      </c>
      <c r="Y60" s="882">
        <f>+'Plan de Accion 2018'!BA31</f>
        <v>3.8244409285074094E-4</v>
      </c>
      <c r="Z60" s="882">
        <f t="shared" si="17"/>
        <v>3.8244409285074094E-4</v>
      </c>
      <c r="AA60" s="883">
        <f t="shared" si="3"/>
        <v>3.8244409285074094E-4</v>
      </c>
      <c r="AB60" s="642"/>
      <c r="AC60" s="543">
        <f>+'Plan de Accion 2018'!BF31</f>
        <v>0.88058211395070929</v>
      </c>
      <c r="AD60" s="767">
        <f>+'Plan de Accion 2018'!BT31</f>
        <v>2.0478653812807193</v>
      </c>
      <c r="AE60" s="629">
        <f t="shared" si="9"/>
        <v>1</v>
      </c>
      <c r="AF60" s="767">
        <f>+'Plan de Accion 2018'!BK31</f>
        <v>0.96112512717913623</v>
      </c>
      <c r="AG60" s="637">
        <f t="shared" si="10"/>
        <v>0.96112512717913623</v>
      </c>
      <c r="AH60" s="339"/>
      <c r="AJ60" s="342"/>
      <c r="AK60" s="343"/>
      <c r="AL60" s="321"/>
      <c r="AM60" s="342"/>
      <c r="AN60" s="343"/>
      <c r="AO60" s="321"/>
      <c r="AP60" s="342"/>
      <c r="AQ60" s="343"/>
      <c r="AR60" s="321"/>
      <c r="AS60" s="342"/>
      <c r="AT60" s="343"/>
      <c r="AU60" s="326"/>
      <c r="AV60" s="338"/>
      <c r="AX60" s="342"/>
      <c r="AY60" s="343"/>
      <c r="AZ60" s="321"/>
      <c r="BA60" s="342"/>
      <c r="BB60" s="343"/>
      <c r="BC60" s="321"/>
      <c r="BD60" s="342"/>
      <c r="BE60" s="343"/>
      <c r="BF60" s="321"/>
      <c r="BG60" s="342"/>
      <c r="BH60" s="343"/>
      <c r="BI60" s="326"/>
      <c r="BJ60" s="338"/>
      <c r="BL60" s="342"/>
      <c r="BM60" s="343"/>
      <c r="BN60" s="321"/>
      <c r="BO60" s="342"/>
      <c r="BP60" s="343"/>
      <c r="BQ60" s="321"/>
      <c r="BR60" s="342"/>
      <c r="BS60" s="343"/>
      <c r="BT60" s="321"/>
      <c r="BU60" s="342"/>
      <c r="BV60" s="343"/>
      <c r="BW60" s="326"/>
      <c r="BX60" s="338"/>
      <c r="BZ60" s="342"/>
      <c r="CA60" s="343"/>
      <c r="CB60" s="321"/>
      <c r="CC60" s="342"/>
      <c r="CD60" s="343"/>
      <c r="CE60" s="321"/>
      <c r="CF60" s="342"/>
      <c r="CG60" s="343"/>
      <c r="CH60" s="321"/>
      <c r="CI60" s="342"/>
      <c r="CJ60" s="343"/>
      <c r="CK60" s="326"/>
      <c r="CL60" s="338"/>
    </row>
    <row r="61" spans="2:90" ht="15.75" thickBot="1" x14ac:dyDescent="0.25">
      <c r="B61" s="1491"/>
      <c r="C61" s="1397"/>
      <c r="D61" s="1402"/>
      <c r="E61" s="1402"/>
      <c r="F61" s="1442"/>
      <c r="G61" s="321"/>
      <c r="H61" s="372">
        <f>+'Plan de Accion 2018'!AB32</f>
        <v>1.7306364600044829E-3</v>
      </c>
      <c r="I61" s="767">
        <f>+'Plan de Accion 2018'!BN32</f>
        <v>6.9225458400179315E-3</v>
      </c>
      <c r="J61" s="767">
        <f t="shared" si="4"/>
        <v>6.9225458400179315E-3</v>
      </c>
      <c r="K61" s="603">
        <f>+'Plan de Accion 2018'!AG32</f>
        <v>5.3094557109223707E-3</v>
      </c>
      <c r="L61" s="875">
        <f t="shared" si="15"/>
        <v>5.3094557109223707E-3</v>
      </c>
      <c r="M61" s="682">
        <f t="shared" si="6"/>
        <v>5.3094557109223707E-3</v>
      </c>
      <c r="N61" s="642"/>
      <c r="O61" s="543">
        <f>+'Plan de Accion 2018'!AL32</f>
        <v>3.4039135140733111E-2</v>
      </c>
      <c r="P61" s="767">
        <f>+'Plan de Accion 2018'!BP32</f>
        <v>0.13615654056293244</v>
      </c>
      <c r="Q61" s="629">
        <f t="shared" si="0"/>
        <v>0.13615654056293244</v>
      </c>
      <c r="R61" s="751">
        <f>+'Plan de Accion 2018'!AQ32</f>
        <v>0.10973882874479202</v>
      </c>
      <c r="S61" s="873">
        <f t="shared" si="16"/>
        <v>0.10973882874479202</v>
      </c>
      <c r="T61" s="637">
        <f t="shared" si="2"/>
        <v>0.10973882874479202</v>
      </c>
      <c r="U61" s="322"/>
      <c r="V61" s="543">
        <f>+'Plan de Accion 2018'!AV32</f>
        <v>0.16215022340342838</v>
      </c>
      <c r="W61" s="767">
        <f>+'Plan de Accion 2018'!BR32</f>
        <v>0.64860089361371354</v>
      </c>
      <c r="X61" s="629">
        <f t="shared" si="1"/>
        <v>0.64860089361371354</v>
      </c>
      <c r="Y61" s="882">
        <f>+'Plan de Accion 2018'!BA32</f>
        <v>0.17409533904318353</v>
      </c>
      <c r="Z61" s="882">
        <f t="shared" si="17"/>
        <v>0.17409533904318353</v>
      </c>
      <c r="AA61" s="883">
        <f t="shared" si="3"/>
        <v>0.17409533904318353</v>
      </c>
      <c r="AB61" s="642"/>
      <c r="AC61" s="543">
        <f>+'Plan de Accion 2018'!BF32</f>
        <v>9.9089669219060445E-3</v>
      </c>
      <c r="AD61" s="767">
        <f>+'Plan de Accion 2018'!BT32</f>
        <v>3.9635867687624178E-2</v>
      </c>
      <c r="AE61" s="629">
        <f t="shared" si="9"/>
        <v>3.9635867687624178E-2</v>
      </c>
      <c r="AF61" s="767">
        <f>+'Plan de Accion 2018'!BK32</f>
        <v>0.20523835499500809</v>
      </c>
      <c r="AG61" s="637">
        <f t="shared" si="10"/>
        <v>0.20523835499500809</v>
      </c>
      <c r="AH61" s="339"/>
      <c r="AJ61" s="342"/>
      <c r="AK61" s="343"/>
      <c r="AL61" s="321"/>
      <c r="AM61" s="342"/>
      <c r="AN61" s="343"/>
      <c r="AO61" s="321"/>
      <c r="AP61" s="342"/>
      <c r="AQ61" s="343"/>
      <c r="AR61" s="321"/>
      <c r="AS61" s="342"/>
      <c r="AT61" s="343"/>
      <c r="AU61" s="326"/>
      <c r="AV61" s="338"/>
      <c r="AX61" s="342"/>
      <c r="AY61" s="343"/>
      <c r="AZ61" s="321"/>
      <c r="BA61" s="342"/>
      <c r="BB61" s="343"/>
      <c r="BC61" s="321"/>
      <c r="BD61" s="342"/>
      <c r="BE61" s="343"/>
      <c r="BF61" s="321"/>
      <c r="BG61" s="342"/>
      <c r="BH61" s="343"/>
      <c r="BI61" s="326"/>
      <c r="BJ61" s="338"/>
      <c r="BL61" s="342"/>
      <c r="BM61" s="343"/>
      <c r="BN61" s="321"/>
      <c r="BO61" s="342"/>
      <c r="BP61" s="343"/>
      <c r="BQ61" s="321"/>
      <c r="BR61" s="342"/>
      <c r="BS61" s="343"/>
      <c r="BT61" s="321"/>
      <c r="BU61" s="342"/>
      <c r="BV61" s="343"/>
      <c r="BW61" s="326"/>
      <c r="BX61" s="338"/>
      <c r="BZ61" s="342"/>
      <c r="CA61" s="343"/>
      <c r="CB61" s="321"/>
      <c r="CC61" s="342"/>
      <c r="CD61" s="343"/>
      <c r="CE61" s="321"/>
      <c r="CF61" s="342"/>
      <c r="CG61" s="343"/>
      <c r="CH61" s="321"/>
      <c r="CI61" s="342"/>
      <c r="CJ61" s="343"/>
      <c r="CK61" s="326"/>
      <c r="CL61" s="338"/>
    </row>
    <row r="62" spans="2:90" ht="15.75" thickBot="1" x14ac:dyDescent="0.25">
      <c r="B62" s="1491"/>
      <c r="C62" s="1397"/>
      <c r="D62" s="1402"/>
      <c r="E62" s="1402"/>
      <c r="F62" s="1442"/>
      <c r="G62" s="321"/>
      <c r="H62" s="372">
        <f>+'Plan de Accion 2018'!AB33</f>
        <v>0</v>
      </c>
      <c r="I62" s="767">
        <f>+'Plan de Accion 2018'!BN33</f>
        <v>0</v>
      </c>
      <c r="J62" s="767">
        <f t="shared" si="4"/>
        <v>0</v>
      </c>
      <c r="K62" s="767">
        <f>+'Plan de Accion 2018'!AG33</f>
        <v>0</v>
      </c>
      <c r="L62" s="875">
        <f t="shared" si="15"/>
        <v>0</v>
      </c>
      <c r="M62" s="682">
        <f t="shared" si="6"/>
        <v>0</v>
      </c>
      <c r="N62" s="642"/>
      <c r="O62" s="543">
        <f>+'Plan de Accion 2018'!AL33</f>
        <v>0</v>
      </c>
      <c r="P62" s="767">
        <f>+'Plan de Accion 2018'!BP33</f>
        <v>0</v>
      </c>
      <c r="Q62" s="629">
        <f t="shared" si="0"/>
        <v>0</v>
      </c>
      <c r="R62" s="751">
        <f>+'Plan de Accion 2018'!AQ33</f>
        <v>0</v>
      </c>
      <c r="S62" s="873">
        <f t="shared" si="16"/>
        <v>0</v>
      </c>
      <c r="T62" s="637">
        <f t="shared" si="2"/>
        <v>0</v>
      </c>
      <c r="U62" s="322"/>
      <c r="V62" s="543">
        <f>+'Plan de Accion 2018'!AV33</f>
        <v>0</v>
      </c>
      <c r="W62" s="767">
        <f>+'Plan de Accion 2018'!BR33</f>
        <v>0</v>
      </c>
      <c r="X62" s="629">
        <f t="shared" si="1"/>
        <v>0</v>
      </c>
      <c r="Y62" s="882">
        <f>+'Plan de Accion 2018'!BA33</f>
        <v>0</v>
      </c>
      <c r="Z62" s="882">
        <f t="shared" si="17"/>
        <v>0</v>
      </c>
      <c r="AA62" s="883">
        <f t="shared" si="3"/>
        <v>0</v>
      </c>
      <c r="AB62" s="642"/>
      <c r="AC62" s="543">
        <f>+'Plan de Accion 2018'!BF33</f>
        <v>0.45454545681981046</v>
      </c>
      <c r="AD62" s="767">
        <f>+'Plan de Accion 2018'!BT33</f>
        <v>1.8181818272792418</v>
      </c>
      <c r="AE62" s="629">
        <f t="shared" si="9"/>
        <v>1</v>
      </c>
      <c r="AF62" s="767">
        <f>+'Plan de Accion 2018'!BK33</f>
        <v>1</v>
      </c>
      <c r="AG62" s="637">
        <f t="shared" si="10"/>
        <v>1</v>
      </c>
      <c r="AH62" s="339"/>
      <c r="AJ62" s="342"/>
      <c r="AK62" s="343"/>
      <c r="AL62" s="321"/>
      <c r="AM62" s="342"/>
      <c r="AN62" s="343"/>
      <c r="AO62" s="321"/>
      <c r="AP62" s="342"/>
      <c r="AQ62" s="343"/>
      <c r="AR62" s="321"/>
      <c r="AS62" s="342"/>
      <c r="AT62" s="343"/>
      <c r="AU62" s="326"/>
      <c r="AV62" s="338"/>
      <c r="AX62" s="342"/>
      <c r="AY62" s="343"/>
      <c r="AZ62" s="321"/>
      <c r="BA62" s="342"/>
      <c r="BB62" s="343"/>
      <c r="BC62" s="321"/>
      <c r="BD62" s="342"/>
      <c r="BE62" s="343"/>
      <c r="BF62" s="321"/>
      <c r="BG62" s="342"/>
      <c r="BH62" s="343"/>
      <c r="BI62" s="326"/>
      <c r="BJ62" s="338"/>
      <c r="BL62" s="342"/>
      <c r="BM62" s="343"/>
      <c r="BN62" s="321"/>
      <c r="BO62" s="342"/>
      <c r="BP62" s="343"/>
      <c r="BQ62" s="321"/>
      <c r="BR62" s="342"/>
      <c r="BS62" s="343"/>
      <c r="BT62" s="321"/>
      <c r="BU62" s="342"/>
      <c r="BV62" s="343"/>
      <c r="BW62" s="326"/>
      <c r="BX62" s="338"/>
      <c r="BZ62" s="342"/>
      <c r="CA62" s="343"/>
      <c r="CB62" s="321"/>
      <c r="CC62" s="342"/>
      <c r="CD62" s="343"/>
      <c r="CE62" s="321"/>
      <c r="CF62" s="342"/>
      <c r="CG62" s="343"/>
      <c r="CH62" s="321"/>
      <c r="CI62" s="342"/>
      <c r="CJ62" s="343"/>
      <c r="CK62" s="326"/>
      <c r="CL62" s="338"/>
    </row>
    <row r="63" spans="2:90" ht="15.75" thickBot="1" x14ac:dyDescent="0.25">
      <c r="B63" s="1491"/>
      <c r="C63" s="1397"/>
      <c r="D63" s="1402"/>
      <c r="E63" s="1402"/>
      <c r="F63" s="1442"/>
      <c r="G63" s="321"/>
      <c r="H63" s="372">
        <f>+'Plan de Accion 2018'!AB34</f>
        <v>0.26111160951589168</v>
      </c>
      <c r="I63" s="767">
        <f>+'Plan de Accion 2018'!BN34</f>
        <v>1.0444464380635667</v>
      </c>
      <c r="J63" s="767">
        <f t="shared" si="4"/>
        <v>1</v>
      </c>
      <c r="K63" s="767">
        <f>+'Plan de Accion 2018'!AG34</f>
        <v>0.18736409122518538</v>
      </c>
      <c r="L63" s="875">
        <f t="shared" si="15"/>
        <v>0.18736409122518538</v>
      </c>
      <c r="M63" s="682">
        <f t="shared" si="6"/>
        <v>0.18736409122518538</v>
      </c>
      <c r="N63" s="642">
        <v>1</v>
      </c>
      <c r="O63" s="543">
        <f>+'Plan de Accion 2018'!AL34</f>
        <v>0.38625807326611045</v>
      </c>
      <c r="P63" s="767">
        <f>+'Plan de Accion 2018'!BP34</f>
        <v>1.5450322930644418</v>
      </c>
      <c r="Q63" s="629">
        <f t="shared" si="0"/>
        <v>1</v>
      </c>
      <c r="R63" s="751">
        <f>+'Plan de Accion 2018'!AQ34</f>
        <v>0.46452868383013907</v>
      </c>
      <c r="S63" s="873">
        <f t="shared" si="16"/>
        <v>0.46452868383013907</v>
      </c>
      <c r="T63" s="637">
        <f t="shared" si="2"/>
        <v>0.46452868383013907</v>
      </c>
      <c r="U63" s="642">
        <v>1</v>
      </c>
      <c r="V63" s="543">
        <f>+'Plan de Accion 2018'!AV34</f>
        <v>0.15314011957673532</v>
      </c>
      <c r="W63" s="767">
        <f>+'Plan de Accion 2018'!BR34</f>
        <v>0.61256047830694127</v>
      </c>
      <c r="X63" s="629">
        <f t="shared" si="1"/>
        <v>0.61256047830694127</v>
      </c>
      <c r="Y63" s="882">
        <f>+'Plan de Accion 2018'!BA34</f>
        <v>0.62853296660646774</v>
      </c>
      <c r="Z63" s="882">
        <f t="shared" si="17"/>
        <v>0.62853296660646774</v>
      </c>
      <c r="AA63" s="883">
        <f t="shared" si="3"/>
        <v>0.62853296660646774</v>
      </c>
      <c r="AB63" s="642"/>
      <c r="AC63" s="543">
        <f>+'Plan de Accion 2018'!BF34</f>
        <v>0.3244881188277336</v>
      </c>
      <c r="AD63" s="767">
        <f>+'Plan de Accion 2018'!BT34</f>
        <v>1.2979524753109344</v>
      </c>
      <c r="AE63" s="629">
        <f t="shared" si="9"/>
        <v>1</v>
      </c>
      <c r="AF63" s="767">
        <f>+'Plan de Accion 2018'!BK34</f>
        <v>0.97604112674680521</v>
      </c>
      <c r="AG63" s="637">
        <f t="shared" si="10"/>
        <v>0.97604112674680521</v>
      </c>
      <c r="AH63" s="339"/>
      <c r="AJ63" s="342"/>
      <c r="AK63" s="343"/>
      <c r="AL63" s="321"/>
      <c r="AM63" s="342"/>
      <c r="AN63" s="343"/>
      <c r="AO63" s="321"/>
      <c r="AP63" s="342"/>
      <c r="AQ63" s="343"/>
      <c r="AR63" s="321"/>
      <c r="AS63" s="342"/>
      <c r="AT63" s="343"/>
      <c r="AU63" s="326"/>
      <c r="AV63" s="338"/>
      <c r="AX63" s="342"/>
      <c r="AY63" s="343"/>
      <c r="AZ63" s="321"/>
      <c r="BA63" s="342"/>
      <c r="BB63" s="343"/>
      <c r="BC63" s="321"/>
      <c r="BD63" s="342"/>
      <c r="BE63" s="343"/>
      <c r="BF63" s="321"/>
      <c r="BG63" s="342"/>
      <c r="BH63" s="343"/>
      <c r="BI63" s="326"/>
      <c r="BJ63" s="338"/>
      <c r="BL63" s="342"/>
      <c r="BM63" s="343"/>
      <c r="BN63" s="321"/>
      <c r="BO63" s="342"/>
      <c r="BP63" s="343"/>
      <c r="BQ63" s="321"/>
      <c r="BR63" s="342"/>
      <c r="BS63" s="343"/>
      <c r="BT63" s="321"/>
      <c r="BU63" s="342"/>
      <c r="BV63" s="343"/>
      <c r="BW63" s="326"/>
      <c r="BX63" s="338"/>
      <c r="BZ63" s="342"/>
      <c r="CA63" s="343"/>
      <c r="CB63" s="321"/>
      <c r="CC63" s="342"/>
      <c r="CD63" s="343"/>
      <c r="CE63" s="321"/>
      <c r="CF63" s="342"/>
      <c r="CG63" s="343"/>
      <c r="CH63" s="321"/>
      <c r="CI63" s="342"/>
      <c r="CJ63" s="343"/>
      <c r="CK63" s="326"/>
      <c r="CL63" s="338"/>
    </row>
    <row r="64" spans="2:90" ht="15.75" thickBot="1" x14ac:dyDescent="0.25">
      <c r="B64" s="1491"/>
      <c r="C64" s="1397"/>
      <c r="D64" s="1402"/>
      <c r="E64" s="1402"/>
      <c r="F64" s="1422"/>
      <c r="G64" s="321"/>
      <c r="H64" s="372">
        <f>+'Plan de Accion 2018'!AB35</f>
        <v>0</v>
      </c>
      <c r="I64" s="767">
        <f>+'Plan de Accion 2018'!BN35</f>
        <v>0</v>
      </c>
      <c r="J64" s="767">
        <f t="shared" si="4"/>
        <v>0</v>
      </c>
      <c r="K64" s="767">
        <f>+'Plan de Accion 2018'!AG35</f>
        <v>0</v>
      </c>
      <c r="L64" s="875">
        <f t="shared" si="15"/>
        <v>0</v>
      </c>
      <c r="M64" s="682">
        <f t="shared" si="6"/>
        <v>0</v>
      </c>
      <c r="N64" s="642"/>
      <c r="O64" s="543">
        <f>+'Plan de Accion 2018'!AL35</f>
        <v>0</v>
      </c>
      <c r="P64" s="767">
        <f>+'Plan de Accion 2018'!BP35</f>
        <v>0</v>
      </c>
      <c r="Q64" s="629">
        <f t="shared" si="0"/>
        <v>0</v>
      </c>
      <c r="R64" s="751">
        <f>+'Plan de Accion 2018'!AQ35</f>
        <v>0</v>
      </c>
      <c r="S64" s="873">
        <f t="shared" si="16"/>
        <v>0</v>
      </c>
      <c r="T64" s="637">
        <f t="shared" si="2"/>
        <v>0</v>
      </c>
      <c r="U64" s="322"/>
      <c r="V64" s="543">
        <f>+'Plan de Accion 2018'!AV35</f>
        <v>0</v>
      </c>
      <c r="W64" s="767" t="str">
        <f>+'Plan de Accion 2018'!BR35</f>
        <v>No Prog ni Ejec</v>
      </c>
      <c r="X64" s="629" t="s">
        <v>792</v>
      </c>
      <c r="Y64" s="884">
        <f>+'Plan de Accion 2018'!BA35</f>
        <v>0</v>
      </c>
      <c r="Z64" s="884">
        <f t="shared" si="17"/>
        <v>0</v>
      </c>
      <c r="AA64" s="885">
        <f t="shared" si="3"/>
        <v>0</v>
      </c>
      <c r="AB64" s="642"/>
      <c r="AC64" s="543">
        <f>+'Plan de Accion 2018'!BF35</f>
        <v>0.24983275299444443</v>
      </c>
      <c r="AD64" s="767">
        <f>+'Plan de Accion 2018'!BT35</f>
        <v>0.99933101197777774</v>
      </c>
      <c r="AE64" s="629">
        <f t="shared" si="9"/>
        <v>0.99933101197777774</v>
      </c>
      <c r="AF64" s="767">
        <f>+'Plan de Accion 2018'!BK35</f>
        <v>0.99933101197777774</v>
      </c>
      <c r="AG64" s="637">
        <f t="shared" si="10"/>
        <v>0.99933101197777774</v>
      </c>
      <c r="AH64" s="339"/>
      <c r="AJ64" s="342"/>
      <c r="AK64" s="343"/>
      <c r="AL64" s="321"/>
      <c r="AM64" s="342"/>
      <c r="AN64" s="343"/>
      <c r="AO64" s="321"/>
      <c r="AP64" s="342"/>
      <c r="AQ64" s="343"/>
      <c r="AR64" s="321"/>
      <c r="AS64" s="342"/>
      <c r="AT64" s="343"/>
      <c r="AU64" s="326"/>
      <c r="AV64" s="338"/>
      <c r="AX64" s="342"/>
      <c r="AY64" s="343"/>
      <c r="AZ64" s="321"/>
      <c r="BA64" s="342"/>
      <c r="BB64" s="343"/>
      <c r="BC64" s="321"/>
      <c r="BD64" s="342"/>
      <c r="BE64" s="343"/>
      <c r="BF64" s="321"/>
      <c r="BG64" s="342"/>
      <c r="BH64" s="343"/>
      <c r="BI64" s="326"/>
      <c r="BJ64" s="338"/>
      <c r="BL64" s="342"/>
      <c r="BM64" s="343"/>
      <c r="BN64" s="321"/>
      <c r="BO64" s="342"/>
      <c r="BP64" s="343"/>
      <c r="BQ64" s="321"/>
      <c r="BR64" s="342"/>
      <c r="BS64" s="343"/>
      <c r="BT64" s="321"/>
      <c r="BU64" s="342"/>
      <c r="BV64" s="343"/>
      <c r="BW64" s="326"/>
      <c r="BX64" s="338"/>
      <c r="BZ64" s="342"/>
      <c r="CA64" s="343"/>
      <c r="CB64" s="321"/>
      <c r="CC64" s="342"/>
      <c r="CD64" s="343"/>
      <c r="CE64" s="321"/>
      <c r="CF64" s="342"/>
      <c r="CG64" s="343"/>
      <c r="CH64" s="321"/>
      <c r="CI64" s="342"/>
      <c r="CJ64" s="343"/>
      <c r="CK64" s="326"/>
      <c r="CL64" s="338"/>
    </row>
    <row r="65" spans="2:90" ht="29.25" thickBot="1" x14ac:dyDescent="0.25">
      <c r="B65" s="1491"/>
      <c r="C65" s="1397"/>
      <c r="D65" s="754" t="str">
        <f>+'Plan de Accion 2018'!G36</f>
        <v>Publicación  Ejecución Presupuestal</v>
      </c>
      <c r="E65" s="1402"/>
      <c r="F65" s="1405" t="s">
        <v>815</v>
      </c>
      <c r="G65" s="321"/>
      <c r="H65" s="372">
        <f>+'Plan de Accion 2018'!AE36</f>
        <v>0.50000003244537483</v>
      </c>
      <c r="I65" s="767">
        <f>+'Plan de Accion 2018'!BN36</f>
        <v>0.50000003244537483</v>
      </c>
      <c r="J65" s="767">
        <f t="shared" si="4"/>
        <v>0.50000003244537483</v>
      </c>
      <c r="K65" s="767">
        <f>+'Plan de Accion 2018'!AG36</f>
        <v>0.12500000811134371</v>
      </c>
      <c r="L65" s="875">
        <f t="shared" si="15"/>
        <v>0.12500000811134371</v>
      </c>
      <c r="M65" s="682">
        <f t="shared" si="6"/>
        <v>0.12500000811134371</v>
      </c>
      <c r="N65" s="642"/>
      <c r="O65" s="543">
        <f>+'Plan de Accion 2018'!AO36</f>
        <v>1</v>
      </c>
      <c r="P65" s="767">
        <f>+'Plan de Accion 2018'!BP36</f>
        <v>1</v>
      </c>
      <c r="Q65" s="629">
        <f t="shared" si="0"/>
        <v>1</v>
      </c>
      <c r="R65" s="638">
        <f>+'Plan de Accion 2018'!AQ36</f>
        <v>0.37500000811134371</v>
      </c>
      <c r="S65" s="873">
        <f t="shared" si="16"/>
        <v>0.37500000811134371</v>
      </c>
      <c r="T65" s="637">
        <f t="shared" si="2"/>
        <v>0.37500000811134371</v>
      </c>
      <c r="U65" s="322"/>
      <c r="V65" s="543">
        <f>+'Plan de Accion 2018'!AY36</f>
        <v>1</v>
      </c>
      <c r="W65" s="767">
        <f>+'Plan de Accion 2018'!BR36</f>
        <v>1</v>
      </c>
      <c r="X65" s="629">
        <f t="shared" si="1"/>
        <v>1</v>
      </c>
      <c r="Y65" s="882">
        <f>+'Plan de Accion 2018'!BA36</f>
        <v>0.62500000811134371</v>
      </c>
      <c r="Z65" s="882">
        <f t="shared" si="17"/>
        <v>0.62500000811134371</v>
      </c>
      <c r="AA65" s="883">
        <f t="shared" si="3"/>
        <v>0.62500000811134371</v>
      </c>
      <c r="AB65" s="642"/>
      <c r="AC65" s="543">
        <f>+'Plan de Accion 2018'!BI36</f>
        <v>0.86666664071036681</v>
      </c>
      <c r="AD65" s="767">
        <f>+'Plan de Accion 2018'!BT36</f>
        <v>0.86666664071036681</v>
      </c>
      <c r="AE65" s="629">
        <f t="shared" si="9"/>
        <v>0.86666664071036681</v>
      </c>
      <c r="AF65" s="767">
        <f>+'Plan de Accion 2018'!BK36</f>
        <v>0.84166666828893544</v>
      </c>
      <c r="AG65" s="637">
        <f t="shared" si="10"/>
        <v>0.84166666828893544</v>
      </c>
      <c r="AH65" s="339"/>
      <c r="AJ65" s="342"/>
      <c r="AK65" s="343"/>
      <c r="AL65" s="321"/>
      <c r="AM65" s="342"/>
      <c r="AN65" s="343"/>
      <c r="AO65" s="321"/>
      <c r="AP65" s="342"/>
      <c r="AQ65" s="343"/>
      <c r="AR65" s="321"/>
      <c r="AS65" s="342"/>
      <c r="AT65" s="343"/>
      <c r="AU65" s="326"/>
      <c r="AV65" s="338"/>
      <c r="AX65" s="342"/>
      <c r="AY65" s="343"/>
      <c r="AZ65" s="321"/>
      <c r="BA65" s="342"/>
      <c r="BB65" s="343"/>
      <c r="BC65" s="321"/>
      <c r="BD65" s="342"/>
      <c r="BE65" s="343"/>
      <c r="BF65" s="321"/>
      <c r="BG65" s="342"/>
      <c r="BH65" s="343"/>
      <c r="BI65" s="326"/>
      <c r="BJ65" s="338"/>
      <c r="BL65" s="342"/>
      <c r="BM65" s="343"/>
      <c r="BN65" s="321"/>
      <c r="BO65" s="342"/>
      <c r="BP65" s="343"/>
      <c r="BQ65" s="321"/>
      <c r="BR65" s="342"/>
      <c r="BS65" s="343"/>
      <c r="BT65" s="321"/>
      <c r="BU65" s="342"/>
      <c r="BV65" s="343"/>
      <c r="BW65" s="326"/>
      <c r="BX65" s="338"/>
      <c r="BZ65" s="342"/>
      <c r="CA65" s="343"/>
      <c r="CB65" s="321"/>
      <c r="CC65" s="342"/>
      <c r="CD65" s="343"/>
      <c r="CE65" s="321"/>
      <c r="CF65" s="342"/>
      <c r="CG65" s="343"/>
      <c r="CH65" s="321"/>
      <c r="CI65" s="342"/>
      <c r="CJ65" s="343"/>
      <c r="CK65" s="326"/>
      <c r="CL65" s="338"/>
    </row>
    <row r="66" spans="2:90" ht="15.75" thickBot="1" x14ac:dyDescent="0.25">
      <c r="B66" s="1491"/>
      <c r="C66" s="1397"/>
      <c r="D66" s="754" t="str">
        <f>+'Plan de Accion 2018'!G37</f>
        <v>Gestión de Recaudo</v>
      </c>
      <c r="E66" s="1402"/>
      <c r="F66" s="1406"/>
      <c r="G66" s="321"/>
      <c r="H66" s="372">
        <f>+'Plan de Accion 2018'!AE37</f>
        <v>0.8574837141375371</v>
      </c>
      <c r="I66" s="767">
        <f>+'Plan de Accion 2018'!BN37</f>
        <v>0.8574837141375371</v>
      </c>
      <c r="J66" s="767">
        <f t="shared" si="4"/>
        <v>0.8574837141375371</v>
      </c>
      <c r="K66" s="767">
        <f>+'Plan de Accion 2018'!AG37</f>
        <v>0.21437092853438428</v>
      </c>
      <c r="L66" s="875">
        <f t="shared" si="15"/>
        <v>0.21437092853438428</v>
      </c>
      <c r="M66" s="682">
        <f t="shared" si="6"/>
        <v>0.21437092853438428</v>
      </c>
      <c r="N66" s="642"/>
      <c r="O66" s="543">
        <f>+'Plan de Accion 2018'!AO37</f>
        <v>1</v>
      </c>
      <c r="P66" s="767">
        <f>+'Plan de Accion 2018'!BP37</f>
        <v>1</v>
      </c>
      <c r="Q66" s="629">
        <f t="shared" si="0"/>
        <v>1</v>
      </c>
      <c r="R66" s="751">
        <f>+'Plan de Accion 2018'!AQ37</f>
        <v>0.46437092853438428</v>
      </c>
      <c r="S66" s="873">
        <f t="shared" si="16"/>
        <v>0.46437092853438428</v>
      </c>
      <c r="T66" s="637">
        <f t="shared" si="2"/>
        <v>0.46437092853438428</v>
      </c>
      <c r="U66" s="322"/>
      <c r="V66" s="543">
        <f>+'Plan de Accion 2018'!AY37</f>
        <v>1</v>
      </c>
      <c r="W66" s="767">
        <f>+'Plan de Accion 2018'!BR37</f>
        <v>1</v>
      </c>
      <c r="X66" s="629">
        <f t="shared" si="1"/>
        <v>1</v>
      </c>
      <c r="Y66" s="882">
        <f>+'Plan de Accion 2018'!BA37</f>
        <v>0.71437092853438422</v>
      </c>
      <c r="Z66" s="882">
        <f t="shared" si="17"/>
        <v>0.71437092853438422</v>
      </c>
      <c r="AA66" s="883">
        <f t="shared" si="3"/>
        <v>0.71437092853438422</v>
      </c>
      <c r="AB66" s="642"/>
      <c r="AC66" s="543">
        <f>+'Plan de Accion 2018'!BI37</f>
        <v>1</v>
      </c>
      <c r="AD66" s="767">
        <f>+'Plan de Accion 2018'!BT37</f>
        <v>1</v>
      </c>
      <c r="AE66" s="629">
        <f t="shared" si="9"/>
        <v>1</v>
      </c>
      <c r="AF66" s="767">
        <f>+'Plan de Accion 2018'!BK37</f>
        <v>0.96437092853438422</v>
      </c>
      <c r="AG66" s="637">
        <f t="shared" si="10"/>
        <v>0.96437092853438422</v>
      </c>
      <c r="AH66" s="339"/>
      <c r="AJ66" s="342"/>
      <c r="AK66" s="343"/>
      <c r="AL66" s="321"/>
      <c r="AM66" s="342"/>
      <c r="AN66" s="343"/>
      <c r="AO66" s="321"/>
      <c r="AP66" s="342"/>
      <c r="AQ66" s="343"/>
      <c r="AR66" s="321"/>
      <c r="AS66" s="342"/>
      <c r="AT66" s="343"/>
      <c r="AU66" s="326"/>
      <c r="AV66" s="338"/>
      <c r="AX66" s="342"/>
      <c r="AY66" s="343"/>
      <c r="AZ66" s="321"/>
      <c r="BA66" s="342"/>
      <c r="BB66" s="343"/>
      <c r="BC66" s="321"/>
      <c r="BD66" s="342"/>
      <c r="BE66" s="343"/>
      <c r="BF66" s="321"/>
      <c r="BG66" s="342"/>
      <c r="BH66" s="343"/>
      <c r="BI66" s="326"/>
      <c r="BJ66" s="338"/>
      <c r="BL66" s="342"/>
      <c r="BM66" s="343"/>
      <c r="BN66" s="321"/>
      <c r="BO66" s="342"/>
      <c r="BP66" s="343"/>
      <c r="BQ66" s="321"/>
      <c r="BR66" s="342"/>
      <c r="BS66" s="343"/>
      <c r="BT66" s="321"/>
      <c r="BU66" s="342"/>
      <c r="BV66" s="343"/>
      <c r="BW66" s="326"/>
      <c r="BX66" s="338"/>
      <c r="BZ66" s="342"/>
      <c r="CA66" s="343"/>
      <c r="CB66" s="321"/>
      <c r="CC66" s="342"/>
      <c r="CD66" s="343"/>
      <c r="CE66" s="321"/>
      <c r="CF66" s="342"/>
      <c r="CG66" s="343"/>
      <c r="CH66" s="321"/>
      <c r="CI66" s="342"/>
      <c r="CJ66" s="343"/>
      <c r="CK66" s="326"/>
      <c r="CL66" s="338"/>
    </row>
    <row r="67" spans="2:90" ht="15.75" thickBot="1" x14ac:dyDescent="0.25">
      <c r="B67" s="1491"/>
      <c r="C67" s="1397"/>
      <c r="D67" s="754" t="str">
        <f>+'Plan de Accion 2018'!G40</f>
        <v>Ordenes de Giros</v>
      </c>
      <c r="E67" s="1402"/>
      <c r="F67" s="1406"/>
      <c r="G67" s="321"/>
      <c r="H67" s="372">
        <f>+'Plan de Accion 2018'!AE40</f>
        <v>0.87371548457995329</v>
      </c>
      <c r="I67" s="767">
        <f>+'Plan de Accion 2018'!BN40</f>
        <v>0.87371548457995329</v>
      </c>
      <c r="J67" s="767">
        <f t="shared" si="4"/>
        <v>0.87371548457995329</v>
      </c>
      <c r="K67" s="767">
        <f>+'Plan de Accion 2018'!AG40</f>
        <v>0.21842887114498832</v>
      </c>
      <c r="L67" s="875">
        <f t="shared" si="15"/>
        <v>0.21842887114498832</v>
      </c>
      <c r="M67" s="682">
        <f t="shared" si="6"/>
        <v>0.21842887114498832</v>
      </c>
      <c r="N67" s="642"/>
      <c r="O67" s="543">
        <f>+'Plan de Accion 2018'!AO40</f>
        <v>1</v>
      </c>
      <c r="P67" s="767">
        <f>+'Plan de Accion 2018'!BP40</f>
        <v>1</v>
      </c>
      <c r="Q67" s="629">
        <f t="shared" si="0"/>
        <v>1</v>
      </c>
      <c r="R67" s="751">
        <f>+'Plan de Accion 2018'!AQ40</f>
        <v>0.46842887114498832</v>
      </c>
      <c r="S67" s="873">
        <f t="shared" si="16"/>
        <v>0.46842887114498832</v>
      </c>
      <c r="T67" s="637">
        <f t="shared" si="2"/>
        <v>0.46842887114498832</v>
      </c>
      <c r="U67" s="322"/>
      <c r="V67" s="543">
        <f>+'Plan de Accion 2018'!AY40</f>
        <v>1</v>
      </c>
      <c r="W67" s="767">
        <f>+'Plan de Accion 2018'!BR40</f>
        <v>1</v>
      </c>
      <c r="X67" s="629">
        <f t="shared" si="1"/>
        <v>1</v>
      </c>
      <c r="Y67" s="882">
        <f>+'Plan de Accion 2018'!BA40</f>
        <v>0.71842887114498832</v>
      </c>
      <c r="Z67" s="882">
        <f t="shared" si="17"/>
        <v>0.71842887114498832</v>
      </c>
      <c r="AA67" s="883">
        <f t="shared" si="3"/>
        <v>0.71842887114498832</v>
      </c>
      <c r="AB67" s="642"/>
      <c r="AC67" s="543">
        <f>+'Plan de Accion 2018'!BI40</f>
        <v>1</v>
      </c>
      <c r="AD67" s="767">
        <f>+'Plan de Accion 2018'!BT40</f>
        <v>1</v>
      </c>
      <c r="AE67" s="629">
        <f t="shared" si="9"/>
        <v>1</v>
      </c>
      <c r="AF67" s="767">
        <f>+'Plan de Accion 2018'!BK40</f>
        <v>0.96842887114498832</v>
      </c>
      <c r="AG67" s="637">
        <f t="shared" si="10"/>
        <v>0.96842887114498832</v>
      </c>
      <c r="AH67" s="339"/>
      <c r="AI67" s="1014">
        <v>1</v>
      </c>
      <c r="AJ67" s="342"/>
      <c r="AK67" s="343"/>
      <c r="AL67" s="321"/>
      <c r="AM67" s="342"/>
      <c r="AN67" s="343"/>
      <c r="AO67" s="321"/>
      <c r="AP67" s="342"/>
      <c r="AQ67" s="343"/>
      <c r="AR67" s="321"/>
      <c r="AS67" s="342"/>
      <c r="AT67" s="343"/>
      <c r="AU67" s="326"/>
      <c r="AV67" s="338"/>
      <c r="AX67" s="342"/>
      <c r="AY67" s="343"/>
      <c r="AZ67" s="321"/>
      <c r="BA67" s="342"/>
      <c r="BB67" s="343"/>
      <c r="BC67" s="321"/>
      <c r="BD67" s="342"/>
      <c r="BE67" s="343"/>
      <c r="BF67" s="321"/>
      <c r="BG67" s="342"/>
      <c r="BH67" s="343"/>
      <c r="BI67" s="326"/>
      <c r="BJ67" s="338"/>
      <c r="BL67" s="342"/>
      <c r="BM67" s="343"/>
      <c r="BN67" s="321"/>
      <c r="BO67" s="342"/>
      <c r="BP67" s="343"/>
      <c r="BQ67" s="321"/>
      <c r="BR67" s="342"/>
      <c r="BS67" s="343"/>
      <c r="BT67" s="321"/>
      <c r="BU67" s="342"/>
      <c r="BV67" s="343"/>
      <c r="BW67" s="326"/>
      <c r="BX67" s="338"/>
      <c r="BZ67" s="342"/>
      <c r="CA67" s="343"/>
      <c r="CB67" s="321"/>
      <c r="CC67" s="342"/>
      <c r="CD67" s="343"/>
      <c r="CE67" s="321"/>
      <c r="CF67" s="342"/>
      <c r="CG67" s="343"/>
      <c r="CH67" s="321"/>
      <c r="CI67" s="342"/>
      <c r="CJ67" s="343"/>
      <c r="CK67" s="326"/>
      <c r="CL67" s="338"/>
    </row>
    <row r="68" spans="2:90" ht="15.75" thickBot="1" x14ac:dyDescent="0.25">
      <c r="B68" s="1491"/>
      <c r="C68" s="1397"/>
      <c r="D68" s="754" t="str">
        <f>+'Plan de Accion 2018'!G41</f>
        <v>Portafolio</v>
      </c>
      <c r="E68" s="1402"/>
      <c r="F68" s="1406"/>
      <c r="G68" s="321"/>
      <c r="H68" s="372">
        <f>+'Plan de Accion 2018'!AE41</f>
        <v>0.87777777777777777</v>
      </c>
      <c r="I68" s="767">
        <f>+'Plan de Accion 2018'!BN41</f>
        <v>0.87777777777777777</v>
      </c>
      <c r="J68" s="767">
        <f t="shared" si="4"/>
        <v>0.87777777777777777</v>
      </c>
      <c r="K68" s="767">
        <f>+'Plan de Accion 2018'!AG41</f>
        <v>0.21944444444444444</v>
      </c>
      <c r="L68" s="875">
        <f t="shared" si="15"/>
        <v>0.21944444444444444</v>
      </c>
      <c r="M68" s="682">
        <f t="shared" si="6"/>
        <v>0.21944444444444444</v>
      </c>
      <c r="N68" s="642"/>
      <c r="O68" s="543">
        <f>+'Plan de Accion 2018'!AO41</f>
        <v>1</v>
      </c>
      <c r="P68" s="767">
        <f>+'Plan de Accion 2018'!BP41</f>
        <v>1</v>
      </c>
      <c r="Q68" s="629">
        <f t="shared" si="0"/>
        <v>1</v>
      </c>
      <c r="R68" s="751">
        <f>+'Plan de Accion 2018'!AQ41</f>
        <v>0.46944444444444444</v>
      </c>
      <c r="S68" s="873">
        <f t="shared" si="16"/>
        <v>0.46944444444444444</v>
      </c>
      <c r="T68" s="637">
        <f t="shared" si="2"/>
        <v>0.46944444444444444</v>
      </c>
      <c r="U68" s="322"/>
      <c r="V68" s="543">
        <f>+'Plan de Accion 2018'!AY41</f>
        <v>1</v>
      </c>
      <c r="W68" s="767">
        <f>+'Plan de Accion 2018'!BR41</f>
        <v>1</v>
      </c>
      <c r="X68" s="629">
        <f t="shared" si="1"/>
        <v>1</v>
      </c>
      <c r="Y68" s="882">
        <f>+'Plan de Accion 2018'!BA41</f>
        <v>0.71944444444444444</v>
      </c>
      <c r="Z68" s="882">
        <f t="shared" si="17"/>
        <v>0.71944444444444444</v>
      </c>
      <c r="AA68" s="883">
        <f t="shared" si="3"/>
        <v>0.71944444444444444</v>
      </c>
      <c r="AB68" s="642"/>
      <c r="AC68" s="543">
        <f>+'Plan de Accion 2018'!BI41</f>
        <v>1</v>
      </c>
      <c r="AD68" s="767">
        <f>+'Plan de Accion 2018'!BT41</f>
        <v>1</v>
      </c>
      <c r="AE68" s="629">
        <f t="shared" si="9"/>
        <v>1</v>
      </c>
      <c r="AF68" s="767">
        <f>+'Plan de Accion 2018'!BK41</f>
        <v>0.96944444444444444</v>
      </c>
      <c r="AG68" s="637">
        <f t="shared" si="10"/>
        <v>0.96944444444444444</v>
      </c>
      <c r="AH68" s="339"/>
      <c r="AJ68" s="342"/>
      <c r="AK68" s="343"/>
      <c r="AL68" s="321"/>
      <c r="AM68" s="342"/>
      <c r="AN68" s="343"/>
      <c r="AO68" s="321"/>
      <c r="AP68" s="342"/>
      <c r="AQ68" s="343"/>
      <c r="AR68" s="321"/>
      <c r="AS68" s="342"/>
      <c r="AT68" s="343"/>
      <c r="AU68" s="326"/>
      <c r="AV68" s="338"/>
      <c r="AX68" s="342"/>
      <c r="AY68" s="343"/>
      <c r="AZ68" s="321"/>
      <c r="BA68" s="342"/>
      <c r="BB68" s="343"/>
      <c r="BC68" s="321"/>
      <c r="BD68" s="342"/>
      <c r="BE68" s="343"/>
      <c r="BF68" s="321"/>
      <c r="BG68" s="342"/>
      <c r="BH68" s="343"/>
      <c r="BI68" s="326"/>
      <c r="BJ68" s="338"/>
      <c r="BL68" s="342"/>
      <c r="BM68" s="343"/>
      <c r="BN68" s="321"/>
      <c r="BO68" s="342"/>
      <c r="BP68" s="343"/>
      <c r="BQ68" s="321"/>
      <c r="BR68" s="342"/>
      <c r="BS68" s="343"/>
      <c r="BT68" s="321"/>
      <c r="BU68" s="342"/>
      <c r="BV68" s="343"/>
      <c r="BW68" s="326"/>
      <c r="BX68" s="338"/>
      <c r="BZ68" s="342"/>
      <c r="CA68" s="343"/>
      <c r="CB68" s="321"/>
      <c r="CC68" s="342"/>
      <c r="CD68" s="343"/>
      <c r="CE68" s="321"/>
      <c r="CF68" s="342"/>
      <c r="CG68" s="343"/>
      <c r="CH68" s="321"/>
      <c r="CI68" s="342"/>
      <c r="CJ68" s="343"/>
      <c r="CK68" s="326"/>
      <c r="CL68" s="338"/>
    </row>
    <row r="69" spans="2:90" ht="15.75" thickBot="1" x14ac:dyDescent="0.25">
      <c r="B69" s="1491"/>
      <c r="C69" s="1398"/>
      <c r="D69" s="755" t="str">
        <f>+'Plan de Accion 2018'!G42</f>
        <v>Estados Financieros</v>
      </c>
      <c r="E69" s="1350"/>
      <c r="F69" s="1407"/>
      <c r="G69" s="321"/>
      <c r="H69" s="518">
        <f>+'Plan de Accion 2018'!AE42</f>
        <v>0.93962306143568719</v>
      </c>
      <c r="I69" s="750">
        <f>+'Plan de Accion 2018'!BN42</f>
        <v>0.93962306143568719</v>
      </c>
      <c r="J69" s="750">
        <f t="shared" si="4"/>
        <v>0.93962306143568719</v>
      </c>
      <c r="K69" s="750">
        <f>+'Plan de Accion 2018'!AG42</f>
        <v>0.2349057653589218</v>
      </c>
      <c r="L69" s="875">
        <f t="shared" si="15"/>
        <v>0.2349057653589218</v>
      </c>
      <c r="M69" s="752">
        <f t="shared" si="6"/>
        <v>0.2349057653589218</v>
      </c>
      <c r="N69" s="642"/>
      <c r="O69" s="748">
        <f>+'Plan de Accion 2018'!AO42</f>
        <v>1</v>
      </c>
      <c r="P69" s="750">
        <f>+'Plan de Accion 2018'!BP42</f>
        <v>1</v>
      </c>
      <c r="Q69" s="631">
        <f t="shared" si="0"/>
        <v>1</v>
      </c>
      <c r="R69" s="751">
        <f>+'Plan de Accion 2018'!AQ42</f>
        <v>0.48490576535892177</v>
      </c>
      <c r="S69" s="873">
        <f>IF(R69&gt;100%,100%,R69)</f>
        <v>0.48490576535892177</v>
      </c>
      <c r="T69" s="637">
        <f t="shared" si="2"/>
        <v>0.48490576535892177</v>
      </c>
      <c r="U69" s="322"/>
      <c r="V69" s="748">
        <f>+'Plan de Accion 2018'!AY42</f>
        <v>1</v>
      </c>
      <c r="W69" s="750">
        <f>+'Plan de Accion 2018'!BR42</f>
        <v>1</v>
      </c>
      <c r="X69" s="629">
        <f t="shared" si="1"/>
        <v>1</v>
      </c>
      <c r="Y69" s="882">
        <f>+'Plan de Accion 2018'!BA42</f>
        <v>0.73490576535892183</v>
      </c>
      <c r="Z69" s="882">
        <f t="shared" si="17"/>
        <v>0.73490576535892183</v>
      </c>
      <c r="AA69" s="883">
        <f t="shared" si="3"/>
        <v>0.73490576535892183</v>
      </c>
      <c r="AB69" s="642"/>
      <c r="AC69" s="748">
        <f>+'Plan de Accion 2018'!BI42</f>
        <v>0.97605988584350201</v>
      </c>
      <c r="AD69" s="750">
        <f>+'Plan de Accion 2018'!BT42</f>
        <v>0.97605988584350201</v>
      </c>
      <c r="AE69" s="629">
        <f t="shared" si="9"/>
        <v>0.97605988584350201</v>
      </c>
      <c r="AF69" s="750">
        <f>+'Plan de Accion 2018'!BK42</f>
        <v>0.9789207368197973</v>
      </c>
      <c r="AG69" s="637">
        <f t="shared" si="10"/>
        <v>0.9789207368197973</v>
      </c>
      <c r="AH69" s="339"/>
      <c r="AJ69" s="342"/>
      <c r="AK69" s="343"/>
      <c r="AL69" s="321"/>
      <c r="AM69" s="342"/>
      <c r="AN69" s="343"/>
      <c r="AO69" s="321"/>
      <c r="AP69" s="342"/>
      <c r="AQ69" s="343"/>
      <c r="AR69" s="321"/>
      <c r="AS69" s="342"/>
      <c r="AT69" s="343"/>
      <c r="AU69" s="326"/>
      <c r="AV69" s="338"/>
      <c r="AX69" s="342"/>
      <c r="AY69" s="343"/>
      <c r="AZ69" s="321"/>
      <c r="BA69" s="342"/>
      <c r="BB69" s="343"/>
      <c r="BC69" s="321"/>
      <c r="BD69" s="342"/>
      <c r="BE69" s="343"/>
      <c r="BF69" s="321"/>
      <c r="BG69" s="342"/>
      <c r="BH69" s="343"/>
      <c r="BI69" s="326"/>
      <c r="BJ69" s="338"/>
      <c r="BL69" s="342"/>
      <c r="BM69" s="343"/>
      <c r="BN69" s="321"/>
      <c r="BO69" s="342"/>
      <c r="BP69" s="343"/>
      <c r="BQ69" s="321"/>
      <c r="BR69" s="342"/>
      <c r="BS69" s="343"/>
      <c r="BT69" s="321"/>
      <c r="BU69" s="342"/>
      <c r="BV69" s="343"/>
      <c r="BW69" s="326"/>
      <c r="BX69" s="338"/>
      <c r="BZ69" s="342"/>
      <c r="CA69" s="343"/>
      <c r="CB69" s="321"/>
      <c r="CC69" s="342"/>
      <c r="CD69" s="343"/>
      <c r="CE69" s="321"/>
      <c r="CF69" s="342"/>
      <c r="CG69" s="343"/>
      <c r="CH69" s="321"/>
      <c r="CI69" s="342"/>
      <c r="CJ69" s="343"/>
      <c r="CK69" s="326"/>
      <c r="CL69" s="338"/>
    </row>
    <row r="70" spans="2:90" ht="20.25" thickBot="1" x14ac:dyDescent="0.3">
      <c r="B70" s="1492"/>
      <c r="C70" s="1399" t="s">
        <v>798</v>
      </c>
      <c r="D70" s="1400"/>
      <c r="E70" s="1400"/>
      <c r="F70" s="1401"/>
      <c r="G70" s="345"/>
      <c r="H70" s="346" t="s">
        <v>792</v>
      </c>
      <c r="I70" s="332">
        <f>SUM(I44:I69)/COUNT(I44:I69)</f>
        <v>1.1149693920035442</v>
      </c>
      <c r="J70" s="332">
        <f>IF(I70&gt;100%,100%,I70)</f>
        <v>1</v>
      </c>
      <c r="K70" s="332">
        <f>SUM(K44:K63,K65:K69)/COUNT(K44:K63,K65:K69)</f>
        <v>0.1798662860640057</v>
      </c>
      <c r="L70" s="332">
        <f>SUM(L44:L63,L65:L69)/COUNT(L44:L63,L65:L69)</f>
        <v>0.1798662860640057</v>
      </c>
      <c r="M70" s="334">
        <f>SUM(M44:M63,M65:M69)/COUNT(M44:M63,M65:M69)</f>
        <v>0.1798662860640057</v>
      </c>
      <c r="N70" s="691"/>
      <c r="O70" s="346" t="s">
        <v>792</v>
      </c>
      <c r="P70" s="635">
        <f>SUM(P44:P69)/COUNT(P44:P69)</f>
        <v>0.73248525350936278</v>
      </c>
      <c r="Q70" s="635">
        <f>SUM(Q44:Q69)/COUNT(Q44:Q69)</f>
        <v>0.68842828602553774</v>
      </c>
      <c r="R70" s="786">
        <f>SUM(R44:R63,R65:R69)/COUNT(R44:R63,R65:R69)</f>
        <v>0.38034083463990487</v>
      </c>
      <c r="S70" s="786">
        <f>SUM(S44:S63,S65:S69)/COUNT(S44:S63,S65:S69)</f>
        <v>0.38034083463990487</v>
      </c>
      <c r="T70" s="867">
        <f>SUM(T44:T63,T65:T69)/COUNT(T44:T63,T65:T69)</f>
        <v>0.38034083463990487</v>
      </c>
      <c r="U70" s="347"/>
      <c r="V70" s="346" t="s">
        <v>792</v>
      </c>
      <c r="W70" s="332">
        <f>SUM(W44:W69)/COUNT(W44:W69)</f>
        <v>0.76477243116966109</v>
      </c>
      <c r="X70" s="332">
        <f>SUM(X44:X69)/COUNT(X44:X69)</f>
        <v>0.70893367334887303</v>
      </c>
      <c r="Y70" s="651">
        <f>SUM(Y44:Y63,Y65:Y69)/COUNT(Y44:Y63,Y65:Y69)</f>
        <v>0.57522863992062279</v>
      </c>
      <c r="Z70" s="651">
        <f>SUM(Z44:Z63,Z65:Z69)/COUNT(Z44:Z63,Z65:Z69)</f>
        <v>0.57522863992062279</v>
      </c>
      <c r="AA70" s="617">
        <f>SUM(AA44:AA63,AA65:AA69)/COUNT(AA44:AA63,AA65:AA69)</f>
        <v>0.57522863992062279</v>
      </c>
      <c r="AB70" s="691"/>
      <c r="AC70" s="346" t="s">
        <v>792</v>
      </c>
      <c r="AD70" s="332">
        <f>SUM(AD44:AD69)/COUNT(AD44:AD69)</f>
        <v>1.6935915661157102</v>
      </c>
      <c r="AE70" s="332">
        <f>SUM(AE44:AE69)/COUNT(AE44:AE69)</f>
        <v>0.82408486180176344</v>
      </c>
      <c r="AF70" s="635">
        <f>SUM(AF44:AF63,AF65:AF69)/COUNT(AF44:AF63,AF65:AF69)</f>
        <v>0.90951245761609645</v>
      </c>
      <c r="AG70" s="334">
        <f>SUM(AG44:AG63,AG65:AG69)/COUNT(AG44:AG63,AG65:AG69)</f>
        <v>0.90951245761609645</v>
      </c>
      <c r="AH70" s="339"/>
      <c r="AJ70" s="342"/>
      <c r="AK70" s="343"/>
      <c r="AL70" s="321"/>
      <c r="AM70" s="342"/>
      <c r="AN70" s="343"/>
      <c r="AO70" s="321"/>
      <c r="AP70" s="342"/>
      <c r="AQ70" s="343"/>
      <c r="AR70" s="321"/>
      <c r="AS70" s="342"/>
      <c r="AT70" s="343"/>
      <c r="AU70" s="326"/>
      <c r="AV70" s="338"/>
      <c r="AX70" s="342"/>
      <c r="AY70" s="343"/>
      <c r="AZ70" s="321"/>
      <c r="BA70" s="342"/>
      <c r="BB70" s="343"/>
      <c r="BC70" s="321"/>
      <c r="BD70" s="342"/>
      <c r="BE70" s="343"/>
      <c r="BF70" s="321"/>
      <c r="BG70" s="342"/>
      <c r="BH70" s="343"/>
      <c r="BI70" s="326"/>
      <c r="BJ70" s="338"/>
      <c r="BL70" s="342"/>
      <c r="BM70" s="343"/>
      <c r="BN70" s="321"/>
      <c r="BO70" s="342"/>
      <c r="BP70" s="343"/>
      <c r="BQ70" s="321"/>
      <c r="BR70" s="342"/>
      <c r="BS70" s="343"/>
      <c r="BT70" s="321"/>
      <c r="BU70" s="342"/>
      <c r="BV70" s="343"/>
      <c r="BW70" s="326"/>
      <c r="BX70" s="338"/>
      <c r="BZ70" s="342"/>
      <c r="CA70" s="343"/>
      <c r="CB70" s="321"/>
      <c r="CC70" s="342"/>
      <c r="CD70" s="343"/>
      <c r="CE70" s="321"/>
      <c r="CF70" s="342"/>
      <c r="CG70" s="343"/>
      <c r="CH70" s="321"/>
      <c r="CI70" s="342"/>
      <c r="CJ70" s="343"/>
      <c r="CK70" s="326"/>
      <c r="CL70" s="338"/>
    </row>
    <row r="71" spans="2:90" ht="29.25" thickBot="1" x14ac:dyDescent="0.3">
      <c r="B71" s="1491"/>
      <c r="C71" s="1414" t="s">
        <v>147</v>
      </c>
      <c r="D71" s="759" t="str">
        <f>+'Plan de Accion 2018'!G91</f>
        <v>Adquisición de infraestructura tecnológica</v>
      </c>
      <c r="E71" s="1351" t="str">
        <f>+'Plan de Accion 2018'!B91</f>
        <v>Dirección de Gestión de Tecnología de la Información y la Comunicación</v>
      </c>
      <c r="F71" s="769" t="str">
        <f>+'Plan de Accion 2018'!S91</f>
        <v>(Valor pagado / (Valor programado-penalizaciones))</v>
      </c>
      <c r="G71" s="328"/>
      <c r="H71" s="749">
        <f>+'Plan de Accion 2018'!AB91</f>
        <v>9.7743684003216744E-2</v>
      </c>
      <c r="I71" s="751">
        <f>+'Plan de Accion 2018'!BN91</f>
        <v>0.75187449233243642</v>
      </c>
      <c r="J71" s="751">
        <f t="shared" si="4"/>
        <v>0.75187449233243642</v>
      </c>
      <c r="K71" s="751">
        <f>+'Plan de Accion 2018'!AG91</f>
        <v>0.12627117301112994</v>
      </c>
      <c r="L71" s="751">
        <f>+K71</f>
        <v>0.12627117301112994</v>
      </c>
      <c r="M71" s="753">
        <f t="shared" si="6"/>
        <v>0.12627117301112994</v>
      </c>
      <c r="N71" s="644"/>
      <c r="O71" s="749">
        <f>+'Plan de Accion 2018'!AL91</f>
        <v>0.26059050295834729</v>
      </c>
      <c r="P71" s="751">
        <f>+'Plan de Accion 2018'!BP91</f>
        <v>1.2102159252444706</v>
      </c>
      <c r="Q71" s="629">
        <f t="shared" si="0"/>
        <v>1</v>
      </c>
      <c r="R71" s="638">
        <f>+'Plan de Accion 2018'!AQ91</f>
        <v>0.38686167596947718</v>
      </c>
      <c r="S71" s="751">
        <f>IF(R71&gt;100%,100%,R71)</f>
        <v>0.38686167596947718</v>
      </c>
      <c r="T71" s="637">
        <f t="shared" si="2"/>
        <v>0.38686167596947718</v>
      </c>
      <c r="U71" s="642">
        <v>1</v>
      </c>
      <c r="V71" s="749">
        <f>+'Plan de Accion 2018'!AV91</f>
        <v>0.20418554556607982</v>
      </c>
      <c r="W71" s="751">
        <f>+'Plan de Accion 2018'!BR91</f>
        <v>0.56828707366011633</v>
      </c>
      <c r="X71" s="629">
        <f t="shared" si="1"/>
        <v>0.56828707366011633</v>
      </c>
      <c r="Y71" s="882">
        <f>+'Plan de Accion 2018'!BA91</f>
        <v>0.591047221535557</v>
      </c>
      <c r="Z71" s="882">
        <f>IF(Y71&gt;100%,100%,Y71)</f>
        <v>0.591047221535557</v>
      </c>
      <c r="AA71" s="883">
        <f t="shared" si="3"/>
        <v>0.591047221535557</v>
      </c>
      <c r="AB71" s="644"/>
      <c r="AC71" s="749">
        <f>+'Plan de Accion 2018'!BF91</f>
        <v>0.16944940232069716</v>
      </c>
      <c r="AD71" s="751">
        <f>+'Plan de Accion 2018'!BT91</f>
        <v>0.65822834927708584</v>
      </c>
      <c r="AE71" s="629">
        <f t="shared" si="9"/>
        <v>0.65822834927708584</v>
      </c>
      <c r="AF71" s="751">
        <f>+'Plan de Accion 2018'!BK91</f>
        <v>0.76049662385625416</v>
      </c>
      <c r="AG71" s="637">
        <f t="shared" si="10"/>
        <v>0.76049662385625416</v>
      </c>
      <c r="AH71" s="348"/>
      <c r="AI71" s="1016"/>
      <c r="AJ71" s="349"/>
      <c r="AK71" s="350"/>
      <c r="AL71" s="351"/>
      <c r="AM71" s="349"/>
      <c r="AN71" s="350"/>
      <c r="AO71" s="351"/>
      <c r="AP71" s="349"/>
      <c r="AQ71" s="350"/>
      <c r="AR71" s="351"/>
      <c r="AS71" s="349"/>
      <c r="AT71" s="350"/>
      <c r="AU71" s="352"/>
      <c r="AV71" s="353"/>
      <c r="AW71" s="352"/>
      <c r="AX71" s="349"/>
      <c r="AY71" s="350"/>
      <c r="AZ71" s="351"/>
      <c r="BA71" s="349"/>
      <c r="BB71" s="350"/>
      <c r="BC71" s="351"/>
      <c r="BD71" s="349"/>
      <c r="BE71" s="350"/>
      <c r="BF71" s="351"/>
      <c r="BG71" s="349"/>
      <c r="BH71" s="350"/>
      <c r="BI71" s="352"/>
      <c r="BJ71" s="353"/>
      <c r="BL71" s="349"/>
      <c r="BM71" s="350"/>
      <c r="BN71" s="351"/>
      <c r="BO71" s="349"/>
      <c r="BP71" s="350"/>
      <c r="BQ71" s="351"/>
      <c r="BR71" s="349"/>
      <c r="BS71" s="350"/>
      <c r="BT71" s="351"/>
      <c r="BU71" s="349"/>
      <c r="BV71" s="350"/>
      <c r="BW71" s="352"/>
      <c r="BX71" s="353"/>
      <c r="BZ71" s="349"/>
      <c r="CA71" s="350"/>
      <c r="CB71" s="351"/>
      <c r="CC71" s="349"/>
      <c r="CD71" s="350"/>
      <c r="CE71" s="351"/>
      <c r="CF71" s="349"/>
      <c r="CG71" s="350"/>
      <c r="CH71" s="351"/>
      <c r="CI71" s="349"/>
      <c r="CJ71" s="350"/>
      <c r="CK71" s="352"/>
      <c r="CL71" s="353"/>
    </row>
    <row r="72" spans="2:90" ht="29.25" thickBot="1" x14ac:dyDescent="0.3">
      <c r="B72" s="1491"/>
      <c r="C72" s="1415"/>
      <c r="D72" s="754" t="str">
        <f>+'Plan de Accion 2018'!G92</f>
        <v>Renovación de licencias</v>
      </c>
      <c r="E72" s="1402"/>
      <c r="F72" s="344" t="str">
        <f>+'Plan de Accion 2018'!S92</f>
        <v>Valor pagado / Valor programado</v>
      </c>
      <c r="G72" s="328"/>
      <c r="H72" s="543">
        <f>+'Plan de Accion 2018'!AB92</f>
        <v>0</v>
      </c>
      <c r="I72" s="767" t="str">
        <f>+'Plan de Accion 2018'!BN92</f>
        <v>No Prog ni Ejec</v>
      </c>
      <c r="J72" s="767" t="s">
        <v>792</v>
      </c>
      <c r="K72" s="767">
        <f>+'Plan de Accion 2018'!AG92</f>
        <v>0</v>
      </c>
      <c r="L72" s="767">
        <f>+K72</f>
        <v>0</v>
      </c>
      <c r="M72" s="682" t="s">
        <v>792</v>
      </c>
      <c r="N72" s="644"/>
      <c r="O72" s="543">
        <f>+'Plan de Accion 2018'!AL92</f>
        <v>0.25914621486538597</v>
      </c>
      <c r="P72" s="767">
        <f>+'Plan de Accion 2018'!BP92</f>
        <v>0.86657676407248019</v>
      </c>
      <c r="Q72" s="629">
        <f t="shared" si="0"/>
        <v>0.86657676407248019</v>
      </c>
      <c r="R72" s="751">
        <f>+'Plan de Accion 2018'!AQ92</f>
        <v>0.25914621486538592</v>
      </c>
      <c r="S72" s="873">
        <f t="shared" ref="S72:S83" si="18">IF(R72&gt;100%,100%,R72)</f>
        <v>0.25914621486538592</v>
      </c>
      <c r="T72" s="637">
        <f t="shared" si="2"/>
        <v>0.25914621486538592</v>
      </c>
      <c r="U72" s="329"/>
      <c r="V72" s="543">
        <f>+'Plan de Accion 2018'!AV92</f>
        <v>2.0973871278550202E-2</v>
      </c>
      <c r="W72" s="767">
        <f>+'Plan de Accion 2018'!BR92</f>
        <v>4.1003687001966153E-2</v>
      </c>
      <c r="X72" s="629">
        <f t="shared" si="1"/>
        <v>4.1003687001966153E-2</v>
      </c>
      <c r="Y72" s="882">
        <f>+'Plan de Accion 2018'!BA92</f>
        <v>0.28012008614393613</v>
      </c>
      <c r="Z72" s="882">
        <f>IF(Y72&gt;100%,100%,Y72)</f>
        <v>0.28012008614393613</v>
      </c>
      <c r="AA72" s="883">
        <f t="shared" si="3"/>
        <v>0.28012008614393613</v>
      </c>
      <c r="AB72" s="644"/>
      <c r="AC72" s="543">
        <f>+'Plan de Accion 2018'!BF92</f>
        <v>0.27250438735285448</v>
      </c>
      <c r="AD72" s="767">
        <f>+'Plan de Accion 2018'!BT92</f>
        <v>1.4381696609291454</v>
      </c>
      <c r="AE72" s="629">
        <f t="shared" si="9"/>
        <v>1</v>
      </c>
      <c r="AF72" s="767">
        <f>+'Plan de Accion 2018'!BK92</f>
        <v>0.55262447349679056</v>
      </c>
      <c r="AG72" s="637">
        <f t="shared" si="10"/>
        <v>0.55262447349679056</v>
      </c>
      <c r="AH72" s="348"/>
      <c r="AI72" s="1016"/>
      <c r="AJ72" s="349"/>
      <c r="AK72" s="350"/>
      <c r="AL72" s="351"/>
      <c r="AM72" s="349"/>
      <c r="AN72" s="350"/>
      <c r="AO72" s="351"/>
      <c r="AP72" s="349"/>
      <c r="AQ72" s="350"/>
      <c r="AR72" s="351"/>
      <c r="AS72" s="349"/>
      <c r="AT72" s="350"/>
      <c r="AU72" s="352"/>
      <c r="AV72" s="353"/>
      <c r="AW72" s="352"/>
      <c r="AX72" s="349"/>
      <c r="AY72" s="350"/>
      <c r="AZ72" s="351"/>
      <c r="BA72" s="349"/>
      <c r="BB72" s="350"/>
      <c r="BC72" s="351"/>
      <c r="BD72" s="349"/>
      <c r="BE72" s="350"/>
      <c r="BF72" s="351"/>
      <c r="BG72" s="349"/>
      <c r="BH72" s="350"/>
      <c r="BI72" s="352"/>
      <c r="BJ72" s="353"/>
      <c r="BL72" s="349"/>
      <c r="BM72" s="350"/>
      <c r="BN72" s="351"/>
      <c r="BO72" s="349"/>
      <c r="BP72" s="350"/>
      <c r="BQ72" s="351"/>
      <c r="BR72" s="349"/>
      <c r="BS72" s="350"/>
      <c r="BT72" s="351"/>
      <c r="BU72" s="349"/>
      <c r="BV72" s="350"/>
      <c r="BW72" s="352"/>
      <c r="BX72" s="353"/>
      <c r="BZ72" s="349"/>
      <c r="CA72" s="350"/>
      <c r="CB72" s="351"/>
      <c r="CC72" s="349"/>
      <c r="CD72" s="350"/>
      <c r="CE72" s="351"/>
      <c r="CF72" s="349"/>
      <c r="CG72" s="350"/>
      <c r="CH72" s="351"/>
      <c r="CI72" s="349"/>
      <c r="CJ72" s="350"/>
      <c r="CK72" s="352"/>
      <c r="CL72" s="353"/>
    </row>
    <row r="73" spans="2:90" ht="43.5" thickBot="1" x14ac:dyDescent="0.3">
      <c r="B73" s="1491"/>
      <c r="C73" s="1415"/>
      <c r="D73" s="754" t="str">
        <f>+'Plan de Accion 2018'!G83</f>
        <v>Adquisición de bienes y/o servicios para la seguridad de la información</v>
      </c>
      <c r="E73" s="1402"/>
      <c r="F73" s="344" t="str">
        <f>+'Plan de Accion 2018'!S83</f>
        <v>(Valor pagado / (Valor programado-penalizaciones))</v>
      </c>
      <c r="G73" s="328"/>
      <c r="H73" s="543">
        <f>+'Plan de Accion 2018'!AB83</f>
        <v>0</v>
      </c>
      <c r="I73" s="767" t="str">
        <f>+'Plan de Accion 2018'!BN83</f>
        <v>No Prog ni Ejec</v>
      </c>
      <c r="J73" s="767" t="s">
        <v>792</v>
      </c>
      <c r="K73" s="767">
        <f>+'Plan de Accion 2018'!AG83</f>
        <v>0</v>
      </c>
      <c r="L73" s="875">
        <f t="shared" ref="L73:L83" si="19">+K73</f>
        <v>0</v>
      </c>
      <c r="M73" s="682" t="s">
        <v>792</v>
      </c>
      <c r="N73" s="644"/>
      <c r="O73" s="543">
        <f>+'Plan de Accion 2018'!AL83</f>
        <v>0</v>
      </c>
      <c r="P73" s="767" t="str">
        <f>+'Plan de Accion 2018'!BP83</f>
        <v>No Prog ni Ejec</v>
      </c>
      <c r="Q73" s="629" t="s">
        <v>792</v>
      </c>
      <c r="R73" s="751">
        <f>+'Plan de Accion 2018'!AQ83</f>
        <v>0</v>
      </c>
      <c r="S73" s="873">
        <f t="shared" si="18"/>
        <v>0</v>
      </c>
      <c r="T73" s="637" t="s">
        <v>792</v>
      </c>
      <c r="U73" s="329"/>
      <c r="V73" s="543">
        <f>+'Plan de Accion 2018'!AV83</f>
        <v>0</v>
      </c>
      <c r="W73" s="767">
        <f>+'Plan de Accion 2018'!BR83</f>
        <v>0</v>
      </c>
      <c r="X73" s="629">
        <f t="shared" si="1"/>
        <v>0</v>
      </c>
      <c r="Y73" s="882">
        <f>+'Plan de Accion 2018'!BA83</f>
        <v>0</v>
      </c>
      <c r="Z73" s="882">
        <f t="shared" ref="Z73:Z83" si="20">IF(Y73&gt;100%,100%,Y73)</f>
        <v>0</v>
      </c>
      <c r="AA73" s="883">
        <f t="shared" si="3"/>
        <v>0</v>
      </c>
      <c r="AB73" s="644"/>
      <c r="AC73" s="543">
        <f>+'Plan de Accion 2018'!BF83</f>
        <v>0</v>
      </c>
      <c r="AD73" s="767">
        <f>+'Plan de Accion 2018'!BT83</f>
        <v>0</v>
      </c>
      <c r="AE73" s="629">
        <f t="shared" si="9"/>
        <v>0</v>
      </c>
      <c r="AF73" s="767">
        <f>+'Plan de Accion 2018'!BK83</f>
        <v>0</v>
      </c>
      <c r="AG73" s="637">
        <f>IF(AF73&gt;100%,100%,AF73)</f>
        <v>0</v>
      </c>
      <c r="AH73" s="348"/>
      <c r="AI73" s="1016"/>
      <c r="AJ73" s="349"/>
      <c r="AK73" s="350"/>
      <c r="AL73" s="351"/>
      <c r="AM73" s="349"/>
      <c r="AN73" s="350"/>
      <c r="AO73" s="351"/>
      <c r="AP73" s="349"/>
      <c r="AQ73" s="350"/>
      <c r="AR73" s="351"/>
      <c r="AS73" s="349"/>
      <c r="AT73" s="350"/>
      <c r="AU73" s="352"/>
      <c r="AV73" s="353"/>
      <c r="AW73" s="352"/>
      <c r="AX73" s="349"/>
      <c r="AY73" s="350"/>
      <c r="AZ73" s="351"/>
      <c r="BA73" s="349"/>
      <c r="BB73" s="350"/>
      <c r="BC73" s="351"/>
      <c r="BD73" s="349"/>
      <c r="BE73" s="350"/>
      <c r="BF73" s="351"/>
      <c r="BG73" s="349"/>
      <c r="BH73" s="350"/>
      <c r="BI73" s="352"/>
      <c r="BJ73" s="353"/>
      <c r="BL73" s="349"/>
      <c r="BM73" s="350"/>
      <c r="BN73" s="351"/>
      <c r="BO73" s="349"/>
      <c r="BP73" s="350"/>
      <c r="BQ73" s="351"/>
      <c r="BR73" s="349"/>
      <c r="BS73" s="350"/>
      <c r="BT73" s="351"/>
      <c r="BU73" s="349"/>
      <c r="BV73" s="350"/>
      <c r="BW73" s="352"/>
      <c r="BX73" s="353"/>
      <c r="BZ73" s="349"/>
      <c r="CA73" s="350"/>
      <c r="CB73" s="351"/>
      <c r="CC73" s="349"/>
      <c r="CD73" s="350"/>
      <c r="CE73" s="351"/>
      <c r="CF73" s="349"/>
      <c r="CG73" s="350"/>
      <c r="CH73" s="351"/>
      <c r="CI73" s="349"/>
      <c r="CJ73" s="350"/>
      <c r="CK73" s="352"/>
      <c r="CL73" s="353"/>
    </row>
    <row r="74" spans="2:90" ht="20.25" thickBot="1" x14ac:dyDescent="0.3">
      <c r="B74" s="1491"/>
      <c r="C74" s="1415"/>
      <c r="D74" s="754" t="str">
        <f>+'Plan de Accion 2018'!G95</f>
        <v>Brindar Soporte a usuario interno</v>
      </c>
      <c r="E74" s="1402"/>
      <c r="F74" s="1498" t="str">
        <f>+'Plan de Accion 2018'!S95</f>
        <v>Valor pagado / Valor programado</v>
      </c>
      <c r="G74" s="328"/>
      <c r="H74" s="543">
        <f>+'Plan de Accion 2018'!AB95</f>
        <v>0.22222222222222221</v>
      </c>
      <c r="I74" s="767">
        <f>+'Plan de Accion 2018'!BN95</f>
        <v>0.88888888888888884</v>
      </c>
      <c r="J74" s="767">
        <f t="shared" si="4"/>
        <v>0.88888888888888884</v>
      </c>
      <c r="K74" s="767">
        <f>+'Plan de Accion 2018'!AG95</f>
        <v>0.22222222222222221</v>
      </c>
      <c r="L74" s="875">
        <f t="shared" si="19"/>
        <v>0.22222222222222221</v>
      </c>
      <c r="M74" s="682">
        <f t="shared" si="6"/>
        <v>0.22222222222222221</v>
      </c>
      <c r="N74" s="644"/>
      <c r="O74" s="543">
        <f>+'Plan de Accion 2018'!AL95</f>
        <v>0.25</v>
      </c>
      <c r="P74" s="767">
        <f>+'Plan de Accion 2018'!BP95</f>
        <v>1</v>
      </c>
      <c r="Q74" s="629">
        <f t="shared" si="0"/>
        <v>1</v>
      </c>
      <c r="R74" s="751">
        <f>+'Plan de Accion 2018'!AQ95</f>
        <v>0.47222222222222221</v>
      </c>
      <c r="S74" s="873">
        <f t="shared" si="18"/>
        <v>0.47222222222222221</v>
      </c>
      <c r="T74" s="637">
        <f t="shared" si="2"/>
        <v>0.47222222222222221</v>
      </c>
      <c r="U74" s="329"/>
      <c r="V74" s="543">
        <f>+'Plan de Accion 2018'!AV95</f>
        <v>0.25</v>
      </c>
      <c r="W74" s="767">
        <f>+'Plan de Accion 2018'!BR95</f>
        <v>1</v>
      </c>
      <c r="X74" s="629">
        <f t="shared" si="1"/>
        <v>1</v>
      </c>
      <c r="Y74" s="882">
        <f>+'Plan de Accion 2018'!BA95</f>
        <v>0.72222222222222221</v>
      </c>
      <c r="Z74" s="882">
        <f t="shared" si="20"/>
        <v>0.72222222222222221</v>
      </c>
      <c r="AA74" s="883">
        <f t="shared" si="3"/>
        <v>0.72222222222222221</v>
      </c>
      <c r="AB74" s="644"/>
      <c r="AC74" s="543">
        <f>+'Plan de Accion 2018'!BF95</f>
        <v>0.25</v>
      </c>
      <c r="AD74" s="767">
        <f>+'Plan de Accion 2018'!BT95</f>
        <v>1</v>
      </c>
      <c r="AE74" s="629">
        <f t="shared" si="9"/>
        <v>1</v>
      </c>
      <c r="AF74" s="767">
        <f>+'Plan de Accion 2018'!BK95</f>
        <v>0.97222222222222221</v>
      </c>
      <c r="AG74" s="637">
        <f t="shared" si="10"/>
        <v>0.97222222222222221</v>
      </c>
      <c r="AH74" s="348"/>
      <c r="AI74" s="1016"/>
      <c r="AJ74" s="349"/>
      <c r="AK74" s="350"/>
      <c r="AL74" s="351"/>
      <c r="AM74" s="349"/>
      <c r="AN74" s="350"/>
      <c r="AO74" s="351"/>
      <c r="AP74" s="349"/>
      <c r="AQ74" s="350"/>
      <c r="AR74" s="351"/>
      <c r="AS74" s="349"/>
      <c r="AT74" s="350"/>
      <c r="AU74" s="352"/>
      <c r="AV74" s="353"/>
      <c r="AW74" s="352"/>
      <c r="AX74" s="349"/>
      <c r="AY74" s="350"/>
      <c r="AZ74" s="351"/>
      <c r="BA74" s="349"/>
      <c r="BB74" s="350"/>
      <c r="BC74" s="351"/>
      <c r="BD74" s="349"/>
      <c r="BE74" s="350"/>
      <c r="BF74" s="351"/>
      <c r="BG74" s="349"/>
      <c r="BH74" s="350"/>
      <c r="BI74" s="352"/>
      <c r="BJ74" s="353"/>
      <c r="BL74" s="349"/>
      <c r="BM74" s="350"/>
      <c r="BN74" s="351"/>
      <c r="BO74" s="349"/>
      <c r="BP74" s="350"/>
      <c r="BQ74" s="351"/>
      <c r="BR74" s="349"/>
      <c r="BS74" s="350"/>
      <c r="BT74" s="351"/>
      <c r="BU74" s="349"/>
      <c r="BV74" s="350"/>
      <c r="BW74" s="352"/>
      <c r="BX74" s="353"/>
      <c r="BZ74" s="349"/>
      <c r="CA74" s="350"/>
      <c r="CB74" s="351"/>
      <c r="CC74" s="349"/>
      <c r="CD74" s="350"/>
      <c r="CE74" s="351"/>
      <c r="CF74" s="349"/>
      <c r="CG74" s="350"/>
      <c r="CH74" s="351"/>
      <c r="CI74" s="349"/>
      <c r="CJ74" s="350"/>
      <c r="CK74" s="352"/>
      <c r="CL74" s="353"/>
    </row>
    <row r="75" spans="2:90" ht="20.25" thickBot="1" x14ac:dyDescent="0.3">
      <c r="B75" s="1491"/>
      <c r="C75" s="1415"/>
      <c r="D75" s="754" t="str">
        <f>+'Plan de Accion 2018'!G96</f>
        <v>Brindar Soporte al procesos BDUA</v>
      </c>
      <c r="E75" s="1402"/>
      <c r="F75" s="1499"/>
      <c r="G75" s="328"/>
      <c r="H75" s="543">
        <f>+'Plan de Accion 2018'!AB96</f>
        <v>0.22222222222222221</v>
      </c>
      <c r="I75" s="767">
        <f>+'Plan de Accion 2018'!BN96</f>
        <v>0.88888888888888884</v>
      </c>
      <c r="J75" s="767">
        <f t="shared" si="4"/>
        <v>0.88888888888888884</v>
      </c>
      <c r="K75" s="767">
        <f>+'Plan de Accion 2018'!AG96</f>
        <v>0.22222222222222221</v>
      </c>
      <c r="L75" s="875">
        <f t="shared" si="19"/>
        <v>0.22222222222222221</v>
      </c>
      <c r="M75" s="682">
        <f t="shared" si="6"/>
        <v>0.22222222222222221</v>
      </c>
      <c r="N75" s="644"/>
      <c r="O75" s="543">
        <f>+'Plan de Accion 2018'!AL96</f>
        <v>0.25</v>
      </c>
      <c r="P75" s="767">
        <f>+'Plan de Accion 2018'!BP96</f>
        <v>1</v>
      </c>
      <c r="Q75" s="629">
        <f t="shared" si="0"/>
        <v>1</v>
      </c>
      <c r="R75" s="751">
        <f>+'Plan de Accion 2018'!AQ96</f>
        <v>0.47222222222222221</v>
      </c>
      <c r="S75" s="873">
        <f t="shared" si="18"/>
        <v>0.47222222222222221</v>
      </c>
      <c r="T75" s="637">
        <f t="shared" si="2"/>
        <v>0.47222222222222221</v>
      </c>
      <c r="U75" s="329"/>
      <c r="V75" s="543">
        <f>+'Plan de Accion 2018'!AV96</f>
        <v>0.25</v>
      </c>
      <c r="W75" s="767">
        <f>+'Plan de Accion 2018'!BR96</f>
        <v>1</v>
      </c>
      <c r="X75" s="629">
        <f t="shared" si="1"/>
        <v>1</v>
      </c>
      <c r="Y75" s="882">
        <f>+'Plan de Accion 2018'!BA96</f>
        <v>0.72222222222222221</v>
      </c>
      <c r="Z75" s="882">
        <f t="shared" si="20"/>
        <v>0.72222222222222221</v>
      </c>
      <c r="AA75" s="883">
        <f t="shared" si="3"/>
        <v>0.72222222222222221</v>
      </c>
      <c r="AB75" s="644"/>
      <c r="AC75" s="543">
        <f>+'Plan de Accion 2018'!BF96</f>
        <v>0.25</v>
      </c>
      <c r="AD75" s="767">
        <f>+'Plan de Accion 2018'!BT96</f>
        <v>1</v>
      </c>
      <c r="AE75" s="629">
        <f t="shared" si="9"/>
        <v>1</v>
      </c>
      <c r="AF75" s="767">
        <f>+'Plan de Accion 2018'!BK96</f>
        <v>0.97222222222222221</v>
      </c>
      <c r="AG75" s="637">
        <f t="shared" si="10"/>
        <v>0.97222222222222221</v>
      </c>
      <c r="AH75" s="348"/>
      <c r="AI75" s="1016"/>
      <c r="AJ75" s="349"/>
      <c r="AK75" s="350"/>
      <c r="AL75" s="351"/>
      <c r="AM75" s="349"/>
      <c r="AN75" s="350"/>
      <c r="AO75" s="351"/>
      <c r="AP75" s="349"/>
      <c r="AQ75" s="350"/>
      <c r="AR75" s="351"/>
      <c r="AS75" s="349"/>
      <c r="AT75" s="350"/>
      <c r="AU75" s="352"/>
      <c r="AV75" s="353"/>
      <c r="AW75" s="352"/>
      <c r="AX75" s="349"/>
      <c r="AY75" s="350"/>
      <c r="AZ75" s="351"/>
      <c r="BA75" s="349"/>
      <c r="BB75" s="350"/>
      <c r="BC75" s="351"/>
      <c r="BD75" s="349"/>
      <c r="BE75" s="350"/>
      <c r="BF75" s="351"/>
      <c r="BG75" s="349"/>
      <c r="BH75" s="350"/>
      <c r="BI75" s="352"/>
      <c r="BJ75" s="353"/>
      <c r="BL75" s="349"/>
      <c r="BM75" s="350"/>
      <c r="BN75" s="351"/>
      <c r="BO75" s="349"/>
      <c r="BP75" s="350"/>
      <c r="BQ75" s="351"/>
      <c r="BR75" s="349"/>
      <c r="BS75" s="350"/>
      <c r="BT75" s="351"/>
      <c r="BU75" s="349"/>
      <c r="BV75" s="350"/>
      <c r="BW75" s="352"/>
      <c r="BX75" s="353"/>
      <c r="BZ75" s="349"/>
      <c r="CA75" s="350"/>
      <c r="CB75" s="351"/>
      <c r="CC75" s="349"/>
      <c r="CD75" s="350"/>
      <c r="CE75" s="351"/>
      <c r="CF75" s="349"/>
      <c r="CG75" s="350"/>
      <c r="CH75" s="351"/>
      <c r="CI75" s="349"/>
      <c r="CJ75" s="350"/>
      <c r="CK75" s="352"/>
      <c r="CL75" s="353"/>
    </row>
    <row r="76" spans="2:90" ht="43.5" thickBot="1" x14ac:dyDescent="0.3">
      <c r="B76" s="1491"/>
      <c r="C76" s="1415"/>
      <c r="D76" s="754" t="str">
        <f>+'Plan de Accion 2018'!G97</f>
        <v>Brindar Soporte a los sistemas de información que respaldan los procesos misionales de ADRES</v>
      </c>
      <c r="E76" s="1402"/>
      <c r="F76" s="1500"/>
      <c r="G76" s="328"/>
      <c r="H76" s="543">
        <f>+'Plan de Accion 2018'!AB97</f>
        <v>4.3630629828138479E-2</v>
      </c>
      <c r="I76" s="767">
        <f>+'Plan de Accion 2018'!BN97</f>
        <v>0.17452251931255391</v>
      </c>
      <c r="J76" s="767">
        <f t="shared" si="4"/>
        <v>0.17452251931255391</v>
      </c>
      <c r="K76" s="767">
        <f>+'Plan de Accion 2018'!AG97</f>
        <v>8.9561490847439196E-2</v>
      </c>
      <c r="L76" s="875">
        <f t="shared" si="19"/>
        <v>8.9561490847439196E-2</v>
      </c>
      <c r="M76" s="682">
        <f t="shared" si="6"/>
        <v>8.9561490847439196E-2</v>
      </c>
      <c r="N76" s="644"/>
      <c r="O76" s="543">
        <f>+'Plan de Accion 2018'!AL97</f>
        <v>7.3408315453146133E-2</v>
      </c>
      <c r="P76" s="767">
        <f>+'Plan de Accion 2018'!BP97</f>
        <v>0.30586798105477558</v>
      </c>
      <c r="Q76" s="629">
        <f t="shared" si="0"/>
        <v>0.30586798105477558</v>
      </c>
      <c r="R76" s="751">
        <f>+'Plan de Accion 2018'!AQ97</f>
        <v>0.22412711593597104</v>
      </c>
      <c r="S76" s="873">
        <f t="shared" si="18"/>
        <v>0.22412711593597104</v>
      </c>
      <c r="T76" s="637">
        <f t="shared" si="2"/>
        <v>0.22412711593597104</v>
      </c>
      <c r="U76" s="329"/>
      <c r="V76" s="543">
        <f>+'Plan de Accion 2018'!AV97</f>
        <v>0.13456562508853184</v>
      </c>
      <c r="W76" s="767">
        <f>+'Plan de Accion 2018'!BR97</f>
        <v>0.56069010453554935</v>
      </c>
      <c r="X76" s="629">
        <f t="shared" si="1"/>
        <v>0.56069010453554935</v>
      </c>
      <c r="Y76" s="882">
        <f>+'Plan de Accion 2018'!BA97</f>
        <v>0.35869274102450288</v>
      </c>
      <c r="Z76" s="882">
        <f t="shared" si="20"/>
        <v>0.35869274102450288</v>
      </c>
      <c r="AA76" s="883">
        <f t="shared" si="3"/>
        <v>0.35869274102450288</v>
      </c>
      <c r="AB76" s="644"/>
      <c r="AC76" s="543">
        <f>+'Plan de Accion 2018'!BF97</f>
        <v>0.13456562508853184</v>
      </c>
      <c r="AD76" s="767">
        <f>+'Plan de Accion 2018'!BT97</f>
        <v>0.56069010453554935</v>
      </c>
      <c r="AE76" s="629">
        <f t="shared" si="9"/>
        <v>0.56069010453554935</v>
      </c>
      <c r="AF76" s="767">
        <f>+'Plan de Accion 2018'!BK97</f>
        <v>0.4932583661130347</v>
      </c>
      <c r="AG76" s="637">
        <f t="shared" si="10"/>
        <v>0.4932583661130347</v>
      </c>
      <c r="AH76" s="348"/>
      <c r="AI76" s="1016"/>
      <c r="AJ76" s="349"/>
      <c r="AK76" s="350"/>
      <c r="AL76" s="351"/>
      <c r="AM76" s="349"/>
      <c r="AN76" s="350"/>
      <c r="AO76" s="351"/>
      <c r="AP76" s="349"/>
      <c r="AQ76" s="350"/>
      <c r="AR76" s="351"/>
      <c r="AS76" s="349"/>
      <c r="AT76" s="350"/>
      <c r="AU76" s="352"/>
      <c r="AV76" s="353"/>
      <c r="AW76" s="352"/>
      <c r="AX76" s="349"/>
      <c r="AY76" s="350"/>
      <c r="AZ76" s="351"/>
      <c r="BA76" s="349"/>
      <c r="BB76" s="350"/>
      <c r="BC76" s="351"/>
      <c r="BD76" s="349"/>
      <c r="BE76" s="350"/>
      <c r="BF76" s="351"/>
      <c r="BG76" s="349"/>
      <c r="BH76" s="350"/>
      <c r="BI76" s="352"/>
      <c r="BJ76" s="353"/>
      <c r="BL76" s="349"/>
      <c r="BM76" s="350"/>
      <c r="BN76" s="351"/>
      <c r="BO76" s="349"/>
      <c r="BP76" s="350"/>
      <c r="BQ76" s="351"/>
      <c r="BR76" s="349"/>
      <c r="BS76" s="350"/>
      <c r="BT76" s="351"/>
      <c r="BU76" s="349"/>
      <c r="BV76" s="350"/>
      <c r="BW76" s="352"/>
      <c r="BX76" s="353"/>
      <c r="BZ76" s="349"/>
      <c r="CA76" s="350"/>
      <c r="CB76" s="351"/>
      <c r="CC76" s="349"/>
      <c r="CD76" s="350"/>
      <c r="CE76" s="351"/>
      <c r="CF76" s="349"/>
      <c r="CG76" s="350"/>
      <c r="CH76" s="351"/>
      <c r="CI76" s="349"/>
      <c r="CJ76" s="350"/>
      <c r="CK76" s="352"/>
      <c r="CL76" s="353"/>
    </row>
    <row r="77" spans="2:90" ht="29.25" thickBot="1" x14ac:dyDescent="0.3">
      <c r="B77" s="1491"/>
      <c r="C77" s="1415"/>
      <c r="D77" s="754" t="str">
        <f>+'Plan de Accion 2018'!G98</f>
        <v xml:space="preserve">Arrendamiento de Equipos de Computo </v>
      </c>
      <c r="E77" s="1402"/>
      <c r="F77" s="344" t="str">
        <f>+'Plan de Accion 2018'!S98</f>
        <v>(Valor pagado / (Valor programado-penalizaciones))</v>
      </c>
      <c r="G77" s="328"/>
      <c r="H77" s="543">
        <f>+'Plan de Accion 2018'!AB98</f>
        <v>0.12409059904788024</v>
      </c>
      <c r="I77" s="767">
        <f>+'Plan de Accion 2018'!BN98</f>
        <v>0.49636239619152095</v>
      </c>
      <c r="J77" s="767">
        <f t="shared" si="4"/>
        <v>0.49636239619152095</v>
      </c>
      <c r="K77" s="767">
        <f>+'Plan de Accion 2018'!AG98</f>
        <v>0.12409059904788024</v>
      </c>
      <c r="L77" s="875">
        <f t="shared" si="19"/>
        <v>0.12409059904788024</v>
      </c>
      <c r="M77" s="682">
        <f t="shared" si="6"/>
        <v>0.12409059904788024</v>
      </c>
      <c r="N77" s="644"/>
      <c r="O77" s="543">
        <f>+'Plan de Accion 2018'!AL98</f>
        <v>0.24818119809576047</v>
      </c>
      <c r="P77" s="767">
        <f>+'Plan de Accion 2018'!BP98</f>
        <v>0.9927247923830419</v>
      </c>
      <c r="Q77" s="629">
        <f t="shared" si="0"/>
        <v>0.9927247923830419</v>
      </c>
      <c r="R77" s="751">
        <f>+'Plan de Accion 2018'!AQ98</f>
        <v>0.37227179714364067</v>
      </c>
      <c r="S77" s="873">
        <f t="shared" si="18"/>
        <v>0.37227179714364067</v>
      </c>
      <c r="T77" s="637">
        <f t="shared" si="2"/>
        <v>0.37227179714364067</v>
      </c>
      <c r="U77" s="329"/>
      <c r="V77" s="543">
        <f>+'Plan de Accion 2018'!AV98</f>
        <v>0.18801295004848764</v>
      </c>
      <c r="W77" s="767">
        <f>+'Plan de Accion 2018'!BR98</f>
        <v>0.75205180019395057</v>
      </c>
      <c r="X77" s="629">
        <f t="shared" si="1"/>
        <v>0.75205180019395057</v>
      </c>
      <c r="Y77" s="882">
        <f>+'Plan de Accion 2018'!BA98</f>
        <v>0.56028474719212829</v>
      </c>
      <c r="Z77" s="882">
        <f t="shared" si="20"/>
        <v>0.56028474719212829</v>
      </c>
      <c r="AA77" s="883">
        <f t="shared" si="3"/>
        <v>0.56028474719212829</v>
      </c>
      <c r="AB77" s="644"/>
      <c r="AC77" s="543">
        <f>+'Plan de Accion 2018'!BF98</f>
        <v>0.18994362717768162</v>
      </c>
      <c r="AD77" s="767">
        <f>+'Plan de Accion 2018'!BT98</f>
        <v>0.75977450871072649</v>
      </c>
      <c r="AE77" s="629">
        <f t="shared" si="9"/>
        <v>0.75977450871072649</v>
      </c>
      <c r="AF77" s="767">
        <f>+'Plan de Accion 2018'!BK98</f>
        <v>0.75022837436980994</v>
      </c>
      <c r="AG77" s="637">
        <f t="shared" si="10"/>
        <v>0.75022837436980994</v>
      </c>
      <c r="AH77" s="348"/>
      <c r="AI77" s="1016"/>
      <c r="AJ77" s="349"/>
      <c r="AK77" s="350"/>
      <c r="AL77" s="351"/>
      <c r="AM77" s="349"/>
      <c r="AN77" s="350"/>
      <c r="AO77" s="351"/>
      <c r="AP77" s="349"/>
      <c r="AQ77" s="350"/>
      <c r="AR77" s="351"/>
      <c r="AS77" s="349"/>
      <c r="AT77" s="350"/>
      <c r="AU77" s="352"/>
      <c r="AV77" s="353"/>
      <c r="AW77" s="352"/>
      <c r="AX77" s="349"/>
      <c r="AY77" s="350"/>
      <c r="AZ77" s="351"/>
      <c r="BA77" s="349"/>
      <c r="BB77" s="350"/>
      <c r="BC77" s="351"/>
      <c r="BD77" s="349"/>
      <c r="BE77" s="350"/>
      <c r="BF77" s="351"/>
      <c r="BG77" s="349"/>
      <c r="BH77" s="350"/>
      <c r="BI77" s="352"/>
      <c r="BJ77" s="353"/>
      <c r="BL77" s="349"/>
      <c r="BM77" s="350"/>
      <c r="BN77" s="351"/>
      <c r="BO77" s="349"/>
      <c r="BP77" s="350"/>
      <c r="BQ77" s="351"/>
      <c r="BR77" s="349"/>
      <c r="BS77" s="350"/>
      <c r="BT77" s="351"/>
      <c r="BU77" s="349"/>
      <c r="BV77" s="350"/>
      <c r="BW77" s="352"/>
      <c r="BX77" s="353"/>
      <c r="BZ77" s="349"/>
      <c r="CA77" s="350"/>
      <c r="CB77" s="351"/>
      <c r="CC77" s="349"/>
      <c r="CD77" s="350"/>
      <c r="CE77" s="351"/>
      <c r="CF77" s="349"/>
      <c r="CG77" s="350"/>
      <c r="CH77" s="351"/>
      <c r="CI77" s="349"/>
      <c r="CJ77" s="350"/>
      <c r="CK77" s="352"/>
      <c r="CL77" s="353"/>
    </row>
    <row r="78" spans="2:90" ht="29.25" thickBot="1" x14ac:dyDescent="0.3">
      <c r="B78" s="1491"/>
      <c r="C78" s="1415"/>
      <c r="D78" s="754" t="str">
        <f>+'Plan de Accion 2018'!G290</f>
        <v>Red de almacenamiento de información (producto o servicio)</v>
      </c>
      <c r="E78" s="1402"/>
      <c r="F78" s="773" t="str">
        <f>+'Plan de Accion 2018'!S290</f>
        <v>Valor pagado / Valor programado</v>
      </c>
      <c r="G78" s="328"/>
      <c r="H78" s="543">
        <f>+'Plan de Accion 2018'!AB290</f>
        <v>0</v>
      </c>
      <c r="I78" s="767" t="str">
        <f>+'Plan de Accion 2018'!BN290</f>
        <v>No Prog ni Ejec</v>
      </c>
      <c r="J78" s="767" t="s">
        <v>792</v>
      </c>
      <c r="K78" s="767">
        <f>+'Plan de Accion 2018'!AG290</f>
        <v>0</v>
      </c>
      <c r="L78" s="875">
        <f t="shared" si="19"/>
        <v>0</v>
      </c>
      <c r="M78" s="682" t="s">
        <v>792</v>
      </c>
      <c r="N78" s="644"/>
      <c r="O78" s="543">
        <f>+'Plan de Accion 2018'!AL290</f>
        <v>0</v>
      </c>
      <c r="P78" s="767" t="str">
        <f>+'Plan de Accion 2018'!BP290</f>
        <v>No Prog ni Ejec</v>
      </c>
      <c r="Q78" s="629" t="s">
        <v>792</v>
      </c>
      <c r="R78" s="751">
        <f>+'Plan de Accion 2018'!AQ290</f>
        <v>0</v>
      </c>
      <c r="S78" s="873">
        <f t="shared" si="18"/>
        <v>0</v>
      </c>
      <c r="T78" s="637" t="s">
        <v>792</v>
      </c>
      <c r="U78" s="329"/>
      <c r="V78" s="543">
        <f>+'Plan de Accion 2018'!AV290</f>
        <v>0</v>
      </c>
      <c r="W78" s="767">
        <f>+'Plan de Accion 2018'!BR290</f>
        <v>0</v>
      </c>
      <c r="X78" s="629">
        <f t="shared" si="1"/>
        <v>0</v>
      </c>
      <c r="Y78" s="882">
        <f>+'Plan de Accion 2018'!BA290</f>
        <v>0</v>
      </c>
      <c r="Z78" s="882">
        <f t="shared" si="20"/>
        <v>0</v>
      </c>
      <c r="AA78" s="883">
        <f t="shared" si="3"/>
        <v>0</v>
      </c>
      <c r="AB78" s="644"/>
      <c r="AC78" s="543">
        <f>+'Plan de Accion 2018'!BF290</f>
        <v>0</v>
      </c>
      <c r="AD78" s="767" t="str">
        <f>+'Plan de Accion 2018'!BT290</f>
        <v>No Prog ni Ejec</v>
      </c>
      <c r="AE78" s="629" t="s">
        <v>792</v>
      </c>
      <c r="AF78" s="767">
        <f>+'Plan de Accion 2018'!BK290</f>
        <v>0</v>
      </c>
      <c r="AG78" s="637">
        <f t="shared" si="10"/>
        <v>0</v>
      </c>
      <c r="AH78" s="348"/>
      <c r="AI78" s="1016"/>
      <c r="AJ78" s="349"/>
      <c r="AK78" s="350"/>
      <c r="AL78" s="351"/>
      <c r="AM78" s="349"/>
      <c r="AN78" s="350"/>
      <c r="AO78" s="351"/>
      <c r="AP78" s="349"/>
      <c r="AQ78" s="350"/>
      <c r="AR78" s="351"/>
      <c r="AS78" s="349"/>
      <c r="AT78" s="350"/>
      <c r="AU78" s="352"/>
      <c r="AV78" s="353"/>
      <c r="AW78" s="352"/>
      <c r="AX78" s="349"/>
      <c r="AY78" s="350"/>
      <c r="AZ78" s="351"/>
      <c r="BA78" s="349"/>
      <c r="BB78" s="350"/>
      <c r="BC78" s="351"/>
      <c r="BD78" s="349"/>
      <c r="BE78" s="350"/>
      <c r="BF78" s="351"/>
      <c r="BG78" s="349"/>
      <c r="BH78" s="350"/>
      <c r="BI78" s="352"/>
      <c r="BJ78" s="353"/>
      <c r="BL78" s="349"/>
      <c r="BM78" s="350"/>
      <c r="BN78" s="351"/>
      <c r="BO78" s="349"/>
      <c r="BP78" s="350"/>
      <c r="BQ78" s="351"/>
      <c r="BR78" s="349"/>
      <c r="BS78" s="350"/>
      <c r="BT78" s="351"/>
      <c r="BU78" s="349"/>
      <c r="BV78" s="350"/>
      <c r="BW78" s="352"/>
      <c r="BX78" s="353"/>
      <c r="BZ78" s="349"/>
      <c r="CA78" s="350"/>
      <c r="CB78" s="351"/>
      <c r="CC78" s="349"/>
      <c r="CD78" s="350"/>
      <c r="CE78" s="351"/>
      <c r="CF78" s="349"/>
      <c r="CG78" s="350"/>
      <c r="CH78" s="351"/>
      <c r="CI78" s="349"/>
      <c r="CJ78" s="350"/>
      <c r="CK78" s="352"/>
      <c r="CL78" s="353"/>
    </row>
    <row r="79" spans="2:90" ht="29.25" thickBot="1" x14ac:dyDescent="0.3">
      <c r="B79" s="1491"/>
      <c r="C79" s="1415"/>
      <c r="D79" s="754" t="str">
        <f>+'Plan de Accion 2018'!G291</f>
        <v>Portal web y portal intranet de la ADRES</v>
      </c>
      <c r="E79" s="1402"/>
      <c r="F79" s="773" t="str">
        <f>+'Plan de Accion 2018'!S291</f>
        <v>Valor pagado / Valor programado</v>
      </c>
      <c r="G79" s="328"/>
      <c r="H79" s="543">
        <f>+'Plan de Accion 2018'!AB291</f>
        <v>0</v>
      </c>
      <c r="I79" s="767" t="str">
        <f>+'Plan de Accion 2018'!BN291</f>
        <v>No Prog ni Ejec</v>
      </c>
      <c r="J79" s="767" t="s">
        <v>792</v>
      </c>
      <c r="K79" s="767">
        <f>+'Plan de Accion 2018'!AG291</f>
        <v>0</v>
      </c>
      <c r="L79" s="875">
        <f t="shared" si="19"/>
        <v>0</v>
      </c>
      <c r="M79" s="682" t="s">
        <v>792</v>
      </c>
      <c r="N79" s="644"/>
      <c r="O79" s="543">
        <f>+'Plan de Accion 2018'!AL291</f>
        <v>0</v>
      </c>
      <c r="P79" s="767">
        <f>+'Plan de Accion 2018'!BP291</f>
        <v>0</v>
      </c>
      <c r="Q79" s="629">
        <f t="shared" si="0"/>
        <v>0</v>
      </c>
      <c r="R79" s="751">
        <f>+'Plan de Accion 2018'!AQ291</f>
        <v>0</v>
      </c>
      <c r="S79" s="873">
        <f t="shared" si="18"/>
        <v>0</v>
      </c>
      <c r="T79" s="637">
        <f t="shared" si="2"/>
        <v>0</v>
      </c>
      <c r="U79" s="329"/>
      <c r="V79" s="543">
        <f>+'Plan de Accion 2018'!AV291</f>
        <v>0.16666666666666666</v>
      </c>
      <c r="W79" s="767">
        <f>+'Plan de Accion 2018'!BR291</f>
        <v>0.25252525252525249</v>
      </c>
      <c r="X79" s="629">
        <f t="shared" si="1"/>
        <v>0.25252525252525249</v>
      </c>
      <c r="Y79" s="882">
        <f>+'Plan de Accion 2018'!BA291</f>
        <v>0.16666666666666666</v>
      </c>
      <c r="Z79" s="882">
        <f t="shared" si="20"/>
        <v>0.16666666666666666</v>
      </c>
      <c r="AA79" s="883">
        <f t="shared" si="3"/>
        <v>0.16666666666666666</v>
      </c>
      <c r="AB79" s="644"/>
      <c r="AC79" s="543">
        <f>+'Plan de Accion 2018'!BF291</f>
        <v>0.5</v>
      </c>
      <c r="AD79" s="767">
        <f>+'Plan de Accion 2018'!BT291</f>
        <v>2.9411764705882351</v>
      </c>
      <c r="AE79" s="629">
        <f t="shared" si="9"/>
        <v>1</v>
      </c>
      <c r="AF79" s="767">
        <f>+'Plan de Accion 2018'!BK291</f>
        <v>0.66666666666666663</v>
      </c>
      <c r="AG79" s="637">
        <f t="shared" si="10"/>
        <v>0.66666666666666663</v>
      </c>
      <c r="AH79" s="348"/>
      <c r="AI79" s="1016"/>
      <c r="AJ79" s="349"/>
      <c r="AK79" s="350"/>
      <c r="AL79" s="351"/>
      <c r="AM79" s="349"/>
      <c r="AN79" s="350"/>
      <c r="AO79" s="351"/>
      <c r="AP79" s="349"/>
      <c r="AQ79" s="350"/>
      <c r="AR79" s="351"/>
      <c r="AS79" s="349"/>
      <c r="AT79" s="350"/>
      <c r="AU79" s="352"/>
      <c r="AV79" s="353"/>
      <c r="AW79" s="352"/>
      <c r="AX79" s="349"/>
      <c r="AY79" s="350"/>
      <c r="AZ79" s="351"/>
      <c r="BA79" s="349"/>
      <c r="BB79" s="350"/>
      <c r="BC79" s="351"/>
      <c r="BD79" s="349"/>
      <c r="BE79" s="350"/>
      <c r="BF79" s="351"/>
      <c r="BG79" s="349"/>
      <c r="BH79" s="350"/>
      <c r="BI79" s="352"/>
      <c r="BJ79" s="353"/>
      <c r="BL79" s="349"/>
      <c r="BM79" s="350"/>
      <c r="BN79" s="351"/>
      <c r="BO79" s="349"/>
      <c r="BP79" s="350"/>
      <c r="BQ79" s="351"/>
      <c r="BR79" s="349"/>
      <c r="BS79" s="350"/>
      <c r="BT79" s="351"/>
      <c r="BU79" s="349"/>
      <c r="BV79" s="350"/>
      <c r="BW79" s="352"/>
      <c r="BX79" s="353"/>
      <c r="BZ79" s="349"/>
      <c r="CA79" s="350"/>
      <c r="CB79" s="351"/>
      <c r="CC79" s="349"/>
      <c r="CD79" s="350"/>
      <c r="CE79" s="351"/>
      <c r="CF79" s="349"/>
      <c r="CG79" s="350"/>
      <c r="CH79" s="351"/>
      <c r="CI79" s="349"/>
      <c r="CJ79" s="350"/>
      <c r="CK79" s="352"/>
      <c r="CL79" s="353"/>
    </row>
    <row r="80" spans="2:90" s="542" customFormat="1" ht="36.75" customHeight="1" thickBot="1" x14ac:dyDescent="0.3">
      <c r="B80" s="1491"/>
      <c r="C80" s="1415"/>
      <c r="D80" s="985" t="str">
        <f>+'Plan de Accion 2018'!G308</f>
        <v xml:space="preserve">Modelo de Seguridad y Privacidad de la Información - MSPI </v>
      </c>
      <c r="E80" s="1402"/>
      <c r="F80" s="992" t="str">
        <f>+'Plan de Accion 2018'!S308</f>
        <v>Valor pagado / Valor programado</v>
      </c>
      <c r="G80" s="328"/>
      <c r="H80" s="543">
        <f>+'Plan de Accion 2018'!AB308</f>
        <v>0</v>
      </c>
      <c r="I80" s="991" t="str">
        <f>+'Plan de Accion 2018'!BN308</f>
        <v>No Prog ni Ejec</v>
      </c>
      <c r="J80" s="991" t="s">
        <v>792</v>
      </c>
      <c r="K80" s="991">
        <f>+'Plan de Accion 2018'!AG308</f>
        <v>0</v>
      </c>
      <c r="L80" s="991">
        <f t="shared" ref="L80" si="21">+K80</f>
        <v>0</v>
      </c>
      <c r="M80" s="682" t="s">
        <v>792</v>
      </c>
      <c r="N80" s="644"/>
      <c r="O80" s="543">
        <f>+'Plan de Accion 2018'!AL308</f>
        <v>0</v>
      </c>
      <c r="P80" s="991" t="str">
        <f>+'Plan de Accion 2018'!BP308</f>
        <v>No Prog ni Ejec</v>
      </c>
      <c r="Q80" s="629" t="s">
        <v>792</v>
      </c>
      <c r="R80" s="987">
        <f>+'Plan de Accion 2018'!AQ308</f>
        <v>0</v>
      </c>
      <c r="S80" s="987">
        <f t="shared" ref="S80" si="22">IF(R80&gt;100%,100%,R80)</f>
        <v>0</v>
      </c>
      <c r="T80" s="637" t="s">
        <v>792</v>
      </c>
      <c r="U80" s="329"/>
      <c r="V80" s="543">
        <f>+'Plan de Accion 2018'!AV308</f>
        <v>0</v>
      </c>
      <c r="W80" s="991" t="str">
        <f>+'Plan de Accion 2018'!BR308</f>
        <v>No Prog ni Ejec</v>
      </c>
      <c r="X80" s="629" t="s">
        <v>792</v>
      </c>
      <c r="Y80" s="882">
        <f>+'Plan de Accion 2018'!BA308</f>
        <v>0</v>
      </c>
      <c r="Z80" s="882">
        <f t="shared" ref="Z80" si="23">IF(Y80&gt;100%,100%,Y80)</f>
        <v>0</v>
      </c>
      <c r="AA80" s="883" t="s">
        <v>792</v>
      </c>
      <c r="AB80" s="644"/>
      <c r="AC80" s="543">
        <f>+'Plan de Accion 2018'!BF308</f>
        <v>0.46268657426043164</v>
      </c>
      <c r="AD80" s="991">
        <f>+'Plan de Accion 2018'!BT308</f>
        <v>0.46268657426043164</v>
      </c>
      <c r="AE80" s="629">
        <f t="shared" ref="AE80" si="24">IF(AD80&gt;100%,100%,AD80)</f>
        <v>0.46268657426043164</v>
      </c>
      <c r="AF80" s="991">
        <f>+'Plan de Accion 2018'!BK308</f>
        <v>0.46268657426043164</v>
      </c>
      <c r="AG80" s="637">
        <f t="shared" ref="AG80" si="25">IF(AF80&gt;100%,100%,AF80)</f>
        <v>0.46268657426043164</v>
      </c>
      <c r="AH80" s="348"/>
      <c r="AI80" s="1016"/>
      <c r="AJ80" s="349"/>
      <c r="AK80" s="350"/>
      <c r="AL80" s="351"/>
      <c r="AM80" s="349"/>
      <c r="AN80" s="350"/>
      <c r="AO80" s="351"/>
      <c r="AP80" s="349"/>
      <c r="AQ80" s="350"/>
      <c r="AR80" s="351"/>
      <c r="AS80" s="349"/>
      <c r="AT80" s="350"/>
      <c r="AU80" s="352"/>
      <c r="AV80" s="353"/>
      <c r="AW80" s="352"/>
      <c r="AX80" s="349"/>
      <c r="AY80" s="350"/>
      <c r="AZ80" s="351"/>
      <c r="BA80" s="349"/>
      <c r="BB80" s="350"/>
      <c r="BC80" s="351"/>
      <c r="BD80" s="349"/>
      <c r="BE80" s="350"/>
      <c r="BF80" s="351"/>
      <c r="BG80" s="349"/>
      <c r="BH80" s="350"/>
      <c r="BI80" s="352"/>
      <c r="BJ80" s="353"/>
      <c r="BL80" s="349"/>
      <c r="BM80" s="350"/>
      <c r="BN80" s="351"/>
      <c r="BO80" s="349"/>
      <c r="BP80" s="350"/>
      <c r="BQ80" s="351"/>
      <c r="BR80" s="349"/>
      <c r="BS80" s="350"/>
      <c r="BT80" s="351"/>
      <c r="BU80" s="349"/>
      <c r="BV80" s="350"/>
      <c r="BW80" s="352"/>
      <c r="BX80" s="353"/>
      <c r="BZ80" s="349"/>
      <c r="CA80" s="350"/>
      <c r="CB80" s="351"/>
      <c r="CC80" s="349"/>
      <c r="CD80" s="350"/>
      <c r="CE80" s="351"/>
      <c r="CF80" s="349"/>
      <c r="CG80" s="350"/>
      <c r="CH80" s="351"/>
      <c r="CI80" s="349"/>
      <c r="CJ80" s="350"/>
      <c r="CK80" s="352"/>
      <c r="CL80" s="353"/>
    </row>
    <row r="81" spans="2:90" s="542" customFormat="1" ht="157.5" thickBot="1" x14ac:dyDescent="0.3">
      <c r="B81" s="1491"/>
      <c r="C81" s="1415"/>
      <c r="D81" s="985" t="str">
        <f>+'Plan de Accion 2018'!G309</f>
        <v>Soporte de operación de la plataforma de auditoría integral en salud, jurídica y financiera a los recobros por servicios 
y tecnología NO POS y reclamaciones por accidentes de tránsito y eventos catastróficos y terroristas; y a los procesos y procedimientos misionales y tecnológicos de la Base de Datos Única de Afiliados – BDUA</v>
      </c>
      <c r="E81" s="1402"/>
      <c r="F81" s="992" t="str">
        <f>+'Plan de Accion 2018'!S309</f>
        <v>Valor pagado / Valor programado</v>
      </c>
      <c r="G81" s="328"/>
      <c r="H81" s="543">
        <f>+'Plan de Accion 2018'!AB309</f>
        <v>0</v>
      </c>
      <c r="I81" s="991" t="str">
        <f>+'Plan de Accion 2018'!BN309</f>
        <v>No Prog ni Ejec</v>
      </c>
      <c r="J81" s="991" t="s">
        <v>792</v>
      </c>
      <c r="K81" s="991">
        <f>+'Plan de Accion 2018'!AG309</f>
        <v>0</v>
      </c>
      <c r="L81" s="991">
        <f t="shared" ref="L81:L82" si="26">+K81</f>
        <v>0</v>
      </c>
      <c r="M81" s="682" t="s">
        <v>792</v>
      </c>
      <c r="N81" s="644"/>
      <c r="O81" s="543">
        <f>+'Plan de Accion 2018'!AL309</f>
        <v>0</v>
      </c>
      <c r="P81" s="991" t="str">
        <f>+'Plan de Accion 2018'!BP309</f>
        <v>No Prog ni Ejec</v>
      </c>
      <c r="Q81" s="629" t="s">
        <v>792</v>
      </c>
      <c r="R81" s="987">
        <f>+'Plan de Accion 2018'!AQ309</f>
        <v>0</v>
      </c>
      <c r="S81" s="987">
        <f t="shared" ref="S81:S82" si="27">IF(R81&gt;100%,100%,R81)</f>
        <v>0</v>
      </c>
      <c r="T81" s="637" t="s">
        <v>792</v>
      </c>
      <c r="U81" s="329"/>
      <c r="V81" s="543">
        <f>+'Plan de Accion 2018'!AV309</f>
        <v>0</v>
      </c>
      <c r="W81" s="991" t="str">
        <f>+'Plan de Accion 2018'!BR309</f>
        <v>No Prog ni Ejec</v>
      </c>
      <c r="X81" s="629" t="s">
        <v>792</v>
      </c>
      <c r="Y81" s="882">
        <f>+'Plan de Accion 2018'!BA309</f>
        <v>0</v>
      </c>
      <c r="Z81" s="882">
        <f t="shared" ref="Z81:Z82" si="28">IF(Y81&gt;100%,100%,Y81)</f>
        <v>0</v>
      </c>
      <c r="AA81" s="883" t="s">
        <v>792</v>
      </c>
      <c r="AB81" s="644"/>
      <c r="AC81" s="543">
        <f>+'Plan de Accion 2018'!BF309</f>
        <v>6.6666679644816595E-2</v>
      </c>
      <c r="AD81" s="991">
        <f>+'Plan de Accion 2018'!BT309</f>
        <v>6.6666679644816595E-2</v>
      </c>
      <c r="AE81" s="629">
        <f t="shared" ref="AE81:AE82" si="29">IF(AD81&gt;100%,100%,AD81)</f>
        <v>6.6666679644816595E-2</v>
      </c>
      <c r="AF81" s="991">
        <f>+'Plan de Accion 2018'!BK309</f>
        <v>6.6666679644816595E-2</v>
      </c>
      <c r="AG81" s="637">
        <f t="shared" ref="AG81:AG82" si="30">IF(AF81&gt;100%,100%,AF81)</f>
        <v>6.6666679644816595E-2</v>
      </c>
      <c r="AH81" s="348"/>
      <c r="AI81" s="1016"/>
      <c r="AJ81" s="349"/>
      <c r="AK81" s="350"/>
      <c r="AL81" s="351"/>
      <c r="AM81" s="349"/>
      <c r="AN81" s="350"/>
      <c r="AO81" s="351"/>
      <c r="AP81" s="349"/>
      <c r="AQ81" s="350"/>
      <c r="AR81" s="351"/>
      <c r="AS81" s="349"/>
      <c r="AT81" s="350"/>
      <c r="AU81" s="352"/>
      <c r="AV81" s="353"/>
      <c r="AW81" s="352"/>
      <c r="AX81" s="349"/>
      <c r="AY81" s="350"/>
      <c r="AZ81" s="351"/>
      <c r="BA81" s="349"/>
      <c r="BB81" s="350"/>
      <c r="BC81" s="351"/>
      <c r="BD81" s="349"/>
      <c r="BE81" s="350"/>
      <c r="BF81" s="351"/>
      <c r="BG81" s="349"/>
      <c r="BH81" s="350"/>
      <c r="BI81" s="352"/>
      <c r="BJ81" s="353"/>
      <c r="BL81" s="349"/>
      <c r="BM81" s="350"/>
      <c r="BN81" s="351"/>
      <c r="BO81" s="349"/>
      <c r="BP81" s="350"/>
      <c r="BQ81" s="351"/>
      <c r="BR81" s="349"/>
      <c r="BS81" s="350"/>
      <c r="BT81" s="351"/>
      <c r="BU81" s="349"/>
      <c r="BV81" s="350"/>
      <c r="BW81" s="352"/>
      <c r="BX81" s="353"/>
      <c r="BZ81" s="349"/>
      <c r="CA81" s="350"/>
      <c r="CB81" s="351"/>
      <c r="CC81" s="349"/>
      <c r="CD81" s="350"/>
      <c r="CE81" s="351"/>
      <c r="CF81" s="349"/>
      <c r="CG81" s="350"/>
      <c r="CH81" s="351"/>
      <c r="CI81" s="349"/>
      <c r="CJ81" s="350"/>
      <c r="CK81" s="352"/>
      <c r="CL81" s="353"/>
    </row>
    <row r="82" spans="2:90" s="542" customFormat="1" ht="72" thickBot="1" x14ac:dyDescent="0.3">
      <c r="B82" s="1491"/>
      <c r="C82" s="1415"/>
      <c r="D82" s="985" t="str">
        <f>+'Plan de Accion 2018'!G310</f>
        <v>Desarrollo, mantenimiento, actualización e integración de los aplicativos que soportan las operaciones misionales de la Entidad.</v>
      </c>
      <c r="E82" s="1402"/>
      <c r="F82" s="992" t="str">
        <f>+'Plan de Accion 2018'!S310</f>
        <v>Valor pagado / Valor programado</v>
      </c>
      <c r="G82" s="328"/>
      <c r="H82" s="543">
        <f>+'Plan de Accion 2018'!AB310</f>
        <v>0</v>
      </c>
      <c r="I82" s="991" t="str">
        <f>+'Plan de Accion 2018'!BN310</f>
        <v>No Prog ni Ejec</v>
      </c>
      <c r="J82" s="991" t="s">
        <v>792</v>
      </c>
      <c r="K82" s="991">
        <f>+'Plan de Accion 2018'!AG310</f>
        <v>0</v>
      </c>
      <c r="L82" s="991">
        <f t="shared" si="26"/>
        <v>0</v>
      </c>
      <c r="M82" s="682" t="s">
        <v>792</v>
      </c>
      <c r="N82" s="644"/>
      <c r="O82" s="543">
        <f>+'Plan de Accion 2018'!AL310</f>
        <v>0</v>
      </c>
      <c r="P82" s="991" t="str">
        <f>+'Plan de Accion 2018'!BP310</f>
        <v>No Prog ni Ejec</v>
      </c>
      <c r="Q82" s="629" t="s">
        <v>792</v>
      </c>
      <c r="R82" s="987">
        <f>+'Plan de Accion 2018'!AQ310</f>
        <v>0</v>
      </c>
      <c r="S82" s="987">
        <f t="shared" si="27"/>
        <v>0</v>
      </c>
      <c r="T82" s="637" t="s">
        <v>792</v>
      </c>
      <c r="U82" s="329"/>
      <c r="V82" s="543">
        <f>+'Plan de Accion 2018'!AV310</f>
        <v>0</v>
      </c>
      <c r="W82" s="991" t="str">
        <f>+'Plan de Accion 2018'!BR310</f>
        <v>No Prog ni Ejec</v>
      </c>
      <c r="X82" s="629" t="s">
        <v>792</v>
      </c>
      <c r="Y82" s="882">
        <f>+'Plan de Accion 2018'!BA310</f>
        <v>0</v>
      </c>
      <c r="Z82" s="882">
        <f t="shared" si="28"/>
        <v>0</v>
      </c>
      <c r="AA82" s="883" t="s">
        <v>792</v>
      </c>
      <c r="AB82" s="644"/>
      <c r="AC82" s="543">
        <f>+'Plan de Accion 2018'!BF310</f>
        <v>5.000000973361244E-2</v>
      </c>
      <c r="AD82" s="991">
        <f>+'Plan de Accion 2018'!BT310</f>
        <v>5.000000973361244E-2</v>
      </c>
      <c r="AE82" s="629">
        <f t="shared" si="29"/>
        <v>5.000000973361244E-2</v>
      </c>
      <c r="AF82" s="991">
        <f>+'Plan de Accion 2018'!BK310</f>
        <v>5.000000973361244E-2</v>
      </c>
      <c r="AG82" s="637">
        <f t="shared" si="30"/>
        <v>5.000000973361244E-2</v>
      </c>
      <c r="AH82" s="348"/>
      <c r="AI82" s="1016"/>
      <c r="AJ82" s="349"/>
      <c r="AK82" s="350"/>
      <c r="AL82" s="351"/>
      <c r="AM82" s="349"/>
      <c r="AN82" s="350"/>
      <c r="AO82" s="351"/>
      <c r="AP82" s="349"/>
      <c r="AQ82" s="350"/>
      <c r="AR82" s="351"/>
      <c r="AS82" s="349"/>
      <c r="AT82" s="350"/>
      <c r="AU82" s="352"/>
      <c r="AV82" s="353"/>
      <c r="AW82" s="352"/>
      <c r="AX82" s="349"/>
      <c r="AY82" s="350"/>
      <c r="AZ82" s="351"/>
      <c r="BA82" s="349"/>
      <c r="BB82" s="350"/>
      <c r="BC82" s="351"/>
      <c r="BD82" s="349"/>
      <c r="BE82" s="350"/>
      <c r="BF82" s="351"/>
      <c r="BG82" s="349"/>
      <c r="BH82" s="350"/>
      <c r="BI82" s="352"/>
      <c r="BJ82" s="353"/>
      <c r="BL82" s="349"/>
      <c r="BM82" s="350"/>
      <c r="BN82" s="351"/>
      <c r="BO82" s="349"/>
      <c r="BP82" s="350"/>
      <c r="BQ82" s="351"/>
      <c r="BR82" s="349"/>
      <c r="BS82" s="350"/>
      <c r="BT82" s="351"/>
      <c r="BU82" s="349"/>
      <c r="BV82" s="350"/>
      <c r="BW82" s="352"/>
      <c r="BX82" s="353"/>
      <c r="BZ82" s="349"/>
      <c r="CA82" s="350"/>
      <c r="CB82" s="351"/>
      <c r="CC82" s="349"/>
      <c r="CD82" s="350"/>
      <c r="CE82" s="351"/>
      <c r="CF82" s="349"/>
      <c r="CG82" s="350"/>
      <c r="CH82" s="351"/>
      <c r="CI82" s="349"/>
      <c r="CJ82" s="350"/>
      <c r="CK82" s="352"/>
      <c r="CL82" s="353"/>
    </row>
    <row r="83" spans="2:90" ht="114.75" thickBot="1" x14ac:dyDescent="0.3">
      <c r="B83" s="1491"/>
      <c r="C83" s="1415"/>
      <c r="D83" s="754" t="str">
        <f>+'Plan de Accion 2018'!G93</f>
        <v>Implementar estrategias, instrumentos y herramientas con aplicación de tecnologías de la información y las comunicaciones para brindar de manera constante y permanente un buen servicio al ciudadano y a las entidades del Sector.</v>
      </c>
      <c r="E83" s="1402"/>
      <c r="F83" s="1405" t="s">
        <v>815</v>
      </c>
      <c r="G83" s="328"/>
      <c r="H83" s="543">
        <f>+'Plan de Accion 2018'!AE93</f>
        <v>0.77640039581520692</v>
      </c>
      <c r="I83" s="767">
        <f>+'Plan de Accion 2018'!BN93</f>
        <v>0.77640039581520692</v>
      </c>
      <c r="J83" s="767">
        <f t="shared" si="4"/>
        <v>0.77640039581520692</v>
      </c>
      <c r="K83" s="767">
        <f>+'Plan de Accion 2018'!AG93</f>
        <v>9.8650464447175026E-2</v>
      </c>
      <c r="L83" s="875">
        <f t="shared" si="19"/>
        <v>9.8650464447175026E-2</v>
      </c>
      <c r="M83" s="682">
        <f t="shared" si="6"/>
        <v>9.8650464447175026E-2</v>
      </c>
      <c r="N83" s="642"/>
      <c r="O83" s="543">
        <f>+'Plan de Accion 2018'!AO93</f>
        <v>0.54694304416554862</v>
      </c>
      <c r="P83" s="767">
        <f>+'Plan de Accion 2018'!BP93</f>
        <v>0.54694304416554862</v>
      </c>
      <c r="Q83" s="629">
        <f t="shared" si="0"/>
        <v>0.54694304416554862</v>
      </c>
      <c r="R83" s="751">
        <f>+'Plan de Accion 2018'!AQ93</f>
        <v>0.22400981016991878</v>
      </c>
      <c r="S83" s="873">
        <f t="shared" si="18"/>
        <v>0.22400981016991878</v>
      </c>
      <c r="T83" s="637">
        <f t="shared" si="2"/>
        <v>0.22400981016991878</v>
      </c>
      <c r="U83" s="322"/>
      <c r="V83" s="543">
        <f>+'Plan de Accion 2018'!AY93</f>
        <v>0.36686960995827844</v>
      </c>
      <c r="W83" s="767">
        <f>+'Plan de Accion 2018'!BR93</f>
        <v>0.36686960995827844</v>
      </c>
      <c r="X83" s="629">
        <f t="shared" si="1"/>
        <v>0.36686960995827844</v>
      </c>
      <c r="Y83" s="882">
        <f>+'Plan de Accion 2018'!BA93</f>
        <v>0.34936915589266249</v>
      </c>
      <c r="Z83" s="882">
        <f t="shared" si="20"/>
        <v>0.34936915589266249</v>
      </c>
      <c r="AA83" s="883">
        <f t="shared" si="3"/>
        <v>0.34936915589266249</v>
      </c>
      <c r="AB83" s="642"/>
      <c r="AC83" s="543">
        <f>+'Plan de Accion 2018'!BI93</f>
        <v>1.2005731583887105</v>
      </c>
      <c r="AD83" s="767">
        <f>+'Plan de Accion 2018'!BT93</f>
        <v>1.2005731583887105</v>
      </c>
      <c r="AE83" s="629">
        <f t="shared" si="9"/>
        <v>1</v>
      </c>
      <c r="AF83" s="767">
        <f>+'Plan de Accion 2018'!BK93</f>
        <v>0.71198867969040358</v>
      </c>
      <c r="AG83" s="637">
        <f t="shared" si="10"/>
        <v>0.71198867969040358</v>
      </c>
      <c r="AH83" s="348"/>
      <c r="AI83" s="1016"/>
      <c r="AJ83" s="349"/>
      <c r="AK83" s="350"/>
      <c r="AL83" s="351"/>
      <c r="AM83" s="349"/>
      <c r="AN83" s="350"/>
      <c r="AO83" s="351"/>
      <c r="AP83" s="349"/>
      <c r="AQ83" s="350"/>
      <c r="AR83" s="351"/>
      <c r="AS83" s="349"/>
      <c r="AT83" s="350"/>
      <c r="AU83" s="352"/>
      <c r="AV83" s="353"/>
      <c r="AW83" s="352"/>
      <c r="AX83" s="349"/>
      <c r="AY83" s="350"/>
      <c r="AZ83" s="351"/>
      <c r="BA83" s="349"/>
      <c r="BB83" s="350"/>
      <c r="BC83" s="351"/>
      <c r="BD83" s="349"/>
      <c r="BE83" s="350"/>
      <c r="BF83" s="351"/>
      <c r="BG83" s="349"/>
      <c r="BH83" s="350"/>
      <c r="BI83" s="352"/>
      <c r="BJ83" s="353"/>
      <c r="BL83" s="349"/>
      <c r="BM83" s="350"/>
      <c r="BN83" s="351"/>
      <c r="BO83" s="349"/>
      <c r="BP83" s="350"/>
      <c r="BQ83" s="351"/>
      <c r="BR83" s="349"/>
      <c r="BS83" s="350"/>
      <c r="BT83" s="351"/>
      <c r="BU83" s="349"/>
      <c r="BV83" s="350"/>
      <c r="BW83" s="352"/>
      <c r="BX83" s="353"/>
      <c r="BZ83" s="349"/>
      <c r="CA83" s="350"/>
      <c r="CB83" s="351"/>
      <c r="CC83" s="349"/>
      <c r="CD83" s="350"/>
      <c r="CE83" s="351"/>
      <c r="CF83" s="349"/>
      <c r="CG83" s="350"/>
      <c r="CH83" s="351"/>
      <c r="CI83" s="349"/>
      <c r="CJ83" s="350"/>
      <c r="CK83" s="352"/>
      <c r="CL83" s="353"/>
    </row>
    <row r="84" spans="2:90" ht="29.25" thickBot="1" x14ac:dyDescent="0.3">
      <c r="B84" s="1491"/>
      <c r="C84" s="1416"/>
      <c r="D84" s="755" t="str">
        <f>+'Plan de Accion 2018'!G94</f>
        <v>Desarrollo de nuevos Sistemas de información</v>
      </c>
      <c r="E84" s="1350"/>
      <c r="F84" s="1407"/>
      <c r="G84" s="328"/>
      <c r="H84" s="748" t="e">
        <f>+'Plan de Accion 2018'!AE94</f>
        <v>#DIV/0!</v>
      </c>
      <c r="I84" s="750" t="str">
        <f>+'Plan de Accion 2018'!BN94</f>
        <v>No Prog ni Ejec</v>
      </c>
      <c r="J84" s="750" t="s">
        <v>792</v>
      </c>
      <c r="K84" s="750" t="s">
        <v>792</v>
      </c>
      <c r="L84" s="875" t="s">
        <v>792</v>
      </c>
      <c r="M84" s="752" t="s">
        <v>792</v>
      </c>
      <c r="N84" s="642"/>
      <c r="O84" s="748">
        <f>+'Plan de Accion 2018'!AO94</f>
        <v>0</v>
      </c>
      <c r="P84" s="750">
        <f>+'Plan de Accion 2018'!BP94</f>
        <v>0</v>
      </c>
      <c r="Q84" s="631">
        <f t="shared" si="0"/>
        <v>0</v>
      </c>
      <c r="R84" s="873">
        <v>0</v>
      </c>
      <c r="S84" s="873">
        <v>0</v>
      </c>
      <c r="T84" s="637">
        <v>0</v>
      </c>
      <c r="U84" s="322"/>
      <c r="V84" s="748" t="e">
        <f>+'Plan de Accion 2018'!AY94</f>
        <v>#DIV/0!</v>
      </c>
      <c r="W84" s="750" t="str">
        <f>+'Plan de Accion 2018'!BR94</f>
        <v>No Prog ni Ejec</v>
      </c>
      <c r="X84" s="629" t="s">
        <v>792</v>
      </c>
      <c r="Y84" s="750" t="s">
        <v>792</v>
      </c>
      <c r="Z84" s="873" t="s">
        <v>792</v>
      </c>
      <c r="AA84" s="637" t="s">
        <v>792</v>
      </c>
      <c r="AB84" s="642"/>
      <c r="AC84" s="748" t="e">
        <f>+'Plan de Accion 2018'!BI94</f>
        <v>#DIV/0!</v>
      </c>
      <c r="AD84" s="750" t="str">
        <f>+'Plan de Accion 2018'!BT94</f>
        <v>No Prog ni Ejec</v>
      </c>
      <c r="AE84" s="629" t="s">
        <v>792</v>
      </c>
      <c r="AF84" s="750" t="s">
        <v>792</v>
      </c>
      <c r="AG84" s="637" t="s">
        <v>792</v>
      </c>
      <c r="AH84" s="348"/>
      <c r="AI84" s="1016"/>
      <c r="AJ84" s="349"/>
      <c r="AK84" s="350"/>
      <c r="AL84" s="351"/>
      <c r="AM84" s="349"/>
      <c r="AN84" s="350"/>
      <c r="AO84" s="351"/>
      <c r="AP84" s="349"/>
      <c r="AQ84" s="350"/>
      <c r="AR84" s="351"/>
      <c r="AS84" s="349"/>
      <c r="AT84" s="350"/>
      <c r="AU84" s="352"/>
      <c r="AV84" s="353"/>
      <c r="AW84" s="352"/>
      <c r="AX84" s="349"/>
      <c r="AY84" s="350"/>
      <c r="AZ84" s="351"/>
      <c r="BA84" s="349"/>
      <c r="BB84" s="350"/>
      <c r="BC84" s="351"/>
      <c r="BD84" s="349"/>
      <c r="BE84" s="350"/>
      <c r="BF84" s="351"/>
      <c r="BG84" s="349"/>
      <c r="BH84" s="350"/>
      <c r="BI84" s="352"/>
      <c r="BJ84" s="353"/>
      <c r="BL84" s="349"/>
      <c r="BM84" s="350"/>
      <c r="BN84" s="351"/>
      <c r="BO84" s="349"/>
      <c r="BP84" s="350"/>
      <c r="BQ84" s="351"/>
      <c r="BR84" s="349"/>
      <c r="BS84" s="350"/>
      <c r="BT84" s="351"/>
      <c r="BU84" s="349"/>
      <c r="BV84" s="350"/>
      <c r="BW84" s="352"/>
      <c r="BX84" s="353"/>
      <c r="BZ84" s="349"/>
      <c r="CA84" s="350"/>
      <c r="CB84" s="351"/>
      <c r="CC84" s="349"/>
      <c r="CD84" s="350"/>
      <c r="CE84" s="351"/>
      <c r="CF84" s="349"/>
      <c r="CG84" s="350"/>
      <c r="CH84" s="351"/>
      <c r="CI84" s="349"/>
      <c r="CJ84" s="350"/>
      <c r="CK84" s="352"/>
      <c r="CL84" s="353"/>
    </row>
    <row r="85" spans="2:90" ht="20.25" thickBot="1" x14ac:dyDescent="0.3">
      <c r="B85" s="1492"/>
      <c r="C85" s="1399" t="s">
        <v>798</v>
      </c>
      <c r="D85" s="1400"/>
      <c r="E85" s="1400"/>
      <c r="F85" s="1401"/>
      <c r="G85" s="328"/>
      <c r="H85" s="346" t="s">
        <v>792</v>
      </c>
      <c r="I85" s="332">
        <f>SUM(I71:I84)/COUNT(I71:I84)</f>
        <v>0.66282293023824934</v>
      </c>
      <c r="J85" s="332">
        <f t="shared" si="4"/>
        <v>0.66282293023824934</v>
      </c>
      <c r="K85" s="679">
        <f>SUM(K71:K83)/COUNT(K71:K83)</f>
        <v>6.7924474753697589E-2</v>
      </c>
      <c r="L85" s="679">
        <f>SUM(L71:L83)/COUNT(L71:L83)</f>
        <v>6.7924474753697589E-2</v>
      </c>
      <c r="M85" s="334">
        <f>SUM(M71:M84)/COUNT(M71:M84)</f>
        <v>0.14716969529967813</v>
      </c>
      <c r="N85" s="692"/>
      <c r="O85" s="346" t="s">
        <v>792</v>
      </c>
      <c r="P85" s="635">
        <f>SUM(P71:P84)/COUNT(P71:P84)</f>
        <v>0.65803650076892406</v>
      </c>
      <c r="Q85" s="635">
        <f>SUM(Q71:Q84)/COUNT(Q71:Q84)</f>
        <v>0.63467917574176058</v>
      </c>
      <c r="R85" s="639">
        <f>SUM(R71:R84)/COUNT(R71:R84)</f>
        <v>0.17220436132348843</v>
      </c>
      <c r="S85" s="670">
        <f>SUM(S71:S84)/COUNT(S71:S84)</f>
        <v>0.17220436132348843</v>
      </c>
      <c r="T85" s="645">
        <f>SUM(T71:T84)/COUNT(T71:T84)</f>
        <v>0.26787345094764864</v>
      </c>
      <c r="U85" s="354"/>
      <c r="V85" s="346" t="s">
        <v>792</v>
      </c>
      <c r="W85" s="332">
        <f>SUM(W71:W84)/COUNT(W71:W84)</f>
        <v>0.45414275278751132</v>
      </c>
      <c r="X85" s="332">
        <f>SUM(X71:X84)/COUNT(X71:X84)</f>
        <v>0.45414275278751132</v>
      </c>
      <c r="Y85" s="886">
        <f>SUM(Y71:Y83)/COUNT(Y71:Y83)</f>
        <v>0.28850962022306909</v>
      </c>
      <c r="Z85" s="886">
        <f>SUM(Z71:Z83)/COUNT(Z71:Z83)</f>
        <v>0.28850962022306909</v>
      </c>
      <c r="AA85" s="887">
        <f>SUM(AA71:AA83)/COUNT(AA71:AA83)</f>
        <v>0.37506250628998983</v>
      </c>
      <c r="AB85" s="692"/>
      <c r="AC85" s="346" t="s">
        <v>792</v>
      </c>
      <c r="AD85" s="332">
        <f>SUM(AD71:AD84)/COUNT(AD71:AD84)</f>
        <v>0.84483045967235926</v>
      </c>
      <c r="AE85" s="332">
        <f>SUM(AE71:AE84)/COUNT(AE71:AE84)</f>
        <v>0.62983718551351853</v>
      </c>
      <c r="AF85" s="635">
        <f>SUM(AF71:AH83)/COUNT(AF71:AH83)</f>
        <v>0.4968508378674048</v>
      </c>
      <c r="AG85" s="334">
        <f>SUM(AG71:AI83)/COUNT(AG71:AI83)</f>
        <v>0.49685083786740503</v>
      </c>
      <c r="AH85" s="348"/>
      <c r="AI85" s="1016"/>
      <c r="AJ85" s="349"/>
      <c r="AK85" s="350"/>
      <c r="AL85" s="351"/>
      <c r="AM85" s="349"/>
      <c r="AN85" s="350"/>
      <c r="AO85" s="351"/>
      <c r="AP85" s="349"/>
      <c r="AQ85" s="350"/>
      <c r="AR85" s="351"/>
      <c r="AS85" s="349"/>
      <c r="AT85" s="350"/>
      <c r="AU85" s="352"/>
      <c r="AV85" s="353"/>
      <c r="AW85" s="352"/>
      <c r="AX85" s="349"/>
      <c r="AY85" s="350"/>
      <c r="AZ85" s="351"/>
      <c r="BA85" s="349"/>
      <c r="BB85" s="350"/>
      <c r="BC85" s="351"/>
      <c r="BD85" s="349"/>
      <c r="BE85" s="350"/>
      <c r="BF85" s="351"/>
      <c r="BG85" s="349"/>
      <c r="BH85" s="350"/>
      <c r="BI85" s="352"/>
      <c r="BJ85" s="353"/>
      <c r="BL85" s="349"/>
      <c r="BM85" s="350"/>
      <c r="BN85" s="351"/>
      <c r="BO85" s="349"/>
      <c r="BP85" s="350"/>
      <c r="BQ85" s="351"/>
      <c r="BR85" s="349"/>
      <c r="BS85" s="350"/>
      <c r="BT85" s="351"/>
      <c r="BU85" s="349"/>
      <c r="BV85" s="350"/>
      <c r="BW85" s="352"/>
      <c r="BX85" s="353"/>
      <c r="BZ85" s="349"/>
      <c r="CA85" s="350"/>
      <c r="CB85" s="351"/>
      <c r="CC85" s="349"/>
      <c r="CD85" s="350"/>
      <c r="CE85" s="351"/>
      <c r="CF85" s="349"/>
      <c r="CG85" s="350"/>
      <c r="CH85" s="351"/>
      <c r="CI85" s="349"/>
      <c r="CJ85" s="350"/>
      <c r="CK85" s="352"/>
      <c r="CL85" s="353"/>
    </row>
    <row r="86" spans="2:90" ht="29.25" customHeight="1" thickBot="1" x14ac:dyDescent="0.3">
      <c r="B86" s="1491"/>
      <c r="C86" s="1414" t="s">
        <v>146</v>
      </c>
      <c r="D86" s="1352" t="str">
        <f>+'Plan de Accion 2018'!G183</f>
        <v>Recursos de casación, asesorías y representación judicial</v>
      </c>
      <c r="E86" s="1351" t="str">
        <f>+'Plan de Accion 2018'!B186</f>
        <v>Oficina Asesora Jurídica</v>
      </c>
      <c r="F86" s="1441" t="str">
        <f>+'Plan de Accion 2018'!S183</f>
        <v>Ejecución del Trimestre / Presupuesto Proyectado del Trimestre</v>
      </c>
      <c r="G86" s="328"/>
      <c r="H86" s="749">
        <f>+'Plan de Accion 2018'!AE183</f>
        <v>0</v>
      </c>
      <c r="I86" s="751">
        <f>+'Plan de Accion 2018'!BN183</f>
        <v>0</v>
      </c>
      <c r="J86" s="751">
        <f t="shared" si="4"/>
        <v>0</v>
      </c>
      <c r="K86" s="751">
        <f>+'Plan de Accion 2018'!AG183</f>
        <v>0</v>
      </c>
      <c r="L86" s="751">
        <f>+K86</f>
        <v>0</v>
      </c>
      <c r="M86" s="753">
        <f t="shared" si="6"/>
        <v>0</v>
      </c>
      <c r="N86" s="644"/>
      <c r="O86" s="749" t="e">
        <f>+'Plan de Accion 2018'!AL183</f>
        <v>#DIV/0!</v>
      </c>
      <c r="P86" s="751">
        <f>+'Plan de Accion 2018'!BP183</f>
        <v>0</v>
      </c>
      <c r="Q86" s="629">
        <f>IF(P86&gt;100%,100%,P86)</f>
        <v>0</v>
      </c>
      <c r="R86" s="751">
        <f>+'Plan de Accion 2018'!AQ183</f>
        <v>0</v>
      </c>
      <c r="S86" s="751">
        <f>IF(R86&gt;100%,100%,R86)</f>
        <v>0</v>
      </c>
      <c r="T86" s="637">
        <f>+S86</f>
        <v>0</v>
      </c>
      <c r="U86" s="329"/>
      <c r="V86" s="749">
        <f>+'Plan de Accion 2018'!AV183</f>
        <v>0</v>
      </c>
      <c r="W86" s="751">
        <f>+'Plan de Accion 2018'!BR183</f>
        <v>0</v>
      </c>
      <c r="X86" s="629">
        <f>IF(W86&gt;100%,100%,W86)</f>
        <v>0</v>
      </c>
      <c r="Y86" s="882">
        <f>+'Plan de Accion 2018'!BA183</f>
        <v>0</v>
      </c>
      <c r="Z86" s="882">
        <f>IF(Y86&gt;100%,100%,Y86)</f>
        <v>0</v>
      </c>
      <c r="AA86" s="883">
        <f t="shared" si="3"/>
        <v>0</v>
      </c>
      <c r="AB86" s="644"/>
      <c r="AC86" s="749">
        <f>+'Plan de Accion 2018'!BF183</f>
        <v>0.37187120000000001</v>
      </c>
      <c r="AD86" s="751">
        <f>+'Plan de Accion 2018'!BT183</f>
        <v>1.4874848000000001</v>
      </c>
      <c r="AE86" s="629">
        <f>IF(AD86&gt;100%,100%,AD86)</f>
        <v>1</v>
      </c>
      <c r="AF86" s="751">
        <f>+'Plan de Accion 2018'!BK183</f>
        <v>0.37187120000000001</v>
      </c>
      <c r="AG86" s="637">
        <f t="shared" ref="AG86:AG94" si="31">IF(AF86&gt;100%,100%,AF86)</f>
        <v>0.37187120000000001</v>
      </c>
      <c r="AH86" s="348"/>
      <c r="AI86" s="1016"/>
      <c r="AJ86" s="349"/>
      <c r="AK86" s="350"/>
      <c r="AL86" s="351"/>
      <c r="AM86" s="349"/>
      <c r="AN86" s="350"/>
      <c r="AO86" s="351"/>
      <c r="AP86" s="349"/>
      <c r="AQ86" s="350"/>
      <c r="AR86" s="351"/>
      <c r="AS86" s="349"/>
      <c r="AT86" s="350"/>
      <c r="AU86" s="352"/>
      <c r="AV86" s="353"/>
      <c r="AW86" s="352"/>
      <c r="AX86" s="349"/>
      <c r="AY86" s="350"/>
      <c r="AZ86" s="351"/>
      <c r="BA86" s="349"/>
      <c r="BB86" s="350"/>
      <c r="BC86" s="351"/>
      <c r="BD86" s="349"/>
      <c r="BE86" s="350"/>
      <c r="BF86" s="351"/>
      <c r="BG86" s="349"/>
      <c r="BH86" s="350"/>
      <c r="BI86" s="352"/>
      <c r="BJ86" s="353"/>
      <c r="BL86" s="349"/>
      <c r="BM86" s="350"/>
      <c r="BN86" s="351"/>
      <c r="BO86" s="349"/>
      <c r="BP86" s="350"/>
      <c r="BQ86" s="351"/>
      <c r="BR86" s="349"/>
      <c r="BS86" s="350"/>
      <c r="BT86" s="351"/>
      <c r="BU86" s="349"/>
      <c r="BV86" s="350"/>
      <c r="BW86" s="352"/>
      <c r="BX86" s="353"/>
      <c r="BZ86" s="349"/>
      <c r="CA86" s="350"/>
      <c r="CB86" s="351"/>
      <c r="CC86" s="349"/>
      <c r="CD86" s="350"/>
      <c r="CE86" s="351"/>
      <c r="CF86" s="349"/>
      <c r="CG86" s="350"/>
      <c r="CH86" s="351"/>
      <c r="CI86" s="349"/>
      <c r="CJ86" s="350"/>
      <c r="CK86" s="352"/>
      <c r="CL86" s="353"/>
    </row>
    <row r="87" spans="2:90" ht="20.25" thickBot="1" x14ac:dyDescent="0.3">
      <c r="B87" s="1491"/>
      <c r="C87" s="1414"/>
      <c r="D87" s="1353"/>
      <c r="E87" s="1351"/>
      <c r="F87" s="1442"/>
      <c r="G87" s="328"/>
      <c r="H87" s="543">
        <f>+'Plan de Accion 2018'!AE184</f>
        <v>0.7395889236717994</v>
      </c>
      <c r="I87" s="767">
        <f>+'Plan de Accion 2018'!BN184</f>
        <v>0.7395889236717994</v>
      </c>
      <c r="J87" s="767">
        <f t="shared" si="4"/>
        <v>0.7395889236717994</v>
      </c>
      <c r="K87" s="767">
        <f>+'Plan de Accion 2018'!AG184</f>
        <v>0.18489723091794985</v>
      </c>
      <c r="L87" s="767">
        <f>+K87</f>
        <v>0.18489723091794985</v>
      </c>
      <c r="M87" s="682">
        <f t="shared" si="6"/>
        <v>0.18489723091794985</v>
      </c>
      <c r="N87" s="644"/>
      <c r="O87" s="749">
        <f>+'Plan de Accion 2018'!AL184</f>
        <v>5.9140230506322299E-2</v>
      </c>
      <c r="P87" s="751">
        <f>+'Plan de Accion 2018'!BP184</f>
        <v>0.23656092202528919</v>
      </c>
      <c r="Q87" s="629">
        <f>IF(P87&gt;100%,100%,P87)</f>
        <v>0.23656092202528919</v>
      </c>
      <c r="R87" s="751">
        <f>+'Plan de Accion 2018'!AQ184</f>
        <v>0.24403746142427216</v>
      </c>
      <c r="S87" s="751">
        <f>IF(R87&gt;100%,100%,R87)</f>
        <v>0.24403746142427216</v>
      </c>
      <c r="T87" s="637">
        <f>+S87</f>
        <v>0.24403746142427216</v>
      </c>
      <c r="U87" s="329"/>
      <c r="V87" s="749">
        <f>+'Plan de Accion 2018'!AV184</f>
        <v>8.5305470767426353E-2</v>
      </c>
      <c r="W87" s="751">
        <f>+'Plan de Accion 2018'!BR184</f>
        <v>0.34122188306970541</v>
      </c>
      <c r="X87" s="629">
        <f>IF(W87&gt;100%,100%,W87)</f>
        <v>0.34122188306970541</v>
      </c>
      <c r="Y87" s="882">
        <f>+'Plan de Accion 2018'!BA184</f>
        <v>0.32934293219169852</v>
      </c>
      <c r="Z87" s="882">
        <f t="shared" ref="Z87:Z93" si="32">IF(Y87&gt;100%,100%,Y87)</f>
        <v>0.32934293219169852</v>
      </c>
      <c r="AA87" s="883">
        <f t="shared" si="3"/>
        <v>0.32934293219169852</v>
      </c>
      <c r="AB87" s="644"/>
      <c r="AC87" s="749">
        <f>+'Plan de Accion 2018'!BF184</f>
        <v>0.16941427416129931</v>
      </c>
      <c r="AD87" s="751">
        <f>+'Plan de Accion 2018'!BT184</f>
        <v>0.67765709664519724</v>
      </c>
      <c r="AE87" s="629">
        <f>IF(AD87&gt;100%,100%,AD87)</f>
        <v>0.67765709664519724</v>
      </c>
      <c r="AF87" s="751">
        <f>+'Plan de Accion 2018'!BK184</f>
        <v>0.49875720635299781</v>
      </c>
      <c r="AG87" s="637">
        <f t="shared" si="31"/>
        <v>0.49875720635299781</v>
      </c>
      <c r="AH87" s="348"/>
      <c r="AI87" s="1016"/>
      <c r="AJ87" s="349"/>
      <c r="AK87" s="350"/>
      <c r="AL87" s="351"/>
      <c r="AM87" s="349"/>
      <c r="AN87" s="350"/>
      <c r="AO87" s="351"/>
      <c r="AP87" s="349"/>
      <c r="AQ87" s="350"/>
      <c r="AR87" s="351"/>
      <c r="AS87" s="349"/>
      <c r="AT87" s="350"/>
      <c r="AU87" s="352"/>
      <c r="AV87" s="353"/>
      <c r="AW87" s="352"/>
      <c r="AX87" s="349"/>
      <c r="AY87" s="350"/>
      <c r="AZ87" s="351"/>
      <c r="BA87" s="349"/>
      <c r="BB87" s="350"/>
      <c r="BC87" s="351"/>
      <c r="BD87" s="349"/>
      <c r="BE87" s="350"/>
      <c r="BF87" s="351"/>
      <c r="BG87" s="349"/>
      <c r="BH87" s="350"/>
      <c r="BI87" s="352"/>
      <c r="BJ87" s="353"/>
      <c r="BL87" s="349"/>
      <c r="BM87" s="350"/>
      <c r="BN87" s="351"/>
      <c r="BO87" s="349"/>
      <c r="BP87" s="350"/>
      <c r="BQ87" s="351"/>
      <c r="BR87" s="349"/>
      <c r="BS87" s="350"/>
      <c r="BT87" s="351"/>
      <c r="BU87" s="349"/>
      <c r="BV87" s="350"/>
      <c r="BW87" s="352"/>
      <c r="BX87" s="353"/>
      <c r="BZ87" s="349"/>
      <c r="CA87" s="350"/>
      <c r="CB87" s="351"/>
      <c r="CC87" s="349"/>
      <c r="CD87" s="350"/>
      <c r="CE87" s="351"/>
      <c r="CF87" s="349"/>
      <c r="CG87" s="350"/>
      <c r="CH87" s="351"/>
      <c r="CI87" s="349"/>
      <c r="CJ87" s="350"/>
      <c r="CK87" s="352"/>
      <c r="CL87" s="353"/>
    </row>
    <row r="88" spans="2:90" ht="20.25" thickBot="1" x14ac:dyDescent="0.3">
      <c r="B88" s="1491"/>
      <c r="C88" s="1414"/>
      <c r="D88" s="1351"/>
      <c r="E88" s="1351"/>
      <c r="F88" s="1442"/>
      <c r="G88" s="328"/>
      <c r="H88" s="543">
        <f>+'Plan de Accion 2018'!AE185</f>
        <v>1</v>
      </c>
      <c r="I88" s="767">
        <f>+'Plan de Accion 2018'!BN185</f>
        <v>1</v>
      </c>
      <c r="J88" s="767">
        <f t="shared" si="4"/>
        <v>1</v>
      </c>
      <c r="K88" s="767">
        <f>+'Plan de Accion 2018'!AG185</f>
        <v>0.29761904761904762</v>
      </c>
      <c r="L88" s="875">
        <f t="shared" ref="L88:L90" si="33">+K88</f>
        <v>0.29761904761904762</v>
      </c>
      <c r="M88" s="682">
        <f t="shared" si="6"/>
        <v>0.29761904761904762</v>
      </c>
      <c r="N88" s="644"/>
      <c r="O88" s="749" t="e">
        <f>+'Plan de Accion 2018'!AL185</f>
        <v>#DIV/0!</v>
      </c>
      <c r="P88" s="751" t="str">
        <f>+'Plan de Accion 2018'!BP185</f>
        <v>No Prog ni Ejec</v>
      </c>
      <c r="Q88" s="629" t="s">
        <v>792</v>
      </c>
      <c r="R88" s="751">
        <f>+'Plan de Accion 2018'!AQ185</f>
        <v>0.29761904761904762</v>
      </c>
      <c r="S88" s="873">
        <f t="shared" ref="S88:S93" si="34">IF(R88&gt;100%,100%,R88)</f>
        <v>0.29761904761904762</v>
      </c>
      <c r="T88" s="637">
        <f>+S88</f>
        <v>0.29761904761904762</v>
      </c>
      <c r="U88" s="329"/>
      <c r="V88" s="749">
        <f>+'Plan de Accion 2018'!AV185</f>
        <v>0</v>
      </c>
      <c r="W88" s="751">
        <f>+'Plan de Accion 2018'!BR185</f>
        <v>0</v>
      </c>
      <c r="X88" s="629">
        <f>IF(W88&gt;100%,100%,W88)</f>
        <v>0</v>
      </c>
      <c r="Y88" s="882">
        <f>+'Plan de Accion 2018'!BA185</f>
        <v>0.29761904761904762</v>
      </c>
      <c r="Z88" s="882">
        <f t="shared" si="32"/>
        <v>0.29761904761904762</v>
      </c>
      <c r="AA88" s="883">
        <f>+Z88</f>
        <v>0.29761904761904762</v>
      </c>
      <c r="AB88" s="644"/>
      <c r="AC88" s="749">
        <f>+'Plan de Accion 2018'!BF185</f>
        <v>0</v>
      </c>
      <c r="AD88" s="751">
        <f>+'Plan de Accion 2018'!BT185</f>
        <v>0</v>
      </c>
      <c r="AE88" s="629">
        <f>IF(AD88&gt;100%,100%,AD88)</f>
        <v>0</v>
      </c>
      <c r="AF88" s="751">
        <f>+'Plan de Accion 2018'!BK185</f>
        <v>0.29761904761904762</v>
      </c>
      <c r="AG88" s="637">
        <f t="shared" si="31"/>
        <v>0.29761904761904762</v>
      </c>
      <c r="AH88" s="348"/>
      <c r="AI88" s="1016"/>
      <c r="AJ88" s="349"/>
      <c r="AK88" s="350"/>
      <c r="AL88" s="351"/>
      <c r="AM88" s="349"/>
      <c r="AN88" s="350"/>
      <c r="AO88" s="351"/>
      <c r="AP88" s="349"/>
      <c r="AQ88" s="350"/>
      <c r="AR88" s="351"/>
      <c r="AS88" s="349"/>
      <c r="AT88" s="350"/>
      <c r="AU88" s="352"/>
      <c r="AV88" s="353"/>
      <c r="AW88" s="352"/>
      <c r="AX88" s="349"/>
      <c r="AY88" s="350"/>
      <c r="AZ88" s="351"/>
      <c r="BA88" s="349"/>
      <c r="BB88" s="350"/>
      <c r="BC88" s="351"/>
      <c r="BD88" s="349"/>
      <c r="BE88" s="350"/>
      <c r="BF88" s="351"/>
      <c r="BG88" s="349"/>
      <c r="BH88" s="350"/>
      <c r="BI88" s="352"/>
      <c r="BJ88" s="353"/>
      <c r="BL88" s="349"/>
      <c r="BM88" s="350"/>
      <c r="BN88" s="351"/>
      <c r="BO88" s="349"/>
      <c r="BP88" s="350"/>
      <c r="BQ88" s="351"/>
      <c r="BR88" s="349"/>
      <c r="BS88" s="350"/>
      <c r="BT88" s="351"/>
      <c r="BU88" s="349"/>
      <c r="BV88" s="350"/>
      <c r="BW88" s="352"/>
      <c r="BX88" s="353"/>
      <c r="BZ88" s="349"/>
      <c r="CA88" s="350"/>
      <c r="CB88" s="351"/>
      <c r="CC88" s="349"/>
      <c r="CD88" s="350"/>
      <c r="CE88" s="351"/>
      <c r="CF88" s="349"/>
      <c r="CG88" s="350"/>
      <c r="CH88" s="351"/>
      <c r="CI88" s="349"/>
      <c r="CJ88" s="350"/>
      <c r="CK88" s="352"/>
      <c r="CL88" s="353"/>
    </row>
    <row r="89" spans="2:90" ht="20.25" thickBot="1" x14ac:dyDescent="0.3">
      <c r="B89" s="1491"/>
      <c r="C89" s="1415"/>
      <c r="D89" s="754" t="str">
        <f>+'Plan de Accion 2018'!G186</f>
        <v>Vigilancia judicial</v>
      </c>
      <c r="E89" s="1402"/>
      <c r="F89" s="1422"/>
      <c r="G89" s="328"/>
      <c r="H89" s="543">
        <f>+'Plan de Accion 2018'!AE186</f>
        <v>0</v>
      </c>
      <c r="I89" s="767">
        <f>+'Plan de Accion 2018'!BN186</f>
        <v>0</v>
      </c>
      <c r="J89" s="767">
        <f t="shared" ref="J89:J204" si="35">IF(I89&gt;100%,100%,I89)</f>
        <v>0</v>
      </c>
      <c r="K89" s="767">
        <f>+'Plan de Accion 2018'!AG186</f>
        <v>0</v>
      </c>
      <c r="L89" s="875">
        <f t="shared" si="33"/>
        <v>0</v>
      </c>
      <c r="M89" s="682">
        <f t="shared" ref="M89:M204" si="36">+L89</f>
        <v>0</v>
      </c>
      <c r="N89" s="644"/>
      <c r="O89" s="543" t="e">
        <f>+'Plan de Accion 2018'!AL186</f>
        <v>#DIV/0!</v>
      </c>
      <c r="P89" s="767">
        <f>+'Plan de Accion 2018'!BP186</f>
        <v>0</v>
      </c>
      <c r="Q89" s="629">
        <f>IF(P89&gt;100%,100%,P89)</f>
        <v>0</v>
      </c>
      <c r="R89" s="751">
        <f>+'Plan de Accion 2018'!AQ186</f>
        <v>0</v>
      </c>
      <c r="S89" s="873">
        <f t="shared" si="34"/>
        <v>0</v>
      </c>
      <c r="T89" s="637">
        <f>+S89</f>
        <v>0</v>
      </c>
      <c r="U89" s="329"/>
      <c r="V89" s="543">
        <f>+'Plan de Accion 2018'!AV186</f>
        <v>0</v>
      </c>
      <c r="W89" s="767">
        <f>+'Plan de Accion 2018'!BR186</f>
        <v>0</v>
      </c>
      <c r="X89" s="629">
        <f>IF(W89&gt;100%,100%,W89)</f>
        <v>0</v>
      </c>
      <c r="Y89" s="882">
        <f>+'Plan de Accion 2018'!BA186</f>
        <v>0</v>
      </c>
      <c r="Z89" s="882">
        <f t="shared" si="32"/>
        <v>0</v>
      </c>
      <c r="AA89" s="883">
        <f>+Z89</f>
        <v>0</v>
      </c>
      <c r="AB89" s="644"/>
      <c r="AC89" s="543">
        <f>+'Plan de Accion 2018'!BF186</f>
        <v>0.21512957825213536</v>
      </c>
      <c r="AD89" s="767">
        <f>+'Plan de Accion 2018'!BT186</f>
        <v>0.86051831300854142</v>
      </c>
      <c r="AE89" s="629">
        <f>IF(AD89&gt;100%,100%,AD89)</f>
        <v>0.86051831300854142</v>
      </c>
      <c r="AF89" s="767">
        <f>+'Plan de Accion 2018'!BK186</f>
        <v>0.21512957825213536</v>
      </c>
      <c r="AG89" s="637">
        <f t="shared" si="31"/>
        <v>0.21512957825213536</v>
      </c>
      <c r="AH89" s="348"/>
      <c r="AI89" s="1016"/>
      <c r="AJ89" s="349"/>
      <c r="AK89" s="350"/>
      <c r="AL89" s="351"/>
      <c r="AM89" s="349"/>
      <c r="AN89" s="350"/>
      <c r="AO89" s="351"/>
      <c r="AP89" s="349"/>
      <c r="AQ89" s="350"/>
      <c r="AR89" s="351"/>
      <c r="AS89" s="349"/>
      <c r="AT89" s="350"/>
      <c r="AU89" s="352"/>
      <c r="AV89" s="353"/>
      <c r="AW89" s="352"/>
      <c r="AX89" s="349"/>
      <c r="AY89" s="350"/>
      <c r="AZ89" s="351"/>
      <c r="BA89" s="349"/>
      <c r="BB89" s="350"/>
      <c r="BC89" s="351"/>
      <c r="BD89" s="349"/>
      <c r="BE89" s="350"/>
      <c r="BF89" s="351"/>
      <c r="BG89" s="349"/>
      <c r="BH89" s="350"/>
      <c r="BI89" s="352"/>
      <c r="BJ89" s="353"/>
      <c r="BL89" s="349"/>
      <c r="BM89" s="350"/>
      <c r="BN89" s="351"/>
      <c r="BO89" s="349"/>
      <c r="BP89" s="350"/>
      <c r="BQ89" s="351"/>
      <c r="BR89" s="349"/>
      <c r="BS89" s="350"/>
      <c r="BT89" s="351"/>
      <c r="BU89" s="349"/>
      <c r="BV89" s="350"/>
      <c r="BW89" s="352"/>
      <c r="BX89" s="353"/>
      <c r="BZ89" s="349"/>
      <c r="CA89" s="350"/>
      <c r="CB89" s="351"/>
      <c r="CC89" s="349"/>
      <c r="CD89" s="350"/>
      <c r="CE89" s="351"/>
      <c r="CF89" s="349"/>
      <c r="CG89" s="350"/>
      <c r="CH89" s="351"/>
      <c r="CI89" s="349"/>
      <c r="CJ89" s="350"/>
      <c r="CK89" s="352"/>
      <c r="CL89" s="353"/>
    </row>
    <row r="90" spans="2:90" ht="57.75" thickBot="1" x14ac:dyDescent="0.25">
      <c r="B90" s="1491"/>
      <c r="C90" s="1415"/>
      <c r="D90" s="754" t="str">
        <f>+'Plan de Accion 2018'!G171</f>
        <v>Depuración de Cartera FOSYGA y/o ADRES</v>
      </c>
      <c r="E90" s="1402"/>
      <c r="F90" s="344" t="str">
        <f>+'Plan de Accion 2018'!S172</f>
        <v>Monto de venta de cartera a CISA / Monto de cartera por reclamaciones mayor a 180 días vendida</v>
      </c>
      <c r="G90" s="321"/>
      <c r="H90" s="543">
        <f>+'Plan de Accion 2018'!AB172</f>
        <v>0</v>
      </c>
      <c r="I90" s="767">
        <f>+'Plan de Accion 2018'!BM172</f>
        <v>0</v>
      </c>
      <c r="J90" s="767">
        <f t="shared" si="35"/>
        <v>0</v>
      </c>
      <c r="K90" s="767">
        <f>+'Plan de Accion 2018'!AF172</f>
        <v>0</v>
      </c>
      <c r="L90" s="875">
        <f t="shared" si="33"/>
        <v>0</v>
      </c>
      <c r="M90" s="682">
        <f t="shared" si="36"/>
        <v>0</v>
      </c>
      <c r="N90" s="642"/>
      <c r="O90" s="674">
        <f>+'Plan de Accion 2018'!AL172</f>
        <v>1.3084302227911048E-2</v>
      </c>
      <c r="P90" s="767">
        <f>+'Plan de Accion 2018'!BO172</f>
        <v>0.65421511139555244</v>
      </c>
      <c r="Q90" s="629">
        <f>IF(P90&gt;100%,100%,P90)</f>
        <v>0.65421511139555244</v>
      </c>
      <c r="R90" s="751">
        <f>+'Plan de Accion 2018'!AP172</f>
        <v>0.32710755569777622</v>
      </c>
      <c r="S90" s="873">
        <f t="shared" si="34"/>
        <v>0.32710755569777622</v>
      </c>
      <c r="T90" s="637">
        <f>+S90</f>
        <v>0.32710755569777622</v>
      </c>
      <c r="U90" s="322"/>
      <c r="V90" s="543">
        <f>+'Plan de Accion 2018'!AV172</f>
        <v>0</v>
      </c>
      <c r="W90" s="767" t="str">
        <f>+'Plan de Accion 2018'!BR172</f>
        <v>No Prog ni Ejec</v>
      </c>
      <c r="X90" s="629" t="s">
        <v>792</v>
      </c>
      <c r="Y90" s="882">
        <f>+'Plan de Accion 2018'!AZ172</f>
        <v>0.32710755569777622</v>
      </c>
      <c r="Z90" s="882">
        <f t="shared" si="32"/>
        <v>0.32710755569777622</v>
      </c>
      <c r="AA90" s="883">
        <f>+Z90</f>
        <v>0.32710755569777622</v>
      </c>
      <c r="AB90" s="642"/>
      <c r="AC90" s="543">
        <f>+'Plan de Accion 2018'!BF172</f>
        <v>0</v>
      </c>
      <c r="AD90" s="767" t="str">
        <f>+'Plan de Accion 2018'!BS172</f>
        <v>No Prog ni Ejec</v>
      </c>
      <c r="AE90" s="629" t="s">
        <v>792</v>
      </c>
      <c r="AF90" s="767">
        <f>+'Plan de Accion 2018'!BJ172</f>
        <v>0.32710755569777622</v>
      </c>
      <c r="AG90" s="637">
        <f t="shared" si="31"/>
        <v>0.32710755569777622</v>
      </c>
      <c r="AH90" s="348"/>
      <c r="AI90" s="1016"/>
      <c r="AJ90" s="349"/>
      <c r="AK90" s="350"/>
      <c r="AL90" s="351"/>
      <c r="AM90" s="349"/>
      <c r="AN90" s="350"/>
      <c r="AO90" s="351"/>
      <c r="AP90" s="349"/>
      <c r="AQ90" s="350"/>
      <c r="AR90" s="351"/>
      <c r="AS90" s="349"/>
      <c r="AT90" s="350"/>
      <c r="AU90" s="352"/>
      <c r="AV90" s="353"/>
      <c r="AW90" s="352"/>
      <c r="AX90" s="349"/>
      <c r="AY90" s="350"/>
      <c r="AZ90" s="351"/>
      <c r="BA90" s="349"/>
      <c r="BB90" s="350"/>
      <c r="BC90" s="351"/>
      <c r="BD90" s="349"/>
      <c r="BE90" s="350"/>
      <c r="BF90" s="351"/>
      <c r="BG90" s="349"/>
      <c r="BH90" s="350"/>
      <c r="BI90" s="352"/>
      <c r="BJ90" s="353"/>
      <c r="BL90" s="349"/>
      <c r="BM90" s="350"/>
      <c r="BN90" s="351"/>
      <c r="BO90" s="349"/>
      <c r="BP90" s="350"/>
      <c r="BQ90" s="351"/>
      <c r="BR90" s="349"/>
      <c r="BS90" s="350"/>
      <c r="BT90" s="351"/>
      <c r="BU90" s="349"/>
      <c r="BV90" s="350"/>
      <c r="BW90" s="352"/>
      <c r="BX90" s="353"/>
      <c r="BZ90" s="349"/>
      <c r="CA90" s="350"/>
      <c r="CB90" s="351"/>
      <c r="CC90" s="349"/>
      <c r="CD90" s="350"/>
      <c r="CE90" s="351"/>
      <c r="CF90" s="349"/>
      <c r="CG90" s="350"/>
      <c r="CH90" s="351"/>
      <c r="CI90" s="349"/>
      <c r="CJ90" s="350"/>
      <c r="CK90" s="352"/>
      <c r="CL90" s="353"/>
    </row>
    <row r="91" spans="2:90" ht="129" thickBot="1" x14ac:dyDescent="0.3">
      <c r="B91" s="1491"/>
      <c r="C91" s="1415"/>
      <c r="D91" s="754" t="str">
        <f>+'Plan de Accion 2018'!G179</f>
        <v>Proceso inicial de cobro por concepto de accidentes de transito, donde el vehículo involucrando carecía de SOAT</v>
      </c>
      <c r="E91" s="1402"/>
      <c r="F91" s="344" t="str">
        <f>+'Plan de Accion 2018'!S180</f>
        <v>Monto de reclamaciones pagadas por terceros al inicio del proceso de cobro, por concepto de accidentes de tránsito sin SOAT  / Monto de reclamaciones pagadas por la ADRES antes FOSYGA, por concepto de accidentes de tránsito sin SOAT</v>
      </c>
      <c r="G91" s="328"/>
      <c r="H91" s="543" t="str">
        <f>+'Plan de Accion 2018'!AB180</f>
        <v>N.A</v>
      </c>
      <c r="I91" s="767" t="str">
        <f>+'Plan de Accion 2018'!BN179</f>
        <v>No Prog ni Ejec</v>
      </c>
      <c r="J91" s="767" t="s">
        <v>792</v>
      </c>
      <c r="K91" s="767">
        <f>+'Plan de Accion 2018'!AG180</f>
        <v>0</v>
      </c>
      <c r="L91" s="767">
        <f>+K91</f>
        <v>0</v>
      </c>
      <c r="M91" s="682" t="s">
        <v>792</v>
      </c>
      <c r="N91" s="644"/>
      <c r="O91" s="543" t="str">
        <f>+'Plan de Accion 2018'!AL180</f>
        <v>N.A</v>
      </c>
      <c r="P91" s="767" t="str">
        <f>+'Plan de Accion 2018'!BP179</f>
        <v>No Prog ni Ejec</v>
      </c>
      <c r="Q91" s="629" t="s">
        <v>792</v>
      </c>
      <c r="R91" s="751">
        <f>+'Plan de Accion 2018'!AQ180</f>
        <v>0</v>
      </c>
      <c r="S91" s="873">
        <f t="shared" si="34"/>
        <v>0</v>
      </c>
      <c r="T91" s="637" t="s">
        <v>792</v>
      </c>
      <c r="U91" s="329"/>
      <c r="V91" s="543" t="str">
        <f>+'Plan de Accion 2018'!AV180</f>
        <v>N.A</v>
      </c>
      <c r="W91" s="767" t="str">
        <f>+'Plan de Accion 2018'!BR179</f>
        <v>No Prog ni Ejec</v>
      </c>
      <c r="X91" s="629" t="s">
        <v>792</v>
      </c>
      <c r="Y91" s="882">
        <f>+'Plan de Accion 2018'!BA180</f>
        <v>0</v>
      </c>
      <c r="Z91" s="882">
        <f t="shared" si="32"/>
        <v>0</v>
      </c>
      <c r="AA91" s="883" t="s">
        <v>792</v>
      </c>
      <c r="AB91" s="644"/>
      <c r="AC91" s="543" t="str">
        <f>+'Plan de Accion 2018'!BF180</f>
        <v>N.A.</v>
      </c>
      <c r="AD91" s="767">
        <f>+'Plan de Accion 2018'!BT179</f>
        <v>0.67500000000000004</v>
      </c>
      <c r="AE91" s="629" t="s">
        <v>792</v>
      </c>
      <c r="AF91" s="767">
        <f>+'Plan de Accion 2018'!BK179</f>
        <v>0.67500000000000004</v>
      </c>
      <c r="AG91" s="637">
        <f t="shared" si="31"/>
        <v>0.67500000000000004</v>
      </c>
      <c r="AH91" s="348"/>
      <c r="AI91" s="1016"/>
      <c r="AJ91" s="349"/>
      <c r="AK91" s="350"/>
      <c r="AL91" s="351"/>
      <c r="AM91" s="349"/>
      <c r="AN91" s="350"/>
      <c r="AO91" s="351"/>
      <c r="AP91" s="349"/>
      <c r="AQ91" s="350"/>
      <c r="AR91" s="351"/>
      <c r="AS91" s="349"/>
      <c r="AT91" s="350"/>
      <c r="AU91" s="352"/>
      <c r="AV91" s="353"/>
      <c r="AW91" s="352"/>
      <c r="AX91" s="349"/>
      <c r="AY91" s="350"/>
      <c r="AZ91" s="351"/>
      <c r="BA91" s="349"/>
      <c r="BB91" s="350"/>
      <c r="BC91" s="351"/>
      <c r="BD91" s="349"/>
      <c r="BE91" s="350"/>
      <c r="BF91" s="351"/>
      <c r="BG91" s="349"/>
      <c r="BH91" s="350"/>
      <c r="BI91" s="352"/>
      <c r="BJ91" s="353"/>
      <c r="BL91" s="349"/>
      <c r="BM91" s="350"/>
      <c r="BN91" s="351"/>
      <c r="BO91" s="349"/>
      <c r="BP91" s="350"/>
      <c r="BQ91" s="351"/>
      <c r="BR91" s="349"/>
      <c r="BS91" s="350"/>
      <c r="BT91" s="351"/>
      <c r="BU91" s="349"/>
      <c r="BV91" s="350"/>
      <c r="BW91" s="352"/>
      <c r="BX91" s="353"/>
      <c r="BZ91" s="349"/>
      <c r="CA91" s="350"/>
      <c r="CB91" s="351"/>
      <c r="CC91" s="349"/>
      <c r="CD91" s="350"/>
      <c r="CE91" s="351"/>
      <c r="CF91" s="349"/>
      <c r="CG91" s="350"/>
      <c r="CH91" s="351"/>
      <c r="CI91" s="349"/>
      <c r="CJ91" s="350"/>
      <c r="CK91" s="352"/>
      <c r="CL91" s="353"/>
    </row>
    <row r="92" spans="2:90" ht="143.25" thickBot="1" x14ac:dyDescent="0.3">
      <c r="B92" s="1491"/>
      <c r="C92" s="1415"/>
      <c r="D92" s="754" t="str">
        <f>+'Plan de Accion 2018'!G181</f>
        <v>Cobro coactivo de cartera por concepto de accidentes de transito, donde el vehículo involucrando carecida de SOAT</v>
      </c>
      <c r="E92" s="1402"/>
      <c r="F92" s="344" t="str">
        <f>+'Plan de Accion 2018'!S182</f>
        <v>Monto de reclamaciones pagadas por terceros en la fase de cobro coactivo, por concepto de accidentes de tránsito sin SOAT  / Monto de reclamaciones pagadas por la ADRES antes FOSYGA, por concepto de accidentes de tránsito sin SOAT, objeto de cobro coactivo</v>
      </c>
      <c r="G92" s="328"/>
      <c r="H92" s="543" t="str">
        <f>+'Plan de Accion 2018'!AB182</f>
        <v>N.A</v>
      </c>
      <c r="I92" s="767" t="str">
        <f>+'Plan de Accion 2018'!BN181</f>
        <v>No Prog ni Ejec</v>
      </c>
      <c r="J92" s="767" t="s">
        <v>792</v>
      </c>
      <c r="K92" s="767">
        <f>+'Plan de Accion 2018'!AG182</f>
        <v>0</v>
      </c>
      <c r="L92" s="767">
        <f>+K92</f>
        <v>0</v>
      </c>
      <c r="M92" s="682" t="s">
        <v>792</v>
      </c>
      <c r="N92" s="644"/>
      <c r="O92" s="543" t="str">
        <f>+'Plan de Accion 2018'!AL182</f>
        <v>N.A</v>
      </c>
      <c r="P92" s="767" t="str">
        <f>+'Plan de Accion 2018'!BP181</f>
        <v>No Prog ni Ejec</v>
      </c>
      <c r="Q92" s="629" t="s">
        <v>792</v>
      </c>
      <c r="R92" s="751">
        <f>+'Plan de Accion 2018'!AQ182</f>
        <v>0</v>
      </c>
      <c r="S92" s="873">
        <f t="shared" si="34"/>
        <v>0</v>
      </c>
      <c r="T92" s="637" t="s">
        <v>792</v>
      </c>
      <c r="U92" s="329"/>
      <c r="V92" s="543" t="str">
        <f>+'Plan de Accion 2018'!AV182</f>
        <v>N.A</v>
      </c>
      <c r="W92" s="767" t="str">
        <f>+'Plan de Accion 2018'!BR181</f>
        <v>No Prog ni Ejec</v>
      </c>
      <c r="X92" s="629" t="s">
        <v>792</v>
      </c>
      <c r="Y92" s="882">
        <f>+'Plan de Accion 2018'!BA182</f>
        <v>0</v>
      </c>
      <c r="Z92" s="882">
        <f t="shared" si="32"/>
        <v>0</v>
      </c>
      <c r="AA92" s="883" t="s">
        <v>792</v>
      </c>
      <c r="AB92" s="644"/>
      <c r="AC92" s="543" t="str">
        <f>+'Plan de Accion 2018'!BF182</f>
        <v>N.A</v>
      </c>
      <c r="AD92" s="767" t="str">
        <f>+'Plan de Accion 2018'!BT181</f>
        <v>No Prog ni Ejec</v>
      </c>
      <c r="AE92" s="629" t="s">
        <v>792</v>
      </c>
      <c r="AF92" s="767">
        <f>+'Plan de Accion 2018'!BK182</f>
        <v>0</v>
      </c>
      <c r="AG92" s="637" t="s">
        <v>792</v>
      </c>
      <c r="AH92" s="348"/>
      <c r="AI92" s="1016"/>
      <c r="AJ92" s="349"/>
      <c r="AK92" s="350"/>
      <c r="AL92" s="351"/>
      <c r="AM92" s="349"/>
      <c r="AN92" s="350"/>
      <c r="AO92" s="351"/>
      <c r="AP92" s="349"/>
      <c r="AQ92" s="350"/>
      <c r="AR92" s="351"/>
      <c r="AS92" s="349"/>
      <c r="AT92" s="350"/>
      <c r="AU92" s="352"/>
      <c r="AV92" s="353"/>
      <c r="AW92" s="352"/>
      <c r="AX92" s="349"/>
      <c r="AY92" s="350"/>
      <c r="AZ92" s="351"/>
      <c r="BA92" s="349"/>
      <c r="BB92" s="350"/>
      <c r="BC92" s="351"/>
      <c r="BD92" s="349"/>
      <c r="BE92" s="350"/>
      <c r="BF92" s="351"/>
      <c r="BG92" s="349"/>
      <c r="BH92" s="350"/>
      <c r="BI92" s="352"/>
      <c r="BJ92" s="353"/>
      <c r="BL92" s="349"/>
      <c r="BM92" s="350"/>
      <c r="BN92" s="351"/>
      <c r="BO92" s="349"/>
      <c r="BP92" s="350"/>
      <c r="BQ92" s="351"/>
      <c r="BR92" s="349"/>
      <c r="BS92" s="350"/>
      <c r="BT92" s="351"/>
      <c r="BU92" s="349"/>
      <c r="BV92" s="350"/>
      <c r="BW92" s="352"/>
      <c r="BX92" s="353"/>
      <c r="BZ92" s="349"/>
      <c r="CA92" s="350"/>
      <c r="CB92" s="351"/>
      <c r="CC92" s="349"/>
      <c r="CD92" s="350"/>
      <c r="CE92" s="351"/>
      <c r="CF92" s="349"/>
      <c r="CG92" s="350"/>
      <c r="CH92" s="351"/>
      <c r="CI92" s="349"/>
      <c r="CJ92" s="350"/>
      <c r="CK92" s="352"/>
      <c r="CL92" s="353"/>
    </row>
    <row r="93" spans="2:90" ht="43.5" thickBot="1" x14ac:dyDescent="0.3">
      <c r="B93" s="1491"/>
      <c r="C93" s="1415"/>
      <c r="D93" s="754" t="str">
        <f>+'Plan de Accion 2018'!G159</f>
        <v xml:space="preserve">Informes de respuestas a las acciones constitucionales  y de  tutelas </v>
      </c>
      <c r="E93" s="1402"/>
      <c r="F93" s="1405" t="s">
        <v>815</v>
      </c>
      <c r="G93" s="328"/>
      <c r="H93" s="543">
        <f>+'Plan de Accion 2018'!AE159</f>
        <v>0.59928879563839732</v>
      </c>
      <c r="I93" s="767">
        <f>+'Plan de Accion 2018'!BN159</f>
        <v>0.59928879563839732</v>
      </c>
      <c r="J93" s="767">
        <f t="shared" si="35"/>
        <v>0.59928879563839732</v>
      </c>
      <c r="K93" s="767">
        <f>+'Plan de Accion 2018'!AG159</f>
        <v>0.15139823462064064</v>
      </c>
      <c r="L93" s="767">
        <f>+K93</f>
        <v>0.15139823462064064</v>
      </c>
      <c r="M93" s="682">
        <f t="shared" si="36"/>
        <v>0.15139823462064064</v>
      </c>
      <c r="N93" s="642"/>
      <c r="O93" s="543">
        <f>+'Plan de Accion 2018'!AO159</f>
        <v>0.93250187633391379</v>
      </c>
      <c r="P93" s="767">
        <f>+'Plan de Accion 2018'!BP159</f>
        <v>0.93250187633391379</v>
      </c>
      <c r="Q93" s="629">
        <f>IF(P93&gt;100%,100%,P93)</f>
        <v>0.93250187633391379</v>
      </c>
      <c r="R93" s="751">
        <f>+'Plan de Accion 2018'!AQ159</f>
        <v>0.38697603765131011</v>
      </c>
      <c r="S93" s="873">
        <f t="shared" si="34"/>
        <v>0.38697603765131011</v>
      </c>
      <c r="T93" s="637">
        <f>+S93</f>
        <v>0.38697603765131011</v>
      </c>
      <c r="U93" s="322"/>
      <c r="V93" s="543">
        <f>+'Plan de Accion 2018'!AY159</f>
        <v>1.0646773618538325</v>
      </c>
      <c r="W93" s="767">
        <f>+'Plan de Accion 2018'!BR159</f>
        <v>1.0646773618538325</v>
      </c>
      <c r="X93" s="629">
        <f>IF(W93&gt;100%,100%,W93)</f>
        <v>1</v>
      </c>
      <c r="Y93" s="882">
        <f>+'Plan de Accion 2018'!BA159</f>
        <v>0.63960588109659344</v>
      </c>
      <c r="Z93" s="882">
        <f t="shared" si="32"/>
        <v>0.63960588109659344</v>
      </c>
      <c r="AA93" s="883">
        <f>+Z93</f>
        <v>0.63960588109659344</v>
      </c>
      <c r="AB93" s="642">
        <v>1</v>
      </c>
      <c r="AC93" s="543">
        <f>+'Plan de Accion 2018'!BI159</f>
        <v>0.95022991757940611</v>
      </c>
      <c r="AD93" s="767">
        <f>+'Plan de Accion 2018'!BT159</f>
        <v>0.95022991757940611</v>
      </c>
      <c r="AE93" s="629">
        <f>IF(AD93&gt;100%,100%,AD93)</f>
        <v>0.95022991757940611</v>
      </c>
      <c r="AF93" s="767">
        <f>+'Plan de Accion 2018'!BK159</f>
        <v>0.8842495180569363</v>
      </c>
      <c r="AG93" s="637">
        <f t="shared" si="31"/>
        <v>0.8842495180569363</v>
      </c>
      <c r="AH93" s="348"/>
      <c r="AI93" s="1016"/>
      <c r="AJ93" s="349"/>
      <c r="AK93" s="350"/>
      <c r="AL93" s="351"/>
      <c r="AM93" s="349"/>
      <c r="AN93" s="350"/>
      <c r="AO93" s="351"/>
      <c r="AP93" s="349"/>
      <c r="AQ93" s="350"/>
      <c r="AR93" s="351"/>
      <c r="AS93" s="349"/>
      <c r="AT93" s="350"/>
      <c r="AU93" s="352"/>
      <c r="AV93" s="353"/>
      <c r="AW93" s="352"/>
      <c r="AX93" s="349"/>
      <c r="AY93" s="350"/>
      <c r="AZ93" s="351"/>
      <c r="BA93" s="349"/>
      <c r="BB93" s="350"/>
      <c r="BC93" s="351"/>
      <c r="BD93" s="349"/>
      <c r="BE93" s="350"/>
      <c r="BF93" s="351"/>
      <c r="BG93" s="349"/>
      <c r="BH93" s="350"/>
      <c r="BI93" s="352"/>
      <c r="BJ93" s="353"/>
      <c r="BL93" s="349"/>
      <c r="BM93" s="350"/>
      <c r="BN93" s="351"/>
      <c r="BO93" s="349"/>
      <c r="BP93" s="350"/>
      <c r="BQ93" s="351"/>
      <c r="BR93" s="349"/>
      <c r="BS93" s="350"/>
      <c r="BT93" s="351"/>
      <c r="BU93" s="349"/>
      <c r="BV93" s="350"/>
      <c r="BW93" s="352"/>
      <c r="BX93" s="353"/>
      <c r="BZ93" s="349"/>
      <c r="CA93" s="350"/>
      <c r="CB93" s="351"/>
      <c r="CC93" s="349"/>
      <c r="CD93" s="350"/>
      <c r="CE93" s="351"/>
      <c r="CF93" s="349"/>
      <c r="CG93" s="350"/>
      <c r="CH93" s="351"/>
      <c r="CI93" s="349"/>
      <c r="CJ93" s="350"/>
      <c r="CK93" s="352"/>
      <c r="CL93" s="353"/>
    </row>
    <row r="94" spans="2:90" ht="29.25" thickBot="1" x14ac:dyDescent="0.3">
      <c r="B94" s="1491"/>
      <c r="C94" s="1415"/>
      <c r="D94" s="754" t="str">
        <f>+'Plan de Accion 2018'!G160</f>
        <v>Representación  judicial - Demandas Laborales</v>
      </c>
      <c r="E94" s="1402"/>
      <c r="F94" s="1406"/>
      <c r="G94" s="328"/>
      <c r="H94" s="1473">
        <f>+'Plan de Accion 2018'!AE160</f>
        <v>0.40221286497577247</v>
      </c>
      <c r="I94" s="1480">
        <f>+'Plan de Accion 2018'!BN160</f>
        <v>0.40221286497577247</v>
      </c>
      <c r="J94" s="767">
        <f t="shared" si="35"/>
        <v>0.40221286497577247</v>
      </c>
      <c r="K94" s="1479">
        <f>+'Plan de Accion 2018'!AG160</f>
        <v>8.9607055354021692E-2</v>
      </c>
      <c r="L94" s="1356">
        <f>+K94</f>
        <v>8.9607055354021692E-2</v>
      </c>
      <c r="M94" s="682">
        <f t="shared" si="36"/>
        <v>8.9607055354021692E-2</v>
      </c>
      <c r="N94" s="693"/>
      <c r="O94" s="1370">
        <f>+'Plan de Accion 2018'!AO160</f>
        <v>0.81711305000937706</v>
      </c>
      <c r="P94" s="1362">
        <f>+'Plan de Accion 2018'!BP160</f>
        <v>0.81711305000937706</v>
      </c>
      <c r="Q94" s="1356">
        <f>IF(P94&gt;100%,100%,P94)</f>
        <v>0.81711305000937706</v>
      </c>
      <c r="R94" s="1356">
        <f>+'Plan de Accion 2018'!AQ160</f>
        <v>0.27164771262413201</v>
      </c>
      <c r="S94" s="1356">
        <f>IF(R94&gt;100%,100%,R94)</f>
        <v>0.27164771262413201</v>
      </c>
      <c r="T94" s="1359">
        <f>+S94</f>
        <v>0.27164771262413201</v>
      </c>
      <c r="U94" s="355"/>
      <c r="V94" s="1370">
        <f>+'Plan de Accion 2018'!AY160</f>
        <v>1.1840181814908564</v>
      </c>
      <c r="W94" s="1362">
        <f>+'Plan de Accion 2018'!BR160</f>
        <v>1.1840181814908564</v>
      </c>
      <c r="X94" s="1356">
        <f>IF(W94&gt;100%,100%,W94)</f>
        <v>1</v>
      </c>
      <c r="Y94" s="1476">
        <f>+'Plan de Accion 2018'!BA160</f>
        <v>0.48048145491327671</v>
      </c>
      <c r="Z94" s="1476">
        <f>IF(Y94&gt;100%,100%,Y94)</f>
        <v>0.48048145491327671</v>
      </c>
      <c r="AA94" s="1373">
        <f>+Z94</f>
        <v>0.48048145491327671</v>
      </c>
      <c r="AB94" s="693">
        <v>1</v>
      </c>
      <c r="AC94" s="1370">
        <f>+'Plan de Accion 2018'!BI160</f>
        <v>0.5543082802197975</v>
      </c>
      <c r="AD94" s="1362">
        <f>+'Plan de Accion 2018'!BT160</f>
        <v>0.5543082802197975</v>
      </c>
      <c r="AE94" s="1356">
        <f>IF(AD94&gt;100%,100%,AD94)</f>
        <v>0.5543082802197975</v>
      </c>
      <c r="AF94" s="1362">
        <f>+'Plan de Accion 2018'!BK160</f>
        <v>0.69003911323702949</v>
      </c>
      <c r="AG94" s="1359">
        <f t="shared" si="31"/>
        <v>0.69003911323702949</v>
      </c>
      <c r="AH94" s="348"/>
      <c r="AI94" s="1016"/>
      <c r="AJ94" s="349"/>
      <c r="AK94" s="350"/>
      <c r="AL94" s="351"/>
      <c r="AM94" s="349"/>
      <c r="AN94" s="350"/>
      <c r="AO94" s="351"/>
      <c r="AP94" s="349"/>
      <c r="AQ94" s="350"/>
      <c r="AR94" s="351"/>
      <c r="AS94" s="349"/>
      <c r="AT94" s="350"/>
      <c r="AU94" s="352"/>
      <c r="AV94" s="353"/>
      <c r="AW94" s="352"/>
      <c r="AX94" s="349"/>
      <c r="AY94" s="350"/>
      <c r="AZ94" s="351"/>
      <c r="BA94" s="349"/>
      <c r="BB94" s="350"/>
      <c r="BC94" s="351"/>
      <c r="BD94" s="349"/>
      <c r="BE94" s="350"/>
      <c r="BF94" s="351"/>
      <c r="BG94" s="349"/>
      <c r="BH94" s="350"/>
      <c r="BI94" s="352"/>
      <c r="BJ94" s="353"/>
      <c r="BL94" s="349"/>
      <c r="BM94" s="350"/>
      <c r="BN94" s="351"/>
      <c r="BO94" s="349"/>
      <c r="BP94" s="350"/>
      <c r="BQ94" s="351"/>
      <c r="BR94" s="349"/>
      <c r="BS94" s="350"/>
      <c r="BT94" s="351"/>
      <c r="BU94" s="349"/>
      <c r="BV94" s="350"/>
      <c r="BW94" s="352"/>
      <c r="BX94" s="353"/>
      <c r="BZ94" s="349"/>
      <c r="CA94" s="350"/>
      <c r="CB94" s="351"/>
      <c r="CC94" s="349"/>
      <c r="CD94" s="350"/>
      <c r="CE94" s="351"/>
      <c r="CF94" s="349"/>
      <c r="CG94" s="350"/>
      <c r="CH94" s="351"/>
      <c r="CI94" s="349"/>
      <c r="CJ94" s="350"/>
      <c r="CK94" s="352"/>
      <c r="CL94" s="353"/>
    </row>
    <row r="95" spans="2:90" ht="29.25" thickBot="1" x14ac:dyDescent="0.3">
      <c r="B95" s="1491"/>
      <c r="C95" s="1415"/>
      <c r="D95" s="754" t="str">
        <f>+'Plan de Accion 2018'!G161</f>
        <v>Representación  judicial - Procesos Administrativos</v>
      </c>
      <c r="E95" s="1402"/>
      <c r="F95" s="1406"/>
      <c r="G95" s="328"/>
      <c r="H95" s="1473"/>
      <c r="I95" s="1480"/>
      <c r="J95" s="767">
        <f t="shared" si="35"/>
        <v>0</v>
      </c>
      <c r="K95" s="1479"/>
      <c r="L95" s="1357"/>
      <c r="M95" s="682">
        <f t="shared" si="36"/>
        <v>0</v>
      </c>
      <c r="N95" s="694"/>
      <c r="O95" s="1371"/>
      <c r="P95" s="1363"/>
      <c r="Q95" s="1357"/>
      <c r="R95" s="1357"/>
      <c r="S95" s="1357"/>
      <c r="T95" s="1360"/>
      <c r="U95" s="356"/>
      <c r="V95" s="1371"/>
      <c r="W95" s="1363"/>
      <c r="X95" s="1357"/>
      <c r="Y95" s="1477"/>
      <c r="Z95" s="1477"/>
      <c r="AA95" s="1374"/>
      <c r="AB95" s="694"/>
      <c r="AC95" s="1371"/>
      <c r="AD95" s="1363"/>
      <c r="AE95" s="1357"/>
      <c r="AF95" s="1363"/>
      <c r="AG95" s="1360"/>
      <c r="AH95" s="348"/>
      <c r="AI95" s="1016"/>
      <c r="AJ95" s="349"/>
      <c r="AK95" s="350"/>
      <c r="AL95" s="351"/>
      <c r="AM95" s="349"/>
      <c r="AN95" s="350"/>
      <c r="AO95" s="351"/>
      <c r="AP95" s="349"/>
      <c r="AQ95" s="350"/>
      <c r="AR95" s="351"/>
      <c r="AS95" s="349"/>
      <c r="AT95" s="350"/>
      <c r="AU95" s="352"/>
      <c r="AV95" s="353"/>
      <c r="AW95" s="352"/>
      <c r="AX95" s="349"/>
      <c r="AY95" s="350"/>
      <c r="AZ95" s="351"/>
      <c r="BA95" s="349"/>
      <c r="BB95" s="350"/>
      <c r="BC95" s="351"/>
      <c r="BD95" s="349"/>
      <c r="BE95" s="350"/>
      <c r="BF95" s="351"/>
      <c r="BG95" s="349"/>
      <c r="BH95" s="350"/>
      <c r="BI95" s="352"/>
      <c r="BJ95" s="353"/>
      <c r="BL95" s="349"/>
      <c r="BM95" s="350"/>
      <c r="BN95" s="351"/>
      <c r="BO95" s="349"/>
      <c r="BP95" s="350"/>
      <c r="BQ95" s="351"/>
      <c r="BR95" s="349"/>
      <c r="BS95" s="350"/>
      <c r="BT95" s="351"/>
      <c r="BU95" s="349"/>
      <c r="BV95" s="350"/>
      <c r="BW95" s="352"/>
      <c r="BX95" s="353"/>
      <c r="BZ95" s="349"/>
      <c r="CA95" s="350"/>
      <c r="CB95" s="351"/>
      <c r="CC95" s="349"/>
      <c r="CD95" s="350"/>
      <c r="CE95" s="351"/>
      <c r="CF95" s="349"/>
      <c r="CG95" s="350"/>
      <c r="CH95" s="351"/>
      <c r="CI95" s="349"/>
      <c r="CJ95" s="350"/>
      <c r="CK95" s="352"/>
      <c r="CL95" s="353"/>
    </row>
    <row r="96" spans="2:90" ht="29.25" thickBot="1" x14ac:dyDescent="0.3">
      <c r="B96" s="1491"/>
      <c r="C96" s="1415"/>
      <c r="D96" s="754" t="str">
        <f>+'Plan de Accion 2018'!G162</f>
        <v>Respuesta y trámite de pruebas atendidas</v>
      </c>
      <c r="E96" s="1402"/>
      <c r="F96" s="1406"/>
      <c r="G96" s="328"/>
      <c r="H96" s="1473"/>
      <c r="I96" s="1480"/>
      <c r="J96" s="767">
        <f t="shared" si="35"/>
        <v>0</v>
      </c>
      <c r="K96" s="1479"/>
      <c r="L96" s="1357"/>
      <c r="M96" s="682">
        <f t="shared" si="36"/>
        <v>0</v>
      </c>
      <c r="N96" s="694"/>
      <c r="O96" s="1371"/>
      <c r="P96" s="1363"/>
      <c r="Q96" s="1357"/>
      <c r="R96" s="1357"/>
      <c r="S96" s="1357"/>
      <c r="T96" s="1360"/>
      <c r="U96" s="356"/>
      <c r="V96" s="1371"/>
      <c r="W96" s="1363"/>
      <c r="X96" s="1357"/>
      <c r="Y96" s="1477"/>
      <c r="Z96" s="1477"/>
      <c r="AA96" s="1374"/>
      <c r="AB96" s="694"/>
      <c r="AC96" s="1371"/>
      <c r="AD96" s="1363"/>
      <c r="AE96" s="1357"/>
      <c r="AF96" s="1363"/>
      <c r="AG96" s="1360"/>
      <c r="AH96" s="348"/>
      <c r="AI96" s="1016"/>
      <c r="AJ96" s="349"/>
      <c r="AK96" s="350"/>
      <c r="AL96" s="351"/>
      <c r="AM96" s="349"/>
      <c r="AN96" s="350"/>
      <c r="AO96" s="351"/>
      <c r="AP96" s="349"/>
      <c r="AQ96" s="350"/>
      <c r="AR96" s="351"/>
      <c r="AS96" s="349"/>
      <c r="AT96" s="350"/>
      <c r="AU96" s="352"/>
      <c r="AV96" s="353"/>
      <c r="AW96" s="352"/>
      <c r="AX96" s="349"/>
      <c r="AY96" s="350"/>
      <c r="AZ96" s="351"/>
      <c r="BA96" s="349"/>
      <c r="BB96" s="350"/>
      <c r="BC96" s="351"/>
      <c r="BD96" s="349"/>
      <c r="BE96" s="350"/>
      <c r="BF96" s="351"/>
      <c r="BG96" s="349"/>
      <c r="BH96" s="350"/>
      <c r="BI96" s="352"/>
      <c r="BJ96" s="353"/>
      <c r="BL96" s="349"/>
      <c r="BM96" s="350"/>
      <c r="BN96" s="351"/>
      <c r="BO96" s="349"/>
      <c r="BP96" s="350"/>
      <c r="BQ96" s="351"/>
      <c r="BR96" s="349"/>
      <c r="BS96" s="350"/>
      <c r="BT96" s="351"/>
      <c r="BU96" s="349"/>
      <c r="BV96" s="350"/>
      <c r="BW96" s="352"/>
      <c r="BX96" s="353"/>
      <c r="BZ96" s="349"/>
      <c r="CA96" s="350"/>
      <c r="CB96" s="351"/>
      <c r="CC96" s="349"/>
      <c r="CD96" s="350"/>
      <c r="CE96" s="351"/>
      <c r="CF96" s="349"/>
      <c r="CG96" s="350"/>
      <c r="CH96" s="351"/>
      <c r="CI96" s="349"/>
      <c r="CJ96" s="350"/>
      <c r="CK96" s="352"/>
      <c r="CL96" s="353"/>
    </row>
    <row r="97" spans="2:94" ht="21" customHeight="1" thickBot="1" x14ac:dyDescent="0.3">
      <c r="B97" s="1491"/>
      <c r="C97" s="1415"/>
      <c r="D97" s="754" t="str">
        <f>+'Plan de Accion 2018'!G163</f>
        <v>Conciliaciones Prejudiciales y judiciales</v>
      </c>
      <c r="E97" s="1402"/>
      <c r="F97" s="1406"/>
      <c r="G97" s="328"/>
      <c r="H97" s="1473"/>
      <c r="I97" s="1480"/>
      <c r="J97" s="767">
        <f t="shared" si="35"/>
        <v>0</v>
      </c>
      <c r="K97" s="1479"/>
      <c r="L97" s="1358"/>
      <c r="M97" s="682">
        <f t="shared" si="36"/>
        <v>0</v>
      </c>
      <c r="N97" s="694"/>
      <c r="O97" s="1372"/>
      <c r="P97" s="1364"/>
      <c r="Q97" s="1358"/>
      <c r="R97" s="1358"/>
      <c r="S97" s="1358"/>
      <c r="T97" s="1361"/>
      <c r="U97" s="356"/>
      <c r="V97" s="1372"/>
      <c r="W97" s="1364"/>
      <c r="X97" s="1358"/>
      <c r="Y97" s="1478"/>
      <c r="Z97" s="1478"/>
      <c r="AA97" s="1375"/>
      <c r="AB97" s="694"/>
      <c r="AC97" s="1372"/>
      <c r="AD97" s="1364"/>
      <c r="AE97" s="1358"/>
      <c r="AF97" s="1364"/>
      <c r="AG97" s="1361"/>
      <c r="AH97" s="348"/>
      <c r="AI97" s="1016"/>
      <c r="AJ97" s="349"/>
      <c r="AK97" s="350"/>
      <c r="AL97" s="351"/>
      <c r="AM97" s="349"/>
      <c r="AN97" s="350"/>
      <c r="AO97" s="351"/>
      <c r="AP97" s="349"/>
      <c r="AQ97" s="350"/>
      <c r="AR97" s="351"/>
      <c r="AS97" s="349"/>
      <c r="AT97" s="350"/>
      <c r="AU97" s="352"/>
      <c r="AV97" s="353"/>
      <c r="AW97" s="352"/>
      <c r="AX97" s="349"/>
      <c r="AY97" s="350"/>
      <c r="AZ97" s="351"/>
      <c r="BA97" s="349"/>
      <c r="BB97" s="350"/>
      <c r="BC97" s="351"/>
      <c r="BD97" s="349"/>
      <c r="BE97" s="350"/>
      <c r="BF97" s="351"/>
      <c r="BG97" s="349"/>
      <c r="BH97" s="350"/>
      <c r="BI97" s="352"/>
      <c r="BJ97" s="353"/>
      <c r="BL97" s="349"/>
      <c r="BM97" s="350"/>
      <c r="BN97" s="351"/>
      <c r="BO97" s="349"/>
      <c r="BP97" s="350"/>
      <c r="BQ97" s="351"/>
      <c r="BR97" s="349"/>
      <c r="BS97" s="350"/>
      <c r="BT97" s="351"/>
      <c r="BU97" s="349"/>
      <c r="BV97" s="350"/>
      <c r="BW97" s="352"/>
      <c r="BX97" s="353"/>
      <c r="BZ97" s="349"/>
      <c r="CA97" s="350"/>
      <c r="CB97" s="351"/>
      <c r="CC97" s="349"/>
      <c r="CD97" s="350"/>
      <c r="CE97" s="351"/>
      <c r="CF97" s="349"/>
      <c r="CG97" s="350"/>
      <c r="CH97" s="351"/>
      <c r="CI97" s="349"/>
      <c r="CJ97" s="350"/>
      <c r="CK97" s="352"/>
      <c r="CL97" s="353"/>
    </row>
    <row r="98" spans="2:94" ht="21" customHeight="1" thickBot="1" x14ac:dyDescent="0.3">
      <c r="B98" s="1491"/>
      <c r="C98" s="1415"/>
      <c r="D98" s="754" t="str">
        <f>+'Plan de Accion 2018'!G165</f>
        <v>Comité de conciliación realizado</v>
      </c>
      <c r="E98" s="1402"/>
      <c r="F98" s="1406"/>
      <c r="G98" s="328"/>
      <c r="H98" s="543">
        <f>+'Plan de Accion 2018'!AE165</f>
        <v>0.41111113869824301</v>
      </c>
      <c r="I98" s="767">
        <f>+'Plan de Accion 2018'!BN165</f>
        <v>0.41111113869824301</v>
      </c>
      <c r="J98" s="767">
        <f t="shared" si="35"/>
        <v>0.41111113869824301</v>
      </c>
      <c r="K98" s="767">
        <f>+'Plan de Accion 2018'!AG165</f>
        <v>0.10979229142505927</v>
      </c>
      <c r="L98" s="767">
        <f>+K98</f>
        <v>0.10979229142505927</v>
      </c>
      <c r="M98" s="682">
        <f t="shared" si="36"/>
        <v>0.10979229142505927</v>
      </c>
      <c r="N98" s="694"/>
      <c r="O98" s="543">
        <f>+'Plan de Accion 2018'!AO165</f>
        <v>1</v>
      </c>
      <c r="P98" s="767">
        <f>+'Plan de Accion 2018'!BP165</f>
        <v>1</v>
      </c>
      <c r="Q98" s="629">
        <f>IF(P98&gt;100%,100%,P98)</f>
        <v>1</v>
      </c>
      <c r="R98" s="751">
        <f>+'Plan de Accion 2018'!AQ165</f>
        <v>0.3768546039975415</v>
      </c>
      <c r="S98" s="751">
        <f>IF(R98&gt;100%,100%,R98)</f>
        <v>0.3768546039975415</v>
      </c>
      <c r="T98" s="637">
        <f>+S98</f>
        <v>0.3768546039975415</v>
      </c>
      <c r="U98" s="356"/>
      <c r="V98" s="543">
        <f>+'Plan de Accion 2018'!AY165</f>
        <v>1.3432835323110359</v>
      </c>
      <c r="W98" s="767">
        <f>+'Plan de Accion 2018'!BR165</f>
        <v>1.3432835323110359</v>
      </c>
      <c r="X98" s="629">
        <f>IF(W98&gt;100%,100%,W98)</f>
        <v>1</v>
      </c>
      <c r="Y98" s="882">
        <f>+'Plan de Accion 2018'!BA165</f>
        <v>0.6439169165700237</v>
      </c>
      <c r="Z98" s="882">
        <f>IF(Y98&gt;100%,100%,Y98)</f>
        <v>0.6439169165700237</v>
      </c>
      <c r="AA98" s="883">
        <f>+Z98</f>
        <v>0.6439169165700237</v>
      </c>
      <c r="AB98" s="694">
        <v>1</v>
      </c>
      <c r="AC98" s="543">
        <f>+'Plan de Accion 2018'!BI165</f>
        <v>0.86666635066861053</v>
      </c>
      <c r="AD98" s="767">
        <f>+'Plan de Accion 2018'!BT165</f>
        <v>0.86666635066861053</v>
      </c>
      <c r="AE98" s="629">
        <f>IF(AD98&gt;100%,100%,AD98)</f>
        <v>0.86666635066861053</v>
      </c>
      <c r="AF98" s="767">
        <f>+'Plan de Accion 2018'!BK165</f>
        <v>0.87537083640833668</v>
      </c>
      <c r="AG98" s="637">
        <f>IF(AF98&gt;100%,100%,AF98)</f>
        <v>0.87537083640833668</v>
      </c>
      <c r="AH98" s="348"/>
      <c r="AI98" s="1016"/>
      <c r="AJ98" s="349"/>
      <c r="AK98" s="350"/>
      <c r="AL98" s="351"/>
      <c r="AM98" s="349"/>
      <c r="AN98" s="350"/>
      <c r="AO98" s="351"/>
      <c r="AP98" s="349"/>
      <c r="AQ98" s="350"/>
      <c r="AR98" s="351"/>
      <c r="AS98" s="349"/>
      <c r="AT98" s="350"/>
      <c r="AU98" s="352"/>
      <c r="AV98" s="353"/>
      <c r="AW98" s="352"/>
      <c r="AX98" s="349"/>
      <c r="AY98" s="350"/>
      <c r="AZ98" s="351"/>
      <c r="BA98" s="349"/>
      <c r="BB98" s="350"/>
      <c r="BC98" s="351"/>
      <c r="BD98" s="349"/>
      <c r="BE98" s="350"/>
      <c r="BF98" s="351"/>
      <c r="BG98" s="349"/>
      <c r="BH98" s="350"/>
      <c r="BI98" s="352"/>
      <c r="BJ98" s="353"/>
      <c r="BL98" s="349"/>
      <c r="BM98" s="350"/>
      <c r="BN98" s="351"/>
      <c r="BO98" s="349"/>
      <c r="BP98" s="350"/>
      <c r="BQ98" s="351"/>
      <c r="BR98" s="349"/>
      <c r="BS98" s="350"/>
      <c r="BT98" s="351"/>
      <c r="BU98" s="349"/>
      <c r="BV98" s="350"/>
      <c r="BW98" s="352"/>
      <c r="BX98" s="353"/>
      <c r="BZ98" s="349"/>
      <c r="CA98" s="350"/>
      <c r="CB98" s="351"/>
      <c r="CC98" s="349"/>
      <c r="CD98" s="350"/>
      <c r="CE98" s="351"/>
      <c r="CF98" s="349"/>
      <c r="CG98" s="350"/>
      <c r="CH98" s="351"/>
      <c r="CI98" s="349"/>
      <c r="CJ98" s="350"/>
      <c r="CK98" s="352"/>
      <c r="CL98" s="353"/>
    </row>
    <row r="99" spans="2:94" ht="29.25" thickBot="1" x14ac:dyDescent="0.3">
      <c r="B99" s="1491"/>
      <c r="C99" s="1415"/>
      <c r="D99" s="754" t="str">
        <f>+'Plan de Accion 2018'!G166</f>
        <v xml:space="preserve">Atender las reclamaciones administrativas </v>
      </c>
      <c r="E99" s="1402"/>
      <c r="F99" s="1406"/>
      <c r="G99" s="328"/>
      <c r="H99" s="1473">
        <f>+'Plan de Accion 2018'!AE166</f>
        <v>0.22098528400763109</v>
      </c>
      <c r="I99" s="1480">
        <f>+'Plan de Accion 2018'!BN166</f>
        <v>0.22098528400763109</v>
      </c>
      <c r="J99" s="767">
        <f t="shared" si="35"/>
        <v>0.22098528400763109</v>
      </c>
      <c r="K99" s="1479">
        <f>+'Plan de Accion 2018'!AG166</f>
        <v>7.217888700079525E-2</v>
      </c>
      <c r="L99" s="1356">
        <f>+K99</f>
        <v>7.217888700079525E-2</v>
      </c>
      <c r="M99" s="682">
        <f t="shared" si="36"/>
        <v>7.217888700079525E-2</v>
      </c>
      <c r="N99" s="693"/>
      <c r="O99" s="1370">
        <f>+'Plan de Accion 2018'!AO166</f>
        <v>0.32405624377353331</v>
      </c>
      <c r="P99" s="1362">
        <f>+'Plan de Accion 2018'!BP166</f>
        <v>0.32405624377353331</v>
      </c>
      <c r="Q99" s="1356">
        <f>IF(P99&gt;100%,100%,P99)</f>
        <v>0.32405624377353331</v>
      </c>
      <c r="R99" s="1356">
        <f>+'Plan de Accion 2018'!AQ166</f>
        <v>0.17802312502899043</v>
      </c>
      <c r="S99" s="1356">
        <f>IF(R99&gt;100%,100%,R99)</f>
        <v>0.17802312502899043</v>
      </c>
      <c r="T99" s="1359">
        <f>+S99</f>
        <v>0.17802312502899043</v>
      </c>
      <c r="U99" s="355"/>
      <c r="V99" s="1370">
        <f>+'Plan de Accion 2018'!AY166</f>
        <v>0.61048620787464369</v>
      </c>
      <c r="W99" s="1362">
        <f>+'Plan de Accion 2018'!BR166</f>
        <v>0.61048620787464369</v>
      </c>
      <c r="X99" s="1356">
        <f>IF(W99&gt;100%,100%,W99)</f>
        <v>0.61048620787464369</v>
      </c>
      <c r="Y99" s="1476">
        <f>+'Plan de Accion 2018'!BA166</f>
        <v>0.28386736305718563</v>
      </c>
      <c r="Z99" s="1476">
        <f>IF(Y99&gt;100%,100%,Y99)</f>
        <v>0.28386736305718563</v>
      </c>
      <c r="AA99" s="1373">
        <f>+Z99</f>
        <v>0.28386736305718563</v>
      </c>
      <c r="AB99" s="693"/>
      <c r="AC99" s="1370">
        <f>+'Plan de Accion 2018'!BI166</f>
        <v>0.61048620787464369</v>
      </c>
      <c r="AD99" s="1362">
        <f>+'Plan de Accion 2018'!BT166</f>
        <v>0.61048620787464369</v>
      </c>
      <c r="AE99" s="1356">
        <f>IF(AD99&gt;100%,100%,AD99)</f>
        <v>0.61048620787464369</v>
      </c>
      <c r="AF99" s="1362">
        <f>+'Plan de Accion 2018'!BK166</f>
        <v>0.38971160108538078</v>
      </c>
      <c r="AG99" s="1359">
        <f>IF(AF99&gt;100%,100%,AF99)</f>
        <v>0.38971160108538078</v>
      </c>
      <c r="AH99" s="348"/>
      <c r="AI99" s="1016"/>
      <c r="AJ99" s="349"/>
      <c r="AK99" s="350"/>
      <c r="AL99" s="351"/>
      <c r="AM99" s="349"/>
      <c r="AN99" s="350"/>
      <c r="AO99" s="351"/>
      <c r="AP99" s="349"/>
      <c r="AQ99" s="350"/>
      <c r="AR99" s="351"/>
      <c r="AS99" s="349"/>
      <c r="AT99" s="350"/>
      <c r="AU99" s="352"/>
      <c r="AV99" s="353"/>
      <c r="AW99" s="352"/>
      <c r="AX99" s="349"/>
      <c r="AY99" s="350"/>
      <c r="AZ99" s="351"/>
      <c r="BA99" s="349"/>
      <c r="BB99" s="350"/>
      <c r="BC99" s="351"/>
      <c r="BD99" s="349"/>
      <c r="BE99" s="350"/>
      <c r="BF99" s="351"/>
      <c r="BG99" s="349"/>
      <c r="BH99" s="350"/>
      <c r="BI99" s="352"/>
      <c r="BJ99" s="353"/>
      <c r="BL99" s="349"/>
      <c r="BM99" s="350"/>
      <c r="BN99" s="351"/>
      <c r="BO99" s="349"/>
      <c r="BP99" s="350"/>
      <c r="BQ99" s="351"/>
      <c r="BR99" s="349"/>
      <c r="BS99" s="350"/>
      <c r="BT99" s="351"/>
      <c r="BU99" s="349"/>
      <c r="BV99" s="350"/>
      <c r="BW99" s="352"/>
      <c r="BX99" s="353"/>
      <c r="BZ99" s="349"/>
      <c r="CA99" s="350"/>
      <c r="CB99" s="351"/>
      <c r="CC99" s="349"/>
      <c r="CD99" s="350"/>
      <c r="CE99" s="351"/>
      <c r="CF99" s="349"/>
      <c r="CG99" s="350"/>
      <c r="CH99" s="351"/>
      <c r="CI99" s="349"/>
      <c r="CJ99" s="350"/>
      <c r="CK99" s="352"/>
      <c r="CL99" s="353"/>
    </row>
    <row r="100" spans="2:94" ht="29.25" thickBot="1" x14ac:dyDescent="0.3">
      <c r="B100" s="1491"/>
      <c r="C100" s="1415"/>
      <c r="D100" s="754" t="str">
        <f>+'Plan de Accion 2018'!G167</f>
        <v>Recurrir los Actos Administrativos interpuestos por COLPENSIONES</v>
      </c>
      <c r="E100" s="1402"/>
      <c r="F100" s="1406"/>
      <c r="G100" s="328"/>
      <c r="H100" s="1473"/>
      <c r="I100" s="1480"/>
      <c r="J100" s="767">
        <f t="shared" si="35"/>
        <v>0</v>
      </c>
      <c r="K100" s="1479"/>
      <c r="L100" s="1357"/>
      <c r="M100" s="682">
        <f t="shared" si="36"/>
        <v>0</v>
      </c>
      <c r="N100" s="694"/>
      <c r="O100" s="1371"/>
      <c r="P100" s="1363"/>
      <c r="Q100" s="1357"/>
      <c r="R100" s="1357"/>
      <c r="S100" s="1357"/>
      <c r="T100" s="1360"/>
      <c r="U100" s="356"/>
      <c r="V100" s="1371"/>
      <c r="W100" s="1363"/>
      <c r="X100" s="1357"/>
      <c r="Y100" s="1477"/>
      <c r="Z100" s="1477"/>
      <c r="AA100" s="1374"/>
      <c r="AB100" s="694"/>
      <c r="AC100" s="1371"/>
      <c r="AD100" s="1363"/>
      <c r="AE100" s="1357"/>
      <c r="AF100" s="1363"/>
      <c r="AG100" s="1360"/>
      <c r="AH100" s="348"/>
      <c r="AI100" s="1016"/>
      <c r="AJ100" s="349"/>
      <c r="AK100" s="350"/>
      <c r="AL100" s="351"/>
      <c r="AM100" s="349"/>
      <c r="AN100" s="350"/>
      <c r="AO100" s="351"/>
      <c r="AP100" s="349"/>
      <c r="AQ100" s="350"/>
      <c r="AR100" s="351"/>
      <c r="AS100" s="349"/>
      <c r="AT100" s="350"/>
      <c r="AU100" s="352"/>
      <c r="AV100" s="353"/>
      <c r="AW100" s="352"/>
      <c r="AX100" s="349"/>
      <c r="AY100" s="350"/>
      <c r="AZ100" s="351"/>
      <c r="BA100" s="349"/>
      <c r="BB100" s="350"/>
      <c r="BC100" s="351"/>
      <c r="BD100" s="349"/>
      <c r="BE100" s="350"/>
      <c r="BF100" s="351"/>
      <c r="BG100" s="349"/>
      <c r="BH100" s="350"/>
      <c r="BI100" s="352"/>
      <c r="BJ100" s="353"/>
      <c r="BL100" s="349"/>
      <c r="BM100" s="350"/>
      <c r="BN100" s="351"/>
      <c r="BO100" s="349"/>
      <c r="BP100" s="350"/>
      <c r="BQ100" s="351"/>
      <c r="BR100" s="349"/>
      <c r="BS100" s="350"/>
      <c r="BT100" s="351"/>
      <c r="BU100" s="349"/>
      <c r="BV100" s="350"/>
      <c r="BW100" s="352"/>
      <c r="BX100" s="353"/>
      <c r="BZ100" s="349"/>
      <c r="CA100" s="350"/>
      <c r="CB100" s="351"/>
      <c r="CC100" s="349"/>
      <c r="CD100" s="350"/>
      <c r="CE100" s="351"/>
      <c r="CF100" s="349"/>
      <c r="CG100" s="350"/>
      <c r="CH100" s="351"/>
      <c r="CI100" s="349"/>
      <c r="CJ100" s="350"/>
      <c r="CK100" s="352"/>
      <c r="CL100" s="353"/>
    </row>
    <row r="101" spans="2:94" ht="20.25" thickBot="1" x14ac:dyDescent="0.3">
      <c r="B101" s="1491"/>
      <c r="C101" s="1415"/>
      <c r="D101" s="754" t="str">
        <f>+'Plan de Accion 2018'!G168</f>
        <v>Trámites de Embargos</v>
      </c>
      <c r="E101" s="1402"/>
      <c r="F101" s="1406"/>
      <c r="G101" s="328"/>
      <c r="H101" s="1473"/>
      <c r="I101" s="1480"/>
      <c r="J101" s="767">
        <f t="shared" si="35"/>
        <v>0</v>
      </c>
      <c r="K101" s="1479"/>
      <c r="L101" s="1358"/>
      <c r="M101" s="682">
        <f t="shared" si="36"/>
        <v>0</v>
      </c>
      <c r="N101" s="694"/>
      <c r="O101" s="1372"/>
      <c r="P101" s="1364"/>
      <c r="Q101" s="1358"/>
      <c r="R101" s="1358"/>
      <c r="S101" s="1358"/>
      <c r="T101" s="1361"/>
      <c r="U101" s="356"/>
      <c r="V101" s="1372"/>
      <c r="W101" s="1364"/>
      <c r="X101" s="1358"/>
      <c r="Y101" s="1478"/>
      <c r="Z101" s="1478"/>
      <c r="AA101" s="1375"/>
      <c r="AB101" s="694"/>
      <c r="AC101" s="1372"/>
      <c r="AD101" s="1364"/>
      <c r="AE101" s="1358"/>
      <c r="AF101" s="1364"/>
      <c r="AG101" s="1361"/>
      <c r="AH101" s="348"/>
      <c r="AI101" s="1016"/>
      <c r="AJ101" s="349"/>
      <c r="AK101" s="350"/>
      <c r="AL101" s="351"/>
      <c r="AM101" s="349"/>
      <c r="AN101" s="350"/>
      <c r="AO101" s="351"/>
      <c r="AP101" s="349"/>
      <c r="AQ101" s="350"/>
      <c r="AR101" s="351"/>
      <c r="AS101" s="349"/>
      <c r="AT101" s="350"/>
      <c r="AU101" s="352"/>
      <c r="AV101" s="353"/>
      <c r="AW101" s="352"/>
      <c r="AX101" s="349"/>
      <c r="AY101" s="350"/>
      <c r="AZ101" s="351"/>
      <c r="BA101" s="349"/>
      <c r="BB101" s="350"/>
      <c r="BC101" s="351"/>
      <c r="BD101" s="349"/>
      <c r="BE101" s="350"/>
      <c r="BF101" s="351"/>
      <c r="BG101" s="349"/>
      <c r="BH101" s="350"/>
      <c r="BI101" s="352"/>
      <c r="BJ101" s="353"/>
      <c r="BL101" s="349"/>
      <c r="BM101" s="350"/>
      <c r="BN101" s="351"/>
      <c r="BO101" s="349"/>
      <c r="BP101" s="350"/>
      <c r="BQ101" s="351"/>
      <c r="BR101" s="349"/>
      <c r="BS101" s="350"/>
      <c r="BT101" s="351"/>
      <c r="BU101" s="349"/>
      <c r="BV101" s="350"/>
      <c r="BW101" s="352"/>
      <c r="BX101" s="353"/>
      <c r="BZ101" s="349"/>
      <c r="CA101" s="350"/>
      <c r="CB101" s="351"/>
      <c r="CC101" s="349"/>
      <c r="CD101" s="350"/>
      <c r="CE101" s="351"/>
      <c r="CF101" s="349"/>
      <c r="CG101" s="350"/>
      <c r="CH101" s="351"/>
      <c r="CI101" s="349"/>
      <c r="CJ101" s="350"/>
      <c r="CK101" s="352"/>
      <c r="CL101" s="353"/>
    </row>
    <row r="102" spans="2:94" ht="20.25" thickBot="1" x14ac:dyDescent="0.3">
      <c r="B102" s="1491"/>
      <c r="C102" s="1415"/>
      <c r="D102" s="754" t="str">
        <f>+'Plan de Accion 2018'!G169</f>
        <v xml:space="preserve">Emisión de Conceptos Jurídicos </v>
      </c>
      <c r="E102" s="1402"/>
      <c r="F102" s="1406"/>
      <c r="G102" s="328"/>
      <c r="H102" s="543">
        <f>+'Plan de Accion 2018'!AE169</f>
        <v>0.37746843578443451</v>
      </c>
      <c r="I102" s="767">
        <f>+'Plan de Accion 2018'!BN169</f>
        <v>0.37746843578443451</v>
      </c>
      <c r="J102" s="767">
        <f t="shared" si="35"/>
        <v>0.37746843578443451</v>
      </c>
      <c r="K102" s="767">
        <f>+'Plan de Accion 2018'!AG169</f>
        <v>9.4367108946108627E-2</v>
      </c>
      <c r="L102" s="767">
        <f>+K102</f>
        <v>9.4367108946108627E-2</v>
      </c>
      <c r="M102" s="682">
        <f t="shared" si="36"/>
        <v>9.4367108946108627E-2</v>
      </c>
      <c r="N102" s="642"/>
      <c r="O102" s="543">
        <f>+'Plan de Accion 2018'!AO169</f>
        <v>0.67938719292147742</v>
      </c>
      <c r="P102" s="767">
        <f>+'Plan de Accion 2018'!BP169</f>
        <v>0.67938719292147742</v>
      </c>
      <c r="Q102" s="629">
        <f>IF(P102&gt;100%,100%,P102)</f>
        <v>0.67938719292147742</v>
      </c>
      <c r="R102" s="751">
        <f>+'Plan de Accion 2018'!AQ169</f>
        <v>0.26421390717647797</v>
      </c>
      <c r="S102" s="751">
        <f>IF(R102&gt;100%,100%,R102)</f>
        <v>0.26421390717647797</v>
      </c>
      <c r="T102" s="637">
        <f>+S102</f>
        <v>0.26421390717647797</v>
      </c>
      <c r="U102" s="322"/>
      <c r="V102" s="543">
        <f>+'Plan de Accion 2018'!AY169</f>
        <v>0.99652090001154781</v>
      </c>
      <c r="W102" s="767">
        <f>+'Plan de Accion 2018'!BR169</f>
        <v>0.99652090001154781</v>
      </c>
      <c r="X102" s="629">
        <f>IF(W102&gt;100%,100%,W102)</f>
        <v>0.99652090001154781</v>
      </c>
      <c r="Y102" s="882">
        <f>+'Plan de Accion 2018'!BA169</f>
        <v>0.51334413217936492</v>
      </c>
      <c r="Z102" s="882">
        <f>IF(Y102&gt;100%,100%,Y102)</f>
        <v>0.51334413217936492</v>
      </c>
      <c r="AA102" s="883">
        <f>+Z102</f>
        <v>0.51334413217936492</v>
      </c>
      <c r="AB102" s="642"/>
      <c r="AC102" s="543">
        <f>+'Plan de Accion 2018'!BI169</f>
        <v>1.9683376059768778</v>
      </c>
      <c r="AD102" s="767">
        <f>+'Plan de Accion 2018'!BT169</f>
        <v>1.9683376059768778</v>
      </c>
      <c r="AE102" s="629">
        <f>IF(AD102&gt;100%,100%,AD102)</f>
        <v>1</v>
      </c>
      <c r="AF102" s="767">
        <f>+'Plan de Accion 2018'!BK169</f>
        <v>1.0054285336735844</v>
      </c>
      <c r="AG102" s="637">
        <f>IF(AF102&gt;100%,100%,AF102)</f>
        <v>1</v>
      </c>
      <c r="AH102" s="348"/>
      <c r="AI102" s="1016">
        <v>1</v>
      </c>
      <c r="AJ102" s="349"/>
      <c r="AK102" s="350"/>
      <c r="AL102" s="351"/>
      <c r="AM102" s="349"/>
      <c r="AN102" s="350"/>
      <c r="AO102" s="351"/>
      <c r="AP102" s="349"/>
      <c r="AQ102" s="350"/>
      <c r="AR102" s="351"/>
      <c r="AS102" s="349"/>
      <c r="AT102" s="350"/>
      <c r="AU102" s="352"/>
      <c r="AV102" s="353"/>
      <c r="AW102" s="352"/>
      <c r="AX102" s="349"/>
      <c r="AY102" s="350"/>
      <c r="AZ102" s="351"/>
      <c r="BA102" s="349"/>
      <c r="BB102" s="350"/>
      <c r="BC102" s="351"/>
      <c r="BD102" s="349"/>
      <c r="BE102" s="350"/>
      <c r="BF102" s="351"/>
      <c r="BG102" s="349"/>
      <c r="BH102" s="350"/>
      <c r="BI102" s="352"/>
      <c r="BJ102" s="353"/>
      <c r="BL102" s="349"/>
      <c r="BM102" s="350"/>
      <c r="BN102" s="351"/>
      <c r="BO102" s="349"/>
      <c r="BP102" s="350"/>
      <c r="BQ102" s="351"/>
      <c r="BR102" s="349"/>
      <c r="BS102" s="350"/>
      <c r="BT102" s="351"/>
      <c r="BU102" s="349"/>
      <c r="BV102" s="350"/>
      <c r="BW102" s="352"/>
      <c r="BX102" s="353"/>
      <c r="BZ102" s="349"/>
      <c r="CA102" s="350"/>
      <c r="CB102" s="351"/>
      <c r="CC102" s="349"/>
      <c r="CD102" s="350"/>
      <c r="CE102" s="351"/>
      <c r="CF102" s="349"/>
      <c r="CG102" s="350"/>
      <c r="CH102" s="351"/>
      <c r="CI102" s="349"/>
      <c r="CJ102" s="350"/>
      <c r="CK102" s="352"/>
      <c r="CL102" s="353"/>
    </row>
    <row r="103" spans="2:94" ht="29.25" thickBot="1" x14ac:dyDescent="0.3">
      <c r="B103" s="1491"/>
      <c r="C103" s="1415"/>
      <c r="D103" s="754" t="str">
        <f>+'Plan de Accion 2018'!G173</f>
        <v>Depuración de Cartera FOSYGA y/o ADRES</v>
      </c>
      <c r="E103" s="1402"/>
      <c r="F103" s="1406"/>
      <c r="G103" s="328"/>
      <c r="H103" s="543">
        <f>+'Plan de Accion 2018'!AE173</f>
        <v>0.84444443487978149</v>
      </c>
      <c r="I103" s="767">
        <f>+'Plan de Accion 2018'!BN173</f>
        <v>0.84444443487978149</v>
      </c>
      <c r="J103" s="767">
        <f t="shared" si="35"/>
        <v>0.84444443487978149</v>
      </c>
      <c r="K103" s="767">
        <f>+'Plan de Accion 2018'!AG173</f>
        <v>0.21111110871994537</v>
      </c>
      <c r="L103" s="767">
        <f>+K103</f>
        <v>0.21111110871994537</v>
      </c>
      <c r="M103" s="682">
        <f t="shared" si="36"/>
        <v>0.21111110871994537</v>
      </c>
      <c r="N103" s="642"/>
      <c r="O103" s="543">
        <f>+'Plan de Accion 2018'!AO173</f>
        <v>1</v>
      </c>
      <c r="P103" s="767">
        <f>+'Plan de Accion 2018'!BP173</f>
        <v>1</v>
      </c>
      <c r="Q103" s="629">
        <f>IF(P103&gt;100%,100%,P103)</f>
        <v>1</v>
      </c>
      <c r="R103" s="751">
        <f>+'Plan de Accion 2018'!AQ173</f>
        <v>0.46111110871994537</v>
      </c>
      <c r="S103" s="873">
        <f>IF(R103&gt;100%,100%,R103)</f>
        <v>0.46111110871994537</v>
      </c>
      <c r="T103" s="637">
        <f>+S103</f>
        <v>0.46111110871994537</v>
      </c>
      <c r="U103" s="322"/>
      <c r="V103" s="543">
        <f>+'Plan de Accion 2018'!AY173</f>
        <v>1</v>
      </c>
      <c r="W103" s="767">
        <f>+'Plan de Accion 2018'!BR173</f>
        <v>1</v>
      </c>
      <c r="X103" s="629">
        <f>IF(W103&gt;100%,100%,W103)</f>
        <v>1</v>
      </c>
      <c r="Y103" s="882">
        <f>+'Plan de Accion 2018'!BA173</f>
        <v>0.71111110871994543</v>
      </c>
      <c r="Z103" s="882">
        <f>IF(Y103&gt;100%,100%,Y103)</f>
        <v>0.71111110871994543</v>
      </c>
      <c r="AA103" s="883">
        <f>+Z103</f>
        <v>0.71111110871994543</v>
      </c>
      <c r="AB103" s="642"/>
      <c r="AC103" s="543">
        <f>+'Plan de Accion 2018'!BI173</f>
        <v>0.88888876933060224</v>
      </c>
      <c r="AD103" s="767">
        <f>+'Plan de Accion 2018'!BT173</f>
        <v>0.88888876933060224</v>
      </c>
      <c r="AE103" s="629">
        <f>IF(AD103&gt;100%,100%,AD103)</f>
        <v>0.88888876933060224</v>
      </c>
      <c r="AF103" s="767">
        <f>+'Plan de Accion 2018'!BK173</f>
        <v>0.93333330105259593</v>
      </c>
      <c r="AG103" s="637">
        <f>IF(AF103&gt;100%,100%,AF103)</f>
        <v>0.93333330105259593</v>
      </c>
      <c r="AH103" s="348"/>
      <c r="AI103" s="1016"/>
      <c r="AJ103" s="349"/>
      <c r="AK103" s="350"/>
      <c r="AL103" s="351"/>
      <c r="AM103" s="349"/>
      <c r="AN103" s="350"/>
      <c r="AO103" s="351"/>
      <c r="AP103" s="349"/>
      <c r="AQ103" s="350"/>
      <c r="AR103" s="351"/>
      <c r="AS103" s="349"/>
      <c r="AT103" s="350"/>
      <c r="AU103" s="352"/>
      <c r="AV103" s="353"/>
      <c r="AW103" s="352"/>
      <c r="AX103" s="349"/>
      <c r="AY103" s="350"/>
      <c r="AZ103" s="351"/>
      <c r="BA103" s="349"/>
      <c r="BB103" s="350"/>
      <c r="BC103" s="351"/>
      <c r="BD103" s="349"/>
      <c r="BE103" s="350"/>
      <c r="BF103" s="351"/>
      <c r="BG103" s="349"/>
      <c r="BH103" s="350"/>
      <c r="BI103" s="352"/>
      <c r="BJ103" s="353"/>
      <c r="BL103" s="349"/>
      <c r="BM103" s="350"/>
      <c r="BN103" s="351"/>
      <c r="BO103" s="349"/>
      <c r="BP103" s="350"/>
      <c r="BQ103" s="351"/>
      <c r="BR103" s="349"/>
      <c r="BS103" s="350"/>
      <c r="BT103" s="351"/>
      <c r="BU103" s="349"/>
      <c r="BV103" s="350"/>
      <c r="BW103" s="352"/>
      <c r="BX103" s="353"/>
      <c r="BZ103" s="349"/>
      <c r="CA103" s="350"/>
      <c r="CB103" s="351"/>
      <c r="CC103" s="349"/>
      <c r="CD103" s="350"/>
      <c r="CE103" s="351"/>
      <c r="CF103" s="349"/>
      <c r="CG103" s="350"/>
      <c r="CH103" s="351"/>
      <c r="CI103" s="349"/>
      <c r="CJ103" s="350"/>
      <c r="CK103" s="352"/>
      <c r="CL103" s="353"/>
    </row>
    <row r="104" spans="2:94" s="542" customFormat="1" ht="29.25" thickBot="1" x14ac:dyDescent="0.3">
      <c r="B104" s="1491"/>
      <c r="C104" s="1415"/>
      <c r="D104" s="754" t="str">
        <f>+'Plan de Accion 2018'!G306</f>
        <v>Revisión, análisis y liquidación de sentencias condenatorias</v>
      </c>
      <c r="E104" s="1402"/>
      <c r="F104" s="1406"/>
      <c r="G104" s="328"/>
      <c r="H104" s="1368" t="e">
        <f>+'Plan de Accion 2018'!AE306</f>
        <v>#DIV/0!</v>
      </c>
      <c r="I104" s="1356" t="str">
        <f>+'Plan de Accion 2018'!BN306</f>
        <v>No Prog ni Ejec</v>
      </c>
      <c r="J104" s="1356" t="s">
        <v>792</v>
      </c>
      <c r="K104" s="1356">
        <f>+'Plan de Accion 2018'!AG306</f>
        <v>0</v>
      </c>
      <c r="L104" s="1356">
        <f>+K104</f>
        <v>0</v>
      </c>
      <c r="M104" s="1359" t="s">
        <v>792</v>
      </c>
      <c r="N104" s="642"/>
      <c r="O104" s="1368" t="e">
        <f>+'Plan de Accion 2018'!AO306</f>
        <v>#DIV/0!</v>
      </c>
      <c r="P104" s="1356" t="str">
        <f>+'Plan de Accion 2018'!BP306</f>
        <v>No Prog ni Ejec</v>
      </c>
      <c r="Q104" s="1356" t="s">
        <v>792</v>
      </c>
      <c r="R104" s="1356">
        <f>+'Plan de Accion 2018'!AQ306</f>
        <v>0</v>
      </c>
      <c r="S104" s="1356">
        <f>IF(R104&gt;100%,100%,R104)</f>
        <v>0</v>
      </c>
      <c r="T104" s="1359" t="s">
        <v>792</v>
      </c>
      <c r="U104" s="322"/>
      <c r="V104" s="1368">
        <f>+'Plan de Accion 2018'!AY306</f>
        <v>1.0769229567209402</v>
      </c>
      <c r="W104" s="1356">
        <f>+'Plan de Accion 2018'!BR306</f>
        <v>1.0769229567209402</v>
      </c>
      <c r="X104" s="1356">
        <f>IF(W104&gt;100%,100%,W104)</f>
        <v>1</v>
      </c>
      <c r="Y104" s="1476">
        <f>+'Plan de Accion 2018'!BA306</f>
        <v>0.11666665161914018</v>
      </c>
      <c r="Z104" s="1476">
        <f>IF(Y104&gt;100%,100%,Y104)</f>
        <v>0.11666665161914018</v>
      </c>
      <c r="AA104" s="1373">
        <f>+Z104</f>
        <v>0.11666665161914018</v>
      </c>
      <c r="AB104" s="642">
        <v>1</v>
      </c>
      <c r="AC104" s="1368">
        <f>+'Plan de Accion 2018'!BI306</f>
        <v>0.99065422039345552</v>
      </c>
      <c r="AD104" s="1356">
        <f>+'Plan de Accion 2018'!BT306</f>
        <v>0.99065422039345552</v>
      </c>
      <c r="AE104" s="1356">
        <f>IF(AD104&gt;100%,100%,AD104)</f>
        <v>0.99065422039345552</v>
      </c>
      <c r="AF104" s="1356">
        <f>+'Plan de Accion 2018'!BK306</f>
        <v>1</v>
      </c>
      <c r="AG104" s="1359">
        <f>IF(AF104&gt;100%,100%,AF104)</f>
        <v>1</v>
      </c>
      <c r="AH104" s="348"/>
      <c r="AI104" s="1016"/>
      <c r="AJ104" s="349"/>
      <c r="AK104" s="350"/>
      <c r="AL104" s="351"/>
      <c r="AM104" s="349"/>
      <c r="AN104" s="350"/>
      <c r="AO104" s="351"/>
      <c r="AP104" s="349"/>
      <c r="AQ104" s="350"/>
      <c r="AR104" s="351"/>
      <c r="AS104" s="349"/>
      <c r="AT104" s="350"/>
      <c r="AU104" s="352"/>
      <c r="AV104" s="353"/>
      <c r="AW104" s="352"/>
      <c r="AX104" s="349"/>
      <c r="AY104" s="350"/>
      <c r="AZ104" s="351"/>
      <c r="BA104" s="349"/>
      <c r="BB104" s="350"/>
      <c r="BC104" s="351"/>
      <c r="BD104" s="349"/>
      <c r="BE104" s="350"/>
      <c r="BF104" s="351"/>
      <c r="BG104" s="349"/>
      <c r="BH104" s="350"/>
      <c r="BI104" s="352"/>
      <c r="BJ104" s="353"/>
      <c r="BL104" s="349"/>
      <c r="BM104" s="350"/>
      <c r="BN104" s="351"/>
      <c r="BO104" s="349"/>
      <c r="BP104" s="350"/>
      <c r="BQ104" s="351"/>
      <c r="BR104" s="349"/>
      <c r="BS104" s="350"/>
      <c r="BT104" s="351"/>
      <c r="BU104" s="349"/>
      <c r="BV104" s="350"/>
      <c r="BW104" s="352"/>
      <c r="BX104" s="353"/>
      <c r="BZ104" s="349"/>
      <c r="CA104" s="350"/>
      <c r="CB104" s="351"/>
      <c r="CC104" s="349"/>
      <c r="CD104" s="350"/>
      <c r="CE104" s="351"/>
      <c r="CF104" s="349"/>
      <c r="CG104" s="350"/>
      <c r="CH104" s="351"/>
      <c r="CI104" s="349"/>
      <c r="CJ104" s="350"/>
      <c r="CK104" s="352"/>
      <c r="CL104" s="353"/>
    </row>
    <row r="105" spans="2:94" s="542" customFormat="1" ht="57.75" thickBot="1" x14ac:dyDescent="0.3">
      <c r="B105" s="1491"/>
      <c r="C105" s="1415"/>
      <c r="D105" s="754" t="str">
        <f>+'Plan de Accion 2018'!G307</f>
        <v>Entrega de la provisión de contingencias judiciales al Grupo de Gestión Contable y Control de Recursos ET en la fecha pactada</v>
      </c>
      <c r="E105" s="1402"/>
      <c r="F105" s="1406"/>
      <c r="G105" s="328"/>
      <c r="H105" s="1369"/>
      <c r="I105" s="1358"/>
      <c r="J105" s="1358"/>
      <c r="K105" s="1358"/>
      <c r="L105" s="1358"/>
      <c r="M105" s="1361"/>
      <c r="N105" s="642"/>
      <c r="O105" s="1369"/>
      <c r="P105" s="1358"/>
      <c r="Q105" s="1358"/>
      <c r="R105" s="1358"/>
      <c r="S105" s="1358"/>
      <c r="T105" s="1361"/>
      <c r="U105" s="322"/>
      <c r="V105" s="1369"/>
      <c r="W105" s="1358"/>
      <c r="X105" s="1358">
        <f>IF(W105&gt;100%,100%,W105)</f>
        <v>0</v>
      </c>
      <c r="Y105" s="1478"/>
      <c r="Z105" s="1478"/>
      <c r="AA105" s="1375"/>
      <c r="AB105" s="642"/>
      <c r="AC105" s="1369"/>
      <c r="AD105" s="1358"/>
      <c r="AE105" s="1358"/>
      <c r="AF105" s="1358"/>
      <c r="AG105" s="1361"/>
      <c r="AH105" s="348"/>
      <c r="AI105" s="1016"/>
      <c r="AJ105" s="349"/>
      <c r="AK105" s="350"/>
      <c r="AL105" s="351"/>
      <c r="AM105" s="349"/>
      <c r="AN105" s="350"/>
      <c r="AO105" s="351"/>
      <c r="AP105" s="349"/>
      <c r="AQ105" s="350"/>
      <c r="AR105" s="351"/>
      <c r="AS105" s="349"/>
      <c r="AT105" s="350"/>
      <c r="AU105" s="352"/>
      <c r="AV105" s="353"/>
      <c r="AW105" s="352"/>
      <c r="AX105" s="349"/>
      <c r="AY105" s="350"/>
      <c r="AZ105" s="351"/>
      <c r="BA105" s="349"/>
      <c r="BB105" s="350"/>
      <c r="BC105" s="351"/>
      <c r="BD105" s="349"/>
      <c r="BE105" s="350"/>
      <c r="BF105" s="351"/>
      <c r="BG105" s="349"/>
      <c r="BH105" s="350"/>
      <c r="BI105" s="352"/>
      <c r="BJ105" s="353"/>
      <c r="BL105" s="349"/>
      <c r="BM105" s="350"/>
      <c r="BN105" s="351"/>
      <c r="BO105" s="349"/>
      <c r="BP105" s="350"/>
      <c r="BQ105" s="351"/>
      <c r="BR105" s="349"/>
      <c r="BS105" s="350"/>
      <c r="BT105" s="351"/>
      <c r="BU105" s="349"/>
      <c r="BV105" s="350"/>
      <c r="BW105" s="352"/>
      <c r="BX105" s="353"/>
      <c r="BZ105" s="349"/>
      <c r="CA105" s="350"/>
      <c r="CB105" s="351"/>
      <c r="CC105" s="349"/>
      <c r="CD105" s="350"/>
      <c r="CE105" s="351"/>
      <c r="CF105" s="349"/>
      <c r="CG105" s="350"/>
      <c r="CH105" s="351"/>
      <c r="CI105" s="349"/>
      <c r="CJ105" s="350"/>
      <c r="CK105" s="352"/>
      <c r="CL105" s="353"/>
    </row>
    <row r="106" spans="2:94" s="542" customFormat="1" ht="61.5" customHeight="1" thickBot="1" x14ac:dyDescent="0.3">
      <c r="B106" s="1491"/>
      <c r="C106" s="1415"/>
      <c r="D106" s="754" t="str">
        <f>+'Plan de Accion 2018'!G179</f>
        <v>Proceso inicial de cobro por concepto de accidentes de transito, donde el vehículo involucrando carecía de SOAT</v>
      </c>
      <c r="E106" s="1402"/>
      <c r="F106" s="1406"/>
      <c r="G106" s="328"/>
      <c r="H106" s="543" t="e">
        <f>+'Plan de Accion 2018'!AE179</f>
        <v>#DIV/0!</v>
      </c>
      <c r="I106" s="767" t="str">
        <f>+'Plan de Accion 2018'!BN179</f>
        <v>No Prog ni Ejec</v>
      </c>
      <c r="J106" s="750" t="s">
        <v>792</v>
      </c>
      <c r="K106" s="767">
        <f>+'Plan de Accion 2018'!AG179</f>
        <v>0</v>
      </c>
      <c r="L106" s="767">
        <f>+K106</f>
        <v>0</v>
      </c>
      <c r="M106" s="682" t="s">
        <v>792</v>
      </c>
      <c r="N106" s="642"/>
      <c r="O106" s="543" t="e">
        <f>+'Plan de Accion 2018'!AO179</f>
        <v>#DIV/0!</v>
      </c>
      <c r="P106" s="767" t="str">
        <f>+'Plan de Accion 2018'!BP179</f>
        <v>No Prog ni Ejec</v>
      </c>
      <c r="Q106" s="629" t="s">
        <v>792</v>
      </c>
      <c r="R106" s="751">
        <f>+'Plan de Accion 2018'!AQ179</f>
        <v>0</v>
      </c>
      <c r="S106" s="751">
        <f>IF(R106&gt;100%,100%,R106)</f>
        <v>0</v>
      </c>
      <c r="T106" s="637" t="s">
        <v>792</v>
      </c>
      <c r="U106" s="322"/>
      <c r="V106" s="543" t="e">
        <f>+'Plan de Accion 2018'!AY179</f>
        <v>#DIV/0!</v>
      </c>
      <c r="W106" s="767" t="str">
        <f>+'Plan de Accion 2018'!BR179</f>
        <v>No Prog ni Ejec</v>
      </c>
      <c r="X106" s="629" t="s">
        <v>792</v>
      </c>
      <c r="Y106" s="882">
        <f>+'Plan de Accion 2018'!BA179</f>
        <v>0</v>
      </c>
      <c r="Z106" s="882">
        <f>IF(Y106&gt;100%,100%,Y106)</f>
        <v>0</v>
      </c>
      <c r="AA106" s="883" t="s">
        <v>792</v>
      </c>
      <c r="AB106" s="642"/>
      <c r="AC106" s="543">
        <f>+'Plan de Accion 2018'!BI179</f>
        <v>0.67500000000000004</v>
      </c>
      <c r="AD106" s="767">
        <f>+'Plan de Accion 2018'!BT179</f>
        <v>0.67500000000000004</v>
      </c>
      <c r="AE106" s="629">
        <f>IF(AD106&gt;100%,100%,AD106)</f>
        <v>0.67500000000000004</v>
      </c>
      <c r="AF106" s="767">
        <f>+'Plan de Accion 2018'!BK179</f>
        <v>0.67500000000000004</v>
      </c>
      <c r="AG106" s="637">
        <f>IF(AF106&gt;100%,100%,AF106)</f>
        <v>0.67500000000000004</v>
      </c>
      <c r="AH106" s="348"/>
      <c r="AI106" s="1016"/>
      <c r="AJ106" s="349"/>
      <c r="AK106" s="350"/>
      <c r="AL106" s="351"/>
      <c r="AM106" s="349"/>
      <c r="AN106" s="350"/>
      <c r="AO106" s="351"/>
      <c r="AP106" s="349"/>
      <c r="AQ106" s="350"/>
      <c r="AR106" s="351"/>
      <c r="AS106" s="349"/>
      <c r="AT106" s="350"/>
      <c r="AU106" s="352"/>
      <c r="AV106" s="353"/>
      <c r="AW106" s="352"/>
      <c r="AX106" s="349"/>
      <c r="AY106" s="350"/>
      <c r="AZ106" s="351"/>
      <c r="BA106" s="349"/>
      <c r="BB106" s="350"/>
      <c r="BC106" s="351"/>
      <c r="BD106" s="349"/>
      <c r="BE106" s="350"/>
      <c r="BF106" s="351"/>
      <c r="BG106" s="349"/>
      <c r="BH106" s="350"/>
      <c r="BI106" s="352"/>
      <c r="BJ106" s="353"/>
      <c r="BL106" s="349"/>
      <c r="BM106" s="350"/>
      <c r="BN106" s="351"/>
      <c r="BO106" s="349"/>
      <c r="BP106" s="350"/>
      <c r="BQ106" s="351"/>
      <c r="BR106" s="349"/>
      <c r="BS106" s="350"/>
      <c r="BT106" s="351"/>
      <c r="BU106" s="349"/>
      <c r="BV106" s="350"/>
      <c r="BW106" s="352"/>
      <c r="BX106" s="353"/>
      <c r="BZ106" s="349"/>
      <c r="CA106" s="350"/>
      <c r="CB106" s="351"/>
      <c r="CC106" s="349"/>
      <c r="CD106" s="350"/>
      <c r="CE106" s="351"/>
      <c r="CF106" s="349"/>
      <c r="CG106" s="350"/>
      <c r="CH106" s="351"/>
      <c r="CI106" s="349"/>
      <c r="CJ106" s="350"/>
      <c r="CK106" s="352"/>
      <c r="CL106" s="353"/>
    </row>
    <row r="107" spans="2:94" ht="20.25" thickBot="1" x14ac:dyDescent="0.3">
      <c r="B107" s="1491"/>
      <c r="C107" s="1415"/>
      <c r="D107" s="754" t="str">
        <f>+'Plan de Accion 2018'!G187</f>
        <v>Procesos penales</v>
      </c>
      <c r="E107" s="1402"/>
      <c r="F107" s="1406"/>
      <c r="G107" s="328"/>
      <c r="H107" s="543">
        <f>+'Plan de Accion 2018'!AE187</f>
        <v>0.44677872387190237</v>
      </c>
      <c r="I107" s="767">
        <f>+'Plan de Accion 2018'!BN187</f>
        <v>0.44677872387190237</v>
      </c>
      <c r="J107" s="767">
        <f>IF(I107&gt;100%,100%,I107)</f>
        <v>0.44677872387190237</v>
      </c>
      <c r="K107" s="767">
        <f>+'Plan de Accion 2018'!AG187</f>
        <v>0.11169468096797559</v>
      </c>
      <c r="L107" s="767">
        <f>+K107</f>
        <v>0.11169468096797559</v>
      </c>
      <c r="M107" s="682">
        <f t="shared" si="36"/>
        <v>0.11169468096797559</v>
      </c>
      <c r="N107" s="642"/>
      <c r="O107" s="543">
        <f>+'Plan de Accion 2018'!AO187</f>
        <v>1.3333333984864699</v>
      </c>
      <c r="P107" s="767">
        <f>+'Plan de Accion 2018'!BP187</f>
        <v>1.3333333984864699</v>
      </c>
      <c r="Q107" s="629">
        <f>IF(P107&gt;100%,100%,P107)</f>
        <v>1</v>
      </c>
      <c r="R107" s="751">
        <f>+'Plan de Accion 2018'!AQ187</f>
        <v>0.44502803058959306</v>
      </c>
      <c r="S107" s="751">
        <f>IF(R107&gt;100%,100%,R107)</f>
        <v>0.44502803058959306</v>
      </c>
      <c r="T107" s="637">
        <f>+S107</f>
        <v>0.44502803058959306</v>
      </c>
      <c r="U107" s="642">
        <v>1</v>
      </c>
      <c r="V107" s="543">
        <f>+'Plan de Accion 2018'!AY187</f>
        <v>1.0000000488648524</v>
      </c>
      <c r="W107" s="767">
        <f>+'Plan de Accion 2018'!BR187</f>
        <v>1.0000000488648524</v>
      </c>
      <c r="X107" s="629">
        <f>IF(W107&gt;100%,100%,W107)</f>
        <v>1</v>
      </c>
      <c r="Y107" s="882">
        <f>+'Plan de Accion 2018'!BA187</f>
        <v>0.6950280428058061</v>
      </c>
      <c r="Z107" s="882">
        <f t="shared" ref="Z107:Z108" si="37">IF(Y107&gt;100%,100%,Y107)</f>
        <v>0.6950280428058061</v>
      </c>
      <c r="AA107" s="883">
        <f>+Z107</f>
        <v>0.6950280428058061</v>
      </c>
      <c r="AB107" s="642"/>
      <c r="AC107" s="543">
        <f>+'Plan de Accion 2018'!BI187</f>
        <v>1.0000000488648524</v>
      </c>
      <c r="AD107" s="767">
        <f>+'Plan de Accion 2018'!BT187</f>
        <v>1.0000000488648524</v>
      </c>
      <c r="AE107" s="629">
        <f>IF(AD107&gt;100%,100%,AD107)</f>
        <v>1</v>
      </c>
      <c r="AF107" s="767">
        <f>+'Plan de Accion 2018'!BK187</f>
        <v>0.94502805502201925</v>
      </c>
      <c r="AG107" s="637">
        <f>IF(AF107&gt;100%,100%,AF107)</f>
        <v>0.94502805502201925</v>
      </c>
      <c r="AH107" s="348"/>
      <c r="AI107" s="1016"/>
      <c r="AJ107" s="349"/>
      <c r="AK107" s="350"/>
      <c r="AL107" s="351"/>
      <c r="AM107" s="349"/>
      <c r="AN107" s="350"/>
      <c r="AO107" s="351"/>
      <c r="AP107" s="349"/>
      <c r="AQ107" s="350"/>
      <c r="AR107" s="351"/>
      <c r="AS107" s="349"/>
      <c r="AT107" s="350"/>
      <c r="AU107" s="352"/>
      <c r="AV107" s="353"/>
      <c r="AW107" s="352"/>
      <c r="AX107" s="349"/>
      <c r="AY107" s="350"/>
      <c r="AZ107" s="351"/>
      <c r="BA107" s="349"/>
      <c r="BB107" s="350"/>
      <c r="BC107" s="351"/>
      <c r="BD107" s="349"/>
      <c r="BE107" s="350"/>
      <c r="BF107" s="351"/>
      <c r="BG107" s="349"/>
      <c r="BH107" s="350"/>
      <c r="BI107" s="352"/>
      <c r="BJ107" s="353"/>
      <c r="BL107" s="349"/>
      <c r="BM107" s="350"/>
      <c r="BN107" s="351"/>
      <c r="BO107" s="349"/>
      <c r="BP107" s="350"/>
      <c r="BQ107" s="351"/>
      <c r="BR107" s="349"/>
      <c r="BS107" s="350"/>
      <c r="BT107" s="351"/>
      <c r="BU107" s="349"/>
      <c r="BV107" s="350"/>
      <c r="BW107" s="352"/>
      <c r="BX107" s="353"/>
      <c r="BZ107" s="349"/>
      <c r="CA107" s="350"/>
      <c r="CB107" s="351"/>
      <c r="CC107" s="349"/>
      <c r="CD107" s="350"/>
      <c r="CE107" s="351"/>
      <c r="CF107" s="349"/>
      <c r="CG107" s="350"/>
      <c r="CH107" s="351"/>
      <c r="CI107" s="349"/>
      <c r="CJ107" s="350"/>
      <c r="CK107" s="352"/>
      <c r="CL107" s="353"/>
    </row>
    <row r="108" spans="2:94" ht="72" thickBot="1" x14ac:dyDescent="0.3">
      <c r="B108" s="1491"/>
      <c r="C108" s="1416"/>
      <c r="D108" s="755" t="str">
        <f>+'Plan de Accion 2018'!G72</f>
        <v>Apoyos técnicos entregados a la OAJ en recobros y reclamaciones una vez son resueltos por la Dirección de Tecnología de la Información</v>
      </c>
      <c r="E108" s="755" t="str">
        <f>+'Plan de Accion 2018'!B72</f>
        <v xml:space="preserve">Dirección de Otras Prestaciones  </v>
      </c>
      <c r="F108" s="1407"/>
      <c r="G108" s="328"/>
      <c r="H108" s="748">
        <f>+'Plan de Accion 2018'!AE72</f>
        <v>0.2088888888888889</v>
      </c>
      <c r="I108" s="750">
        <f>+'Plan de Accion 2018'!BN72</f>
        <v>0.2088888888888889</v>
      </c>
      <c r="J108" s="750">
        <f t="shared" si="35"/>
        <v>0.2088888888888889</v>
      </c>
      <c r="K108" s="750">
        <f>+'Plan de Accion 2018'!AG72</f>
        <v>5.2222222222222225E-2</v>
      </c>
      <c r="L108" s="750">
        <f>+K108</f>
        <v>5.2222222222222225E-2</v>
      </c>
      <c r="M108" s="752">
        <f t="shared" si="36"/>
        <v>5.2222222222222225E-2</v>
      </c>
      <c r="N108" s="642"/>
      <c r="O108" s="748">
        <f>+'Plan de Accion 2018'!AO72</f>
        <v>0.4</v>
      </c>
      <c r="P108" s="750">
        <f>+'Plan de Accion 2018'!BP72</f>
        <v>0.4</v>
      </c>
      <c r="Q108" s="631">
        <f>IF(P108&gt;100%,100%,P108)</f>
        <v>0.4</v>
      </c>
      <c r="R108" s="751">
        <f>+'Plan de Accion 2018'!AQ72</f>
        <v>0.15222222222222223</v>
      </c>
      <c r="S108" s="760">
        <f>IF(R108&gt;100%,100%,R108)</f>
        <v>0.15222222222222223</v>
      </c>
      <c r="T108" s="637">
        <f>+S108</f>
        <v>0.15222222222222223</v>
      </c>
      <c r="U108" s="322"/>
      <c r="V108" s="748">
        <f>+'Plan de Accion 2018'!AY72</f>
        <v>0.4</v>
      </c>
      <c r="W108" s="750">
        <f>+'Plan de Accion 2018'!BR72</f>
        <v>0.4</v>
      </c>
      <c r="X108" s="629">
        <f>IF(W108&gt;100%,100%,W108)</f>
        <v>0.4</v>
      </c>
      <c r="Y108" s="882">
        <f>+'Plan de Accion 2018'!BA72</f>
        <v>0.25222222222222224</v>
      </c>
      <c r="Z108" s="882">
        <f t="shared" si="37"/>
        <v>0.25222222222222224</v>
      </c>
      <c r="AA108" s="883">
        <f>+Z108</f>
        <v>0.25222222222222224</v>
      </c>
      <c r="AB108" s="642"/>
      <c r="AC108" s="748">
        <f>+'Plan de Accion 2018'!BI72</f>
        <v>0.4</v>
      </c>
      <c r="AD108" s="750">
        <f>+'Plan de Accion 2018'!BT72</f>
        <v>0.4</v>
      </c>
      <c r="AE108" s="629">
        <f>IF(AD108&gt;100%,100%,AD108)</f>
        <v>0.4</v>
      </c>
      <c r="AF108" s="750">
        <f>+'Plan de Accion 2018'!BK72</f>
        <v>0.35222222222222221</v>
      </c>
      <c r="AG108" s="637">
        <f>IF(AF108&gt;100%,100%,AF108)</f>
        <v>0.35222222222222221</v>
      </c>
      <c r="AH108" s="348"/>
      <c r="AI108" s="1016"/>
      <c r="AJ108" s="349"/>
      <c r="AK108" s="350"/>
      <c r="AL108" s="351"/>
      <c r="AM108" s="349"/>
      <c r="AN108" s="350"/>
      <c r="AO108" s="351"/>
      <c r="AP108" s="349"/>
      <c r="AQ108" s="350"/>
      <c r="AR108" s="351"/>
      <c r="AS108" s="349"/>
      <c r="AT108" s="350"/>
      <c r="AU108" s="352"/>
      <c r="AV108" s="353"/>
      <c r="AW108" s="352"/>
      <c r="AX108" s="349"/>
      <c r="AY108" s="350"/>
      <c r="AZ108" s="351"/>
      <c r="BA108" s="349"/>
      <c r="BB108" s="350"/>
      <c r="BC108" s="351"/>
      <c r="BD108" s="349"/>
      <c r="BE108" s="350"/>
      <c r="BF108" s="351"/>
      <c r="BG108" s="349"/>
      <c r="BH108" s="350"/>
      <c r="BI108" s="352"/>
      <c r="BJ108" s="353"/>
      <c r="BL108" s="349"/>
      <c r="BM108" s="350"/>
      <c r="BN108" s="351"/>
      <c r="BO108" s="349"/>
      <c r="BP108" s="350"/>
      <c r="BQ108" s="351"/>
      <c r="BR108" s="349"/>
      <c r="BS108" s="350"/>
      <c r="BT108" s="351"/>
      <c r="BU108" s="349"/>
      <c r="BV108" s="350"/>
      <c r="BW108" s="352"/>
      <c r="BX108" s="353"/>
      <c r="BZ108" s="349"/>
      <c r="CA108" s="350"/>
      <c r="CB108" s="351"/>
      <c r="CC108" s="349"/>
      <c r="CD108" s="350"/>
      <c r="CE108" s="351"/>
      <c r="CF108" s="349"/>
      <c r="CG108" s="350"/>
      <c r="CH108" s="351"/>
      <c r="CI108" s="349"/>
      <c r="CJ108" s="350"/>
      <c r="CK108" s="352"/>
      <c r="CL108" s="353"/>
      <c r="CP108" s="297" t="s">
        <v>1097</v>
      </c>
    </row>
    <row r="109" spans="2:94" ht="20.25" thickBot="1" x14ac:dyDescent="0.3">
      <c r="B109" s="1492"/>
      <c r="C109" s="1399" t="s">
        <v>798</v>
      </c>
      <c r="D109" s="1400"/>
      <c r="E109" s="1400"/>
      <c r="F109" s="1401"/>
      <c r="G109" s="328"/>
      <c r="H109" s="346" t="s">
        <v>792</v>
      </c>
      <c r="I109" s="332">
        <f>SUM(I86:I108)/COUNT(I86:I108)</f>
        <v>0.4039051915705269</v>
      </c>
      <c r="J109" s="332">
        <f t="shared" si="35"/>
        <v>0.4039051915705269</v>
      </c>
      <c r="K109" s="332">
        <f>SUM(K86:K108)/COUNT(K86:K108)</f>
        <v>8.087575692904507E-2</v>
      </c>
      <c r="L109" s="332">
        <f>SUM(L86:L108)/COUNT(L86:L108)</f>
        <v>8.087575692904507E-2</v>
      </c>
      <c r="M109" s="334">
        <f>SUM(M86:M108)/COUNT(M86:M108)</f>
        <v>7.6382659321875893E-2</v>
      </c>
      <c r="N109" s="692"/>
      <c r="O109" s="346" t="s">
        <v>792</v>
      </c>
      <c r="P109" s="635">
        <f>SUM(P86:P108)/COUNT(P86:P108)</f>
        <v>0.61476398291213452</v>
      </c>
      <c r="Q109" s="635">
        <f>SUM(Q86:Q108)/COUNT(Q86:Q108)</f>
        <v>0.58698619970492871</v>
      </c>
      <c r="R109" s="639">
        <f>SUM(R86:R108)/COUNT(R86:R108)</f>
        <v>0.20028475369125343</v>
      </c>
      <c r="S109" s="670">
        <f>SUM(S86:S108)/COUNT(S86:S108)</f>
        <v>0.20028475369125343</v>
      </c>
      <c r="T109" s="645">
        <f>SUM(T86:T108)/COUNT(T86:T108)</f>
        <v>0.2619108317501006</v>
      </c>
      <c r="U109" s="354"/>
      <c r="V109" s="346" t="s">
        <v>792</v>
      </c>
      <c r="W109" s="332">
        <f>SUM(W86:W108)/COUNT(W86:W108)</f>
        <v>0.69362546709210871</v>
      </c>
      <c r="X109" s="332">
        <f>SUM(X86:X108)/COUNT(X86:X108)</f>
        <v>0.59630207078256414</v>
      </c>
      <c r="Y109" s="651">
        <f>SUM(Y86:Y108)/COUNT(Y86:Y108)</f>
        <v>0.31119490051129889</v>
      </c>
      <c r="Z109" s="651">
        <f>SUM(Z86:Z108)/COUNT(Z86:Z108)</f>
        <v>0.31119490051129889</v>
      </c>
      <c r="AA109" s="617">
        <f>SUM(AA86:AA108)/COUNT(AA86:AA108)</f>
        <v>0.37787952204943437</v>
      </c>
      <c r="AB109" s="692"/>
      <c r="AC109" s="346" t="s">
        <v>792</v>
      </c>
      <c r="AD109" s="332">
        <f>SUM(AD86:AD108)/COUNT(AD86:AD108)</f>
        <v>0.84034877403746566</v>
      </c>
      <c r="AE109" s="332">
        <f>SUM(AE86:AE108)/COUNT(AE86:AE108)</f>
        <v>0.74817208255144685</v>
      </c>
      <c r="AF109" s="635">
        <f>SUM(AF86:AF108)/COUNT(AF86:AF108)</f>
        <v>0.59622751580470967</v>
      </c>
      <c r="AG109" s="334">
        <f>SUM(AG86:AG108)/COUNT(AG86:AG108)</f>
        <v>0.63315245218790495</v>
      </c>
      <c r="AH109" s="348"/>
      <c r="AI109" s="1016"/>
      <c r="AJ109" s="349"/>
      <c r="AK109" s="350"/>
      <c r="AL109" s="351"/>
      <c r="AM109" s="349"/>
      <c r="AN109" s="350"/>
      <c r="AO109" s="351"/>
      <c r="AP109" s="349"/>
      <c r="AQ109" s="350"/>
      <c r="AR109" s="351"/>
      <c r="AS109" s="349"/>
      <c r="AT109" s="350"/>
      <c r="AU109" s="352"/>
      <c r="AV109" s="353"/>
      <c r="AW109" s="352"/>
      <c r="AX109" s="349"/>
      <c r="AY109" s="350"/>
      <c r="AZ109" s="351"/>
      <c r="BA109" s="349"/>
      <c r="BB109" s="350"/>
      <c r="BC109" s="351"/>
      <c r="BD109" s="349"/>
      <c r="BE109" s="350"/>
      <c r="BF109" s="351"/>
      <c r="BG109" s="349"/>
      <c r="BH109" s="350"/>
      <c r="BI109" s="352"/>
      <c r="BJ109" s="353"/>
      <c r="BL109" s="349"/>
      <c r="BM109" s="350"/>
      <c r="BN109" s="351"/>
      <c r="BO109" s="349"/>
      <c r="BP109" s="350"/>
      <c r="BQ109" s="351"/>
      <c r="BR109" s="349"/>
      <c r="BS109" s="350"/>
      <c r="BT109" s="351"/>
      <c r="BU109" s="349"/>
      <c r="BV109" s="350"/>
      <c r="BW109" s="352"/>
      <c r="BX109" s="353"/>
      <c r="BZ109" s="349"/>
      <c r="CA109" s="350"/>
      <c r="CB109" s="351"/>
      <c r="CC109" s="349"/>
      <c r="CD109" s="350"/>
      <c r="CE109" s="351"/>
      <c r="CF109" s="349"/>
      <c r="CG109" s="350"/>
      <c r="CH109" s="351"/>
      <c r="CI109" s="349"/>
      <c r="CJ109" s="350"/>
      <c r="CK109" s="352"/>
      <c r="CL109" s="353"/>
    </row>
    <row r="110" spans="2:94" s="299" customFormat="1" ht="20.25" customHeight="1" thickBot="1" x14ac:dyDescent="0.3">
      <c r="B110" s="1491"/>
      <c r="C110" s="1414" t="s">
        <v>144</v>
      </c>
      <c r="D110" s="759" t="str">
        <f>+'Plan de Accion 2018'!G47</f>
        <v>Proceso de Compensación</v>
      </c>
      <c r="E110" s="1474" t="str">
        <f>+'Plan de Accion 2018'!B47</f>
        <v>Dirección de Liquidaciones y Garantías</v>
      </c>
      <c r="F110" s="1426" t="s">
        <v>815</v>
      </c>
      <c r="G110" s="328"/>
      <c r="H110" s="749">
        <f>+'Plan de Accion 2018'!AE47</f>
        <v>0.44241857965798992</v>
      </c>
      <c r="I110" s="751">
        <f>+'Plan de Accion 2018'!BN47</f>
        <v>0.44241857965798992</v>
      </c>
      <c r="J110" s="751">
        <f t="shared" si="35"/>
        <v>0.44241857965798992</v>
      </c>
      <c r="K110" s="751">
        <f>+'Plan de Accion 2018'!AG47</f>
        <v>0.19035873318791358</v>
      </c>
      <c r="L110" s="751">
        <f>+K110</f>
        <v>0.19035873318791358</v>
      </c>
      <c r="M110" s="753">
        <f t="shared" si="36"/>
        <v>0.19035873318791358</v>
      </c>
      <c r="N110" s="642"/>
      <c r="O110" s="749">
        <f>+'Plan de Accion 2018'!AO47</f>
        <v>2.2590291666666666</v>
      </c>
      <c r="P110" s="751">
        <f>+'Plan de Accion 2018'!BP47</f>
        <v>2.2590291666666666</v>
      </c>
      <c r="Q110" s="629">
        <f>IF(P110&gt;100%,100%,P110)</f>
        <v>1</v>
      </c>
      <c r="R110" s="751">
        <f>+'Plan de Accion 2018'!AQ47</f>
        <v>0.465443431824482</v>
      </c>
      <c r="S110" s="751">
        <f>IF(R110&gt;100%,100%,R110)</f>
        <v>0.465443431824482</v>
      </c>
      <c r="T110" s="637">
        <f t="shared" ref="T110:T116" si="38">+S110</f>
        <v>0.465443431824482</v>
      </c>
      <c r="U110" s="642">
        <v>1</v>
      </c>
      <c r="V110" s="749">
        <f>+'Plan de Accion 2018'!AY47</f>
        <v>1.5912282435257643</v>
      </c>
      <c r="W110" s="751">
        <f>+'Plan de Accion 2018'!BR47</f>
        <v>1.5912282435257643</v>
      </c>
      <c r="X110" s="629">
        <f t="shared" ref="X110:X116" si="39">IF(W110&gt;100%,100%,W110)</f>
        <v>1</v>
      </c>
      <c r="Y110" s="882">
        <f>+'Plan de Accion 2018'!BA47</f>
        <v>0.74052813046105048</v>
      </c>
      <c r="Z110" s="882">
        <f>IF(Y110&gt;100%,100%,Y110)</f>
        <v>0.74052813046105048</v>
      </c>
      <c r="AA110" s="883">
        <f t="shared" ref="AA110:AA116" si="40">+Z110</f>
        <v>0.74052813046105048</v>
      </c>
      <c r="AB110" s="642">
        <v>1</v>
      </c>
      <c r="AC110" s="749">
        <f>+'Plan de Accion 2018'!BI47</f>
        <v>1.4598525951612407</v>
      </c>
      <c r="AD110" s="751">
        <f>+'Plan de Accion 2018'!BT47</f>
        <v>1.4598525951612407</v>
      </c>
      <c r="AE110" s="629">
        <f>IF(AD110&gt;100%,100%,AD110)</f>
        <v>1</v>
      </c>
      <c r="AF110" s="751">
        <f>+'Plan de Accion 2018'!BK47</f>
        <v>1.1421112416547927</v>
      </c>
      <c r="AG110" s="637">
        <f t="shared" ref="AG110:AG117" si="41">IF(AF110&gt;100%,100%,AF110)</f>
        <v>1</v>
      </c>
      <c r="AH110" s="357"/>
      <c r="AI110" s="1017">
        <v>1</v>
      </c>
      <c r="AJ110" s="358"/>
      <c r="AK110" s="359"/>
      <c r="AL110" s="360"/>
      <c r="AM110" s="358"/>
      <c r="AN110" s="359"/>
      <c r="AO110" s="360"/>
      <c r="AP110" s="358"/>
      <c r="AQ110" s="359"/>
      <c r="AR110" s="360"/>
      <c r="AS110" s="358"/>
      <c r="AT110" s="359"/>
      <c r="AU110" s="360"/>
      <c r="AV110" s="361"/>
      <c r="AW110" s="360"/>
      <c r="AX110" s="358"/>
      <c r="AY110" s="359"/>
      <c r="AZ110" s="360"/>
      <c r="BA110" s="358"/>
      <c r="BB110" s="359"/>
      <c r="BC110" s="360"/>
      <c r="BD110" s="358"/>
      <c r="BE110" s="359"/>
      <c r="BF110" s="360"/>
      <c r="BG110" s="358"/>
      <c r="BH110" s="359"/>
      <c r="BI110" s="360"/>
      <c r="BJ110" s="361"/>
      <c r="BL110" s="358"/>
      <c r="BM110" s="359"/>
      <c r="BN110" s="360"/>
      <c r="BO110" s="358"/>
      <c r="BP110" s="359"/>
      <c r="BQ110" s="360"/>
      <c r="BR110" s="358"/>
      <c r="BS110" s="359"/>
      <c r="BT110" s="360"/>
      <c r="BU110" s="358"/>
      <c r="BV110" s="359"/>
      <c r="BW110" s="360"/>
      <c r="BX110" s="361"/>
      <c r="BZ110" s="358"/>
      <c r="CA110" s="359"/>
      <c r="CB110" s="360"/>
      <c r="CC110" s="358"/>
      <c r="CD110" s="359"/>
      <c r="CE110" s="360"/>
      <c r="CF110" s="358"/>
      <c r="CG110" s="359"/>
      <c r="CH110" s="360"/>
      <c r="CI110" s="358"/>
      <c r="CJ110" s="359"/>
      <c r="CK110" s="360"/>
      <c r="CL110" s="361"/>
    </row>
    <row r="111" spans="2:94" s="299" customFormat="1" ht="20.25" thickBot="1" x14ac:dyDescent="0.3">
      <c r="B111" s="1491"/>
      <c r="C111" s="1414"/>
      <c r="D111" s="759" t="str">
        <f>+'Plan de Accion 2018'!G51</f>
        <v>Prestaciones económicas REX</v>
      </c>
      <c r="E111" s="1431"/>
      <c r="F111" s="1427"/>
      <c r="G111" s="328"/>
      <c r="H111" s="543">
        <f>+'Plan de Accion 2018'!AE51</f>
        <v>0.38422896519305616</v>
      </c>
      <c r="I111" s="767">
        <f>+'Plan de Accion 2018'!BN51</f>
        <v>0.38422896519305616</v>
      </c>
      <c r="J111" s="767">
        <f t="shared" si="35"/>
        <v>0.38422896519305616</v>
      </c>
      <c r="K111" s="767">
        <f>+'Plan de Accion 2018'!AG51</f>
        <v>0.10931698718252474</v>
      </c>
      <c r="L111" s="767">
        <f>+K111</f>
        <v>0.10931698718252474</v>
      </c>
      <c r="M111" s="682">
        <f t="shared" si="36"/>
        <v>0.10931698718252474</v>
      </c>
      <c r="N111" s="642"/>
      <c r="O111" s="749">
        <f>+'Plan de Accion 2018'!AO51</f>
        <v>0.59808759174010839</v>
      </c>
      <c r="P111" s="751">
        <f>+'Plan de Accion 2018'!BP51</f>
        <v>0.59808759174010839</v>
      </c>
      <c r="Q111" s="629">
        <f>IF(P111&gt;100%,100%,P111)</f>
        <v>0.59808759174010839</v>
      </c>
      <c r="R111" s="751">
        <f>+'Plan de Accion 2018'!AQ51</f>
        <v>0.27947889459476194</v>
      </c>
      <c r="S111" s="751">
        <f>IF(R111&gt;100%,100%,R111)</f>
        <v>0.27947889459476194</v>
      </c>
      <c r="T111" s="637">
        <f t="shared" si="38"/>
        <v>0.27947889459476194</v>
      </c>
      <c r="U111" s="322"/>
      <c r="V111" s="749">
        <f>+'Plan de Accion 2018'!AY51</f>
        <v>0.6728485407076219</v>
      </c>
      <c r="W111" s="751">
        <f>+'Plan de Accion 2018'!BR51</f>
        <v>0.6728485407076219</v>
      </c>
      <c r="X111" s="629">
        <f t="shared" si="39"/>
        <v>0.6728485407076219</v>
      </c>
      <c r="Y111" s="882">
        <f>+'Plan de Accion 2018'!BA51</f>
        <v>0.44964080200699907</v>
      </c>
      <c r="Z111" s="882">
        <f>IF(Y111&gt;100%,100%,Y111)</f>
        <v>0.44964080200699907</v>
      </c>
      <c r="AA111" s="883">
        <f t="shared" si="40"/>
        <v>0.44964080200699907</v>
      </c>
      <c r="AB111" s="642"/>
      <c r="AC111" s="749">
        <f>+'Plan de Accion 2018'!BI51</f>
        <v>0.42298018151240713</v>
      </c>
      <c r="AD111" s="751">
        <f>+'Plan de Accion 2018'!BT51</f>
        <v>0.42298018151240713</v>
      </c>
      <c r="AE111" s="629">
        <f>IF(AD111&gt;100%,100%,AD111)</f>
        <v>0.42298018151240713</v>
      </c>
      <c r="AF111" s="751">
        <f>+'Plan de Accion 2018'!BK51</f>
        <v>0.52496603902610373</v>
      </c>
      <c r="AG111" s="637">
        <f t="shared" si="41"/>
        <v>0.52496603902610373</v>
      </c>
      <c r="AH111" s="357"/>
      <c r="AI111" s="1017"/>
      <c r="AJ111" s="358"/>
      <c r="AK111" s="359"/>
      <c r="AL111" s="360"/>
      <c r="AM111" s="358"/>
      <c r="AN111" s="359"/>
      <c r="AO111" s="360"/>
      <c r="AP111" s="358"/>
      <c r="AQ111" s="359"/>
      <c r="AR111" s="360"/>
      <c r="AS111" s="358"/>
      <c r="AT111" s="359"/>
      <c r="AU111" s="360"/>
      <c r="AV111" s="361"/>
      <c r="AW111" s="360"/>
      <c r="AX111" s="358"/>
      <c r="AY111" s="359"/>
      <c r="AZ111" s="360"/>
      <c r="BA111" s="358"/>
      <c r="BB111" s="359"/>
      <c r="BC111" s="360"/>
      <c r="BD111" s="358"/>
      <c r="BE111" s="359"/>
      <c r="BF111" s="360"/>
      <c r="BG111" s="358"/>
      <c r="BH111" s="359"/>
      <c r="BI111" s="360"/>
      <c r="BJ111" s="361"/>
      <c r="BL111" s="358"/>
      <c r="BM111" s="359"/>
      <c r="BN111" s="360"/>
      <c r="BO111" s="358"/>
      <c r="BP111" s="359"/>
      <c r="BQ111" s="360"/>
      <c r="BR111" s="358"/>
      <c r="BS111" s="359"/>
      <c r="BT111" s="360"/>
      <c r="BU111" s="358"/>
      <c r="BV111" s="359"/>
      <c r="BW111" s="360"/>
      <c r="BX111" s="361"/>
      <c r="BZ111" s="358"/>
      <c r="CA111" s="359"/>
      <c r="CB111" s="360"/>
      <c r="CC111" s="358"/>
      <c r="CD111" s="359"/>
      <c r="CE111" s="360"/>
      <c r="CF111" s="358"/>
      <c r="CG111" s="359"/>
      <c r="CH111" s="360"/>
      <c r="CI111" s="358"/>
      <c r="CJ111" s="359"/>
      <c r="CK111" s="360"/>
      <c r="CL111" s="361"/>
    </row>
    <row r="112" spans="2:94" s="299" customFormat="1" ht="20.25" thickBot="1" x14ac:dyDescent="0.3">
      <c r="B112" s="1491"/>
      <c r="C112" s="1415"/>
      <c r="D112" s="754" t="str">
        <f>+'Plan de Accion 2018'!G52</f>
        <v>Prestaciones económicas REX</v>
      </c>
      <c r="E112" s="1431"/>
      <c r="F112" s="1427"/>
      <c r="G112" s="328"/>
      <c r="H112" s="543">
        <f>+'Plan de Accion 2018'!AE52</f>
        <v>0.60153619281045756</v>
      </c>
      <c r="I112" s="767">
        <f>+'Plan de Accion 2018'!BN52</f>
        <v>0.60153619281045756</v>
      </c>
      <c r="J112" s="767">
        <f t="shared" si="35"/>
        <v>0.60153619281045756</v>
      </c>
      <c r="K112" s="767">
        <f>+'Plan de Accion 2018'!AG52</f>
        <v>0.15038404820261439</v>
      </c>
      <c r="L112" s="875">
        <f t="shared" ref="L112:L117" si="42">+K112</f>
        <v>0.15038404820261439</v>
      </c>
      <c r="M112" s="682">
        <f t="shared" si="36"/>
        <v>0.15038404820261439</v>
      </c>
      <c r="N112" s="642"/>
      <c r="O112" s="543">
        <f>+'Plan de Accion 2018'!AO52</f>
        <v>1.2590291666666666</v>
      </c>
      <c r="P112" s="767">
        <f>+'Plan de Accion 2018'!BP52</f>
        <v>1.2590291666666666</v>
      </c>
      <c r="Q112" s="629">
        <f>IF(P112&gt;100%,100%,P112)</f>
        <v>1</v>
      </c>
      <c r="R112" s="751">
        <f>+'Plan de Accion 2018'!AQ52</f>
        <v>0.46514133986928102</v>
      </c>
      <c r="S112" s="873">
        <f t="shared" ref="S112:S117" si="43">IF(R112&gt;100%,100%,R112)</f>
        <v>0.46514133986928102</v>
      </c>
      <c r="T112" s="637">
        <f t="shared" si="38"/>
        <v>0.46514133986928102</v>
      </c>
      <c r="U112" s="642">
        <v>1</v>
      </c>
      <c r="V112" s="543">
        <f>+'Plan de Accion 2018'!AY52</f>
        <v>1.2590291666666666</v>
      </c>
      <c r="W112" s="767">
        <f>+'Plan de Accion 2018'!BR52</f>
        <v>1.2590291666666666</v>
      </c>
      <c r="X112" s="629">
        <f t="shared" si="39"/>
        <v>1</v>
      </c>
      <c r="Y112" s="882">
        <f>+'Plan de Accion 2018'!BA52</f>
        <v>0.77989863153594774</v>
      </c>
      <c r="Z112" s="882">
        <f t="shared" ref="Z112:Z117" si="44">IF(Y112&gt;100%,100%,Y112)</f>
        <v>0.77989863153594774</v>
      </c>
      <c r="AA112" s="883">
        <f t="shared" si="40"/>
        <v>0.77989863153594774</v>
      </c>
      <c r="AB112" s="642">
        <v>1</v>
      </c>
      <c r="AC112" s="543">
        <f>+'Plan de Accion 2018'!BI52</f>
        <v>1.2590291666666666</v>
      </c>
      <c r="AD112" s="767">
        <f>+'Plan de Accion 2018'!BT52</f>
        <v>1.2590291666666666</v>
      </c>
      <c r="AE112" s="629">
        <f>IF(AD112&gt;100%,100%,AD112)</f>
        <v>1</v>
      </c>
      <c r="AF112" s="767">
        <f>+'Plan de Accion 2018'!BK52</f>
        <v>1.0946559232026143</v>
      </c>
      <c r="AG112" s="637">
        <f t="shared" si="41"/>
        <v>1</v>
      </c>
      <c r="AH112" s="357"/>
      <c r="AI112" s="1017">
        <v>1</v>
      </c>
      <c r="AJ112" s="358"/>
      <c r="AK112" s="359"/>
      <c r="AL112" s="360"/>
      <c r="AM112" s="358"/>
      <c r="AN112" s="359"/>
      <c r="AO112" s="360"/>
      <c r="AP112" s="358"/>
      <c r="AQ112" s="359"/>
      <c r="AR112" s="360"/>
      <c r="AS112" s="358"/>
      <c r="AT112" s="359"/>
      <c r="AU112" s="360"/>
      <c r="AV112" s="361"/>
      <c r="AW112" s="360"/>
      <c r="AX112" s="358"/>
      <c r="AY112" s="359"/>
      <c r="AZ112" s="360"/>
      <c r="BA112" s="358"/>
      <c r="BB112" s="359"/>
      <c r="BC112" s="360"/>
      <c r="BD112" s="358"/>
      <c r="BE112" s="359"/>
      <c r="BF112" s="360"/>
      <c r="BG112" s="358"/>
      <c r="BH112" s="359"/>
      <c r="BI112" s="360"/>
      <c r="BJ112" s="361"/>
      <c r="BL112" s="358"/>
      <c r="BM112" s="359"/>
      <c r="BN112" s="360"/>
      <c r="BO112" s="358"/>
      <c r="BP112" s="359"/>
      <c r="BQ112" s="360"/>
      <c r="BR112" s="358"/>
      <c r="BS112" s="359"/>
      <c r="BT112" s="360"/>
      <c r="BU112" s="358"/>
      <c r="BV112" s="359"/>
      <c r="BW112" s="360"/>
      <c r="BX112" s="361"/>
      <c r="BZ112" s="358"/>
      <c r="CA112" s="359"/>
      <c r="CB112" s="360"/>
      <c r="CC112" s="358"/>
      <c r="CD112" s="359"/>
      <c r="CE112" s="360"/>
      <c r="CF112" s="358"/>
      <c r="CG112" s="359"/>
      <c r="CH112" s="360"/>
      <c r="CI112" s="358"/>
      <c r="CJ112" s="359"/>
      <c r="CK112" s="360"/>
      <c r="CL112" s="361"/>
    </row>
    <row r="113" spans="2:90" s="299" customFormat="1" ht="20.25" thickBot="1" x14ac:dyDescent="0.3">
      <c r="B113" s="1491"/>
      <c r="C113" s="1415"/>
      <c r="D113" s="754" t="str">
        <f>+'Plan de Accion 2018'!G62</f>
        <v xml:space="preserve">Estudios del Sector </v>
      </c>
      <c r="E113" s="1431"/>
      <c r="F113" s="1427"/>
      <c r="G113" s="328"/>
      <c r="H113" s="543">
        <f>+'Plan de Accion 2018'!AE62</f>
        <v>0</v>
      </c>
      <c r="I113" s="767">
        <f>+'Plan de Accion 2018'!BN62</f>
        <v>0</v>
      </c>
      <c r="J113" s="767">
        <f t="shared" si="35"/>
        <v>0</v>
      </c>
      <c r="K113" s="767">
        <f>+'Plan de Accion 2018'!AG62</f>
        <v>0</v>
      </c>
      <c r="L113" s="875">
        <f t="shared" si="42"/>
        <v>0</v>
      </c>
      <c r="M113" s="682">
        <f t="shared" si="36"/>
        <v>0</v>
      </c>
      <c r="N113" s="642"/>
      <c r="O113" s="543" t="e">
        <f>+'Plan de Accion 2018'!AO62</f>
        <v>#DIV/0!</v>
      </c>
      <c r="P113" s="767" t="str">
        <f>+'Plan de Accion 2018'!BP62</f>
        <v>No Prog ni Ejec</v>
      </c>
      <c r="Q113" s="629" t="s">
        <v>792</v>
      </c>
      <c r="R113" s="751">
        <f>+'Plan de Accion 2018'!AQ62</f>
        <v>0</v>
      </c>
      <c r="S113" s="873">
        <f t="shared" si="43"/>
        <v>0</v>
      </c>
      <c r="T113" s="637">
        <f>+S113</f>
        <v>0</v>
      </c>
      <c r="U113" s="877"/>
      <c r="V113" s="543" t="e">
        <f>+'Plan de Accion 2018'!AY62</f>
        <v>#DIV/0!</v>
      </c>
      <c r="W113" s="767">
        <f>+'Plan de Accion 2018'!BA62</f>
        <v>0.80162727272727274</v>
      </c>
      <c r="X113" s="629">
        <f t="shared" si="39"/>
        <v>0.80162727272727274</v>
      </c>
      <c r="Y113" s="882">
        <f>+'Plan de Accion 2018'!BA62</f>
        <v>0.80162727272727274</v>
      </c>
      <c r="Z113" s="882">
        <f t="shared" si="44"/>
        <v>0.80162727272727274</v>
      </c>
      <c r="AA113" s="883">
        <f t="shared" si="40"/>
        <v>0.80162727272727274</v>
      </c>
      <c r="AB113" s="642"/>
      <c r="AC113" s="543" t="e">
        <f>+'Plan de Accion 2018'!BI62</f>
        <v>#DIV/0!</v>
      </c>
      <c r="AD113" s="767" t="str">
        <f>+'Plan de Accion 2018'!BT62</f>
        <v>No Prog ni Ejec</v>
      </c>
      <c r="AE113" s="629" t="s">
        <v>792</v>
      </c>
      <c r="AF113" s="767">
        <f>+'Plan de Accion 2018'!BK62</f>
        <v>0.80162727272727274</v>
      </c>
      <c r="AG113" s="637">
        <f t="shared" si="41"/>
        <v>0.80162727272727274</v>
      </c>
      <c r="AH113" s="357"/>
      <c r="AI113" s="1017"/>
      <c r="AJ113" s="358"/>
      <c r="AK113" s="359"/>
      <c r="AL113" s="360"/>
      <c r="AM113" s="358"/>
      <c r="AN113" s="359"/>
      <c r="AO113" s="360"/>
      <c r="AP113" s="358"/>
      <c r="AQ113" s="359"/>
      <c r="AR113" s="360"/>
      <c r="AS113" s="358"/>
      <c r="AT113" s="359"/>
      <c r="AU113" s="360"/>
      <c r="AV113" s="361"/>
      <c r="AW113" s="360"/>
      <c r="AX113" s="358"/>
      <c r="AY113" s="359"/>
      <c r="AZ113" s="360"/>
      <c r="BA113" s="358"/>
      <c r="BB113" s="359"/>
      <c r="BC113" s="360"/>
      <c r="BD113" s="358"/>
      <c r="BE113" s="359"/>
      <c r="BF113" s="360"/>
      <c r="BG113" s="358"/>
      <c r="BH113" s="359"/>
      <c r="BI113" s="360"/>
      <c r="BJ113" s="361"/>
      <c r="BL113" s="358"/>
      <c r="BM113" s="359"/>
      <c r="BN113" s="360"/>
      <c r="BO113" s="358"/>
      <c r="BP113" s="359"/>
      <c r="BQ113" s="360"/>
      <c r="BR113" s="358"/>
      <c r="BS113" s="359"/>
      <c r="BT113" s="360"/>
      <c r="BU113" s="358"/>
      <c r="BV113" s="359"/>
      <c r="BW113" s="360"/>
      <c r="BX113" s="361"/>
      <c r="BZ113" s="358"/>
      <c r="CA113" s="359"/>
      <c r="CB113" s="360"/>
      <c r="CC113" s="358"/>
      <c r="CD113" s="359"/>
      <c r="CE113" s="360"/>
      <c r="CF113" s="358"/>
      <c r="CG113" s="359"/>
      <c r="CH113" s="360"/>
      <c r="CI113" s="358"/>
      <c r="CJ113" s="359"/>
      <c r="CK113" s="360"/>
      <c r="CL113" s="361"/>
    </row>
    <row r="114" spans="2:90" s="299" customFormat="1" ht="20.25" thickBot="1" x14ac:dyDescent="0.3">
      <c r="B114" s="1491"/>
      <c r="C114" s="1415"/>
      <c r="D114" s="755" t="str">
        <f>+'Plan de Accion 2018'!G189</f>
        <v>Convenio Cafesalud</v>
      </c>
      <c r="E114" s="1475"/>
      <c r="F114" s="1427"/>
      <c r="G114" s="328"/>
      <c r="H114" s="543">
        <f>+'Plan de Accion 2018'!AE189</f>
        <v>0.99667774086378735</v>
      </c>
      <c r="I114" s="767">
        <f>+'Plan de Accion 2018'!BN189</f>
        <v>0.99667774086378735</v>
      </c>
      <c r="J114" s="767">
        <f>IF(I114&gt;100%,100%,I114)</f>
        <v>0.99667774086378735</v>
      </c>
      <c r="K114" s="767">
        <f>+'Plan de Accion 2018'!AG189</f>
        <v>0.42857142857142855</v>
      </c>
      <c r="L114" s="875">
        <f>+K114</f>
        <v>0.42857142857142855</v>
      </c>
      <c r="M114" s="682">
        <f>+L114</f>
        <v>0.42857142857142855</v>
      </c>
      <c r="N114" s="642"/>
      <c r="O114" s="543">
        <f>+'Plan de Accion 2018'!AO189</f>
        <v>0</v>
      </c>
      <c r="P114" s="767">
        <f>+'Plan de Accion 2018'!BP189</f>
        <v>0</v>
      </c>
      <c r="Q114" s="629">
        <f>IF(P114&gt;100%,100%,P114)</f>
        <v>0</v>
      </c>
      <c r="R114" s="751">
        <f>+'Plan de Accion 2018'!AQ189</f>
        <v>0.42857142857142855</v>
      </c>
      <c r="S114" s="873">
        <f>IF(R114&gt;100%,100%,R114)</f>
        <v>0.42857142857142855</v>
      </c>
      <c r="T114" s="637">
        <f>+S114</f>
        <v>0.42857142857142855</v>
      </c>
      <c r="U114" s="322"/>
      <c r="V114" s="543" t="e">
        <f>+'Plan de Accion 2018'!AY189</f>
        <v>#DIV/0!</v>
      </c>
      <c r="W114" s="767">
        <f>+'Plan de Accion 2018'!BA189</f>
        <v>1</v>
      </c>
      <c r="X114" s="629">
        <f>IF(W114&gt;100%,100%,W114)</f>
        <v>1</v>
      </c>
      <c r="Y114" s="882">
        <f>+'Plan de Accion 2018'!BA189</f>
        <v>1</v>
      </c>
      <c r="Z114" s="882">
        <f>IF(Y114&gt;100%,100%,Y114)</f>
        <v>1</v>
      </c>
      <c r="AA114" s="883">
        <f>+Z114</f>
        <v>1</v>
      </c>
      <c r="AB114" s="642"/>
      <c r="AC114" s="543" t="e">
        <f>+'Plan de Accion 2018'!BI189</f>
        <v>#DIV/0!</v>
      </c>
      <c r="AD114" s="767" t="str">
        <f>+'Plan de Accion 2018'!BT189</f>
        <v>No Prog ni Ejec</v>
      </c>
      <c r="AE114" s="629" t="s">
        <v>792</v>
      </c>
      <c r="AF114" s="767">
        <f>+'Plan de Accion 2018'!BK189</f>
        <v>1</v>
      </c>
      <c r="AG114" s="637">
        <f>IF(AF114&gt;100%,100%,AF114)</f>
        <v>1</v>
      </c>
      <c r="AH114" s="357"/>
      <c r="AI114" s="1017"/>
      <c r="AJ114" s="358"/>
      <c r="AK114" s="359"/>
      <c r="AL114" s="360"/>
      <c r="AM114" s="358"/>
      <c r="AN114" s="359"/>
      <c r="AO114" s="360"/>
      <c r="AP114" s="358"/>
      <c r="AQ114" s="359"/>
      <c r="AR114" s="360"/>
      <c r="AS114" s="358"/>
      <c r="AT114" s="359"/>
      <c r="AU114" s="360"/>
      <c r="AV114" s="361"/>
      <c r="AW114" s="360"/>
      <c r="AX114" s="358"/>
      <c r="AY114" s="359"/>
      <c r="AZ114" s="360"/>
      <c r="BA114" s="358"/>
      <c r="BB114" s="359"/>
      <c r="BC114" s="360"/>
      <c r="BD114" s="358"/>
      <c r="BE114" s="359"/>
      <c r="BF114" s="360"/>
      <c r="BG114" s="358"/>
      <c r="BH114" s="359"/>
      <c r="BI114" s="360"/>
      <c r="BJ114" s="361"/>
      <c r="BL114" s="358"/>
      <c r="BM114" s="359"/>
      <c r="BN114" s="360"/>
      <c r="BO114" s="358"/>
      <c r="BP114" s="359"/>
      <c r="BQ114" s="360"/>
      <c r="BR114" s="358"/>
      <c r="BS114" s="359"/>
      <c r="BT114" s="360"/>
      <c r="BU114" s="358"/>
      <c r="BV114" s="359"/>
      <c r="BW114" s="360"/>
      <c r="BX114" s="361"/>
      <c r="BZ114" s="358"/>
      <c r="CA114" s="359"/>
      <c r="CB114" s="360"/>
      <c r="CC114" s="358"/>
      <c r="CD114" s="359"/>
      <c r="CE114" s="360"/>
      <c r="CF114" s="358"/>
      <c r="CG114" s="359"/>
      <c r="CH114" s="360"/>
      <c r="CI114" s="358"/>
      <c r="CJ114" s="359"/>
      <c r="CK114" s="360"/>
      <c r="CL114" s="361"/>
    </row>
    <row r="115" spans="2:90" s="299" customFormat="1" ht="33.75" customHeight="1" thickBot="1" x14ac:dyDescent="0.3">
      <c r="B115" s="1491"/>
      <c r="C115" s="1415"/>
      <c r="D115" s="1023" t="str">
        <f>+'Plan de Accion 2018'!G313</f>
        <v>Informes de actividades según objeto del contrato</v>
      </c>
      <c r="E115" s="1030" t="str">
        <f>+'Plan de Accion 2018'!B313</f>
        <v xml:space="preserve">Dirección de Otras Prestaciones  </v>
      </c>
      <c r="F115" s="1427"/>
      <c r="G115" s="328"/>
      <c r="H115" s="543" t="e">
        <f>+'Plan de Accion 2018'!AE313</f>
        <v>#DIV/0!</v>
      </c>
      <c r="I115" s="1031" t="str">
        <f>+'Plan de Accion 2018'!BN313</f>
        <v>No Prog ni Ejec</v>
      </c>
      <c r="J115" s="1031" t="s">
        <v>792</v>
      </c>
      <c r="K115" s="1031">
        <f>+'Plan de Accion 2018'!AG313</f>
        <v>0</v>
      </c>
      <c r="L115" s="1031">
        <f>+K115</f>
        <v>0</v>
      </c>
      <c r="M115" s="682" t="s">
        <v>792</v>
      </c>
      <c r="N115" s="642"/>
      <c r="O115" s="543" t="e">
        <f>+'Plan de Accion 2018'!AO313</f>
        <v>#DIV/0!</v>
      </c>
      <c r="P115" s="1031" t="str">
        <f>+'Plan de Accion 2018'!BP313</f>
        <v>No Prog ni Ejec</v>
      </c>
      <c r="Q115" s="629" t="s">
        <v>792</v>
      </c>
      <c r="R115" s="1025">
        <f>+'Plan de Accion 2018'!AQ313</f>
        <v>0</v>
      </c>
      <c r="S115" s="1025">
        <f>IF(R115&gt;100%,100%,R115)</f>
        <v>0</v>
      </c>
      <c r="T115" s="637" t="s">
        <v>792</v>
      </c>
      <c r="U115" s="322"/>
      <c r="V115" s="543" t="e">
        <f>+'Plan de Accion 2018'!AY313</f>
        <v>#DIV/0!</v>
      </c>
      <c r="W115" s="1031" t="str">
        <f>+'Plan de Accion 2018'!BR313</f>
        <v>No Prog ni Ejec</v>
      </c>
      <c r="X115" s="629" t="s">
        <v>792</v>
      </c>
      <c r="Y115" s="882">
        <f>+'Plan de Accion 2018'!BA313</f>
        <v>0</v>
      </c>
      <c r="Z115" s="882">
        <f>IF(Y115&gt;100%,100%,Y115)</f>
        <v>0</v>
      </c>
      <c r="AA115" s="883" t="s">
        <v>792</v>
      </c>
      <c r="AB115" s="642"/>
      <c r="AC115" s="543">
        <f>+'Plan de Accion 2018'!BI313</f>
        <v>0.20000756443780351</v>
      </c>
      <c r="AD115" s="1031">
        <f>+'Plan de Accion 2018'!BT313</f>
        <v>0.20000756443780351</v>
      </c>
      <c r="AE115" s="629" t="s">
        <v>792</v>
      </c>
      <c r="AF115" s="1031">
        <f>+'Plan de Accion 2018'!BK313</f>
        <v>0.20000756443780351</v>
      </c>
      <c r="AG115" s="637">
        <f>IF(AF115&gt;100%,100%,AF115)</f>
        <v>0.20000756443780351</v>
      </c>
      <c r="AH115" s="357"/>
      <c r="AI115" s="1017"/>
      <c r="AJ115" s="358"/>
      <c r="AK115" s="359"/>
      <c r="AL115" s="360"/>
      <c r="AM115" s="358"/>
      <c r="AN115" s="359"/>
      <c r="AO115" s="360"/>
      <c r="AP115" s="358"/>
      <c r="AQ115" s="359"/>
      <c r="AR115" s="360"/>
      <c r="AS115" s="358"/>
      <c r="AT115" s="359"/>
      <c r="AU115" s="360"/>
      <c r="AV115" s="361"/>
      <c r="AW115" s="360"/>
      <c r="AX115" s="358"/>
      <c r="AY115" s="359"/>
      <c r="AZ115" s="360"/>
      <c r="BA115" s="358"/>
      <c r="BB115" s="359"/>
      <c r="BC115" s="360"/>
      <c r="BD115" s="358"/>
      <c r="BE115" s="359"/>
      <c r="BF115" s="360"/>
      <c r="BG115" s="358"/>
      <c r="BH115" s="359"/>
      <c r="BI115" s="360"/>
      <c r="BJ115" s="361"/>
      <c r="BL115" s="358"/>
      <c r="BM115" s="359"/>
      <c r="BN115" s="360"/>
      <c r="BO115" s="358"/>
      <c r="BP115" s="359"/>
      <c r="BQ115" s="360"/>
      <c r="BR115" s="358"/>
      <c r="BS115" s="359"/>
      <c r="BT115" s="360"/>
      <c r="BU115" s="358"/>
      <c r="BV115" s="359"/>
      <c r="BW115" s="360"/>
      <c r="BX115" s="361"/>
      <c r="BZ115" s="358"/>
      <c r="CA115" s="359"/>
      <c r="CB115" s="360"/>
      <c r="CC115" s="358"/>
      <c r="CD115" s="359"/>
      <c r="CE115" s="360"/>
      <c r="CF115" s="358"/>
      <c r="CG115" s="359"/>
      <c r="CH115" s="360"/>
      <c r="CI115" s="358"/>
      <c r="CJ115" s="359"/>
      <c r="CK115" s="360"/>
      <c r="CL115" s="361"/>
    </row>
    <row r="116" spans="2:90" s="299" customFormat="1" ht="57.75" customHeight="1" thickBot="1" x14ac:dyDescent="0.3">
      <c r="B116" s="1491"/>
      <c r="C116" s="1415"/>
      <c r="D116" s="1350" t="str">
        <f>+'Plan de Accion 2018'!G67</f>
        <v>Paquetes de recobros cuyo trámite de auditoría haya culminado, reconocidos y pagados por parte de ADRES.</v>
      </c>
      <c r="E116" s="1402" t="str">
        <f>+'Plan de Accion 2018'!B67</f>
        <v xml:space="preserve">Dirección de Otras Prestaciones  </v>
      </c>
      <c r="F116" s="1427"/>
      <c r="G116" s="328"/>
      <c r="H116" s="543">
        <f>+'Plan de Accion 2018'!AE67</f>
        <v>1.2350277216590413</v>
      </c>
      <c r="I116" s="767">
        <f>+'Plan de Accion 2018'!BN67</f>
        <v>1.2350277216590413</v>
      </c>
      <c r="J116" s="767">
        <f t="shared" si="35"/>
        <v>1</v>
      </c>
      <c r="K116" s="767">
        <f>+'Plan de Accion 2018'!AG67</f>
        <v>0.30875693041476032</v>
      </c>
      <c r="L116" s="875">
        <f t="shared" si="42"/>
        <v>0.30875693041476032</v>
      </c>
      <c r="M116" s="682">
        <f t="shared" si="36"/>
        <v>0.30875693041476032</v>
      </c>
      <c r="N116" s="642">
        <v>1</v>
      </c>
      <c r="O116" s="543">
        <f>+'Plan de Accion 2018'!AO67</f>
        <v>1.1016043168505971</v>
      </c>
      <c r="P116" s="767">
        <f>+'Plan de Accion 2018'!BP67</f>
        <v>1.1016043168505971</v>
      </c>
      <c r="Q116" s="629">
        <f>IF(P116&gt;100%,100%,P116)</f>
        <v>1</v>
      </c>
      <c r="R116" s="751">
        <f>+'Plan de Accion 2018'!AQ67</f>
        <v>0.60994440362644697</v>
      </c>
      <c r="S116" s="873">
        <f t="shared" si="43"/>
        <v>0.60994440362644697</v>
      </c>
      <c r="T116" s="637">
        <f t="shared" si="38"/>
        <v>0.60994440362644697</v>
      </c>
      <c r="U116" s="642">
        <v>1</v>
      </c>
      <c r="V116" s="543">
        <f>+'Plan de Accion 2018'!AY67</f>
        <v>1.3769471447579704</v>
      </c>
      <c r="W116" s="767">
        <f>+'Plan de Accion 2018'!BR67</f>
        <v>1.3769471447579704</v>
      </c>
      <c r="X116" s="629">
        <f t="shared" si="39"/>
        <v>1</v>
      </c>
      <c r="Y116" s="882">
        <f>+'Plan de Accion 2018'!BA67</f>
        <v>0.93806537535931578</v>
      </c>
      <c r="Z116" s="882">
        <f t="shared" si="44"/>
        <v>0.93806537535931578</v>
      </c>
      <c r="AA116" s="883">
        <f t="shared" si="40"/>
        <v>0.93806537535931578</v>
      </c>
      <c r="AB116" s="642">
        <v>1</v>
      </c>
      <c r="AC116" s="543">
        <f>+'Plan de Accion 2018'!BI67</f>
        <v>0.24239499711995788</v>
      </c>
      <c r="AD116" s="767">
        <f>+'Plan de Accion 2018'!BT67</f>
        <v>0.24239499711995788</v>
      </c>
      <c r="AE116" s="629">
        <f>IF(AD116&gt;100%,100%,AD116)</f>
        <v>0.24239499711995788</v>
      </c>
      <c r="AF116" s="767">
        <f>+'Plan de Accion 2018'!BK67</f>
        <v>0.99582712917897054</v>
      </c>
      <c r="AG116" s="637">
        <f t="shared" si="41"/>
        <v>0.99582712917897054</v>
      </c>
      <c r="AH116" s="357"/>
      <c r="AI116" s="1017"/>
      <c r="AJ116" s="358"/>
      <c r="AK116" s="359"/>
      <c r="AL116" s="360"/>
      <c r="AM116" s="358"/>
      <c r="AN116" s="359"/>
      <c r="AO116" s="360"/>
      <c r="AP116" s="358"/>
      <c r="AQ116" s="359"/>
      <c r="AR116" s="360"/>
      <c r="AS116" s="358"/>
      <c r="AT116" s="359"/>
      <c r="AU116" s="360"/>
      <c r="AV116" s="361"/>
      <c r="AW116" s="360"/>
      <c r="AX116" s="358"/>
      <c r="AY116" s="359"/>
      <c r="AZ116" s="360"/>
      <c r="BA116" s="358"/>
      <c r="BB116" s="359"/>
      <c r="BC116" s="360"/>
      <c r="BD116" s="358"/>
      <c r="BE116" s="359"/>
      <c r="BF116" s="360"/>
      <c r="BG116" s="358"/>
      <c r="BH116" s="359"/>
      <c r="BI116" s="360"/>
      <c r="BJ116" s="361"/>
      <c r="BL116" s="358"/>
      <c r="BM116" s="359"/>
      <c r="BN116" s="360"/>
      <c r="BO116" s="358"/>
      <c r="BP116" s="359"/>
      <c r="BQ116" s="360"/>
      <c r="BR116" s="358"/>
      <c r="BS116" s="359"/>
      <c r="BT116" s="360"/>
      <c r="BU116" s="358"/>
      <c r="BV116" s="359"/>
      <c r="BW116" s="360"/>
      <c r="BX116" s="361"/>
      <c r="BZ116" s="358"/>
      <c r="CA116" s="359"/>
      <c r="CB116" s="360"/>
      <c r="CC116" s="358"/>
      <c r="CD116" s="359"/>
      <c r="CE116" s="360"/>
      <c r="CF116" s="358"/>
      <c r="CG116" s="359"/>
      <c r="CH116" s="360"/>
      <c r="CI116" s="358"/>
      <c r="CJ116" s="359"/>
      <c r="CK116" s="360"/>
      <c r="CL116" s="361"/>
    </row>
    <row r="117" spans="2:90" s="299" customFormat="1" ht="20.25" thickBot="1" x14ac:dyDescent="0.3">
      <c r="B117" s="1491"/>
      <c r="C117" s="1416"/>
      <c r="D117" s="1351"/>
      <c r="E117" s="1350"/>
      <c r="F117" s="1427"/>
      <c r="G117" s="328"/>
      <c r="H117" s="748" t="e">
        <f>+'Plan de Accion 2018'!AE68</f>
        <v>#DIV/0!</v>
      </c>
      <c r="I117" s="750" t="str">
        <f>+'Plan de Accion 2018'!BN68</f>
        <v>No Prog ni Ejec</v>
      </c>
      <c r="J117" s="750" t="s">
        <v>792</v>
      </c>
      <c r="K117" s="750">
        <f>+'Plan de Accion 2018'!AG68</f>
        <v>0</v>
      </c>
      <c r="L117" s="875">
        <f t="shared" si="42"/>
        <v>0</v>
      </c>
      <c r="M117" s="752" t="s">
        <v>792</v>
      </c>
      <c r="N117" s="642"/>
      <c r="O117" s="543" t="e">
        <f>+'Plan de Accion 2018'!AO68</f>
        <v>#DIV/0!</v>
      </c>
      <c r="P117" s="767" t="str">
        <f>+'Plan de Accion 2018'!BP68</f>
        <v>No Prog ni Ejec</v>
      </c>
      <c r="Q117" s="631" t="s">
        <v>792</v>
      </c>
      <c r="R117" s="751">
        <f>+'Plan de Accion 2018'!AQ68</f>
        <v>0</v>
      </c>
      <c r="S117" s="873">
        <f t="shared" si="43"/>
        <v>0</v>
      </c>
      <c r="T117" s="637" t="s">
        <v>792</v>
      </c>
      <c r="U117" s="322"/>
      <c r="V117" s="543" t="e">
        <f>+'Plan de Accion 2018'!AY68</f>
        <v>#DIV/0!</v>
      </c>
      <c r="W117" s="767" t="str">
        <f>+'Plan de Accion 2018'!BR68</f>
        <v>No Prog ni Ejec</v>
      </c>
      <c r="X117" s="629" t="s">
        <v>792</v>
      </c>
      <c r="Y117" s="882">
        <f>+'Plan de Accion 2018'!BA68</f>
        <v>0</v>
      </c>
      <c r="Z117" s="882">
        <f t="shared" si="44"/>
        <v>0</v>
      </c>
      <c r="AA117" s="883" t="s">
        <v>792</v>
      </c>
      <c r="AB117" s="642"/>
      <c r="AC117" s="543">
        <f>+'Plan de Accion 2018'!BI68</f>
        <v>0</v>
      </c>
      <c r="AD117" s="767">
        <f>+'Plan de Accion 2018'!BT68</f>
        <v>0</v>
      </c>
      <c r="AE117" s="629">
        <f>IF(AD117&gt;100%,100%,AD117)</f>
        <v>0</v>
      </c>
      <c r="AF117" s="767">
        <f>+'Plan de Accion 2018'!BK68</f>
        <v>0</v>
      </c>
      <c r="AG117" s="637">
        <f t="shared" si="41"/>
        <v>0</v>
      </c>
      <c r="AH117" s="357"/>
      <c r="AI117" s="1017"/>
      <c r="AJ117" s="358"/>
      <c r="AK117" s="359"/>
      <c r="AL117" s="360"/>
      <c r="AM117" s="358"/>
      <c r="AN117" s="359"/>
      <c r="AO117" s="360"/>
      <c r="AP117" s="358"/>
      <c r="AQ117" s="359"/>
      <c r="AR117" s="360"/>
      <c r="AS117" s="358"/>
      <c r="AT117" s="359"/>
      <c r="AU117" s="360"/>
      <c r="AV117" s="361"/>
      <c r="AW117" s="360"/>
      <c r="AX117" s="358"/>
      <c r="AY117" s="359"/>
      <c r="AZ117" s="360"/>
      <c r="BA117" s="358"/>
      <c r="BB117" s="359"/>
      <c r="BC117" s="360"/>
      <c r="BD117" s="358"/>
      <c r="BE117" s="359"/>
      <c r="BF117" s="360"/>
      <c r="BG117" s="358"/>
      <c r="BH117" s="359"/>
      <c r="BI117" s="360"/>
      <c r="BJ117" s="361"/>
      <c r="BL117" s="358"/>
      <c r="BM117" s="359"/>
      <c r="BN117" s="360"/>
      <c r="BO117" s="358"/>
      <c r="BP117" s="359"/>
      <c r="BQ117" s="360"/>
      <c r="BR117" s="358"/>
      <c r="BS117" s="359"/>
      <c r="BT117" s="360"/>
      <c r="BU117" s="358"/>
      <c r="BV117" s="359"/>
      <c r="BW117" s="360"/>
      <c r="BX117" s="361"/>
      <c r="BZ117" s="358"/>
      <c r="CA117" s="359"/>
      <c r="CB117" s="360"/>
      <c r="CC117" s="358"/>
      <c r="CD117" s="359"/>
      <c r="CE117" s="360"/>
      <c r="CF117" s="358"/>
      <c r="CG117" s="359"/>
      <c r="CH117" s="360"/>
      <c r="CI117" s="358"/>
      <c r="CJ117" s="359"/>
      <c r="CK117" s="360"/>
      <c r="CL117" s="361"/>
    </row>
    <row r="118" spans="2:90" s="299" customFormat="1" ht="20.25" thickBot="1" x14ac:dyDescent="0.3">
      <c r="B118" s="1493"/>
      <c r="C118" s="1389" t="s">
        <v>798</v>
      </c>
      <c r="D118" s="1390"/>
      <c r="E118" s="1390"/>
      <c r="F118" s="1391"/>
      <c r="G118" s="328"/>
      <c r="H118" s="346" t="s">
        <v>792</v>
      </c>
      <c r="I118" s="332">
        <f>SUM(I110:I117)/COUNT(I110:I117)</f>
        <v>0.60998153336405536</v>
      </c>
      <c r="J118" s="332">
        <f t="shared" si="35"/>
        <v>0.60998153336405536</v>
      </c>
      <c r="K118" s="679">
        <f>SUM(K110:K117)/COUNT(K110:K117)</f>
        <v>0.14842351594490522</v>
      </c>
      <c r="L118" s="679">
        <f>SUM(L110:L117)/COUNT(L110:L117)</f>
        <v>0.14842351594490522</v>
      </c>
      <c r="M118" s="400">
        <f>SUM(M110:M117)/COUNT(M110:M117)</f>
        <v>0.19789802125987363</v>
      </c>
      <c r="N118" s="692"/>
      <c r="O118" s="346" t="s">
        <v>792</v>
      </c>
      <c r="P118" s="635">
        <f>SUM(P110:P117)/COUNT(P110:P117)</f>
        <v>1.0435500483848077</v>
      </c>
      <c r="Q118" s="635">
        <f>SUM(Q110:Q117)/COUNT(Q110:Q117)</f>
        <v>0.71961751834802168</v>
      </c>
      <c r="R118" s="639">
        <f>SUM(R110:R117)/COUNT(R110:R117)</f>
        <v>0.28107243731080006</v>
      </c>
      <c r="S118" s="670">
        <f>SUM(S110:S117)/COUNT(S110:S117)</f>
        <v>0.28107243731080006</v>
      </c>
      <c r="T118" s="645">
        <f>SUM(T110:T117)/COUNT(T110:T117)</f>
        <v>0.3747632497477334</v>
      </c>
      <c r="U118" s="354"/>
      <c r="V118" s="346" t="s">
        <v>792</v>
      </c>
      <c r="W118" s="332">
        <f>SUM(W110:W117)/COUNT(W110:W117)</f>
        <v>1.116946728064216</v>
      </c>
      <c r="X118" s="332">
        <f>SUM(X110:X117)/COUNT(X110:X117)</f>
        <v>0.91241263557248242</v>
      </c>
      <c r="Y118" s="651">
        <f>SUM(Y110:Y117)/COUNT(Y110:Y117)</f>
        <v>0.58872002651132327</v>
      </c>
      <c r="Z118" s="651">
        <f>SUM(Z110:Z117)/COUNT(Z110:Z117)</f>
        <v>0.58872002651132327</v>
      </c>
      <c r="AA118" s="617">
        <f>SUM(AA110:AA117)/COUNT(AA110:AA117)</f>
        <v>0.78496003534843106</v>
      </c>
      <c r="AB118" s="692"/>
      <c r="AC118" s="346" t="s">
        <v>792</v>
      </c>
      <c r="AD118" s="332">
        <f>SUM(AD110:AD117)/COUNT(AD110:AD117)</f>
        <v>0.59737741748301254</v>
      </c>
      <c r="AE118" s="332">
        <f>SUM(AE110:AE117)/COUNT(AE110:AE117)</f>
        <v>0.53307503572647297</v>
      </c>
      <c r="AF118" s="332">
        <f>SUM(AF110:AF117)/COUNT(AF110:AF117)</f>
        <v>0.71989939627844468</v>
      </c>
      <c r="AG118" s="334">
        <f>SUM(AG110:AG117)/COUNT(AG110:AG117)</f>
        <v>0.69030350067126878</v>
      </c>
      <c r="AH118" s="357"/>
      <c r="AI118" s="1017"/>
      <c r="AJ118" s="358"/>
      <c r="AK118" s="359"/>
      <c r="AL118" s="360"/>
      <c r="AM118" s="358"/>
      <c r="AN118" s="359"/>
      <c r="AO118" s="360"/>
      <c r="AP118" s="358"/>
      <c r="AQ118" s="359"/>
      <c r="AR118" s="360"/>
      <c r="AS118" s="358"/>
      <c r="AT118" s="359"/>
      <c r="AU118" s="360"/>
      <c r="AV118" s="361"/>
      <c r="AW118" s="360"/>
      <c r="AX118" s="358"/>
      <c r="AY118" s="359"/>
      <c r="AZ118" s="360"/>
      <c r="BA118" s="358"/>
      <c r="BB118" s="359"/>
      <c r="BC118" s="360"/>
      <c r="BD118" s="358"/>
      <c r="BE118" s="359"/>
      <c r="BF118" s="360"/>
      <c r="BG118" s="358"/>
      <c r="BH118" s="359"/>
      <c r="BI118" s="360"/>
      <c r="BJ118" s="361"/>
      <c r="BL118" s="358"/>
      <c r="BM118" s="359"/>
      <c r="BN118" s="360"/>
      <c r="BO118" s="358"/>
      <c r="BP118" s="359"/>
      <c r="BQ118" s="360"/>
      <c r="BR118" s="358"/>
      <c r="BS118" s="359"/>
      <c r="BT118" s="360"/>
      <c r="BU118" s="358"/>
      <c r="BV118" s="359"/>
      <c r="BW118" s="360"/>
      <c r="BX118" s="361"/>
      <c r="BZ118" s="358"/>
      <c r="CA118" s="359"/>
      <c r="CB118" s="360"/>
      <c r="CC118" s="358"/>
      <c r="CD118" s="359"/>
      <c r="CE118" s="360"/>
      <c r="CF118" s="358"/>
      <c r="CG118" s="359"/>
      <c r="CH118" s="360"/>
      <c r="CI118" s="358"/>
      <c r="CJ118" s="359"/>
      <c r="CK118" s="360"/>
      <c r="CL118" s="361"/>
    </row>
    <row r="119" spans="2:90" ht="20.25" thickBot="1" x14ac:dyDescent="0.3">
      <c r="B119" s="1378" t="s">
        <v>799</v>
      </c>
      <c r="C119" s="1388"/>
      <c r="D119" s="1379"/>
      <c r="E119" s="1379"/>
      <c r="F119" s="1380"/>
      <c r="G119" s="362"/>
      <c r="H119" s="365" t="s">
        <v>792</v>
      </c>
      <c r="I119" s="366">
        <f>+(I43+I70+I85+I109+I118)/5</f>
        <v>0.65857944377441169</v>
      </c>
      <c r="J119" s="366">
        <f t="shared" si="35"/>
        <v>0.65857944377441169</v>
      </c>
      <c r="K119" s="366">
        <f>+(K70+K43+K85+K109+K118)/5</f>
        <v>0.11199602482393489</v>
      </c>
      <c r="L119" s="366">
        <f t="shared" ref="L119" si="45">IF(K119&gt;25%,25%,K119)</f>
        <v>0.11199602482393489</v>
      </c>
      <c r="M119" s="367">
        <f t="shared" si="36"/>
        <v>0.11199602482393489</v>
      </c>
      <c r="N119" s="695"/>
      <c r="O119" s="365" t="s">
        <v>792</v>
      </c>
      <c r="P119" s="632">
        <f>(P43+P70+P85+P109+P118)/5</f>
        <v>0.71369803844766788</v>
      </c>
      <c r="Q119" s="632">
        <f>SUM(Q15:Q42,Q44:Q69,Q71:Q84,Q86:Q108,Q110:Q117)/COUNT(Q15:Q42,Q44:Q69,Q71:Q84,Q86:Q108,Q110:Q117)</f>
        <v>0.62252375118060554</v>
      </c>
      <c r="R119" s="648">
        <f>(R43+R70+R85+R109+R118)/5</f>
        <v>0.24397226403556185</v>
      </c>
      <c r="S119" s="671">
        <f>SUM(S15:S42,S44:S63,S65:S69,S71:S84,S86:S108,S110:S117)/COUNT(S15:S42,S44:S63,S65:S69,S71:S84,S86:S108,S110:S117)</f>
        <v>0.24819812194810592</v>
      </c>
      <c r="T119" s="649">
        <f>SUM(T15:T42,T44:T63,T65:T69,T71:T84,T86:T108,T110:T117)/COUNT(T15:T42,T44:T63,T65:T69,T71:T84,T86:T108,T110:T117)</f>
        <v>0.32119756957990175</v>
      </c>
      <c r="U119" s="364"/>
      <c r="V119" s="365" t="s">
        <v>792</v>
      </c>
      <c r="W119" s="632">
        <f>SUM(W15:W42,W44:W69,W71:W84,W86:W108,W110:W117)/COUNT(W15:W42,W44:W69,W71:W84,W86:W108,W110:W117)</f>
        <v>0.69467370652232063</v>
      </c>
      <c r="X119" s="632">
        <f>SUM(X15:X42,X44:X69,X71:X84,X86:X108,X110:X117)/COUNT(X15:X42,X44:X69,X71:X84,X86:X108,X110:X117)</f>
        <v>0.62761002314743652</v>
      </c>
      <c r="Y119" s="652">
        <f>SUM(Y15:Y42,Y44:Y63,Y65:Y69,Y71:Y83,Y86:Y108,Y110:Y117)/COUNT(Y15:Y42,Y44:Y63,Y65:Y69,Y71:Y83,Y86:Y108,Y110:Y117)</f>
        <v>0.42463440524232804</v>
      </c>
      <c r="Z119" s="652">
        <f>SUM(Z15:Z42,Z44:Z63,Z65:Z69,Z71:Z83,Z86:Z108,Z110:Z117)/COUNT(Z15:Z42,Z44:Z63,Z65:Z69,Z71:Z83,Z86:Z108,Z110:Z117)</f>
        <v>0.42463440524232804</v>
      </c>
      <c r="AA119" s="618">
        <f>SUM(AA15:AA42,AA44:AA63,AA65:AA69,AA71:AA83,AA86:AA108,AA110:AA117)/COUNT(AA15:AA42,AA44:AA63,AA65:AA69,AA71:AA83,AA86:AA108,AA110:AA117)</f>
        <v>0.49257591008110052</v>
      </c>
      <c r="AB119" s="695"/>
      <c r="AC119" s="365" t="s">
        <v>792</v>
      </c>
      <c r="AD119" s="632">
        <f>SUM(AD15:AD42,AD44:AD69,AD71:AD84,AD86:AD108,AD110:AD117)/COUNT(AD15:AD42,AD44:AD69,AD71:AD84,AD86:AD108,AD110:AD117)</f>
        <v>1.0887259857109752</v>
      </c>
      <c r="AE119" s="632">
        <f>SUM(AE15:AE42,AE44:AE69,AE71:AE84,AE86:AE108,AE110:AE117)/COUNT(AE15:AE42,AE44:AE69,AE71:AE84,AE86:AE108,AE110:AE117)</f>
        <v>0.68644275569075675</v>
      </c>
      <c r="AF119" s="366">
        <f>SUM(AF15:AF42,AF44:AF63,AF65:AF69,AF71:AF83,AF86:AF108,AF110:AF117)/COUNT(AF15:AF42,AF44:AF63,AF65:AF69,AF71:AF83,AF86:AF108,AF110:AF117)</f>
        <v>0.69034968658292994</v>
      </c>
      <c r="AG119" s="367">
        <f>SUM(AG15:AG42,AG44:AG63,AG65:AG69,AG71:AG83,AG86:AG108,AG110:AG117)/COUNT(AG15:AG42,AG44:AG63,AG65:AG69,AG71:AG83,AG86:AG108,AG110:AG117)</f>
        <v>0.6955607794672547</v>
      </c>
      <c r="AH119" s="348"/>
      <c r="AI119" s="1016"/>
      <c r="AJ119" s="349"/>
      <c r="AK119" s="350"/>
      <c r="AL119" s="351"/>
      <c r="AM119" s="349"/>
      <c r="AN119" s="350"/>
      <c r="AO119" s="351"/>
      <c r="AP119" s="349"/>
      <c r="AQ119" s="350"/>
      <c r="AR119" s="351"/>
      <c r="AS119" s="349"/>
      <c r="AT119" s="350"/>
      <c r="AU119" s="352"/>
      <c r="AV119" s="353"/>
      <c r="AW119" s="352"/>
      <c r="AX119" s="349"/>
      <c r="AY119" s="350"/>
      <c r="AZ119" s="351"/>
      <c r="BA119" s="349"/>
      <c r="BB119" s="350"/>
      <c r="BC119" s="351"/>
      <c r="BD119" s="349"/>
      <c r="BE119" s="350"/>
      <c r="BF119" s="351"/>
      <c r="BG119" s="349"/>
      <c r="BH119" s="350"/>
      <c r="BI119" s="352"/>
      <c r="BJ119" s="353"/>
      <c r="BL119" s="349"/>
      <c r="BM119" s="350"/>
      <c r="BN119" s="351"/>
      <c r="BO119" s="349"/>
      <c r="BP119" s="350"/>
      <c r="BQ119" s="351"/>
      <c r="BR119" s="349"/>
      <c r="BS119" s="350"/>
      <c r="BT119" s="351"/>
      <c r="BU119" s="349"/>
      <c r="BV119" s="350"/>
      <c r="BW119" s="352"/>
      <c r="BX119" s="353"/>
      <c r="BZ119" s="349"/>
      <c r="CA119" s="350"/>
      <c r="CB119" s="351"/>
      <c r="CC119" s="349"/>
      <c r="CD119" s="350"/>
      <c r="CE119" s="351"/>
      <c r="CF119" s="349"/>
      <c r="CG119" s="350"/>
      <c r="CH119" s="351"/>
      <c r="CI119" s="349"/>
      <c r="CJ119" s="350"/>
      <c r="CK119" s="352"/>
      <c r="CL119" s="353"/>
    </row>
    <row r="120" spans="2:90" ht="42.75" customHeight="1" x14ac:dyDescent="0.25">
      <c r="B120" s="1392" t="s">
        <v>807</v>
      </c>
      <c r="C120" s="1397" t="s">
        <v>256</v>
      </c>
      <c r="D120" s="759" t="str">
        <f>+'Plan de Accion 2018'!G105</f>
        <v>Informes de seguimiento a la ejecución presupuestal, PAC y Reservas</v>
      </c>
      <c r="E120" s="1352" t="str">
        <f>+'Plan de Accion 2018'!B105</f>
        <v>Dirección Administrativa y Financiera</v>
      </c>
      <c r="F120" s="769" t="str">
        <f>+'Plan de Accion 2018'!S105</f>
        <v># Ejecuciones Presupuestales Publicadas</v>
      </c>
      <c r="G120" s="362"/>
      <c r="H120" s="547">
        <f>+'Plan de Accion 2018'!AB105</f>
        <v>3</v>
      </c>
      <c r="I120" s="751">
        <f>+'Plan de Accion 2018'!BM105</f>
        <v>1</v>
      </c>
      <c r="J120" s="751">
        <f t="shared" si="35"/>
        <v>1</v>
      </c>
      <c r="K120" s="751">
        <f>+'Plan de Accion 2018'!AF105</f>
        <v>0.25</v>
      </c>
      <c r="L120" s="751">
        <f>+K120</f>
        <v>0.25</v>
      </c>
      <c r="M120" s="753">
        <f t="shared" si="36"/>
        <v>0.25</v>
      </c>
      <c r="N120" s="644"/>
      <c r="O120" s="547">
        <f>+'Plan de Accion 2018'!AL105</f>
        <v>3</v>
      </c>
      <c r="P120" s="751">
        <f>+'Plan de Accion 2018'!BO105</f>
        <v>1</v>
      </c>
      <c r="Q120" s="629">
        <f t="shared" ref="Q120:Q125" si="46">IF(P120&gt;100%,100%,P120)</f>
        <v>1</v>
      </c>
      <c r="R120" s="751">
        <f>+'Plan de Accion 2018'!AP105</f>
        <v>0.5</v>
      </c>
      <c r="S120" s="751">
        <f>IF(R120&gt;100%,100%,R120)</f>
        <v>0.5</v>
      </c>
      <c r="T120" s="637">
        <f t="shared" ref="T120:T125" si="47">+S120</f>
        <v>0.5</v>
      </c>
      <c r="U120" s="329"/>
      <c r="V120" s="547">
        <f>+'Plan de Accion 2018'!AV105</f>
        <v>3</v>
      </c>
      <c r="W120" s="751">
        <f>+'Plan de Accion 2018'!BQ105</f>
        <v>1</v>
      </c>
      <c r="X120" s="629">
        <f t="shared" ref="X120:X125" si="48">IF(W120&gt;100%,100%,W120)</f>
        <v>1</v>
      </c>
      <c r="Y120" s="882">
        <f>+'Plan de Accion 2018'!AZ105</f>
        <v>0.75</v>
      </c>
      <c r="Z120" s="882">
        <f>IF(Y120&gt;100%,100%,Y120)</f>
        <v>0.75</v>
      </c>
      <c r="AA120" s="883">
        <f t="shared" ref="AA120:AA125" si="49">+Z120</f>
        <v>0.75</v>
      </c>
      <c r="AB120" s="644"/>
      <c r="AC120" s="749">
        <f>+'Plan de Accion 2018'!BF105</f>
        <v>3</v>
      </c>
      <c r="AD120" s="751">
        <f>+'Plan de Accion 2018'!BS105</f>
        <v>1</v>
      </c>
      <c r="AE120" s="629">
        <f t="shared" ref="AE120:AE126" si="50">IF(AD120&gt;100%,100%,AD120)</f>
        <v>1</v>
      </c>
      <c r="AF120" s="751">
        <f>+'Plan de Accion 2018'!BJ105</f>
        <v>1</v>
      </c>
      <c r="AG120" s="637">
        <f t="shared" ref="AG120:AG128" si="51">IF(AF120&gt;100%,100%,AF120)</f>
        <v>1</v>
      </c>
      <c r="AH120" s="1457"/>
      <c r="AI120" s="1016"/>
      <c r="AJ120" s="1470"/>
      <c r="AK120" s="1445"/>
      <c r="AL120" s="321"/>
      <c r="AM120" s="1470"/>
      <c r="AN120" s="1445"/>
      <c r="AO120" s="321"/>
      <c r="AP120" s="1470"/>
      <c r="AQ120" s="1445"/>
      <c r="AR120" s="321"/>
      <c r="AS120" s="1470"/>
      <c r="AT120" s="1445"/>
      <c r="AU120" s="326"/>
      <c r="AV120" s="1451"/>
      <c r="AW120" s="352"/>
      <c r="AX120" s="1470"/>
      <c r="AY120" s="1445"/>
      <c r="AZ120" s="321"/>
      <c r="BA120" s="1470"/>
      <c r="BB120" s="1445"/>
      <c r="BC120" s="321"/>
      <c r="BD120" s="1470"/>
      <c r="BE120" s="1445"/>
      <c r="BF120" s="321"/>
      <c r="BG120" s="1470"/>
      <c r="BH120" s="1445"/>
      <c r="BI120" s="326"/>
      <c r="BJ120" s="1451"/>
      <c r="BL120" s="1470"/>
      <c r="BM120" s="1445"/>
      <c r="BN120" s="321"/>
      <c r="BO120" s="1470"/>
      <c r="BP120" s="1445"/>
      <c r="BQ120" s="321"/>
      <c r="BR120" s="1470"/>
      <c r="BS120" s="1445"/>
      <c r="BT120" s="321"/>
      <c r="BU120" s="1470"/>
      <c r="BV120" s="1445"/>
      <c r="BW120" s="326"/>
      <c r="BX120" s="1451"/>
      <c r="BZ120" s="1470"/>
      <c r="CA120" s="1445"/>
      <c r="CB120" s="321"/>
      <c r="CC120" s="1470"/>
      <c r="CD120" s="1445"/>
      <c r="CE120" s="321"/>
      <c r="CF120" s="1470"/>
      <c r="CG120" s="1445"/>
      <c r="CH120" s="321"/>
      <c r="CI120" s="1470"/>
      <c r="CJ120" s="1445"/>
      <c r="CK120" s="326"/>
      <c r="CL120" s="1451"/>
    </row>
    <row r="121" spans="2:90" ht="42.75" x14ac:dyDescent="0.25">
      <c r="B121" s="1393"/>
      <c r="C121" s="1397"/>
      <c r="D121" s="754" t="str">
        <f>+'Plan de Accion 2018'!G106</f>
        <v>Estados Financieros (Balance General y Estado de Resultados) de la UGG</v>
      </c>
      <c r="E121" s="1353"/>
      <c r="F121" s="344" t="str">
        <f>+'Plan de Accion 2018'!S106</f>
        <v># Estados Financieros Presentados</v>
      </c>
      <c r="G121" s="362"/>
      <c r="H121" s="545">
        <f>+'Plan de Accion 2018'!AB106</f>
        <v>1</v>
      </c>
      <c r="I121" s="767">
        <f>+'Plan de Accion 2018'!BM106</f>
        <v>1</v>
      </c>
      <c r="J121" s="767">
        <f t="shared" si="35"/>
        <v>1</v>
      </c>
      <c r="K121" s="767">
        <f>+'Plan de Accion 2018'!AF106</f>
        <v>0.25</v>
      </c>
      <c r="L121" s="767">
        <f>+K121</f>
        <v>0.25</v>
      </c>
      <c r="M121" s="682">
        <f t="shared" si="36"/>
        <v>0.25</v>
      </c>
      <c r="N121" s="644"/>
      <c r="O121" s="545">
        <f>+'Plan de Accion 2018'!AL106</f>
        <v>1</v>
      </c>
      <c r="P121" s="767">
        <f>+'Plan de Accion 2018'!BO106</f>
        <v>1</v>
      </c>
      <c r="Q121" s="629">
        <f t="shared" si="46"/>
        <v>1</v>
      </c>
      <c r="R121" s="751">
        <f>+'Plan de Accion 2018'!AP106</f>
        <v>0.5</v>
      </c>
      <c r="S121" s="751">
        <f>IF(R121&gt;100%,100%,R121)</f>
        <v>0.5</v>
      </c>
      <c r="T121" s="637">
        <f t="shared" si="47"/>
        <v>0.5</v>
      </c>
      <c r="U121" s="329"/>
      <c r="V121" s="543">
        <f>+'Plan de Accion 2018'!AV106</f>
        <v>1</v>
      </c>
      <c r="W121" s="767">
        <f>+'Plan de Accion 2018'!BQ106</f>
        <v>1</v>
      </c>
      <c r="X121" s="629">
        <f t="shared" si="48"/>
        <v>1</v>
      </c>
      <c r="Y121" s="882">
        <f>+'Plan de Accion 2018'!AZ106</f>
        <v>0.75</v>
      </c>
      <c r="Z121" s="882">
        <f>IF(Y121&gt;100%,100%,Y121)</f>
        <v>0.75</v>
      </c>
      <c r="AA121" s="883">
        <f t="shared" si="49"/>
        <v>0.75</v>
      </c>
      <c r="AB121" s="644"/>
      <c r="AC121" s="543">
        <f>+'Plan de Accion 2018'!BF106</f>
        <v>1</v>
      </c>
      <c r="AD121" s="767">
        <f>+'Plan de Accion 2018'!BS106</f>
        <v>1</v>
      </c>
      <c r="AE121" s="629">
        <f t="shared" si="50"/>
        <v>1</v>
      </c>
      <c r="AF121" s="767">
        <f>+'Plan de Accion 2018'!BJ106</f>
        <v>1</v>
      </c>
      <c r="AG121" s="637">
        <f t="shared" si="51"/>
        <v>1</v>
      </c>
      <c r="AH121" s="1458"/>
      <c r="AI121" s="1016"/>
      <c r="AJ121" s="1471"/>
      <c r="AK121" s="1446"/>
      <c r="AL121" s="321"/>
      <c r="AM121" s="1471"/>
      <c r="AN121" s="1446"/>
      <c r="AO121" s="321"/>
      <c r="AP121" s="1471"/>
      <c r="AQ121" s="1446"/>
      <c r="AR121" s="321"/>
      <c r="AS121" s="1471"/>
      <c r="AT121" s="1446"/>
      <c r="AU121" s="326"/>
      <c r="AV121" s="1452"/>
      <c r="AW121" s="352"/>
      <c r="AX121" s="1471"/>
      <c r="AY121" s="1446"/>
      <c r="AZ121" s="321"/>
      <c r="BA121" s="1471"/>
      <c r="BB121" s="1446"/>
      <c r="BC121" s="321"/>
      <c r="BD121" s="1471"/>
      <c r="BE121" s="1446"/>
      <c r="BF121" s="321"/>
      <c r="BG121" s="1471"/>
      <c r="BH121" s="1446"/>
      <c r="BI121" s="326"/>
      <c r="BJ121" s="1452"/>
      <c r="BL121" s="1471"/>
      <c r="BM121" s="1446"/>
      <c r="BN121" s="321"/>
      <c r="BO121" s="1471"/>
      <c r="BP121" s="1446"/>
      <c r="BQ121" s="321"/>
      <c r="BR121" s="1471"/>
      <c r="BS121" s="1446"/>
      <c r="BT121" s="321"/>
      <c r="BU121" s="1471"/>
      <c r="BV121" s="1446"/>
      <c r="BW121" s="326"/>
      <c r="BX121" s="1452"/>
      <c r="BZ121" s="1471"/>
      <c r="CA121" s="1446"/>
      <c r="CB121" s="321"/>
      <c r="CC121" s="1471"/>
      <c r="CD121" s="1446"/>
      <c r="CE121" s="321"/>
      <c r="CF121" s="1471"/>
      <c r="CG121" s="1446"/>
      <c r="CH121" s="321"/>
      <c r="CI121" s="1471"/>
      <c r="CJ121" s="1446"/>
      <c r="CK121" s="326"/>
      <c r="CL121" s="1452"/>
    </row>
    <row r="122" spans="2:90" ht="20.25" thickBot="1" x14ac:dyDescent="0.3">
      <c r="B122" s="1393"/>
      <c r="C122" s="1397"/>
      <c r="D122" s="754" t="str">
        <f>+'Plan de Accion 2018'!G107</f>
        <v>Operaciones Reciprocas</v>
      </c>
      <c r="E122" s="1353"/>
      <c r="F122" s="344" t="str">
        <f>+'Plan de Accion 2018'!S107</f>
        <v xml:space="preserve"># Informes Publicados </v>
      </c>
      <c r="G122" s="362"/>
      <c r="H122" s="545">
        <f>+'Plan de Accion 2018'!AB107</f>
        <v>1</v>
      </c>
      <c r="I122" s="767">
        <f>+'Plan de Accion 2018'!BM107</f>
        <v>1</v>
      </c>
      <c r="J122" s="767">
        <f t="shared" si="35"/>
        <v>1</v>
      </c>
      <c r="K122" s="767">
        <f>+'Plan de Accion 2018'!AF107</f>
        <v>0.25</v>
      </c>
      <c r="L122" s="875">
        <f t="shared" ref="L122:L182" si="52">+K122</f>
        <v>0.25</v>
      </c>
      <c r="M122" s="682">
        <f t="shared" si="36"/>
        <v>0.25</v>
      </c>
      <c r="N122" s="644"/>
      <c r="O122" s="545">
        <f>+'Plan de Accion 2018'!AL107</f>
        <v>1</v>
      </c>
      <c r="P122" s="767">
        <f>+'Plan de Accion 2018'!BO107</f>
        <v>1</v>
      </c>
      <c r="Q122" s="629">
        <f t="shared" si="46"/>
        <v>1</v>
      </c>
      <c r="R122" s="751">
        <f>+'Plan de Accion 2018'!AP107</f>
        <v>0.5</v>
      </c>
      <c r="S122" s="873">
        <f t="shared" ref="S122:S182" si="53">IF(R122&gt;100%,100%,R122)</f>
        <v>0.5</v>
      </c>
      <c r="T122" s="637">
        <f t="shared" si="47"/>
        <v>0.5</v>
      </c>
      <c r="U122" s="329"/>
      <c r="V122" s="543">
        <f>+'Plan de Accion 2018'!AV107</f>
        <v>1</v>
      </c>
      <c r="W122" s="767">
        <f>+'Plan de Accion 2018'!BQ107</f>
        <v>1</v>
      </c>
      <c r="X122" s="629">
        <f t="shared" si="48"/>
        <v>1</v>
      </c>
      <c r="Y122" s="882">
        <f>+'Plan de Accion 2018'!AZ107</f>
        <v>0.75</v>
      </c>
      <c r="Z122" s="882">
        <f t="shared" ref="Z122:Z182" si="54">IF(Y122&gt;100%,100%,Y122)</f>
        <v>0.75</v>
      </c>
      <c r="AA122" s="883">
        <f t="shared" si="49"/>
        <v>0.75</v>
      </c>
      <c r="AB122" s="644"/>
      <c r="AC122" s="543">
        <f>+'Plan de Accion 2018'!BF107</f>
        <v>1</v>
      </c>
      <c r="AD122" s="767">
        <f>+'Plan de Accion 2018'!BS107</f>
        <v>1</v>
      </c>
      <c r="AE122" s="629">
        <f t="shared" si="50"/>
        <v>1</v>
      </c>
      <c r="AF122" s="767">
        <f>+'Plan de Accion 2018'!BJ107</f>
        <v>1</v>
      </c>
      <c r="AG122" s="637">
        <f t="shared" si="51"/>
        <v>1</v>
      </c>
      <c r="AH122" s="1459"/>
      <c r="AI122" s="1016"/>
      <c r="AJ122" s="1472"/>
      <c r="AK122" s="1447"/>
      <c r="AL122" s="321"/>
      <c r="AM122" s="1472"/>
      <c r="AN122" s="1447"/>
      <c r="AO122" s="321"/>
      <c r="AP122" s="1472"/>
      <c r="AQ122" s="1447"/>
      <c r="AR122" s="321"/>
      <c r="AS122" s="1472"/>
      <c r="AT122" s="1447"/>
      <c r="AU122" s="326"/>
      <c r="AV122" s="1453"/>
      <c r="AW122" s="352"/>
      <c r="AX122" s="1472"/>
      <c r="AY122" s="1447"/>
      <c r="AZ122" s="321"/>
      <c r="BA122" s="1472"/>
      <c r="BB122" s="1447"/>
      <c r="BC122" s="321"/>
      <c r="BD122" s="1472"/>
      <c r="BE122" s="1447"/>
      <c r="BF122" s="321"/>
      <c r="BG122" s="1472"/>
      <c r="BH122" s="1447"/>
      <c r="BI122" s="326"/>
      <c r="BJ122" s="1453"/>
      <c r="BL122" s="1472"/>
      <c r="BM122" s="1447"/>
      <c r="BN122" s="321"/>
      <c r="BO122" s="1472"/>
      <c r="BP122" s="1447"/>
      <c r="BQ122" s="321"/>
      <c r="BR122" s="1472"/>
      <c r="BS122" s="1447"/>
      <c r="BT122" s="321"/>
      <c r="BU122" s="1472"/>
      <c r="BV122" s="1447"/>
      <c r="BW122" s="326"/>
      <c r="BX122" s="1453"/>
      <c r="BZ122" s="1472"/>
      <c r="CA122" s="1447"/>
      <c r="CB122" s="321"/>
      <c r="CC122" s="1472"/>
      <c r="CD122" s="1447"/>
      <c r="CE122" s="321"/>
      <c r="CF122" s="1472"/>
      <c r="CG122" s="1447"/>
      <c r="CH122" s="321"/>
      <c r="CI122" s="1472"/>
      <c r="CJ122" s="1447"/>
      <c r="CK122" s="326"/>
      <c r="CL122" s="1453"/>
    </row>
    <row r="123" spans="2:90" ht="71.25" x14ac:dyDescent="0.25">
      <c r="B123" s="1393"/>
      <c r="C123" s="1397"/>
      <c r="D123" s="754" t="str">
        <f>+'Plan de Accion 2018'!G108</f>
        <v>Cuentas de cobro generadas con los debidos soportes documentales</v>
      </c>
      <c r="E123" s="1353"/>
      <c r="F123" s="344" t="str">
        <f>+'Plan de Accion 2018'!S108</f>
        <v># Cuentas de Cobro con Soportes Documentales radicadas en el mes / # Pagos de las Cuentas de Cobro radicadas en el mes</v>
      </c>
      <c r="G123" s="362"/>
      <c r="H123" s="543">
        <f>+'Plan de Accion 2018'!AB108</f>
        <v>0.24829351535836178</v>
      </c>
      <c r="I123" s="767">
        <f>+'Plan de Accion 2018'!BM108</f>
        <v>0.99317406143344711</v>
      </c>
      <c r="J123" s="767">
        <f t="shared" si="35"/>
        <v>0.99317406143344711</v>
      </c>
      <c r="K123" s="767">
        <f>+'Plan de Accion 2018'!AF108</f>
        <v>0.24829351535836178</v>
      </c>
      <c r="L123" s="875">
        <f t="shared" si="52"/>
        <v>0.24829351535836178</v>
      </c>
      <c r="M123" s="682">
        <f t="shared" si="36"/>
        <v>0.24829351535836178</v>
      </c>
      <c r="N123" s="644"/>
      <c r="O123" s="543">
        <f>+'Plan de Accion 2018'!AL108</f>
        <v>0.25154320987654322</v>
      </c>
      <c r="P123" s="767">
        <f>+'Plan de Accion 2018'!BO108</f>
        <v>1.0061728395061729</v>
      </c>
      <c r="Q123" s="629">
        <f t="shared" si="46"/>
        <v>1</v>
      </c>
      <c r="R123" s="751">
        <f>+'Plan de Accion 2018'!AP108</f>
        <v>0.49983672523490497</v>
      </c>
      <c r="S123" s="873">
        <f t="shared" si="53"/>
        <v>0.49983672523490497</v>
      </c>
      <c r="T123" s="637">
        <f t="shared" si="47"/>
        <v>0.49983672523490497</v>
      </c>
      <c r="U123" s="329">
        <v>1</v>
      </c>
      <c r="V123" s="543">
        <f>+'Plan de Accion 2018'!AV108</f>
        <v>0.25</v>
      </c>
      <c r="W123" s="767">
        <f>+'Plan de Accion 2018'!BQ108</f>
        <v>1</v>
      </c>
      <c r="X123" s="629">
        <f t="shared" si="48"/>
        <v>1</v>
      </c>
      <c r="Y123" s="882">
        <f>+'Plan de Accion 2018'!AZ108</f>
        <v>0.74983672523490497</v>
      </c>
      <c r="Z123" s="882">
        <f t="shared" si="54"/>
        <v>0.74983672523490497</v>
      </c>
      <c r="AA123" s="883">
        <f t="shared" si="49"/>
        <v>0.74983672523490497</v>
      </c>
      <c r="AB123" s="644"/>
      <c r="AC123" s="543">
        <f>+'Plan de Accion 2018'!BF108</f>
        <v>0.28378378378378377</v>
      </c>
      <c r="AD123" s="767">
        <f>+'Plan de Accion 2018'!BS108</f>
        <v>1.1351351351351351</v>
      </c>
      <c r="AE123" s="629">
        <f t="shared" si="50"/>
        <v>1</v>
      </c>
      <c r="AF123" s="767">
        <f>+'Plan de Accion 2018'!BJ108</f>
        <v>1.0336205090186887</v>
      </c>
      <c r="AG123" s="637">
        <f t="shared" si="51"/>
        <v>1</v>
      </c>
      <c r="AH123" s="1457"/>
      <c r="AI123" s="1016">
        <v>1</v>
      </c>
      <c r="AJ123" s="1481" t="e">
        <f>+#REF!</f>
        <v>#REF!</v>
      </c>
      <c r="AK123" s="1445" t="e">
        <f>+AJ123/#REF!</f>
        <v>#REF!</v>
      </c>
      <c r="AL123" s="321"/>
      <c r="AM123" s="1481" t="e">
        <f>+#REF!</f>
        <v>#REF!</v>
      </c>
      <c r="AN123" s="1445" t="e">
        <f>+AM123/#REF!</f>
        <v>#REF!</v>
      </c>
      <c r="AO123" s="321"/>
      <c r="AP123" s="1481" t="e">
        <f>+#REF!</f>
        <v>#REF!</v>
      </c>
      <c r="AQ123" s="1445" t="e">
        <f>+AP123/#REF!</f>
        <v>#REF!</v>
      </c>
      <c r="AR123" s="321"/>
      <c r="AS123" s="1481" t="e">
        <f>+#REF!</f>
        <v>#REF!</v>
      </c>
      <c r="AT123" s="1445" t="e">
        <f>+AS123/#REF!</f>
        <v>#REF!</v>
      </c>
      <c r="AU123" s="326"/>
      <c r="AV123" s="1451"/>
      <c r="AW123" s="352"/>
      <c r="AX123" s="1481" t="e">
        <f>+#REF!</f>
        <v>#REF!</v>
      </c>
      <c r="AY123" s="1445" t="e">
        <f>+AX123/#REF!</f>
        <v>#REF!</v>
      </c>
      <c r="AZ123" s="321"/>
      <c r="BA123" s="1481" t="e">
        <f>+#REF!</f>
        <v>#REF!</v>
      </c>
      <c r="BB123" s="1445" t="e">
        <f>+BA123/#REF!</f>
        <v>#REF!</v>
      </c>
      <c r="BC123" s="321"/>
      <c r="BD123" s="1481" t="e">
        <f>+#REF!</f>
        <v>#REF!</v>
      </c>
      <c r="BE123" s="1445" t="e">
        <f>+BD123/#REF!</f>
        <v>#REF!</v>
      </c>
      <c r="BF123" s="321"/>
      <c r="BG123" s="1481" t="e">
        <f>+#REF!</f>
        <v>#REF!</v>
      </c>
      <c r="BH123" s="1445" t="e">
        <f>+BG123/#REF!</f>
        <v>#REF!</v>
      </c>
      <c r="BI123" s="326"/>
      <c r="BJ123" s="1451"/>
      <c r="BL123" s="1481" t="e">
        <f>+#REF!</f>
        <v>#REF!</v>
      </c>
      <c r="BM123" s="1445" t="e">
        <f>+BL123/#REF!</f>
        <v>#REF!</v>
      </c>
      <c r="BN123" s="321"/>
      <c r="BO123" s="1481" t="e">
        <f>+#REF!</f>
        <v>#REF!</v>
      </c>
      <c r="BP123" s="1445" t="e">
        <f>+BO123/#REF!</f>
        <v>#REF!</v>
      </c>
      <c r="BQ123" s="321"/>
      <c r="BR123" s="1481" t="e">
        <f>+#REF!</f>
        <v>#REF!</v>
      </c>
      <c r="BS123" s="1445" t="e">
        <f>+BR123/#REF!</f>
        <v>#REF!</v>
      </c>
      <c r="BT123" s="321"/>
      <c r="BU123" s="1481" t="e">
        <f>+#REF!</f>
        <v>#REF!</v>
      </c>
      <c r="BV123" s="1445" t="e">
        <f>+BU123/#REF!</f>
        <v>#REF!</v>
      </c>
      <c r="BW123" s="326"/>
      <c r="BX123" s="1451"/>
      <c r="BZ123" s="1481" t="e">
        <f>+#REF!</f>
        <v>#REF!</v>
      </c>
      <c r="CA123" s="1445" t="e">
        <f>+BZ123/#REF!</f>
        <v>#REF!</v>
      </c>
      <c r="CB123" s="321"/>
      <c r="CC123" s="1481" t="e">
        <f>+#REF!</f>
        <v>#REF!</v>
      </c>
      <c r="CD123" s="1445" t="e">
        <f>+CC123/#REF!</f>
        <v>#REF!</v>
      </c>
      <c r="CE123" s="321"/>
      <c r="CF123" s="1481" t="e">
        <f>+#REF!</f>
        <v>#REF!</v>
      </c>
      <c r="CG123" s="1445" t="e">
        <f>+CF123/#REF!</f>
        <v>#REF!</v>
      </c>
      <c r="CH123" s="321"/>
      <c r="CI123" s="1481" t="e">
        <f>+#REF!</f>
        <v>#REF!</v>
      </c>
      <c r="CJ123" s="1445" t="e">
        <f>+CI123/#REF!</f>
        <v>#REF!</v>
      </c>
      <c r="CK123" s="326"/>
      <c r="CL123" s="1451"/>
    </row>
    <row r="124" spans="2:90" ht="57" x14ac:dyDescent="0.25">
      <c r="B124" s="1393"/>
      <c r="C124" s="1397"/>
      <c r="D124" s="754" t="str">
        <f>+'Plan de Accion 2018'!G140</f>
        <v xml:space="preserve">Publicación Diario Oficial y diario de Amplia Circulación </v>
      </c>
      <c r="E124" s="1353"/>
      <c r="F124" s="344" t="str">
        <f>+'Plan de Accion 2018'!S140</f>
        <v># Actos Administrativos Publicados / # Actos Administrativos Recibidos para  Publicar</v>
      </c>
      <c r="G124" s="362"/>
      <c r="H124" s="543">
        <f>+'Plan de Accion 2018'!AB140</f>
        <v>1</v>
      </c>
      <c r="I124" s="767">
        <f>+'Plan de Accion 2018'!AF140</f>
        <v>1</v>
      </c>
      <c r="J124" s="767">
        <f t="shared" si="35"/>
        <v>1</v>
      </c>
      <c r="K124" s="767">
        <f>+'Plan de Accion 2018'!AF140</f>
        <v>1</v>
      </c>
      <c r="L124" s="875">
        <f t="shared" si="52"/>
        <v>1</v>
      </c>
      <c r="M124" s="682">
        <f t="shared" si="36"/>
        <v>1</v>
      </c>
      <c r="N124" s="644"/>
      <c r="O124" s="543">
        <f>+'Plan de Accion 2018'!AL140</f>
        <v>0</v>
      </c>
      <c r="P124" s="767">
        <f>+'Plan de Accion 2018'!BO140</f>
        <v>0</v>
      </c>
      <c r="Q124" s="629">
        <f t="shared" si="46"/>
        <v>0</v>
      </c>
      <c r="R124" s="751">
        <f>+'Plan de Accion 2018'!AP140</f>
        <v>0.5</v>
      </c>
      <c r="S124" s="873">
        <f t="shared" si="53"/>
        <v>0.5</v>
      </c>
      <c r="T124" s="637">
        <f t="shared" si="47"/>
        <v>0.5</v>
      </c>
      <c r="U124" s="329"/>
      <c r="V124" s="543">
        <f>+'Plan de Accion 2018'!AV140</f>
        <v>1</v>
      </c>
      <c r="W124" s="767">
        <f>+'Plan de Accion 2018'!AZ140</f>
        <v>2</v>
      </c>
      <c r="X124" s="629">
        <f t="shared" si="48"/>
        <v>1</v>
      </c>
      <c r="Y124" s="882">
        <f>+'Plan de Accion 2018'!AZ140</f>
        <v>2</v>
      </c>
      <c r="Z124" s="882">
        <f t="shared" si="54"/>
        <v>1</v>
      </c>
      <c r="AA124" s="883">
        <f>+Z124</f>
        <v>1</v>
      </c>
      <c r="AB124" s="644"/>
      <c r="AC124" s="543">
        <f>+'Plan de Accion 2018'!BF140</f>
        <v>0</v>
      </c>
      <c r="AD124" s="767">
        <f>+'Plan de Accion 2018'!BS140</f>
        <v>0</v>
      </c>
      <c r="AE124" s="629">
        <f t="shared" si="50"/>
        <v>0</v>
      </c>
      <c r="AF124" s="767">
        <f>+'Plan de Accion 2018'!BJ140</f>
        <v>2</v>
      </c>
      <c r="AG124" s="637">
        <f t="shared" si="51"/>
        <v>1</v>
      </c>
      <c r="AH124" s="1458"/>
      <c r="AI124" s="1016">
        <v>1</v>
      </c>
      <c r="AJ124" s="1482"/>
      <c r="AK124" s="1446"/>
      <c r="AL124" s="321"/>
      <c r="AM124" s="1482"/>
      <c r="AN124" s="1446"/>
      <c r="AO124" s="321"/>
      <c r="AP124" s="1482"/>
      <c r="AQ124" s="1446"/>
      <c r="AR124" s="321"/>
      <c r="AS124" s="1482"/>
      <c r="AT124" s="1446"/>
      <c r="AU124" s="326"/>
      <c r="AV124" s="1452"/>
      <c r="AW124" s="352"/>
      <c r="AX124" s="1482"/>
      <c r="AY124" s="1446"/>
      <c r="AZ124" s="321"/>
      <c r="BA124" s="1482"/>
      <c r="BB124" s="1446"/>
      <c r="BC124" s="321"/>
      <c r="BD124" s="1482"/>
      <c r="BE124" s="1446"/>
      <c r="BF124" s="321"/>
      <c r="BG124" s="1482"/>
      <c r="BH124" s="1446"/>
      <c r="BI124" s="326"/>
      <c r="BJ124" s="1452"/>
      <c r="BL124" s="1482"/>
      <c r="BM124" s="1446"/>
      <c r="BN124" s="321"/>
      <c r="BO124" s="1482"/>
      <c r="BP124" s="1446"/>
      <c r="BQ124" s="321"/>
      <c r="BR124" s="1482"/>
      <c r="BS124" s="1446"/>
      <c r="BT124" s="321"/>
      <c r="BU124" s="1482"/>
      <c r="BV124" s="1446"/>
      <c r="BW124" s="326"/>
      <c r="BX124" s="1452"/>
      <c r="BZ124" s="1482"/>
      <c r="CA124" s="1446"/>
      <c r="CB124" s="321"/>
      <c r="CC124" s="1482"/>
      <c r="CD124" s="1446"/>
      <c r="CE124" s="321"/>
      <c r="CF124" s="1482"/>
      <c r="CG124" s="1446"/>
      <c r="CH124" s="321"/>
      <c r="CI124" s="1482"/>
      <c r="CJ124" s="1446"/>
      <c r="CK124" s="326"/>
      <c r="CL124" s="1452"/>
    </row>
    <row r="125" spans="2:90" s="542" customFormat="1" ht="57" x14ac:dyDescent="0.25">
      <c r="B125" s="1393"/>
      <c r="C125" s="1397"/>
      <c r="D125" s="754" t="str">
        <f>+'Plan de Accion 2018'!G146</f>
        <v xml:space="preserve">Garantizar la gestión de Servicio al ciudadano de la entidad  por los diferentes canales  de atención.. </v>
      </c>
      <c r="E125" s="1353"/>
      <c r="F125" s="344" t="str">
        <f>+'Plan de Accion 2018'!S146</f>
        <v># Obligaciones cumplidas en el período /# Obligaciones establecidas en el CPS 0014 de 2018</v>
      </c>
      <c r="G125" s="362"/>
      <c r="H125" s="543">
        <f>+'Plan de Accion 2018'!AB146</f>
        <v>0.25</v>
      </c>
      <c r="I125" s="767">
        <f>+'Plan de Accion 2018'!BM146</f>
        <v>1</v>
      </c>
      <c r="J125" s="767">
        <f t="shared" si="35"/>
        <v>1</v>
      </c>
      <c r="K125" s="767">
        <f>+'Plan de Accion 2018'!AF146</f>
        <v>0.25</v>
      </c>
      <c r="L125" s="875">
        <f t="shared" si="52"/>
        <v>0.25</v>
      </c>
      <c r="M125" s="682">
        <f t="shared" si="36"/>
        <v>0.25</v>
      </c>
      <c r="N125" s="644"/>
      <c r="O125" s="543">
        <f>+'Plan de Accion 2018'!AL146</f>
        <v>0.25</v>
      </c>
      <c r="P125" s="767">
        <f>+'Plan de Accion 2018'!BO146</f>
        <v>1</v>
      </c>
      <c r="Q125" s="629">
        <f t="shared" si="46"/>
        <v>1</v>
      </c>
      <c r="R125" s="751">
        <f>+'Plan de Accion 2018'!AP146</f>
        <v>0.5</v>
      </c>
      <c r="S125" s="873">
        <f t="shared" si="53"/>
        <v>0.5</v>
      </c>
      <c r="T125" s="637">
        <f t="shared" si="47"/>
        <v>0.5</v>
      </c>
      <c r="U125" s="329"/>
      <c r="V125" s="543">
        <f>+'Plan de Accion 2018'!AV146</f>
        <v>0.25</v>
      </c>
      <c r="W125" s="767">
        <f>+'Plan de Accion 2018'!BQ146</f>
        <v>1</v>
      </c>
      <c r="X125" s="629">
        <f t="shared" si="48"/>
        <v>1</v>
      </c>
      <c r="Y125" s="882">
        <f>+'Plan de Accion 2018'!AZ146</f>
        <v>0.75</v>
      </c>
      <c r="Z125" s="882">
        <f t="shared" si="54"/>
        <v>0.75</v>
      </c>
      <c r="AA125" s="883">
        <f t="shared" si="49"/>
        <v>0.75</v>
      </c>
      <c r="AB125" s="644"/>
      <c r="AC125" s="543">
        <f>+'Plan de Accion 2018'!BF146</f>
        <v>0.25</v>
      </c>
      <c r="AD125" s="767">
        <f>+'Plan de Accion 2018'!BS146</f>
        <v>1</v>
      </c>
      <c r="AE125" s="629">
        <f t="shared" si="50"/>
        <v>1</v>
      </c>
      <c r="AF125" s="767">
        <f>+'Plan de Accion 2018'!BJ146</f>
        <v>1</v>
      </c>
      <c r="AG125" s="637">
        <f t="shared" si="51"/>
        <v>1</v>
      </c>
      <c r="AH125" s="1458"/>
      <c r="AI125" s="1016"/>
      <c r="AJ125" s="1482"/>
      <c r="AK125" s="1446"/>
      <c r="AL125" s="321"/>
      <c r="AM125" s="1482"/>
      <c r="AN125" s="1446"/>
      <c r="AO125" s="321"/>
      <c r="AP125" s="1482"/>
      <c r="AQ125" s="1446"/>
      <c r="AR125" s="321"/>
      <c r="AS125" s="1482"/>
      <c r="AT125" s="1446"/>
      <c r="AU125" s="326"/>
      <c r="AV125" s="1452"/>
      <c r="AW125" s="352"/>
      <c r="AX125" s="1482"/>
      <c r="AY125" s="1446"/>
      <c r="AZ125" s="321"/>
      <c r="BA125" s="1482"/>
      <c r="BB125" s="1446"/>
      <c r="BC125" s="321"/>
      <c r="BD125" s="1482"/>
      <c r="BE125" s="1446"/>
      <c r="BF125" s="321"/>
      <c r="BG125" s="1482"/>
      <c r="BH125" s="1446"/>
      <c r="BI125" s="326"/>
      <c r="BJ125" s="1452"/>
      <c r="BL125" s="1482"/>
      <c r="BM125" s="1446"/>
      <c r="BN125" s="321"/>
      <c r="BO125" s="1482"/>
      <c r="BP125" s="1446"/>
      <c r="BQ125" s="321"/>
      <c r="BR125" s="1482"/>
      <c r="BS125" s="1446"/>
      <c r="BT125" s="321"/>
      <c r="BU125" s="1482"/>
      <c r="BV125" s="1446"/>
      <c r="BW125" s="326"/>
      <c r="BX125" s="1452"/>
      <c r="BZ125" s="1482"/>
      <c r="CA125" s="1446"/>
      <c r="CB125" s="321"/>
      <c r="CC125" s="1482"/>
      <c r="CD125" s="1446"/>
      <c r="CE125" s="321"/>
      <c r="CF125" s="1482"/>
      <c r="CG125" s="1446"/>
      <c r="CH125" s="321"/>
      <c r="CI125" s="1482"/>
      <c r="CJ125" s="1446"/>
      <c r="CK125" s="326"/>
      <c r="CL125" s="1452"/>
    </row>
    <row r="126" spans="2:90" s="542" customFormat="1" ht="42.75" x14ac:dyDescent="0.25">
      <c r="B126" s="1393"/>
      <c r="C126" s="1397"/>
      <c r="D126" s="755" t="str">
        <f>+'Plan de Accion 2018'!G237</f>
        <v>Formalización del Grupo de Atención al Ciudadano. Acto Administrativo</v>
      </c>
      <c r="E126" s="1353"/>
      <c r="F126" s="344" t="str">
        <f>+'Plan de Accion 2018'!S237</f>
        <v xml:space="preserve"># Actos Administrativos de formalización del Grupo de Atención al Ciudadano. </v>
      </c>
      <c r="G126" s="362"/>
      <c r="H126" s="543">
        <f>+'Plan de Accion 2018'!AB237</f>
        <v>0</v>
      </c>
      <c r="I126" s="767" t="str">
        <f>+'Plan de Accion 2018'!BM237</f>
        <v>No Prog ni Ejec</v>
      </c>
      <c r="J126" s="767" t="s">
        <v>792</v>
      </c>
      <c r="K126" s="767">
        <f>+'Plan de Accion 2018'!AF237</f>
        <v>0</v>
      </c>
      <c r="L126" s="875">
        <f t="shared" si="52"/>
        <v>0</v>
      </c>
      <c r="M126" s="682" t="s">
        <v>792</v>
      </c>
      <c r="N126" s="644"/>
      <c r="O126" s="543">
        <f>+'Plan de Accion 2018'!AL237</f>
        <v>0</v>
      </c>
      <c r="P126" s="767" t="str">
        <f>+'Plan de Accion 2018'!BO237</f>
        <v>No Prog ni Ejec</v>
      </c>
      <c r="Q126" s="767" t="s">
        <v>792</v>
      </c>
      <c r="R126" s="751">
        <f>+'Plan de Accion 2018'!AP237</f>
        <v>0</v>
      </c>
      <c r="S126" s="873">
        <f t="shared" si="53"/>
        <v>0</v>
      </c>
      <c r="T126" s="682" t="s">
        <v>792</v>
      </c>
      <c r="U126" s="329"/>
      <c r="V126" s="543">
        <f>+'Plan de Accion 2018'!AV237</f>
        <v>0</v>
      </c>
      <c r="W126" s="767" t="str">
        <f>+'Plan de Accion 2018'!BQ237</f>
        <v>No Prog ni Ejec</v>
      </c>
      <c r="X126" s="629" t="s">
        <v>792</v>
      </c>
      <c r="Y126" s="882">
        <f>+'Plan de Accion 2018'!AZ237</f>
        <v>0</v>
      </c>
      <c r="Z126" s="882">
        <f t="shared" si="54"/>
        <v>0</v>
      </c>
      <c r="AA126" s="883" t="s">
        <v>792</v>
      </c>
      <c r="AB126" s="644"/>
      <c r="AC126" s="543">
        <f>+'Plan de Accion 2018'!BF237</f>
        <v>0</v>
      </c>
      <c r="AD126" s="767">
        <f>+'Plan de Accion 2018'!BS237</f>
        <v>0</v>
      </c>
      <c r="AE126" s="629">
        <f t="shared" si="50"/>
        <v>0</v>
      </c>
      <c r="AF126" s="767">
        <f>+'Plan de Accion 2018'!BJ237</f>
        <v>0</v>
      </c>
      <c r="AG126" s="637">
        <f t="shared" si="51"/>
        <v>0</v>
      </c>
      <c r="AH126" s="1458"/>
      <c r="AI126" s="1016"/>
      <c r="AJ126" s="1482"/>
      <c r="AK126" s="1446"/>
      <c r="AL126" s="321"/>
      <c r="AM126" s="1482"/>
      <c r="AN126" s="1446"/>
      <c r="AO126" s="321"/>
      <c r="AP126" s="1482"/>
      <c r="AQ126" s="1446"/>
      <c r="AR126" s="321"/>
      <c r="AS126" s="1482"/>
      <c r="AT126" s="1446"/>
      <c r="AU126" s="326"/>
      <c r="AV126" s="1452"/>
      <c r="AW126" s="352"/>
      <c r="AX126" s="1482"/>
      <c r="AY126" s="1446"/>
      <c r="AZ126" s="321"/>
      <c r="BA126" s="1482"/>
      <c r="BB126" s="1446"/>
      <c r="BC126" s="321"/>
      <c r="BD126" s="1482"/>
      <c r="BE126" s="1446"/>
      <c r="BF126" s="321"/>
      <c r="BG126" s="1482"/>
      <c r="BH126" s="1446"/>
      <c r="BI126" s="326"/>
      <c r="BJ126" s="1452"/>
      <c r="BL126" s="1482"/>
      <c r="BM126" s="1446"/>
      <c r="BN126" s="321"/>
      <c r="BO126" s="1482"/>
      <c r="BP126" s="1446"/>
      <c r="BQ126" s="321"/>
      <c r="BR126" s="1482"/>
      <c r="BS126" s="1446"/>
      <c r="BT126" s="321"/>
      <c r="BU126" s="1482"/>
      <c r="BV126" s="1446"/>
      <c r="BW126" s="326"/>
      <c r="BX126" s="1452"/>
      <c r="BZ126" s="1482"/>
      <c r="CA126" s="1446"/>
      <c r="CB126" s="321"/>
      <c r="CC126" s="1482"/>
      <c r="CD126" s="1446"/>
      <c r="CE126" s="321"/>
      <c r="CF126" s="1482"/>
      <c r="CG126" s="1446"/>
      <c r="CH126" s="321"/>
      <c r="CI126" s="1482"/>
      <c r="CJ126" s="1446"/>
      <c r="CK126" s="326"/>
      <c r="CL126" s="1452"/>
    </row>
    <row r="127" spans="2:90" s="542" customFormat="1" ht="71.25" x14ac:dyDescent="0.25">
      <c r="B127" s="1393"/>
      <c r="C127" s="1397"/>
      <c r="D127" s="755" t="str">
        <f>+'Plan de Accion 2018'!G238</f>
        <v xml:space="preserve">Socialización a través de publicación en Página WEB de información referente a medios y horarios de atención de la ADRES </v>
      </c>
      <c r="E127" s="1353"/>
      <c r="F127" s="344" t="str">
        <f>+'Plan de Accion 2018'!S238</f>
        <v># campañas de socialización de medios y horarios de atención de la ADRES publicadas en la página Web de la entidad</v>
      </c>
      <c r="G127" s="362"/>
      <c r="H127" s="543">
        <f>+'Plan de Accion 2018'!AB238</f>
        <v>0</v>
      </c>
      <c r="I127" s="767" t="str">
        <f>+'Plan de Accion 2018'!BM238</f>
        <v>No Prog, Ejec=  2</v>
      </c>
      <c r="J127" s="767" t="s">
        <v>792</v>
      </c>
      <c r="K127" s="767">
        <f>+'Plan de Accion 2018'!AF238</f>
        <v>0</v>
      </c>
      <c r="L127" s="875">
        <f t="shared" si="52"/>
        <v>0</v>
      </c>
      <c r="M127" s="682" t="s">
        <v>792</v>
      </c>
      <c r="N127" s="644"/>
      <c r="O127" s="543">
        <f>+'Plan de Accion 2018'!AL238</f>
        <v>2</v>
      </c>
      <c r="P127" s="767">
        <f>+'Plan de Accion 2018'!BO238</f>
        <v>1</v>
      </c>
      <c r="Q127" s="629">
        <f>IF(P127&gt;100%,100%,P127)</f>
        <v>1</v>
      </c>
      <c r="R127" s="751">
        <f>+'Plan de Accion 2018'!AP238</f>
        <v>1</v>
      </c>
      <c r="S127" s="873">
        <f t="shared" si="53"/>
        <v>1</v>
      </c>
      <c r="T127" s="637">
        <f>+S127</f>
        <v>1</v>
      </c>
      <c r="U127" s="329"/>
      <c r="V127" s="543">
        <f>+'Plan de Accion 2018'!AV238</f>
        <v>0</v>
      </c>
      <c r="W127" s="767" t="str">
        <f>+'Plan de Accion 2018'!BQ238</f>
        <v>No Prog ni Ejec</v>
      </c>
      <c r="X127" s="629" t="s">
        <v>792</v>
      </c>
      <c r="Y127" s="882">
        <f>+'Plan de Accion 2018'!AZ238</f>
        <v>1</v>
      </c>
      <c r="Z127" s="882">
        <f t="shared" si="54"/>
        <v>1</v>
      </c>
      <c r="AA127" s="883" t="s">
        <v>792</v>
      </c>
      <c r="AB127" s="644"/>
      <c r="AC127" s="543">
        <f>+'Plan de Accion 2018'!BF238</f>
        <v>0</v>
      </c>
      <c r="AD127" s="767" t="str">
        <f>+'Plan de Accion 2018'!BS238</f>
        <v>No Prog ni Ejec</v>
      </c>
      <c r="AE127" s="629" t="s">
        <v>792</v>
      </c>
      <c r="AF127" s="767">
        <f>+'Plan de Accion 2018'!BJ238</f>
        <v>1</v>
      </c>
      <c r="AG127" s="637">
        <f t="shared" si="51"/>
        <v>1</v>
      </c>
      <c r="AH127" s="1458"/>
      <c r="AI127" s="1016"/>
      <c r="AJ127" s="1482"/>
      <c r="AK127" s="1446"/>
      <c r="AL127" s="321"/>
      <c r="AM127" s="1482"/>
      <c r="AN127" s="1446"/>
      <c r="AO127" s="321"/>
      <c r="AP127" s="1482"/>
      <c r="AQ127" s="1446"/>
      <c r="AR127" s="321"/>
      <c r="AS127" s="1482"/>
      <c r="AT127" s="1446"/>
      <c r="AU127" s="326"/>
      <c r="AV127" s="1452"/>
      <c r="AW127" s="352"/>
      <c r="AX127" s="1482"/>
      <c r="AY127" s="1446"/>
      <c r="AZ127" s="321"/>
      <c r="BA127" s="1482"/>
      <c r="BB127" s="1446"/>
      <c r="BC127" s="321"/>
      <c r="BD127" s="1482"/>
      <c r="BE127" s="1446"/>
      <c r="BF127" s="321"/>
      <c r="BG127" s="1482"/>
      <c r="BH127" s="1446"/>
      <c r="BI127" s="326"/>
      <c r="BJ127" s="1452"/>
      <c r="BL127" s="1482"/>
      <c r="BM127" s="1446"/>
      <c r="BN127" s="321"/>
      <c r="BO127" s="1482"/>
      <c r="BP127" s="1446"/>
      <c r="BQ127" s="321"/>
      <c r="BR127" s="1482"/>
      <c r="BS127" s="1446"/>
      <c r="BT127" s="321"/>
      <c r="BU127" s="1482"/>
      <c r="BV127" s="1446"/>
      <c r="BW127" s="326"/>
      <c r="BX127" s="1452"/>
      <c r="BZ127" s="1482"/>
      <c r="CA127" s="1446"/>
      <c r="CB127" s="321"/>
      <c r="CC127" s="1482"/>
      <c r="CD127" s="1446"/>
      <c r="CE127" s="321"/>
      <c r="CF127" s="1482"/>
      <c r="CG127" s="1446"/>
      <c r="CH127" s="321"/>
      <c r="CI127" s="1482"/>
      <c r="CJ127" s="1446"/>
      <c r="CK127" s="326"/>
      <c r="CL127" s="1452"/>
    </row>
    <row r="128" spans="2:90" s="542" customFormat="1" ht="71.25" customHeight="1" x14ac:dyDescent="0.25">
      <c r="B128" s="1393"/>
      <c r="C128" s="1397"/>
      <c r="D128" s="755" t="str">
        <f>+'Plan de Accion 2018'!G239</f>
        <v xml:space="preserve">Encuesta satisfacción del usuario diseñada e implementada. </v>
      </c>
      <c r="E128" s="1353"/>
      <c r="F128" s="344" t="str">
        <f>+'Plan de Accion 2018'!S239</f>
        <v># Encuestas de atención al ciudadano diseñadas e implementadas</v>
      </c>
      <c r="G128" s="362"/>
      <c r="H128" s="543">
        <f>+'Plan de Accion 2018'!AB239</f>
        <v>0</v>
      </c>
      <c r="I128" s="767" t="str">
        <f>+'Plan de Accion 2018'!BM239</f>
        <v>No Prog, Ejec=  1</v>
      </c>
      <c r="J128" s="767" t="s">
        <v>792</v>
      </c>
      <c r="K128" s="767">
        <f>+'Plan de Accion 2018'!AF239</f>
        <v>0</v>
      </c>
      <c r="L128" s="875">
        <f t="shared" si="52"/>
        <v>0</v>
      </c>
      <c r="M128" s="682" t="s">
        <v>792</v>
      </c>
      <c r="N128" s="644"/>
      <c r="O128" s="543">
        <f>+'Plan de Accion 2018'!AL239</f>
        <v>1</v>
      </c>
      <c r="P128" s="767">
        <f>+'Plan de Accion 2018'!BO239</f>
        <v>1</v>
      </c>
      <c r="Q128" s="629">
        <f>IF(P128&gt;100%,100%,P128)</f>
        <v>1</v>
      </c>
      <c r="R128" s="751">
        <f>+'Plan de Accion 2018'!AP239</f>
        <v>1</v>
      </c>
      <c r="S128" s="873">
        <f t="shared" si="53"/>
        <v>1</v>
      </c>
      <c r="T128" s="637">
        <f>+S128</f>
        <v>1</v>
      </c>
      <c r="U128" s="329"/>
      <c r="V128" s="543">
        <f>+'Plan de Accion 2018'!AV239</f>
        <v>0</v>
      </c>
      <c r="W128" s="767" t="str">
        <f>+'Plan de Accion 2018'!BQ239</f>
        <v>No Prog ni Ejec</v>
      </c>
      <c r="X128" s="629" t="s">
        <v>792</v>
      </c>
      <c r="Y128" s="882">
        <f>+'Plan de Accion 2018'!AZ239</f>
        <v>1</v>
      </c>
      <c r="Z128" s="882">
        <f t="shared" si="54"/>
        <v>1</v>
      </c>
      <c r="AA128" s="883" t="s">
        <v>792</v>
      </c>
      <c r="AB128" s="644"/>
      <c r="AC128" s="543">
        <f>+'Plan de Accion 2018'!BF239</f>
        <v>0</v>
      </c>
      <c r="AD128" s="767" t="str">
        <f>+'Plan de Accion 2018'!BS239</f>
        <v>No Prog ni Ejec</v>
      </c>
      <c r="AE128" s="629" t="s">
        <v>792</v>
      </c>
      <c r="AF128" s="767">
        <f>+'Plan de Accion 2018'!BJ239</f>
        <v>1</v>
      </c>
      <c r="AG128" s="637">
        <f t="shared" si="51"/>
        <v>1</v>
      </c>
      <c r="AH128" s="1458"/>
      <c r="AI128" s="1016"/>
      <c r="AJ128" s="1482"/>
      <c r="AK128" s="1446"/>
      <c r="AL128" s="321"/>
      <c r="AM128" s="1482"/>
      <c r="AN128" s="1446"/>
      <c r="AO128" s="321"/>
      <c r="AP128" s="1482"/>
      <c r="AQ128" s="1446"/>
      <c r="AR128" s="321"/>
      <c r="AS128" s="1482"/>
      <c r="AT128" s="1446"/>
      <c r="AU128" s="326"/>
      <c r="AV128" s="1452"/>
      <c r="AW128" s="352"/>
      <c r="AX128" s="1482"/>
      <c r="AY128" s="1446"/>
      <c r="AZ128" s="321"/>
      <c r="BA128" s="1482"/>
      <c r="BB128" s="1446"/>
      <c r="BC128" s="321"/>
      <c r="BD128" s="1482"/>
      <c r="BE128" s="1446"/>
      <c r="BF128" s="321"/>
      <c r="BG128" s="1482"/>
      <c r="BH128" s="1446"/>
      <c r="BI128" s="326"/>
      <c r="BJ128" s="1452"/>
      <c r="BL128" s="1482"/>
      <c r="BM128" s="1446"/>
      <c r="BN128" s="321"/>
      <c r="BO128" s="1482"/>
      <c r="BP128" s="1446"/>
      <c r="BQ128" s="321"/>
      <c r="BR128" s="1482"/>
      <c r="BS128" s="1446"/>
      <c r="BT128" s="321"/>
      <c r="BU128" s="1482"/>
      <c r="BV128" s="1446"/>
      <c r="BW128" s="326"/>
      <c r="BX128" s="1452"/>
      <c r="BZ128" s="1482"/>
      <c r="CA128" s="1446"/>
      <c r="CB128" s="321"/>
      <c r="CC128" s="1482"/>
      <c r="CD128" s="1446"/>
      <c r="CE128" s="321"/>
      <c r="CF128" s="1482"/>
      <c r="CG128" s="1446"/>
      <c r="CH128" s="321"/>
      <c r="CI128" s="1482"/>
      <c r="CJ128" s="1446"/>
      <c r="CK128" s="326"/>
      <c r="CL128" s="1452"/>
    </row>
    <row r="129" spans="2:90" s="542" customFormat="1" ht="42.75" customHeight="1" x14ac:dyDescent="0.25">
      <c r="B129" s="1393"/>
      <c r="C129" s="1397"/>
      <c r="D129" s="1350" t="str">
        <f>+'Plan de Accion 2018'!G240</f>
        <v>Informes bimensuales de evaluación de satisfacción de los usuarios.</v>
      </c>
      <c r="E129" s="1353"/>
      <c r="F129" s="344" t="str">
        <f>+'Plan de Accion 2018'!S240</f>
        <v># Informes socializados a las áreas involucradas</v>
      </c>
      <c r="G129" s="362"/>
      <c r="H129" s="543">
        <f>+'Plan de Accion 2018'!AB240</f>
        <v>0</v>
      </c>
      <c r="I129" s="767" t="str">
        <f>+'Plan de Accion 2018'!BM240</f>
        <v>No Prog ni Ejec</v>
      </c>
      <c r="J129" s="767" t="s">
        <v>792</v>
      </c>
      <c r="K129" s="767">
        <f>+'Plan de Accion 2018'!AF240</f>
        <v>0</v>
      </c>
      <c r="L129" s="875">
        <f t="shared" si="52"/>
        <v>0</v>
      </c>
      <c r="M129" s="682" t="s">
        <v>792</v>
      </c>
      <c r="N129" s="644"/>
      <c r="O129" s="543">
        <f>+'Plan de Accion 2018'!AL240</f>
        <v>0</v>
      </c>
      <c r="P129" s="767">
        <f>+'Plan de Accion 2018'!BO240</f>
        <v>0</v>
      </c>
      <c r="Q129" s="629">
        <f>IF(P129&gt;100%,100%,P129)</f>
        <v>0</v>
      </c>
      <c r="R129" s="751">
        <f>+'Plan de Accion 2018'!AP240</f>
        <v>0</v>
      </c>
      <c r="S129" s="873">
        <f t="shared" si="53"/>
        <v>0</v>
      </c>
      <c r="T129" s="637">
        <f>+S129</f>
        <v>0</v>
      </c>
      <c r="U129" s="329"/>
      <c r="V129" s="555">
        <f>+'Plan de Accion 2018'!AV240</f>
        <v>2</v>
      </c>
      <c r="W129" s="767">
        <f>+'Plan de Accion 2018'!BQ240</f>
        <v>2</v>
      </c>
      <c r="X129" s="629">
        <f>IF(W129&gt;100%,100%,W129)</f>
        <v>1</v>
      </c>
      <c r="Y129" s="882">
        <f>+'Plan de Accion 2018'!AZ240</f>
        <v>0.66666666666666663</v>
      </c>
      <c r="Z129" s="882">
        <f t="shared" si="54"/>
        <v>0.66666666666666663</v>
      </c>
      <c r="AA129" s="883">
        <f>+Z129</f>
        <v>0.66666666666666663</v>
      </c>
      <c r="AB129" s="644">
        <v>1</v>
      </c>
      <c r="AC129" s="543">
        <f>+'Plan de Accion 2018'!BF240</f>
        <v>1</v>
      </c>
      <c r="AD129" s="767">
        <f>+'Plan de Accion 2018'!BS240</f>
        <v>1</v>
      </c>
      <c r="AE129" s="629">
        <f>IF(AD129&gt;100%,100%,AD129)</f>
        <v>1</v>
      </c>
      <c r="AF129" s="767">
        <f>+'Plan de Accion 2018'!BJ240</f>
        <v>1</v>
      </c>
      <c r="AG129" s="637">
        <f t="shared" ref="AG129:AG137" si="55">IF(AF129&gt;100%,100%,AF129)</f>
        <v>1</v>
      </c>
      <c r="AH129" s="1458"/>
      <c r="AI129" s="1016"/>
      <c r="AJ129" s="1482"/>
      <c r="AK129" s="1446"/>
      <c r="AL129" s="321"/>
      <c r="AM129" s="1482"/>
      <c r="AN129" s="1446"/>
      <c r="AO129" s="321"/>
      <c r="AP129" s="1482"/>
      <c r="AQ129" s="1446"/>
      <c r="AR129" s="321"/>
      <c r="AS129" s="1482"/>
      <c r="AT129" s="1446"/>
      <c r="AU129" s="326"/>
      <c r="AV129" s="1452"/>
      <c r="AW129" s="352"/>
      <c r="AX129" s="1482"/>
      <c r="AY129" s="1446"/>
      <c r="AZ129" s="321"/>
      <c r="BA129" s="1482"/>
      <c r="BB129" s="1446"/>
      <c r="BC129" s="321"/>
      <c r="BD129" s="1482"/>
      <c r="BE129" s="1446"/>
      <c r="BF129" s="321"/>
      <c r="BG129" s="1482"/>
      <c r="BH129" s="1446"/>
      <c r="BI129" s="326"/>
      <c r="BJ129" s="1452"/>
      <c r="BL129" s="1482"/>
      <c r="BM129" s="1446"/>
      <c r="BN129" s="321"/>
      <c r="BO129" s="1482"/>
      <c r="BP129" s="1446"/>
      <c r="BQ129" s="321"/>
      <c r="BR129" s="1482"/>
      <c r="BS129" s="1446"/>
      <c r="BT129" s="321"/>
      <c r="BU129" s="1482"/>
      <c r="BV129" s="1446"/>
      <c r="BW129" s="326"/>
      <c r="BX129" s="1452"/>
      <c r="BZ129" s="1482"/>
      <c r="CA129" s="1446"/>
      <c r="CB129" s="321"/>
      <c r="CC129" s="1482"/>
      <c r="CD129" s="1446"/>
      <c r="CE129" s="321"/>
      <c r="CF129" s="1482"/>
      <c r="CG129" s="1446"/>
      <c r="CH129" s="321"/>
      <c r="CI129" s="1482"/>
      <c r="CJ129" s="1446"/>
      <c r="CK129" s="326"/>
      <c r="CL129" s="1452"/>
    </row>
    <row r="130" spans="2:90" s="542" customFormat="1" ht="87.75" customHeight="1" x14ac:dyDescent="0.25">
      <c r="B130" s="1393"/>
      <c r="C130" s="1397"/>
      <c r="D130" s="1351"/>
      <c r="E130" s="1353"/>
      <c r="F130" s="344" t="str">
        <f>+'Plan de Accion 2018'!S241</f>
        <v xml:space="preserve"># usuarios encuestados que calificaron el servicio de atención presencial como Excelente (trato recibido del funcionario) / # total de usuarios encuestados el servicio de atención presencial </v>
      </c>
      <c r="G130" s="362"/>
      <c r="H130" s="543">
        <f>+'Plan de Accion 2018'!AB241</f>
        <v>0</v>
      </c>
      <c r="I130" s="767" t="str">
        <f>+'Plan de Accion 2018'!BM241</f>
        <v>No Prog ni Ejec</v>
      </c>
      <c r="J130" s="767" t="s">
        <v>792</v>
      </c>
      <c r="K130" s="767">
        <f>+'Plan de Accion 2018'!AF241</f>
        <v>0</v>
      </c>
      <c r="L130" s="875">
        <f t="shared" si="52"/>
        <v>0</v>
      </c>
      <c r="M130" s="682" t="s">
        <v>792</v>
      </c>
      <c r="N130" s="644"/>
      <c r="O130" s="543">
        <f>+'Plan de Accion 2018'!AL241</f>
        <v>0.22762999999999972</v>
      </c>
      <c r="P130" s="767">
        <f>+'Plan de Accion 2018'!BO241</f>
        <v>0.8034</v>
      </c>
      <c r="Q130" s="629">
        <f>IF(P130&gt;100%,100%,P130)</f>
        <v>0.8034</v>
      </c>
      <c r="R130" s="751">
        <f>+'Plan de Accion 2018'!AP241</f>
        <v>0.2677999999999997</v>
      </c>
      <c r="S130" s="873">
        <f t="shared" si="53"/>
        <v>0.2677999999999997</v>
      </c>
      <c r="T130" s="637">
        <f>+S130</f>
        <v>0.2677999999999997</v>
      </c>
      <c r="U130" s="329"/>
      <c r="V130" s="543">
        <f>+'Plan de Accion 2018'!AV241</f>
        <v>0.24060666666666639</v>
      </c>
      <c r="W130" s="767">
        <f>+'Plan de Accion 2018'!BQ241</f>
        <v>0.84920000000000007</v>
      </c>
      <c r="X130" s="629">
        <f>IF(W130&gt;100%,100%,W130)</f>
        <v>0.84920000000000007</v>
      </c>
      <c r="Y130" s="882">
        <f>+'Plan de Accion 2018'!AZ241</f>
        <v>0.55086666666666595</v>
      </c>
      <c r="Z130" s="882">
        <f t="shared" si="54"/>
        <v>0.55086666666666595</v>
      </c>
      <c r="AA130" s="883">
        <f>+Z130</f>
        <v>0.55086666666666595</v>
      </c>
      <c r="AB130" s="644"/>
      <c r="AC130" s="543">
        <f>+'Plan de Accion 2018'!BF241</f>
        <v>0.22232854864433785</v>
      </c>
      <c r="AD130" s="767">
        <f>+'Plan de Accion 2018'!BS241</f>
        <v>0.78468899521531099</v>
      </c>
      <c r="AE130" s="629">
        <f>IF(AD130&gt;100%,100%,AD130)</f>
        <v>0.78468899521531099</v>
      </c>
      <c r="AF130" s="767">
        <f>+'Plan de Accion 2018'!BJ241</f>
        <v>0.81242966507176928</v>
      </c>
      <c r="AG130" s="637">
        <f t="shared" si="55"/>
        <v>0.81242966507176928</v>
      </c>
      <c r="AH130" s="1458"/>
      <c r="AI130" s="1016"/>
      <c r="AJ130" s="1482"/>
      <c r="AK130" s="1446"/>
      <c r="AL130" s="321"/>
      <c r="AM130" s="1482"/>
      <c r="AN130" s="1446"/>
      <c r="AO130" s="321"/>
      <c r="AP130" s="1482"/>
      <c r="AQ130" s="1446"/>
      <c r="AR130" s="321"/>
      <c r="AS130" s="1482"/>
      <c r="AT130" s="1446"/>
      <c r="AU130" s="326"/>
      <c r="AV130" s="1452"/>
      <c r="AW130" s="352"/>
      <c r="AX130" s="1482"/>
      <c r="AY130" s="1446"/>
      <c r="AZ130" s="321"/>
      <c r="BA130" s="1482"/>
      <c r="BB130" s="1446"/>
      <c r="BC130" s="321"/>
      <c r="BD130" s="1482"/>
      <c r="BE130" s="1446"/>
      <c r="BF130" s="321"/>
      <c r="BG130" s="1482"/>
      <c r="BH130" s="1446"/>
      <c r="BI130" s="326"/>
      <c r="BJ130" s="1452"/>
      <c r="BL130" s="1482"/>
      <c r="BM130" s="1446"/>
      <c r="BN130" s="321"/>
      <c r="BO130" s="1482"/>
      <c r="BP130" s="1446"/>
      <c r="BQ130" s="321"/>
      <c r="BR130" s="1482"/>
      <c r="BS130" s="1446"/>
      <c r="BT130" s="321"/>
      <c r="BU130" s="1482"/>
      <c r="BV130" s="1446"/>
      <c r="BW130" s="326"/>
      <c r="BX130" s="1452"/>
      <c r="BZ130" s="1482"/>
      <c r="CA130" s="1446"/>
      <c r="CB130" s="321"/>
      <c r="CC130" s="1482"/>
      <c r="CD130" s="1446"/>
      <c r="CE130" s="321"/>
      <c r="CF130" s="1482"/>
      <c r="CG130" s="1446"/>
      <c r="CH130" s="321"/>
      <c r="CI130" s="1482"/>
      <c r="CJ130" s="1446"/>
      <c r="CK130" s="326"/>
      <c r="CL130" s="1452"/>
    </row>
    <row r="131" spans="2:90" s="542" customFormat="1" ht="114" customHeight="1" x14ac:dyDescent="0.25">
      <c r="B131" s="1393"/>
      <c r="C131" s="1397"/>
      <c r="D131" s="864" t="str">
        <f>+'Plan de Accion 2018'!G242</f>
        <v>Protocolos de atención al ciudadano publicado en página web de la ADRES</v>
      </c>
      <c r="E131" s="1353"/>
      <c r="F131" s="344" t="str">
        <f>+'Plan de Accion 2018'!S242</f>
        <v># Protocolos de atención al ciudadano publicados en página web de la ADRES</v>
      </c>
      <c r="G131" s="362"/>
      <c r="H131" s="543">
        <f>+'Plan de Accion 2018'!AB242</f>
        <v>1</v>
      </c>
      <c r="I131" s="767">
        <f>+'Plan de Accion 2018'!BM242</f>
        <v>1</v>
      </c>
      <c r="J131" s="767">
        <f t="shared" si="35"/>
        <v>1</v>
      </c>
      <c r="K131" s="767">
        <f>+'Plan de Accion 2018'!AF242</f>
        <v>1</v>
      </c>
      <c r="L131" s="875">
        <f t="shared" si="52"/>
        <v>1</v>
      </c>
      <c r="M131" s="682">
        <f t="shared" si="36"/>
        <v>1</v>
      </c>
      <c r="N131" s="644"/>
      <c r="O131" s="543">
        <f>+'Plan de Accion 2018'!AL242</f>
        <v>0</v>
      </c>
      <c r="P131" s="767" t="str">
        <f>+'Plan de Accion 2018'!BO242</f>
        <v>No Prog ni Ejec</v>
      </c>
      <c r="Q131" s="767" t="s">
        <v>792</v>
      </c>
      <c r="R131" s="751">
        <f>+'Plan de Accion 2018'!AP242</f>
        <v>1</v>
      </c>
      <c r="S131" s="873">
        <f t="shared" si="53"/>
        <v>1</v>
      </c>
      <c r="T131" s="682">
        <f>+S131</f>
        <v>1</v>
      </c>
      <c r="U131" s="329"/>
      <c r="V131" s="543">
        <f>+'Plan de Accion 2018'!AV242</f>
        <v>0</v>
      </c>
      <c r="W131" s="767" t="str">
        <f>+'Plan de Accion 2018'!BQ242</f>
        <v>No Prog ni Ejec</v>
      </c>
      <c r="X131" s="629" t="s">
        <v>792</v>
      </c>
      <c r="Y131" s="882">
        <f>+'Plan de Accion 2018'!AZ242</f>
        <v>1</v>
      </c>
      <c r="Z131" s="882">
        <f t="shared" si="54"/>
        <v>1</v>
      </c>
      <c r="AA131" s="883" t="s">
        <v>792</v>
      </c>
      <c r="AB131" s="644"/>
      <c r="AC131" s="543">
        <f>+'Plan de Accion 2018'!BF242</f>
        <v>0</v>
      </c>
      <c r="AD131" s="767" t="str">
        <f>+'Plan de Accion 2018'!BS242</f>
        <v>No Prog ni Ejec</v>
      </c>
      <c r="AE131" s="629" t="s">
        <v>792</v>
      </c>
      <c r="AF131" s="767">
        <f>+'Plan de Accion 2018'!BJ242</f>
        <v>1</v>
      </c>
      <c r="AG131" s="637">
        <f t="shared" si="55"/>
        <v>1</v>
      </c>
      <c r="AH131" s="1458"/>
      <c r="AI131" s="1016"/>
      <c r="AJ131" s="1482"/>
      <c r="AK131" s="1446"/>
      <c r="AL131" s="321"/>
      <c r="AM131" s="1482"/>
      <c r="AN131" s="1446"/>
      <c r="AO131" s="321"/>
      <c r="AP131" s="1482"/>
      <c r="AQ131" s="1446"/>
      <c r="AR131" s="321"/>
      <c r="AS131" s="1482"/>
      <c r="AT131" s="1446"/>
      <c r="AU131" s="326"/>
      <c r="AV131" s="1452"/>
      <c r="AW131" s="352"/>
      <c r="AX131" s="1482"/>
      <c r="AY131" s="1446"/>
      <c r="AZ131" s="321"/>
      <c r="BA131" s="1482"/>
      <c r="BB131" s="1446"/>
      <c r="BC131" s="321"/>
      <c r="BD131" s="1482"/>
      <c r="BE131" s="1446"/>
      <c r="BF131" s="321"/>
      <c r="BG131" s="1482"/>
      <c r="BH131" s="1446"/>
      <c r="BI131" s="326"/>
      <c r="BJ131" s="1452"/>
      <c r="BL131" s="1482"/>
      <c r="BM131" s="1446"/>
      <c r="BN131" s="321"/>
      <c r="BO131" s="1482"/>
      <c r="BP131" s="1446"/>
      <c r="BQ131" s="321"/>
      <c r="BR131" s="1482"/>
      <c r="BS131" s="1446"/>
      <c r="BT131" s="321"/>
      <c r="BU131" s="1482"/>
      <c r="BV131" s="1446"/>
      <c r="BW131" s="326"/>
      <c r="BX131" s="1452"/>
      <c r="BZ131" s="1482"/>
      <c r="CA131" s="1446"/>
      <c r="CB131" s="321"/>
      <c r="CC131" s="1482"/>
      <c r="CD131" s="1446"/>
      <c r="CE131" s="321"/>
      <c r="CF131" s="1482"/>
      <c r="CG131" s="1446"/>
      <c r="CH131" s="321"/>
      <c r="CI131" s="1482"/>
      <c r="CJ131" s="1446"/>
      <c r="CK131" s="326"/>
      <c r="CL131" s="1452"/>
    </row>
    <row r="132" spans="2:90" s="542" customFormat="1" ht="57" x14ac:dyDescent="0.25">
      <c r="B132" s="1393"/>
      <c r="C132" s="1397"/>
      <c r="D132" s="755" t="str">
        <f>+'Plan de Accion 2018'!G243</f>
        <v>Propuesta de nuevo canal de atención presentada y puesta a consideración de la Dirección General.</v>
      </c>
      <c r="E132" s="1353"/>
      <c r="F132" s="344" t="str">
        <f>+'Plan de Accion 2018'!S243</f>
        <v># Propuestas presentadas y puestas a consideración de la Dirección General.</v>
      </c>
      <c r="G132" s="362"/>
      <c r="H132" s="543">
        <f>+'Plan de Accion 2018'!AB243</f>
        <v>0</v>
      </c>
      <c r="I132" s="767" t="str">
        <f>+'Plan de Accion 2018'!BM243</f>
        <v>No Prog ni Ejec</v>
      </c>
      <c r="J132" s="767" t="s">
        <v>792</v>
      </c>
      <c r="K132" s="767">
        <f>+'Plan de Accion 2018'!AF243</f>
        <v>0</v>
      </c>
      <c r="L132" s="875">
        <f t="shared" si="52"/>
        <v>0</v>
      </c>
      <c r="M132" s="682" t="s">
        <v>792</v>
      </c>
      <c r="N132" s="644"/>
      <c r="O132" s="543">
        <f>+'Plan de Accion 2018'!AL243</f>
        <v>0</v>
      </c>
      <c r="P132" s="767" t="str">
        <f>+'Plan de Accion 2018'!BO243</f>
        <v>No Prog ni Ejec</v>
      </c>
      <c r="Q132" s="767" t="s">
        <v>792</v>
      </c>
      <c r="R132" s="751">
        <f>+'Plan de Accion 2018'!AP243</f>
        <v>0</v>
      </c>
      <c r="S132" s="873">
        <f t="shared" si="53"/>
        <v>0</v>
      </c>
      <c r="T132" s="682" t="s">
        <v>792</v>
      </c>
      <c r="U132" s="329"/>
      <c r="V132" s="543">
        <f>+'Plan de Accion 2018'!AV243</f>
        <v>1</v>
      </c>
      <c r="W132" s="767">
        <f>+'Plan de Accion 2018'!BQ243</f>
        <v>1</v>
      </c>
      <c r="X132" s="629">
        <f>IF(W132&gt;100%,100%,W132)</f>
        <v>1</v>
      </c>
      <c r="Y132" s="882">
        <f>+'Plan de Accion 2018'!AZ243</f>
        <v>1</v>
      </c>
      <c r="Z132" s="882">
        <f t="shared" si="54"/>
        <v>1</v>
      </c>
      <c r="AA132" s="883">
        <f>+Z132</f>
        <v>1</v>
      </c>
      <c r="AB132" s="644"/>
      <c r="AC132" s="543">
        <f>+'Plan de Accion 2018'!BF243</f>
        <v>0</v>
      </c>
      <c r="AD132" s="767" t="str">
        <f>+'Plan de Accion 2018'!BS243</f>
        <v>No Prog ni Ejec</v>
      </c>
      <c r="AE132" s="629" t="s">
        <v>792</v>
      </c>
      <c r="AF132" s="767">
        <f>+'Plan de Accion 2018'!BJ243</f>
        <v>1</v>
      </c>
      <c r="AG132" s="637">
        <f t="shared" si="55"/>
        <v>1</v>
      </c>
      <c r="AH132" s="1458"/>
      <c r="AI132" s="1016"/>
      <c r="AJ132" s="1482"/>
      <c r="AK132" s="1446"/>
      <c r="AL132" s="321"/>
      <c r="AM132" s="1482"/>
      <c r="AN132" s="1446"/>
      <c r="AO132" s="321"/>
      <c r="AP132" s="1482"/>
      <c r="AQ132" s="1446"/>
      <c r="AR132" s="321"/>
      <c r="AS132" s="1482"/>
      <c r="AT132" s="1446"/>
      <c r="AU132" s="326"/>
      <c r="AV132" s="1452"/>
      <c r="AW132" s="352"/>
      <c r="AX132" s="1482"/>
      <c r="AY132" s="1446"/>
      <c r="AZ132" s="321"/>
      <c r="BA132" s="1482"/>
      <c r="BB132" s="1446"/>
      <c r="BC132" s="321"/>
      <c r="BD132" s="1482"/>
      <c r="BE132" s="1446"/>
      <c r="BF132" s="321"/>
      <c r="BG132" s="1482"/>
      <c r="BH132" s="1446"/>
      <c r="BI132" s="326"/>
      <c r="BJ132" s="1452"/>
      <c r="BL132" s="1482"/>
      <c r="BM132" s="1446"/>
      <c r="BN132" s="321"/>
      <c r="BO132" s="1482"/>
      <c r="BP132" s="1446"/>
      <c r="BQ132" s="321"/>
      <c r="BR132" s="1482"/>
      <c r="BS132" s="1446"/>
      <c r="BT132" s="321"/>
      <c r="BU132" s="1482"/>
      <c r="BV132" s="1446"/>
      <c r="BW132" s="326"/>
      <c r="BX132" s="1452"/>
      <c r="BZ132" s="1482"/>
      <c r="CA132" s="1446"/>
      <c r="CB132" s="321"/>
      <c r="CC132" s="1482"/>
      <c r="CD132" s="1446"/>
      <c r="CE132" s="321"/>
      <c r="CF132" s="1482"/>
      <c r="CG132" s="1446"/>
      <c r="CH132" s="321"/>
      <c r="CI132" s="1482"/>
      <c r="CJ132" s="1446"/>
      <c r="CK132" s="326"/>
      <c r="CL132" s="1452"/>
    </row>
    <row r="133" spans="2:90" s="542" customFormat="1" ht="28.5" x14ac:dyDescent="0.25">
      <c r="B133" s="1393"/>
      <c r="C133" s="1397"/>
      <c r="D133" s="781" t="str">
        <f>+'Plan de Accion 2018'!G263</f>
        <v>Resolución</v>
      </c>
      <c r="E133" s="1353"/>
      <c r="F133" s="344" t="str">
        <f>+'Plan de Accion 2018'!S263</f>
        <v># Resoluciones publicada en la página Web de la ADRES</v>
      </c>
      <c r="G133" s="362"/>
      <c r="H133" s="543">
        <f>+'Plan de Accion 2018'!AB263</f>
        <v>1</v>
      </c>
      <c r="I133" s="767">
        <f>+'Plan de Accion 2018'!BM263</f>
        <v>1</v>
      </c>
      <c r="J133" s="767">
        <f t="shared" si="35"/>
        <v>1</v>
      </c>
      <c r="K133" s="767">
        <f>+'Plan de Accion 2018'!AF263</f>
        <v>1</v>
      </c>
      <c r="L133" s="875">
        <f t="shared" si="52"/>
        <v>1</v>
      </c>
      <c r="M133" s="682">
        <f t="shared" si="36"/>
        <v>1</v>
      </c>
      <c r="N133" s="644"/>
      <c r="O133" s="543">
        <f>+'Plan de Accion 2018'!AL263</f>
        <v>0</v>
      </c>
      <c r="P133" s="767" t="str">
        <f>+'Plan de Accion 2018'!BO263</f>
        <v>No Prog ni Ejec</v>
      </c>
      <c r="Q133" s="767" t="s">
        <v>792</v>
      </c>
      <c r="R133" s="751">
        <f>+'Plan de Accion 2018'!AP263</f>
        <v>1</v>
      </c>
      <c r="S133" s="873">
        <f t="shared" si="53"/>
        <v>1</v>
      </c>
      <c r="T133" s="682">
        <f>+S133</f>
        <v>1</v>
      </c>
      <c r="U133" s="329"/>
      <c r="V133" s="543">
        <f>+'Plan de Accion 2018'!AV263</f>
        <v>0</v>
      </c>
      <c r="W133" s="767" t="str">
        <f>+'Plan de Accion 2018'!BQ263</f>
        <v>No Prog ni Ejec</v>
      </c>
      <c r="X133" s="629" t="s">
        <v>792</v>
      </c>
      <c r="Y133" s="882">
        <f>+'Plan de Accion 2018'!AZ263</f>
        <v>1</v>
      </c>
      <c r="Z133" s="882">
        <f t="shared" si="54"/>
        <v>1</v>
      </c>
      <c r="AA133" s="883" t="s">
        <v>792</v>
      </c>
      <c r="AB133" s="644"/>
      <c r="AC133" s="543">
        <f>+'Plan de Accion 2018'!BF263</f>
        <v>0</v>
      </c>
      <c r="AD133" s="767" t="str">
        <f>+'Plan de Accion 2018'!BS263</f>
        <v>No Prog ni Ejec</v>
      </c>
      <c r="AE133" s="629" t="s">
        <v>792</v>
      </c>
      <c r="AF133" s="767">
        <f>+'Plan de Accion 2018'!BJ263</f>
        <v>1</v>
      </c>
      <c r="AG133" s="637">
        <f t="shared" si="55"/>
        <v>1</v>
      </c>
      <c r="AH133" s="1458"/>
      <c r="AI133" s="1016"/>
      <c r="AJ133" s="1482"/>
      <c r="AK133" s="1446"/>
      <c r="AL133" s="321"/>
      <c r="AM133" s="1482"/>
      <c r="AN133" s="1446"/>
      <c r="AO133" s="321"/>
      <c r="AP133" s="1482"/>
      <c r="AQ133" s="1446"/>
      <c r="AR133" s="321"/>
      <c r="AS133" s="1482"/>
      <c r="AT133" s="1446"/>
      <c r="AU133" s="326"/>
      <c r="AV133" s="1452"/>
      <c r="AW133" s="352"/>
      <c r="AX133" s="1482"/>
      <c r="AY133" s="1446"/>
      <c r="AZ133" s="321"/>
      <c r="BA133" s="1482"/>
      <c r="BB133" s="1446"/>
      <c r="BC133" s="321"/>
      <c r="BD133" s="1482"/>
      <c r="BE133" s="1446"/>
      <c r="BF133" s="321"/>
      <c r="BG133" s="1482"/>
      <c r="BH133" s="1446"/>
      <c r="BI133" s="326"/>
      <c r="BJ133" s="1452"/>
      <c r="BL133" s="1482"/>
      <c r="BM133" s="1446"/>
      <c r="BN133" s="321"/>
      <c r="BO133" s="1482"/>
      <c r="BP133" s="1446"/>
      <c r="BQ133" s="321"/>
      <c r="BR133" s="1482"/>
      <c r="BS133" s="1446"/>
      <c r="BT133" s="321"/>
      <c r="BU133" s="1482"/>
      <c r="BV133" s="1446"/>
      <c r="BW133" s="326"/>
      <c r="BX133" s="1452"/>
      <c r="BZ133" s="1482"/>
      <c r="CA133" s="1446"/>
      <c r="CB133" s="321"/>
      <c r="CC133" s="1482"/>
      <c r="CD133" s="1446"/>
      <c r="CE133" s="321"/>
      <c r="CF133" s="1482"/>
      <c r="CG133" s="1446"/>
      <c r="CH133" s="321"/>
      <c r="CI133" s="1482"/>
      <c r="CJ133" s="1446"/>
      <c r="CK133" s="326"/>
      <c r="CL133" s="1452"/>
    </row>
    <row r="134" spans="2:90" s="542" customFormat="1" ht="42.75" x14ac:dyDescent="0.25">
      <c r="B134" s="1393"/>
      <c r="C134" s="1397"/>
      <c r="D134" s="781" t="str">
        <f>+'Plan de Accion 2018'!G265</f>
        <v>Programa de Gestión Documental publicado en página web institucional</v>
      </c>
      <c r="E134" s="1353"/>
      <c r="F134" s="344" t="str">
        <f>+'Plan de Accion 2018'!S265</f>
        <v># Documentos del Programa de Gestión Documental publicado en la pagina WEB</v>
      </c>
      <c r="G134" s="362"/>
      <c r="H134" s="543">
        <f>+'Plan de Accion 2018'!AB265</f>
        <v>0</v>
      </c>
      <c r="I134" s="767" t="str">
        <f>+'Plan de Accion 2018'!BM265</f>
        <v>No Prog ni Ejec</v>
      </c>
      <c r="J134" s="767" t="s">
        <v>792</v>
      </c>
      <c r="K134" s="767">
        <f>+'Plan de Accion 2018'!AF265</f>
        <v>0</v>
      </c>
      <c r="L134" s="875">
        <f t="shared" si="52"/>
        <v>0</v>
      </c>
      <c r="M134" s="682" t="s">
        <v>792</v>
      </c>
      <c r="N134" s="644"/>
      <c r="O134" s="543">
        <f>+'Plan de Accion 2018'!AL265</f>
        <v>0</v>
      </c>
      <c r="P134" s="767" t="str">
        <f>+'Plan de Accion 2018'!BO265</f>
        <v>No Prog ni Ejec</v>
      </c>
      <c r="Q134" s="767" t="s">
        <v>792</v>
      </c>
      <c r="R134" s="751">
        <f>+'Plan de Accion 2018'!AP265</f>
        <v>0</v>
      </c>
      <c r="S134" s="873">
        <f t="shared" si="53"/>
        <v>0</v>
      </c>
      <c r="T134" s="682" t="s">
        <v>792</v>
      </c>
      <c r="U134" s="329"/>
      <c r="V134" s="543">
        <f>+'Plan de Accion 2018'!AV265</f>
        <v>1</v>
      </c>
      <c r="W134" s="767">
        <f>+'Plan de Accion 2018'!BQ265</f>
        <v>1</v>
      </c>
      <c r="X134" s="629">
        <f>IF(W134&gt;100%,100%,W134)</f>
        <v>1</v>
      </c>
      <c r="Y134" s="882">
        <f>+'Plan de Accion 2018'!AZ265</f>
        <v>1</v>
      </c>
      <c r="Z134" s="882">
        <f t="shared" si="54"/>
        <v>1</v>
      </c>
      <c r="AA134" s="883">
        <f>+Z134</f>
        <v>1</v>
      </c>
      <c r="AB134" s="644"/>
      <c r="AC134" s="543">
        <f>+'Plan de Accion 2018'!BF265</f>
        <v>0</v>
      </c>
      <c r="AD134" s="767" t="str">
        <f>+'Plan de Accion 2018'!BS265</f>
        <v>No Prog ni Ejec</v>
      </c>
      <c r="AE134" s="629" t="s">
        <v>792</v>
      </c>
      <c r="AF134" s="767">
        <f>+'Plan de Accion 2018'!BJ265</f>
        <v>1</v>
      </c>
      <c r="AG134" s="637">
        <f t="shared" si="55"/>
        <v>1</v>
      </c>
      <c r="AH134" s="1458"/>
      <c r="AI134" s="1016"/>
      <c r="AJ134" s="1482"/>
      <c r="AK134" s="1446"/>
      <c r="AL134" s="321"/>
      <c r="AM134" s="1482"/>
      <c r="AN134" s="1446"/>
      <c r="AO134" s="321"/>
      <c r="AP134" s="1482"/>
      <c r="AQ134" s="1446"/>
      <c r="AR134" s="321"/>
      <c r="AS134" s="1482"/>
      <c r="AT134" s="1446"/>
      <c r="AU134" s="326"/>
      <c r="AV134" s="1452"/>
      <c r="AW134" s="352"/>
      <c r="AX134" s="1482"/>
      <c r="AY134" s="1446"/>
      <c r="AZ134" s="321"/>
      <c r="BA134" s="1482"/>
      <c r="BB134" s="1446"/>
      <c r="BC134" s="321"/>
      <c r="BD134" s="1482"/>
      <c r="BE134" s="1446"/>
      <c r="BF134" s="321"/>
      <c r="BG134" s="1482"/>
      <c r="BH134" s="1446"/>
      <c r="BI134" s="326"/>
      <c r="BJ134" s="1452"/>
      <c r="BL134" s="1482"/>
      <c r="BM134" s="1446"/>
      <c r="BN134" s="321"/>
      <c r="BO134" s="1482"/>
      <c r="BP134" s="1446"/>
      <c r="BQ134" s="321"/>
      <c r="BR134" s="1482"/>
      <c r="BS134" s="1446"/>
      <c r="BT134" s="321"/>
      <c r="BU134" s="1482"/>
      <c r="BV134" s="1446"/>
      <c r="BW134" s="326"/>
      <c r="BX134" s="1452"/>
      <c r="BZ134" s="1482"/>
      <c r="CA134" s="1446"/>
      <c r="CB134" s="321"/>
      <c r="CC134" s="1482"/>
      <c r="CD134" s="1446"/>
      <c r="CE134" s="321"/>
      <c r="CF134" s="1482"/>
      <c r="CG134" s="1446"/>
      <c r="CH134" s="321"/>
      <c r="CI134" s="1482"/>
      <c r="CJ134" s="1446"/>
      <c r="CK134" s="326"/>
      <c r="CL134" s="1452"/>
    </row>
    <row r="135" spans="2:90" s="542" customFormat="1" ht="42.75" customHeight="1" x14ac:dyDescent="0.25">
      <c r="B135" s="1393"/>
      <c r="C135" s="1397"/>
      <c r="D135" s="781" t="str">
        <f>+'Plan de Accion 2018'!G266</f>
        <v>Diagnóstico de accesibilidad en punto de atención a personas en condición de discapacidad</v>
      </c>
      <c r="E135" s="1353"/>
      <c r="F135" s="344" t="str">
        <f>+'Plan de Accion 2018'!S266</f>
        <v xml:space="preserve"># Documentos de diagnóstico elaborado </v>
      </c>
      <c r="G135" s="362"/>
      <c r="H135" s="543">
        <f>+'Plan de Accion 2018'!AB266</f>
        <v>1</v>
      </c>
      <c r="I135" s="767">
        <f>+'Plan de Accion 2018'!BM266</f>
        <v>1</v>
      </c>
      <c r="J135" s="767">
        <f t="shared" si="35"/>
        <v>1</v>
      </c>
      <c r="K135" s="767">
        <f>+'Plan de Accion 2018'!AF266</f>
        <v>1</v>
      </c>
      <c r="L135" s="875">
        <f t="shared" si="52"/>
        <v>1</v>
      </c>
      <c r="M135" s="682">
        <f t="shared" si="36"/>
        <v>1</v>
      </c>
      <c r="N135" s="644"/>
      <c r="O135" s="543">
        <f>+'Plan de Accion 2018'!AL266</f>
        <v>0</v>
      </c>
      <c r="P135" s="767" t="str">
        <f>+'Plan de Accion 2018'!BO266</f>
        <v>No Prog ni Ejec</v>
      </c>
      <c r="Q135" s="767" t="s">
        <v>792</v>
      </c>
      <c r="R135" s="751">
        <f>+'Plan de Accion 2018'!AP266</f>
        <v>1</v>
      </c>
      <c r="S135" s="873">
        <f t="shared" si="53"/>
        <v>1</v>
      </c>
      <c r="T135" s="682">
        <f>+S135</f>
        <v>1</v>
      </c>
      <c r="U135" s="329"/>
      <c r="V135" s="543">
        <f>+'Plan de Accion 2018'!AV266</f>
        <v>0</v>
      </c>
      <c r="W135" s="767" t="str">
        <f>+'Plan de Accion 2018'!BQ266</f>
        <v>No Prog ni Ejec</v>
      </c>
      <c r="X135" s="629" t="s">
        <v>792</v>
      </c>
      <c r="Y135" s="882">
        <f>+'Plan de Accion 2018'!AZ266</f>
        <v>1</v>
      </c>
      <c r="Z135" s="882">
        <f t="shared" si="54"/>
        <v>1</v>
      </c>
      <c r="AA135" s="883">
        <f>+Z135</f>
        <v>1</v>
      </c>
      <c r="AB135" s="644"/>
      <c r="AC135" s="543">
        <f>+'Plan de Accion 2018'!BF266</f>
        <v>0</v>
      </c>
      <c r="AD135" s="767" t="str">
        <f>+'Plan de Accion 2018'!BS266</f>
        <v>No Prog ni Ejec</v>
      </c>
      <c r="AE135" s="629" t="s">
        <v>792</v>
      </c>
      <c r="AF135" s="767">
        <f>+'Plan de Accion 2018'!BJ266</f>
        <v>1</v>
      </c>
      <c r="AG135" s="637">
        <f t="shared" si="55"/>
        <v>1</v>
      </c>
      <c r="AH135" s="1458"/>
      <c r="AI135" s="1016"/>
      <c r="AJ135" s="1482"/>
      <c r="AK135" s="1446"/>
      <c r="AL135" s="321"/>
      <c r="AM135" s="1482"/>
      <c r="AN135" s="1446"/>
      <c r="AO135" s="321"/>
      <c r="AP135" s="1482"/>
      <c r="AQ135" s="1446"/>
      <c r="AR135" s="321"/>
      <c r="AS135" s="1482"/>
      <c r="AT135" s="1446"/>
      <c r="AU135" s="326"/>
      <c r="AV135" s="1452"/>
      <c r="AW135" s="352"/>
      <c r="AX135" s="1482"/>
      <c r="AY135" s="1446"/>
      <c r="AZ135" s="321"/>
      <c r="BA135" s="1482"/>
      <c r="BB135" s="1446"/>
      <c r="BC135" s="321"/>
      <c r="BD135" s="1482"/>
      <c r="BE135" s="1446"/>
      <c r="BF135" s="321"/>
      <c r="BG135" s="1482"/>
      <c r="BH135" s="1446"/>
      <c r="BI135" s="326"/>
      <c r="BJ135" s="1452"/>
      <c r="BL135" s="1482"/>
      <c r="BM135" s="1446"/>
      <c r="BN135" s="321"/>
      <c r="BO135" s="1482"/>
      <c r="BP135" s="1446"/>
      <c r="BQ135" s="321"/>
      <c r="BR135" s="1482"/>
      <c r="BS135" s="1446"/>
      <c r="BT135" s="321"/>
      <c r="BU135" s="1482"/>
      <c r="BV135" s="1446"/>
      <c r="BW135" s="326"/>
      <c r="BX135" s="1452"/>
      <c r="BZ135" s="1482"/>
      <c r="CA135" s="1446"/>
      <c r="CB135" s="321"/>
      <c r="CC135" s="1482"/>
      <c r="CD135" s="1446"/>
      <c r="CE135" s="321"/>
      <c r="CF135" s="1482"/>
      <c r="CG135" s="1446"/>
      <c r="CH135" s="321"/>
      <c r="CI135" s="1482"/>
      <c r="CJ135" s="1446"/>
      <c r="CK135" s="326"/>
      <c r="CL135" s="1452"/>
    </row>
    <row r="136" spans="2:90" s="542" customFormat="1" ht="42.75" x14ac:dyDescent="0.25">
      <c r="B136" s="1393"/>
      <c r="C136" s="1397"/>
      <c r="D136" s="781" t="str">
        <f>+'Plan de Accion 2018'!G267</f>
        <v>Informes semestrales de acceso a información pública PQRS</v>
      </c>
      <c r="E136" s="1353"/>
      <c r="F136" s="344" t="str">
        <f>+'Plan de Accion 2018'!S267</f>
        <v># Informes semestrales de acceso a información pública PQRS elaborados</v>
      </c>
      <c r="G136" s="362"/>
      <c r="H136" s="543">
        <f>+'Plan de Accion 2018'!AB267</f>
        <v>1</v>
      </c>
      <c r="I136" s="767">
        <f>+'Plan de Accion 2018'!BM267</f>
        <v>1</v>
      </c>
      <c r="J136" s="767">
        <f t="shared" si="35"/>
        <v>1</v>
      </c>
      <c r="K136" s="767">
        <f>+'Plan de Accion 2018'!AF267</f>
        <v>0.5</v>
      </c>
      <c r="L136" s="875">
        <f t="shared" si="52"/>
        <v>0.5</v>
      </c>
      <c r="M136" s="682">
        <f t="shared" si="36"/>
        <v>0.5</v>
      </c>
      <c r="N136" s="644"/>
      <c r="O136" s="543">
        <f>+'Plan de Accion 2018'!AL267</f>
        <v>0</v>
      </c>
      <c r="P136" s="767" t="str">
        <f>+'Plan de Accion 2018'!BO267</f>
        <v>No Prog ni Ejec</v>
      </c>
      <c r="Q136" s="767" t="s">
        <v>792</v>
      </c>
      <c r="R136" s="751">
        <f>+'Plan de Accion 2018'!AP267</f>
        <v>0.5</v>
      </c>
      <c r="S136" s="873">
        <f t="shared" si="53"/>
        <v>0.5</v>
      </c>
      <c r="T136" s="682">
        <f>+S136</f>
        <v>0.5</v>
      </c>
      <c r="U136" s="329"/>
      <c r="V136" s="545">
        <f>+'Plan de Accion 2018'!AV267</f>
        <v>1</v>
      </c>
      <c r="W136" s="767">
        <f>+'Plan de Accion 2018'!BQ267</f>
        <v>1</v>
      </c>
      <c r="X136" s="629">
        <f>IF(W136&gt;100%,100%,W136)</f>
        <v>1</v>
      </c>
      <c r="Y136" s="882">
        <f>+'Plan de Accion 2018'!AZ267</f>
        <v>1</v>
      </c>
      <c r="Z136" s="882">
        <f t="shared" si="54"/>
        <v>1</v>
      </c>
      <c r="AA136" s="883">
        <f>+Z136</f>
        <v>1</v>
      </c>
      <c r="AB136" s="644"/>
      <c r="AC136" s="543">
        <f>+'Plan de Accion 2018'!BF267</f>
        <v>0</v>
      </c>
      <c r="AD136" s="767" t="str">
        <f>+'Plan de Accion 2018'!BS267</f>
        <v>No Prog ni Ejec</v>
      </c>
      <c r="AE136" s="629" t="s">
        <v>792</v>
      </c>
      <c r="AF136" s="767">
        <f>+'Plan de Accion 2018'!BJ267</f>
        <v>1</v>
      </c>
      <c r="AG136" s="637">
        <f t="shared" si="55"/>
        <v>1</v>
      </c>
      <c r="AH136" s="1458"/>
      <c r="AI136" s="1016"/>
      <c r="AJ136" s="1482"/>
      <c r="AK136" s="1446"/>
      <c r="AL136" s="321"/>
      <c r="AM136" s="1482"/>
      <c r="AN136" s="1446"/>
      <c r="AO136" s="321"/>
      <c r="AP136" s="1482"/>
      <c r="AQ136" s="1446"/>
      <c r="AR136" s="321"/>
      <c r="AS136" s="1482"/>
      <c r="AT136" s="1446"/>
      <c r="AU136" s="326"/>
      <c r="AV136" s="1452"/>
      <c r="AW136" s="352"/>
      <c r="AX136" s="1482"/>
      <c r="AY136" s="1446"/>
      <c r="AZ136" s="321"/>
      <c r="BA136" s="1482"/>
      <c r="BB136" s="1446"/>
      <c r="BC136" s="321"/>
      <c r="BD136" s="1482"/>
      <c r="BE136" s="1446"/>
      <c r="BF136" s="321"/>
      <c r="BG136" s="1482"/>
      <c r="BH136" s="1446"/>
      <c r="BI136" s="326"/>
      <c r="BJ136" s="1452"/>
      <c r="BL136" s="1482"/>
      <c r="BM136" s="1446"/>
      <c r="BN136" s="321"/>
      <c r="BO136" s="1482"/>
      <c r="BP136" s="1446"/>
      <c r="BQ136" s="321"/>
      <c r="BR136" s="1482"/>
      <c r="BS136" s="1446"/>
      <c r="BT136" s="321"/>
      <c r="BU136" s="1482"/>
      <c r="BV136" s="1446"/>
      <c r="BW136" s="326"/>
      <c r="BX136" s="1452"/>
      <c r="BZ136" s="1482"/>
      <c r="CA136" s="1446"/>
      <c r="CB136" s="321"/>
      <c r="CC136" s="1482"/>
      <c r="CD136" s="1446"/>
      <c r="CE136" s="321"/>
      <c r="CF136" s="1482"/>
      <c r="CG136" s="1446"/>
      <c r="CH136" s="321"/>
      <c r="CI136" s="1482"/>
      <c r="CJ136" s="1446"/>
      <c r="CK136" s="326"/>
      <c r="CL136" s="1452"/>
    </row>
    <row r="137" spans="2:90" s="542" customFormat="1" ht="28.5" x14ac:dyDescent="0.25">
      <c r="B137" s="1393"/>
      <c r="C137" s="1397"/>
      <c r="D137" s="755" t="str">
        <f>+'Plan de Accion 2018'!G253</f>
        <v>Carta de Trato digno   publicada</v>
      </c>
      <c r="E137" s="1353"/>
      <c r="F137" s="344" t="str">
        <f>+'Plan de Accion 2018'!S253</f>
        <v>Carta de Trato digno   publicada</v>
      </c>
      <c r="G137" s="362"/>
      <c r="H137" s="543">
        <f>+'Plan de Accion 2018'!AB253</f>
        <v>1</v>
      </c>
      <c r="I137" s="767">
        <f>+'Plan de Accion 2018'!BM253</f>
        <v>1</v>
      </c>
      <c r="J137" s="767">
        <f t="shared" si="35"/>
        <v>1</v>
      </c>
      <c r="K137" s="767">
        <f>+'Plan de Accion 2018'!AF253</f>
        <v>1</v>
      </c>
      <c r="L137" s="875">
        <f t="shared" si="52"/>
        <v>1</v>
      </c>
      <c r="M137" s="682">
        <f t="shared" si="36"/>
        <v>1</v>
      </c>
      <c r="N137" s="644"/>
      <c r="O137" s="543">
        <f>+'Plan de Accion 2018'!AL253</f>
        <v>0</v>
      </c>
      <c r="P137" s="767" t="str">
        <f>+'Plan de Accion 2018'!BO253</f>
        <v>No Prog ni Ejec</v>
      </c>
      <c r="Q137" s="767" t="s">
        <v>792</v>
      </c>
      <c r="R137" s="751">
        <f>+'Plan de Accion 2018'!AP253</f>
        <v>1</v>
      </c>
      <c r="S137" s="873">
        <f t="shared" si="53"/>
        <v>1</v>
      </c>
      <c r="T137" s="682">
        <f>+S137</f>
        <v>1</v>
      </c>
      <c r="U137" s="329"/>
      <c r="V137" s="543">
        <f>+'Plan de Accion 2018'!AV253</f>
        <v>0</v>
      </c>
      <c r="W137" s="767" t="str">
        <f>+'Plan de Accion 2018'!BQ253</f>
        <v>No Prog ni Ejec</v>
      </c>
      <c r="X137" s="629" t="s">
        <v>792</v>
      </c>
      <c r="Y137" s="882">
        <f>+'Plan de Accion 2018'!AZ253</f>
        <v>1</v>
      </c>
      <c r="Z137" s="882">
        <f t="shared" si="54"/>
        <v>1</v>
      </c>
      <c r="AA137" s="883">
        <f>+Z137</f>
        <v>1</v>
      </c>
      <c r="AB137" s="644"/>
      <c r="AC137" s="543">
        <f>+'Plan de Accion 2018'!BF253</f>
        <v>0</v>
      </c>
      <c r="AD137" s="767" t="str">
        <f>+'Plan de Accion 2018'!BS253</f>
        <v>No Prog ni Ejec</v>
      </c>
      <c r="AE137" s="629" t="s">
        <v>792</v>
      </c>
      <c r="AF137" s="767">
        <f>+'Plan de Accion 2018'!BJ253</f>
        <v>1</v>
      </c>
      <c r="AG137" s="637">
        <f t="shared" si="55"/>
        <v>1</v>
      </c>
      <c r="AH137" s="1458"/>
      <c r="AI137" s="1016"/>
      <c r="AJ137" s="1482"/>
      <c r="AK137" s="1446"/>
      <c r="AL137" s="321"/>
      <c r="AM137" s="1482"/>
      <c r="AN137" s="1446"/>
      <c r="AO137" s="321"/>
      <c r="AP137" s="1482"/>
      <c r="AQ137" s="1446"/>
      <c r="AR137" s="321"/>
      <c r="AS137" s="1482"/>
      <c r="AT137" s="1446"/>
      <c r="AU137" s="326"/>
      <c r="AV137" s="1452"/>
      <c r="AW137" s="352"/>
      <c r="AX137" s="1482"/>
      <c r="AY137" s="1446"/>
      <c r="AZ137" s="321"/>
      <c r="BA137" s="1482"/>
      <c r="BB137" s="1446"/>
      <c r="BC137" s="321"/>
      <c r="BD137" s="1482"/>
      <c r="BE137" s="1446"/>
      <c r="BF137" s="321"/>
      <c r="BG137" s="1482"/>
      <c r="BH137" s="1446"/>
      <c r="BI137" s="326"/>
      <c r="BJ137" s="1452"/>
      <c r="BL137" s="1482"/>
      <c r="BM137" s="1446"/>
      <c r="BN137" s="321"/>
      <c r="BO137" s="1482"/>
      <c r="BP137" s="1446"/>
      <c r="BQ137" s="321"/>
      <c r="BR137" s="1482"/>
      <c r="BS137" s="1446"/>
      <c r="BT137" s="321"/>
      <c r="BU137" s="1482"/>
      <c r="BV137" s="1446"/>
      <c r="BW137" s="326"/>
      <c r="BX137" s="1452"/>
      <c r="BZ137" s="1482"/>
      <c r="CA137" s="1446"/>
      <c r="CB137" s="321"/>
      <c r="CC137" s="1482"/>
      <c r="CD137" s="1446"/>
      <c r="CE137" s="321"/>
      <c r="CF137" s="1482"/>
      <c r="CG137" s="1446"/>
      <c r="CH137" s="321"/>
      <c r="CI137" s="1482"/>
      <c r="CJ137" s="1446"/>
      <c r="CK137" s="326"/>
      <c r="CL137" s="1452"/>
    </row>
    <row r="138" spans="2:90" s="542" customFormat="1" ht="33" customHeight="1" x14ac:dyDescent="0.25">
      <c r="B138" s="1393"/>
      <c r="C138" s="1397"/>
      <c r="D138" s="755" t="str">
        <f>+'Plan de Accion 2018'!G255</f>
        <v>Informes trimestrales de PQRSD</v>
      </c>
      <c r="E138" s="1353"/>
      <c r="F138" s="344" t="str">
        <f>+'Plan de Accion 2018'!S255</f>
        <v># Informes mensuales de PQRS realizados</v>
      </c>
      <c r="G138" s="362"/>
      <c r="H138" s="543">
        <f>+'Plan de Accion 2018'!AB255</f>
        <v>1</v>
      </c>
      <c r="I138" s="767">
        <f>+'Plan de Accion 2018'!BM255</f>
        <v>1</v>
      </c>
      <c r="J138" s="767">
        <f>IF(I138&gt;100%,100%,I138)</f>
        <v>1</v>
      </c>
      <c r="K138" s="767">
        <f>+'Plan de Accion 2018'!AF255</f>
        <v>0.25</v>
      </c>
      <c r="L138" s="875">
        <f t="shared" si="52"/>
        <v>0.25</v>
      </c>
      <c r="M138" s="682">
        <f>+L138</f>
        <v>0.25</v>
      </c>
      <c r="N138" s="644"/>
      <c r="O138" s="543">
        <f>+'Plan de Accion 2018'!AL255</f>
        <v>1</v>
      </c>
      <c r="P138" s="767">
        <f>+'Plan de Accion 2018'!BO255</f>
        <v>1</v>
      </c>
      <c r="Q138" s="629">
        <f>IF(P138&gt;100%,100%,P138)</f>
        <v>1</v>
      </c>
      <c r="R138" s="751">
        <f>+'Plan de Accion 2018'!AP255</f>
        <v>0.5</v>
      </c>
      <c r="S138" s="873">
        <f t="shared" si="53"/>
        <v>0.5</v>
      </c>
      <c r="T138" s="637">
        <f>+S138</f>
        <v>0.5</v>
      </c>
      <c r="U138" s="329"/>
      <c r="V138" s="543">
        <f>+'Plan de Accion 2018'!AV255</f>
        <v>1</v>
      </c>
      <c r="W138" s="767">
        <f>+'Plan de Accion 2018'!BQ255</f>
        <v>1</v>
      </c>
      <c r="X138" s="629">
        <f>IF(W138&gt;100%,100%,W138)</f>
        <v>1</v>
      </c>
      <c r="Y138" s="882">
        <f>+'Plan de Accion 2018'!AZ255</f>
        <v>0.75</v>
      </c>
      <c r="Z138" s="882">
        <f t="shared" si="54"/>
        <v>0.75</v>
      </c>
      <c r="AA138" s="883">
        <f>+Z138</f>
        <v>0.75</v>
      </c>
      <c r="AB138" s="644"/>
      <c r="AC138" s="543">
        <f>+'Plan de Accion 2018'!BF255</f>
        <v>1</v>
      </c>
      <c r="AD138" s="767">
        <f>+'Plan de Accion 2018'!BS255</f>
        <v>1</v>
      </c>
      <c r="AE138" s="629">
        <f>IF(AD138&gt;100%,100%,AD138)</f>
        <v>1</v>
      </c>
      <c r="AF138" s="767">
        <f>+'Plan de Accion 2018'!BJ255</f>
        <v>1</v>
      </c>
      <c r="AG138" s="637">
        <f t="shared" ref="AG138:AG182" si="56">IF(AF138&gt;100%,100%,AF138)</f>
        <v>1</v>
      </c>
      <c r="AH138" s="1458"/>
      <c r="AI138" s="1016"/>
      <c r="AJ138" s="1482"/>
      <c r="AK138" s="1446"/>
      <c r="AL138" s="321"/>
      <c r="AM138" s="1482"/>
      <c r="AN138" s="1446"/>
      <c r="AO138" s="321"/>
      <c r="AP138" s="1482"/>
      <c r="AQ138" s="1446"/>
      <c r="AR138" s="321"/>
      <c r="AS138" s="1482"/>
      <c r="AT138" s="1446"/>
      <c r="AU138" s="326"/>
      <c r="AV138" s="1452"/>
      <c r="AW138" s="352"/>
      <c r="AX138" s="1482"/>
      <c r="AY138" s="1446"/>
      <c r="AZ138" s="321"/>
      <c r="BA138" s="1482"/>
      <c r="BB138" s="1446"/>
      <c r="BC138" s="321"/>
      <c r="BD138" s="1482"/>
      <c r="BE138" s="1446"/>
      <c r="BF138" s="321"/>
      <c r="BG138" s="1482"/>
      <c r="BH138" s="1446"/>
      <c r="BI138" s="326"/>
      <c r="BJ138" s="1452"/>
      <c r="BL138" s="1482"/>
      <c r="BM138" s="1446"/>
      <c r="BN138" s="321"/>
      <c r="BO138" s="1482"/>
      <c r="BP138" s="1446"/>
      <c r="BQ138" s="321"/>
      <c r="BR138" s="1482"/>
      <c r="BS138" s="1446"/>
      <c r="BT138" s="321"/>
      <c r="BU138" s="1482"/>
      <c r="BV138" s="1446"/>
      <c r="BW138" s="326"/>
      <c r="BX138" s="1452"/>
      <c r="BZ138" s="1482"/>
      <c r="CA138" s="1446"/>
      <c r="CB138" s="321"/>
      <c r="CC138" s="1482"/>
      <c r="CD138" s="1446"/>
      <c r="CE138" s="321"/>
      <c r="CF138" s="1482"/>
      <c r="CG138" s="1446"/>
      <c r="CH138" s="321"/>
      <c r="CI138" s="1482"/>
      <c r="CJ138" s="1446"/>
      <c r="CK138" s="326"/>
      <c r="CL138" s="1452"/>
    </row>
    <row r="139" spans="2:90" s="542" customFormat="1" ht="33" customHeight="1" x14ac:dyDescent="0.25">
      <c r="B139" s="1393"/>
      <c r="C139" s="1397"/>
      <c r="D139" s="755" t="str">
        <f>+'Plan de Accion 2018'!G256</f>
        <v>Caracterización de Usuarios</v>
      </c>
      <c r="E139" s="1353"/>
      <c r="F139" s="344" t="str">
        <f>+'Plan de Accion 2018'!S256</f>
        <v># Documentos de caracterización de usuarios y partes interesadas</v>
      </c>
      <c r="G139" s="362"/>
      <c r="H139" s="543">
        <f>+'Plan de Accion 2018'!AB256</f>
        <v>0</v>
      </c>
      <c r="I139" s="767" t="str">
        <f>+'Plan de Accion 2018'!BM256</f>
        <v>No Prog ni Ejec</v>
      </c>
      <c r="J139" s="767" t="s">
        <v>792</v>
      </c>
      <c r="K139" s="767">
        <f>+'Plan de Accion 2018'!AF256</f>
        <v>0</v>
      </c>
      <c r="L139" s="875">
        <f t="shared" si="52"/>
        <v>0</v>
      </c>
      <c r="M139" s="682" t="s">
        <v>792</v>
      </c>
      <c r="N139" s="644"/>
      <c r="O139" s="543">
        <f>+'Plan de Accion 2018'!AL256</f>
        <v>0</v>
      </c>
      <c r="P139" s="767" t="str">
        <f>+'Plan de Accion 2018'!BO256</f>
        <v>No Prog ni Ejec</v>
      </c>
      <c r="Q139" s="767" t="s">
        <v>792</v>
      </c>
      <c r="R139" s="751">
        <f>+'Plan de Accion 2018'!AP256</f>
        <v>0</v>
      </c>
      <c r="S139" s="873">
        <f t="shared" si="53"/>
        <v>0</v>
      </c>
      <c r="T139" s="682" t="s">
        <v>792</v>
      </c>
      <c r="U139" s="329"/>
      <c r="V139" s="543">
        <f>+'Plan de Accion 2018'!AV256</f>
        <v>0</v>
      </c>
      <c r="W139" s="767" t="str">
        <f>+'Plan de Accion 2018'!BQ256</f>
        <v>No Prog ni Ejec</v>
      </c>
      <c r="X139" s="629" t="s">
        <v>792</v>
      </c>
      <c r="Y139" s="882">
        <f>+'Plan de Accion 2018'!AZ256</f>
        <v>0</v>
      </c>
      <c r="Z139" s="882">
        <f t="shared" si="54"/>
        <v>0</v>
      </c>
      <c r="AA139" s="883" t="s">
        <v>792</v>
      </c>
      <c r="AB139" s="644"/>
      <c r="AC139" s="543">
        <f>+'Plan de Accion 2018'!BF256</f>
        <v>1</v>
      </c>
      <c r="AD139" s="767">
        <f>+'Plan de Accion 2018'!BS256</f>
        <v>1</v>
      </c>
      <c r="AE139" s="629">
        <f>IF(AD139&gt;100%,100%,AD139)</f>
        <v>1</v>
      </c>
      <c r="AF139" s="767">
        <f>+'Plan de Accion 2018'!BJ256</f>
        <v>1</v>
      </c>
      <c r="AG139" s="637">
        <f t="shared" si="56"/>
        <v>1</v>
      </c>
      <c r="AH139" s="1458"/>
      <c r="AI139" s="1016"/>
      <c r="AJ139" s="1482"/>
      <c r="AK139" s="1446"/>
      <c r="AL139" s="321"/>
      <c r="AM139" s="1482"/>
      <c r="AN139" s="1446"/>
      <c r="AO139" s="321"/>
      <c r="AP139" s="1482"/>
      <c r="AQ139" s="1446"/>
      <c r="AR139" s="321"/>
      <c r="AS139" s="1482"/>
      <c r="AT139" s="1446"/>
      <c r="AU139" s="326"/>
      <c r="AV139" s="1452"/>
      <c r="AW139" s="352"/>
      <c r="AX139" s="1482"/>
      <c r="AY139" s="1446"/>
      <c r="AZ139" s="321"/>
      <c r="BA139" s="1482"/>
      <c r="BB139" s="1446"/>
      <c r="BC139" s="321"/>
      <c r="BD139" s="1482"/>
      <c r="BE139" s="1446"/>
      <c r="BF139" s="321"/>
      <c r="BG139" s="1482"/>
      <c r="BH139" s="1446"/>
      <c r="BI139" s="326"/>
      <c r="BJ139" s="1452"/>
      <c r="BL139" s="1482"/>
      <c r="BM139" s="1446"/>
      <c r="BN139" s="321"/>
      <c r="BO139" s="1482"/>
      <c r="BP139" s="1446"/>
      <c r="BQ139" s="321"/>
      <c r="BR139" s="1482"/>
      <c r="BS139" s="1446"/>
      <c r="BT139" s="321"/>
      <c r="BU139" s="1482"/>
      <c r="BV139" s="1446"/>
      <c r="BW139" s="326"/>
      <c r="BX139" s="1452"/>
      <c r="BZ139" s="1482"/>
      <c r="CA139" s="1446"/>
      <c r="CB139" s="321"/>
      <c r="CC139" s="1482"/>
      <c r="CD139" s="1446"/>
      <c r="CE139" s="321"/>
      <c r="CF139" s="1482"/>
      <c r="CG139" s="1446"/>
      <c r="CH139" s="321"/>
      <c r="CI139" s="1482"/>
      <c r="CJ139" s="1446"/>
      <c r="CK139" s="326"/>
      <c r="CL139" s="1452"/>
    </row>
    <row r="140" spans="2:90" s="542" customFormat="1" ht="33" customHeight="1" x14ac:dyDescent="0.25">
      <c r="B140" s="1393"/>
      <c r="C140" s="1397"/>
      <c r="D140" s="755" t="str">
        <f>+'Plan de Accion 2018'!G257</f>
        <v>Formato encuesta de percepción adoptado.</v>
      </c>
      <c r="E140" s="1353"/>
      <c r="F140" s="344" t="str">
        <f>+'Plan de Accion 2018'!S257</f>
        <v># Formatos encuesta de percepción adoptado con base en el PNSC del DNP</v>
      </c>
      <c r="G140" s="362"/>
      <c r="H140" s="543">
        <f>+'Plan de Accion 2018'!AB257</f>
        <v>0</v>
      </c>
      <c r="I140" s="767" t="str">
        <f>+'Plan de Accion 2018'!BM257</f>
        <v>No Prog ni Ejec</v>
      </c>
      <c r="J140" s="767" t="s">
        <v>792</v>
      </c>
      <c r="K140" s="767">
        <f>+'Plan de Accion 2018'!AF257</f>
        <v>0</v>
      </c>
      <c r="L140" s="875">
        <f t="shared" si="52"/>
        <v>0</v>
      </c>
      <c r="M140" s="682" t="s">
        <v>792</v>
      </c>
      <c r="N140" s="644"/>
      <c r="O140" s="543">
        <f>+'Plan de Accion 2018'!AL257</f>
        <v>0</v>
      </c>
      <c r="P140" s="767" t="str">
        <f>+'Plan de Accion 2018'!BO257</f>
        <v>No Prog ni Ejec</v>
      </c>
      <c r="Q140" s="767" t="s">
        <v>792</v>
      </c>
      <c r="R140" s="751">
        <f>+'Plan de Accion 2018'!AP257</f>
        <v>0</v>
      </c>
      <c r="S140" s="873">
        <f t="shared" si="53"/>
        <v>0</v>
      </c>
      <c r="T140" s="682" t="s">
        <v>792</v>
      </c>
      <c r="U140" s="329"/>
      <c r="V140" s="545">
        <f>+'Plan de Accion 2018'!AV257</f>
        <v>2</v>
      </c>
      <c r="W140" s="767">
        <f>+'Plan de Accion 2018'!BQ257</f>
        <v>1</v>
      </c>
      <c r="X140" s="629">
        <f>IF(W140&gt;100%,100%,W140)</f>
        <v>1</v>
      </c>
      <c r="Y140" s="882">
        <f>+'Plan de Accion 2018'!AZ257</f>
        <v>1</v>
      </c>
      <c r="Z140" s="882">
        <f t="shared" si="54"/>
        <v>1</v>
      </c>
      <c r="AA140" s="883">
        <f>+Z140</f>
        <v>1</v>
      </c>
      <c r="AB140" s="644"/>
      <c r="AC140" s="543">
        <f>+'Plan de Accion 2018'!BF257</f>
        <v>0</v>
      </c>
      <c r="AD140" s="767" t="str">
        <f>+'Plan de Accion 2018'!BS257</f>
        <v>No Prog ni Ejec</v>
      </c>
      <c r="AE140" s="629" t="s">
        <v>792</v>
      </c>
      <c r="AF140" s="767">
        <f>+'Plan de Accion 2018'!BJ257</f>
        <v>1</v>
      </c>
      <c r="AG140" s="637">
        <f t="shared" si="56"/>
        <v>1</v>
      </c>
      <c r="AH140" s="1458"/>
      <c r="AI140" s="1016"/>
      <c r="AJ140" s="1482"/>
      <c r="AK140" s="1446"/>
      <c r="AL140" s="321"/>
      <c r="AM140" s="1482"/>
      <c r="AN140" s="1446"/>
      <c r="AO140" s="321"/>
      <c r="AP140" s="1482"/>
      <c r="AQ140" s="1446"/>
      <c r="AR140" s="321"/>
      <c r="AS140" s="1482"/>
      <c r="AT140" s="1446"/>
      <c r="AU140" s="326"/>
      <c r="AV140" s="1452"/>
      <c r="AW140" s="352"/>
      <c r="AX140" s="1482"/>
      <c r="AY140" s="1446"/>
      <c r="AZ140" s="321"/>
      <c r="BA140" s="1482"/>
      <c r="BB140" s="1446"/>
      <c r="BC140" s="321"/>
      <c r="BD140" s="1482"/>
      <c r="BE140" s="1446"/>
      <c r="BF140" s="321"/>
      <c r="BG140" s="1482"/>
      <c r="BH140" s="1446"/>
      <c r="BI140" s="326"/>
      <c r="BJ140" s="1452"/>
      <c r="BL140" s="1482"/>
      <c r="BM140" s="1446"/>
      <c r="BN140" s="321"/>
      <c r="BO140" s="1482"/>
      <c r="BP140" s="1446"/>
      <c r="BQ140" s="321"/>
      <c r="BR140" s="1482"/>
      <c r="BS140" s="1446"/>
      <c r="BT140" s="321"/>
      <c r="BU140" s="1482"/>
      <c r="BV140" s="1446"/>
      <c r="BW140" s="326"/>
      <c r="BX140" s="1452"/>
      <c r="BZ140" s="1482"/>
      <c r="CA140" s="1446"/>
      <c r="CB140" s="321"/>
      <c r="CC140" s="1482"/>
      <c r="CD140" s="1446"/>
      <c r="CE140" s="321"/>
      <c r="CF140" s="1482"/>
      <c r="CG140" s="1446"/>
      <c r="CH140" s="321"/>
      <c r="CI140" s="1482"/>
      <c r="CJ140" s="1446"/>
      <c r="CK140" s="326"/>
      <c r="CL140" s="1452"/>
    </row>
    <row r="141" spans="2:90" s="542" customFormat="1" ht="33" customHeight="1" x14ac:dyDescent="0.25">
      <c r="B141" s="1393"/>
      <c r="C141" s="1397"/>
      <c r="D141" s="754" t="str">
        <f>+'Plan de Accion 2018'!G258</f>
        <v>Documento publicado</v>
      </c>
      <c r="E141" s="1353"/>
      <c r="F141" s="344" t="str">
        <f>+'Plan de Accion 2018'!S258</f>
        <v># Documentos publicados</v>
      </c>
      <c r="G141" s="362"/>
      <c r="H141" s="543">
        <f>+'Plan de Accion 2018'!AB258</f>
        <v>0</v>
      </c>
      <c r="I141" s="767" t="str">
        <f>+'Plan de Accion 2018'!BM258</f>
        <v>No Prog ni Ejec</v>
      </c>
      <c r="J141" s="767" t="s">
        <v>792</v>
      </c>
      <c r="K141" s="767">
        <f>+'Plan de Accion 2018'!AF258</f>
        <v>0</v>
      </c>
      <c r="L141" s="875">
        <f t="shared" si="52"/>
        <v>0</v>
      </c>
      <c r="M141" s="682" t="s">
        <v>792</v>
      </c>
      <c r="N141" s="644"/>
      <c r="O141" s="543">
        <f>+'Plan de Accion 2018'!AL258</f>
        <v>0</v>
      </c>
      <c r="P141" s="767" t="str">
        <f>+'Plan de Accion 2018'!BO258</f>
        <v>No Prog ni Ejec</v>
      </c>
      <c r="Q141" s="767" t="s">
        <v>792</v>
      </c>
      <c r="R141" s="751">
        <f>+'Plan de Accion 2018'!AP258</f>
        <v>0</v>
      </c>
      <c r="S141" s="873">
        <f t="shared" si="53"/>
        <v>0</v>
      </c>
      <c r="T141" s="682" t="s">
        <v>792</v>
      </c>
      <c r="U141" s="329"/>
      <c r="V141" s="543">
        <f>+'Plan de Accion 2018'!AV258</f>
        <v>0</v>
      </c>
      <c r="W141" s="767" t="str">
        <f>+'Plan de Accion 2018'!BQ258</f>
        <v>No Prog ni Ejec</v>
      </c>
      <c r="X141" s="629" t="s">
        <v>792</v>
      </c>
      <c r="Y141" s="882">
        <f>+'Plan de Accion 2018'!AZ258</f>
        <v>0</v>
      </c>
      <c r="Z141" s="882">
        <f t="shared" si="54"/>
        <v>0</v>
      </c>
      <c r="AA141" s="883" t="s">
        <v>792</v>
      </c>
      <c r="AB141" s="644"/>
      <c r="AC141" s="543">
        <f>+'Plan de Accion 2018'!BF258</f>
        <v>1</v>
      </c>
      <c r="AD141" s="767">
        <f>+'Plan de Accion 2018'!BS258</f>
        <v>1</v>
      </c>
      <c r="AE141" s="629">
        <f>IF(AD141&gt;100%,100%,AD141)</f>
        <v>1</v>
      </c>
      <c r="AF141" s="767">
        <f>+'Plan de Accion 2018'!BJ258</f>
        <v>1</v>
      </c>
      <c r="AG141" s="637">
        <f t="shared" si="56"/>
        <v>1</v>
      </c>
      <c r="AH141" s="1458"/>
      <c r="AI141" s="1016"/>
      <c r="AJ141" s="1482"/>
      <c r="AK141" s="1446"/>
      <c r="AL141" s="321"/>
      <c r="AM141" s="1482"/>
      <c r="AN141" s="1446"/>
      <c r="AO141" s="321"/>
      <c r="AP141" s="1482"/>
      <c r="AQ141" s="1446"/>
      <c r="AR141" s="321"/>
      <c r="AS141" s="1482"/>
      <c r="AT141" s="1446"/>
      <c r="AU141" s="326"/>
      <c r="AV141" s="1452"/>
      <c r="AW141" s="352"/>
      <c r="AX141" s="1482"/>
      <c r="AY141" s="1446"/>
      <c r="AZ141" s="321"/>
      <c r="BA141" s="1482"/>
      <c r="BB141" s="1446"/>
      <c r="BC141" s="321"/>
      <c r="BD141" s="1482"/>
      <c r="BE141" s="1446"/>
      <c r="BF141" s="321"/>
      <c r="BG141" s="1482"/>
      <c r="BH141" s="1446"/>
      <c r="BI141" s="326"/>
      <c r="BJ141" s="1452"/>
      <c r="BL141" s="1482"/>
      <c r="BM141" s="1446"/>
      <c r="BN141" s="321"/>
      <c r="BO141" s="1482"/>
      <c r="BP141" s="1446"/>
      <c r="BQ141" s="321"/>
      <c r="BR141" s="1482"/>
      <c r="BS141" s="1446"/>
      <c r="BT141" s="321"/>
      <c r="BU141" s="1482"/>
      <c r="BV141" s="1446"/>
      <c r="BW141" s="326"/>
      <c r="BX141" s="1452"/>
      <c r="BZ141" s="1482"/>
      <c r="CA141" s="1446"/>
      <c r="CB141" s="321"/>
      <c r="CC141" s="1482"/>
      <c r="CD141" s="1446"/>
      <c r="CE141" s="321"/>
      <c r="CF141" s="1482"/>
      <c r="CG141" s="1446"/>
      <c r="CH141" s="321"/>
      <c r="CI141" s="1482"/>
      <c r="CJ141" s="1446"/>
      <c r="CK141" s="326"/>
      <c r="CL141" s="1452"/>
    </row>
    <row r="142" spans="2:90" s="542" customFormat="1" ht="54" customHeight="1" x14ac:dyDescent="0.25">
      <c r="B142" s="1393"/>
      <c r="C142" s="1397"/>
      <c r="D142" s="781" t="str">
        <f>+'Plan de Accion 2018'!G284</f>
        <v>Diagnóstico de trámites y servicios de la ADRES</v>
      </c>
      <c r="E142" s="1353"/>
      <c r="F142" s="344" t="str">
        <f>+'Plan de Accion 2018'!S284</f>
        <v>Documento de Diagnóstico de trámites y servicios de la ADRES</v>
      </c>
      <c r="G142" s="362"/>
      <c r="H142" s="543">
        <f>+'Plan de Accion 2018'!AB284</f>
        <v>0</v>
      </c>
      <c r="I142" s="767" t="str">
        <f>+'Plan de Accion 2018'!BM284</f>
        <v>No Prog ni Ejec</v>
      </c>
      <c r="J142" s="767" t="s">
        <v>792</v>
      </c>
      <c r="K142" s="767">
        <f>+'Plan de Accion 2018'!AF284</f>
        <v>0</v>
      </c>
      <c r="L142" s="875">
        <f t="shared" si="52"/>
        <v>0</v>
      </c>
      <c r="M142" s="682" t="s">
        <v>792</v>
      </c>
      <c r="N142" s="644"/>
      <c r="O142" s="543">
        <f>+'Plan de Accion 2018'!AL284</f>
        <v>0</v>
      </c>
      <c r="P142" s="767" t="str">
        <f>+'Plan de Accion 2018'!BO284</f>
        <v>No Prog ni Ejec</v>
      </c>
      <c r="Q142" s="767" t="s">
        <v>792</v>
      </c>
      <c r="R142" s="751">
        <f>+'Plan de Accion 2018'!AP284</f>
        <v>0</v>
      </c>
      <c r="S142" s="873">
        <f t="shared" si="53"/>
        <v>0</v>
      </c>
      <c r="T142" s="682" t="s">
        <v>792</v>
      </c>
      <c r="U142" s="329"/>
      <c r="V142" s="543">
        <f>+'Plan de Accion 2018'!AV284</f>
        <v>0</v>
      </c>
      <c r="W142" s="767" t="str">
        <f>+'Plan de Accion 2018'!BQ259</f>
        <v>No Prog ni Ejec</v>
      </c>
      <c r="X142" s="629" t="s">
        <v>792</v>
      </c>
      <c r="Y142" s="882">
        <f>+'Plan de Accion 2018'!AZ284</f>
        <v>0</v>
      </c>
      <c r="Z142" s="882">
        <f t="shared" si="54"/>
        <v>0</v>
      </c>
      <c r="AA142" s="883" t="s">
        <v>792</v>
      </c>
      <c r="AB142" s="644"/>
      <c r="AC142" s="543">
        <f>+'Plan de Accion 2018'!BF284</f>
        <v>1</v>
      </c>
      <c r="AD142" s="767">
        <f>+'Plan de Accion 2018'!BS284</f>
        <v>1</v>
      </c>
      <c r="AE142" s="629">
        <f>IF(AD142&gt;100%,100%,AD142)</f>
        <v>1</v>
      </c>
      <c r="AF142" s="767">
        <f>+'Plan de Accion 2018'!BJ284</f>
        <v>1</v>
      </c>
      <c r="AG142" s="637">
        <f t="shared" si="56"/>
        <v>1</v>
      </c>
      <c r="AH142" s="1458"/>
      <c r="AI142" s="1016"/>
      <c r="AJ142" s="1482"/>
      <c r="AK142" s="1446"/>
      <c r="AL142" s="321"/>
      <c r="AM142" s="1482"/>
      <c r="AN142" s="1446"/>
      <c r="AO142" s="321"/>
      <c r="AP142" s="1482"/>
      <c r="AQ142" s="1446"/>
      <c r="AR142" s="321"/>
      <c r="AS142" s="1482"/>
      <c r="AT142" s="1446"/>
      <c r="AU142" s="326"/>
      <c r="AV142" s="1452"/>
      <c r="AW142" s="352"/>
      <c r="AX142" s="1482"/>
      <c r="AY142" s="1446"/>
      <c r="AZ142" s="321"/>
      <c r="BA142" s="1482"/>
      <c r="BB142" s="1446"/>
      <c r="BC142" s="321"/>
      <c r="BD142" s="1482"/>
      <c r="BE142" s="1446"/>
      <c r="BF142" s="321"/>
      <c r="BG142" s="1482"/>
      <c r="BH142" s="1446"/>
      <c r="BI142" s="326"/>
      <c r="BJ142" s="1452"/>
      <c r="BL142" s="1482"/>
      <c r="BM142" s="1446"/>
      <c r="BN142" s="321"/>
      <c r="BO142" s="1482"/>
      <c r="BP142" s="1446"/>
      <c r="BQ142" s="321"/>
      <c r="BR142" s="1482"/>
      <c r="BS142" s="1446"/>
      <c r="BT142" s="321"/>
      <c r="BU142" s="1482"/>
      <c r="BV142" s="1446"/>
      <c r="BW142" s="326"/>
      <c r="BX142" s="1452"/>
      <c r="BZ142" s="1482"/>
      <c r="CA142" s="1446"/>
      <c r="CB142" s="321"/>
      <c r="CC142" s="1482"/>
      <c r="CD142" s="1446"/>
      <c r="CE142" s="321"/>
      <c r="CF142" s="1482"/>
      <c r="CG142" s="1446"/>
      <c r="CH142" s="321"/>
      <c r="CI142" s="1482"/>
      <c r="CJ142" s="1446"/>
      <c r="CK142" s="326"/>
      <c r="CL142" s="1452"/>
    </row>
    <row r="143" spans="2:90" s="542" customFormat="1" ht="47.25" customHeight="1" x14ac:dyDescent="0.25">
      <c r="B143" s="1393"/>
      <c r="C143" s="1397"/>
      <c r="D143" s="755" t="str">
        <f>+'Plan de Accion 2018'!G260</f>
        <v>Información publicada en página web institucional - pestaña transparencia</v>
      </c>
      <c r="E143" s="1353"/>
      <c r="F143" s="344" t="str">
        <f>+'Plan de Accion 2018'!S260</f>
        <v>Información publicada en página web institucional / Información que requiere publicación o actualización</v>
      </c>
      <c r="G143" s="362"/>
      <c r="H143" s="543">
        <f>+'Plan de Accion 2018'!AB260</f>
        <v>0.33</v>
      </c>
      <c r="I143" s="767">
        <f>+'Plan de Accion 2018'!BM260</f>
        <v>0.9900990099009902</v>
      </c>
      <c r="J143" s="767">
        <f>IF(I143&gt;100%,100%,I143)</f>
        <v>0.9900990099009902</v>
      </c>
      <c r="K143" s="767">
        <f>+'Plan de Accion 2018'!AF260</f>
        <v>0.33</v>
      </c>
      <c r="L143" s="875">
        <f t="shared" si="52"/>
        <v>0.33</v>
      </c>
      <c r="M143" s="682" t="s">
        <v>792</v>
      </c>
      <c r="N143" s="644"/>
      <c r="O143" s="543">
        <f>+'Plan de Accion 2018'!AL260</f>
        <v>0.33</v>
      </c>
      <c r="P143" s="767">
        <f>+'Plan de Accion 2018'!BO260</f>
        <v>0.9900990099009902</v>
      </c>
      <c r="Q143" s="629">
        <f>IF(P143&gt;100%,100%,P143)</f>
        <v>0.9900990099009902</v>
      </c>
      <c r="R143" s="751">
        <f>+'Plan de Accion 2018'!AP260</f>
        <v>0.66</v>
      </c>
      <c r="S143" s="873">
        <f t="shared" si="53"/>
        <v>0.66</v>
      </c>
      <c r="T143" s="637">
        <f>+S143</f>
        <v>0.66</v>
      </c>
      <c r="U143" s="329"/>
      <c r="V143" s="543">
        <f>+'Plan de Accion 2018'!AV260</f>
        <v>0.33</v>
      </c>
      <c r="W143" s="767">
        <f>+'Plan de Accion 2018'!BQ260</f>
        <v>0.9900990099009902</v>
      </c>
      <c r="X143" s="629">
        <f>IF(W143&gt;100%,100%,W143)</f>
        <v>0.9900990099009902</v>
      </c>
      <c r="Y143" s="882">
        <f>+'Plan de Accion 2018'!AZ260</f>
        <v>0.99</v>
      </c>
      <c r="Z143" s="882">
        <f t="shared" si="54"/>
        <v>0.99</v>
      </c>
      <c r="AA143" s="883">
        <f>+Z143</f>
        <v>0.99</v>
      </c>
      <c r="AB143" s="644"/>
      <c r="AC143" s="543">
        <f>+'Plan de Accion 2018'!BF260</f>
        <v>0</v>
      </c>
      <c r="AD143" s="767" t="str">
        <f>+'Plan de Accion 2018'!BS260</f>
        <v>No Prog ni Ejec</v>
      </c>
      <c r="AE143" s="629" t="s">
        <v>792</v>
      </c>
      <c r="AF143" s="767">
        <f>+'Plan de Accion 2018'!BJ260</f>
        <v>0.99</v>
      </c>
      <c r="AG143" s="637">
        <f t="shared" si="56"/>
        <v>0.99</v>
      </c>
      <c r="AH143" s="1458"/>
      <c r="AI143" s="1016"/>
      <c r="AJ143" s="1482"/>
      <c r="AK143" s="1446"/>
      <c r="AL143" s="321"/>
      <c r="AM143" s="1482"/>
      <c r="AN143" s="1446"/>
      <c r="AO143" s="321"/>
      <c r="AP143" s="1482"/>
      <c r="AQ143" s="1446"/>
      <c r="AR143" s="321"/>
      <c r="AS143" s="1482"/>
      <c r="AT143" s="1446"/>
      <c r="AU143" s="326"/>
      <c r="AV143" s="1452"/>
      <c r="AW143" s="352"/>
      <c r="AX143" s="1482"/>
      <c r="AY143" s="1446"/>
      <c r="AZ143" s="321"/>
      <c r="BA143" s="1482"/>
      <c r="BB143" s="1446"/>
      <c r="BC143" s="321"/>
      <c r="BD143" s="1482"/>
      <c r="BE143" s="1446"/>
      <c r="BF143" s="321"/>
      <c r="BG143" s="1482"/>
      <c r="BH143" s="1446"/>
      <c r="BI143" s="326"/>
      <c r="BJ143" s="1452"/>
      <c r="BL143" s="1482"/>
      <c r="BM143" s="1446"/>
      <c r="BN143" s="321"/>
      <c r="BO143" s="1482"/>
      <c r="BP143" s="1446"/>
      <c r="BQ143" s="321"/>
      <c r="BR143" s="1482"/>
      <c r="BS143" s="1446"/>
      <c r="BT143" s="321"/>
      <c r="BU143" s="1482"/>
      <c r="BV143" s="1446"/>
      <c r="BW143" s="326"/>
      <c r="BX143" s="1452"/>
      <c r="BZ143" s="1482"/>
      <c r="CA143" s="1446"/>
      <c r="CB143" s="321"/>
      <c r="CC143" s="1482"/>
      <c r="CD143" s="1446"/>
      <c r="CE143" s="321"/>
      <c r="CF143" s="1482"/>
      <c r="CG143" s="1446"/>
      <c r="CH143" s="321"/>
      <c r="CI143" s="1482"/>
      <c r="CJ143" s="1446"/>
      <c r="CK143" s="326"/>
      <c r="CL143" s="1452"/>
    </row>
    <row r="144" spans="2:90" ht="100.5" customHeight="1" thickBot="1" x14ac:dyDescent="0.3">
      <c r="B144" s="1393"/>
      <c r="C144" s="1397"/>
      <c r="D144" s="1350" t="str">
        <f>+'Plan de Accion 2018'!G144</f>
        <v>Fortalecimiento de canales de atención al ciudadano con el fin de brindar la atención, respuesta inmediata, seguimiento a solicitudes de los ciudadanos, empresas y servidores públicos. Call Center .</v>
      </c>
      <c r="E144" s="1353"/>
      <c r="F144" s="344" t="str">
        <f>+'Plan de Accion 2018'!S144</f>
        <v># llamadas atendidas / # llamadas entrantes</v>
      </c>
      <c r="G144" s="362"/>
      <c r="H144" s="543">
        <f>+'Plan de Accion 2018'!AB144</f>
        <v>0.19947289680606778</v>
      </c>
      <c r="I144" s="767">
        <f>+'Plan de Accion 2018'!BM144</f>
        <v>0.83988588128870645</v>
      </c>
      <c r="J144" s="767">
        <f t="shared" si="35"/>
        <v>0.83988588128870645</v>
      </c>
      <c r="K144" s="767">
        <f>+'Plan de Accion 2018'!AF144</f>
        <v>0.20997147032217661</v>
      </c>
      <c r="L144" s="875">
        <f t="shared" si="52"/>
        <v>0.20997147032217661</v>
      </c>
      <c r="M144" s="682">
        <f t="shared" si="36"/>
        <v>0.20997147032217661</v>
      </c>
      <c r="N144" s="644"/>
      <c r="O144" s="543">
        <f>+'Plan de Accion 2018'!AL144</f>
        <v>0.21065492021276597</v>
      </c>
      <c r="P144" s="767">
        <f>+'Plan de Accion 2018'!BO144</f>
        <v>0.88696808510638303</v>
      </c>
      <c r="Q144" s="629">
        <f>IF(P144&gt;100%,100%,P144)</f>
        <v>0.88696808510638303</v>
      </c>
      <c r="R144" s="751">
        <f>+'Plan de Accion 2018'!AP144</f>
        <v>0.43171349159877237</v>
      </c>
      <c r="S144" s="873">
        <f t="shared" si="53"/>
        <v>0.43171349159877237</v>
      </c>
      <c r="T144" s="637">
        <f>+S144</f>
        <v>0.43171349159877237</v>
      </c>
      <c r="U144" s="329"/>
      <c r="V144" s="543">
        <f>+'Plan de Accion 2018'!AV144</f>
        <v>0.22180660774410774</v>
      </c>
      <c r="W144" s="767">
        <f>+'Plan de Accion 2018'!BQ144</f>
        <v>0.93392255892255893</v>
      </c>
      <c r="X144" s="629">
        <f>IF(W144&gt;100%,100%,W144)</f>
        <v>0.93392255892255893</v>
      </c>
      <c r="Y144" s="882">
        <f>+'Plan de Accion 2018'!AZ144</f>
        <v>0.66519413132941208</v>
      </c>
      <c r="Z144" s="882">
        <f t="shared" si="54"/>
        <v>0.66519413132941208</v>
      </c>
      <c r="AA144" s="883">
        <f>+Z144</f>
        <v>0.66519413132941208</v>
      </c>
      <c r="AB144" s="644"/>
      <c r="AC144" s="543">
        <f>+'Plan de Accion 2018'!BF144</f>
        <v>0.23085652331044451</v>
      </c>
      <c r="AD144" s="767">
        <f>+'Plan de Accion 2018'!BS144</f>
        <v>0.97202746657029271</v>
      </c>
      <c r="AE144" s="629">
        <f>IF(AD144&gt;100%,100%,AD144)</f>
        <v>0.97202746657029271</v>
      </c>
      <c r="AF144" s="767">
        <f>+'Plan de Accion 2018'!BJ144</f>
        <v>0.90820099797198528</v>
      </c>
      <c r="AG144" s="637">
        <f t="shared" si="56"/>
        <v>0.90820099797198528</v>
      </c>
      <c r="AH144" s="1459"/>
      <c r="AI144" s="1016"/>
      <c r="AJ144" s="1483"/>
      <c r="AK144" s="1447"/>
      <c r="AL144" s="321"/>
      <c r="AM144" s="1483"/>
      <c r="AN144" s="1447"/>
      <c r="AO144" s="321"/>
      <c r="AP144" s="1483"/>
      <c r="AQ144" s="1447"/>
      <c r="AR144" s="321"/>
      <c r="AS144" s="1483"/>
      <c r="AT144" s="1447"/>
      <c r="AU144" s="326"/>
      <c r="AV144" s="1453"/>
      <c r="AW144" s="352"/>
      <c r="AX144" s="1483"/>
      <c r="AY144" s="1447"/>
      <c r="AZ144" s="321"/>
      <c r="BA144" s="1483"/>
      <c r="BB144" s="1447"/>
      <c r="BC144" s="321"/>
      <c r="BD144" s="1483"/>
      <c r="BE144" s="1447"/>
      <c r="BF144" s="321"/>
      <c r="BG144" s="1483"/>
      <c r="BH144" s="1447"/>
      <c r="BI144" s="326"/>
      <c r="BJ144" s="1453"/>
      <c r="BL144" s="1483"/>
      <c r="BM144" s="1447"/>
      <c r="BN144" s="321"/>
      <c r="BO144" s="1483"/>
      <c r="BP144" s="1447"/>
      <c r="BQ144" s="321"/>
      <c r="BR144" s="1483"/>
      <c r="BS144" s="1447"/>
      <c r="BT144" s="321"/>
      <c r="BU144" s="1483"/>
      <c r="BV144" s="1447"/>
      <c r="BW144" s="326"/>
      <c r="BX144" s="1453"/>
      <c r="BZ144" s="1483"/>
      <c r="CA144" s="1447"/>
      <c r="CB144" s="321"/>
      <c r="CC144" s="1483"/>
      <c r="CD144" s="1447"/>
      <c r="CE144" s="321"/>
      <c r="CF144" s="1483"/>
      <c r="CG144" s="1447"/>
      <c r="CH144" s="321"/>
      <c r="CI144" s="1483"/>
      <c r="CJ144" s="1447"/>
      <c r="CK144" s="326"/>
      <c r="CL144" s="1453"/>
    </row>
    <row r="145" spans="2:90" s="542" customFormat="1" ht="57" x14ac:dyDescent="0.25">
      <c r="B145" s="1393"/>
      <c r="C145" s="1397"/>
      <c r="D145" s="1351"/>
      <c r="E145" s="1351"/>
      <c r="F145" s="344" t="str">
        <f>+'Plan de Accion 2018'!S145</f>
        <v># solicitudes recibidas por el canal virtual tramitadas / # total de solicitudes recibidas por el canal virtual</v>
      </c>
      <c r="G145" s="362"/>
      <c r="H145" s="543">
        <f>+'Plan de Accion 2018'!AB145</f>
        <v>0</v>
      </c>
      <c r="I145" s="767" t="str">
        <f>+'Plan de Accion 2018'!BM145</f>
        <v>No Prog ni Ejec</v>
      </c>
      <c r="J145" s="767" t="s">
        <v>792</v>
      </c>
      <c r="K145" s="767">
        <f>+'Plan de Accion 2018'!AF145</f>
        <v>0</v>
      </c>
      <c r="L145" s="875">
        <f t="shared" si="52"/>
        <v>0</v>
      </c>
      <c r="M145" s="682" t="s">
        <v>792</v>
      </c>
      <c r="N145" s="644"/>
      <c r="O145" s="543">
        <f>+'Plan de Accion 2018'!AL145</f>
        <v>0.33329999999999999</v>
      </c>
      <c r="P145" s="767">
        <f>+'Plan de Accion 2018'!BO145</f>
        <v>1</v>
      </c>
      <c r="Q145" s="629">
        <f>IF(P145&gt;100%,100%,P145)</f>
        <v>1</v>
      </c>
      <c r="R145" s="751">
        <f>+'Plan de Accion 2018'!AP145</f>
        <v>0.33329999999999999</v>
      </c>
      <c r="S145" s="873">
        <f t="shared" si="53"/>
        <v>0.33329999999999999</v>
      </c>
      <c r="T145" s="637">
        <f>+S145</f>
        <v>0.33329999999999999</v>
      </c>
      <c r="U145" s="329"/>
      <c r="V145" s="543">
        <f>+'Plan de Accion 2018'!AV145</f>
        <v>0.33329999999999999</v>
      </c>
      <c r="W145" s="767">
        <f>+'Plan de Accion 2018'!BQ145</f>
        <v>1</v>
      </c>
      <c r="X145" s="629">
        <f>IF(W145&gt;100%,100%,W145)</f>
        <v>1</v>
      </c>
      <c r="Y145" s="882">
        <f>+'Plan de Accion 2018'!AZ145</f>
        <v>0.66659999999999997</v>
      </c>
      <c r="Z145" s="882">
        <f t="shared" si="54"/>
        <v>0.66659999999999997</v>
      </c>
      <c r="AA145" s="883">
        <f>+Z145</f>
        <v>0.66659999999999997</v>
      </c>
      <c r="AB145" s="644"/>
      <c r="AC145" s="543">
        <f>+'Plan de Accion 2018'!BF145</f>
        <v>0.33329999999999999</v>
      </c>
      <c r="AD145" s="767">
        <f>+'Plan de Accion 2018'!BS145</f>
        <v>1</v>
      </c>
      <c r="AE145" s="629">
        <f>IF(AD145&gt;100%,100%,AD145)</f>
        <v>1</v>
      </c>
      <c r="AF145" s="767">
        <f>+'Plan de Accion 2018'!BJ145</f>
        <v>0.99990000000000001</v>
      </c>
      <c r="AG145" s="637">
        <f t="shared" si="56"/>
        <v>0.99990000000000001</v>
      </c>
      <c r="AH145" s="720"/>
      <c r="AI145" s="1016"/>
      <c r="AJ145" s="721"/>
      <c r="AK145" s="717"/>
      <c r="AL145" s="321"/>
      <c r="AM145" s="370"/>
      <c r="AN145" s="717"/>
      <c r="AO145" s="321"/>
      <c r="AP145" s="721"/>
      <c r="AQ145" s="717"/>
      <c r="AR145" s="321"/>
      <c r="AS145" s="721"/>
      <c r="AT145" s="717"/>
      <c r="AU145" s="326"/>
      <c r="AV145" s="719"/>
      <c r="AW145" s="352"/>
      <c r="AX145" s="721"/>
      <c r="AY145" s="717"/>
      <c r="AZ145" s="321"/>
      <c r="BA145" s="370"/>
      <c r="BB145" s="717"/>
      <c r="BC145" s="321"/>
      <c r="BD145" s="721"/>
      <c r="BE145" s="717"/>
      <c r="BF145" s="321"/>
      <c r="BG145" s="721"/>
      <c r="BH145" s="717"/>
      <c r="BI145" s="326"/>
      <c r="BJ145" s="719"/>
      <c r="BL145" s="721"/>
      <c r="BM145" s="717"/>
      <c r="BN145" s="321"/>
      <c r="BO145" s="370"/>
      <c r="BP145" s="717"/>
      <c r="BQ145" s="321"/>
      <c r="BR145" s="721"/>
      <c r="BS145" s="717"/>
      <c r="BT145" s="321"/>
      <c r="BU145" s="721"/>
      <c r="BV145" s="717"/>
      <c r="BW145" s="326"/>
      <c r="BX145" s="719"/>
      <c r="BZ145" s="721"/>
      <c r="CA145" s="717"/>
      <c r="CB145" s="321"/>
      <c r="CC145" s="370"/>
      <c r="CD145" s="717"/>
      <c r="CE145" s="321"/>
      <c r="CF145" s="721"/>
      <c r="CG145" s="717"/>
      <c r="CH145" s="321"/>
      <c r="CI145" s="721"/>
      <c r="CJ145" s="717"/>
      <c r="CK145" s="326"/>
      <c r="CL145" s="719"/>
    </row>
    <row r="146" spans="2:90" s="542" customFormat="1" ht="57" customHeight="1" x14ac:dyDescent="0.25">
      <c r="B146" s="1393"/>
      <c r="C146" s="1397"/>
      <c r="D146" s="755" t="str">
        <f>+'Plan de Accion 2018'!G248</f>
        <v>Formulario dispuesto en la Página Web de Adres.</v>
      </c>
      <c r="E146" s="1350" t="s">
        <v>6</v>
      </c>
      <c r="F146" s="344" t="str">
        <f>+'Plan de Accion 2018'!S248</f>
        <v># Formularios dispuestos en la Página Web de Adres.</v>
      </c>
      <c r="G146" s="362"/>
      <c r="H146" s="543">
        <f>+'Plan de Accion 2018'!AB248</f>
        <v>0</v>
      </c>
      <c r="I146" s="767" t="str">
        <f>+'Plan de Accion 2018'!BM248</f>
        <v>No Prog ni Ejec</v>
      </c>
      <c r="J146" s="767" t="s">
        <v>792</v>
      </c>
      <c r="K146" s="767">
        <f>+'Plan de Accion 2018'!AF248</f>
        <v>0</v>
      </c>
      <c r="L146" s="875">
        <f t="shared" si="52"/>
        <v>0</v>
      </c>
      <c r="M146" s="682" t="s">
        <v>792</v>
      </c>
      <c r="N146" s="644"/>
      <c r="O146" s="543">
        <f>+'Plan de Accion 2018'!AL248</f>
        <v>1</v>
      </c>
      <c r="P146" s="767">
        <f>+'Plan de Accion 2018'!BO248</f>
        <v>1</v>
      </c>
      <c r="Q146" s="629">
        <f>IF(P146&gt;100%,100%,P146)</f>
        <v>1</v>
      </c>
      <c r="R146" s="751">
        <f>+'Plan de Accion 2018'!AP248</f>
        <v>1</v>
      </c>
      <c r="S146" s="873">
        <f t="shared" si="53"/>
        <v>1</v>
      </c>
      <c r="T146" s="637">
        <f>+S146</f>
        <v>1</v>
      </c>
      <c r="U146" s="329"/>
      <c r="V146" s="543">
        <f>+'Plan de Accion 2018'!AV248</f>
        <v>0</v>
      </c>
      <c r="W146" s="767" t="str">
        <f>+'Plan de Accion 2018'!BQ248</f>
        <v>No Prog ni Ejec</v>
      </c>
      <c r="X146" s="629" t="s">
        <v>792</v>
      </c>
      <c r="Y146" s="882">
        <f>+'Plan de Accion 2018'!AZ248</f>
        <v>1</v>
      </c>
      <c r="Z146" s="882">
        <f t="shared" si="54"/>
        <v>1</v>
      </c>
      <c r="AA146" s="883">
        <f>+Z146</f>
        <v>1</v>
      </c>
      <c r="AB146" s="644"/>
      <c r="AC146" s="543">
        <f>+'Plan de Accion 2018'!BF248</f>
        <v>0</v>
      </c>
      <c r="AD146" s="767" t="str">
        <f>+'Plan de Accion 2018'!BS248</f>
        <v>No Prog ni Ejec</v>
      </c>
      <c r="AE146" s="629" t="s">
        <v>792</v>
      </c>
      <c r="AF146" s="767">
        <f>+'Plan de Accion 2018'!BJ248</f>
        <v>1</v>
      </c>
      <c r="AG146" s="637">
        <f t="shared" si="56"/>
        <v>1</v>
      </c>
      <c r="AH146" s="765"/>
      <c r="AI146" s="1016"/>
      <c r="AJ146" s="766"/>
      <c r="AK146" s="761"/>
      <c r="AL146" s="321"/>
      <c r="AM146" s="370"/>
      <c r="AN146" s="761"/>
      <c r="AO146" s="321"/>
      <c r="AP146" s="766"/>
      <c r="AQ146" s="761"/>
      <c r="AR146" s="321"/>
      <c r="AS146" s="766"/>
      <c r="AT146" s="761"/>
      <c r="AU146" s="326"/>
      <c r="AV146" s="764"/>
      <c r="AW146" s="352"/>
      <c r="AX146" s="766"/>
      <c r="AY146" s="761"/>
      <c r="AZ146" s="321"/>
      <c r="BA146" s="370"/>
      <c r="BB146" s="761"/>
      <c r="BC146" s="321"/>
      <c r="BD146" s="766"/>
      <c r="BE146" s="761"/>
      <c r="BF146" s="321"/>
      <c r="BG146" s="766"/>
      <c r="BH146" s="761"/>
      <c r="BI146" s="326"/>
      <c r="BJ146" s="764"/>
      <c r="BL146" s="766"/>
      <c r="BM146" s="761"/>
      <c r="BN146" s="321"/>
      <c r="BO146" s="370"/>
      <c r="BP146" s="761"/>
      <c r="BQ146" s="321"/>
      <c r="BR146" s="766"/>
      <c r="BS146" s="761"/>
      <c r="BT146" s="321"/>
      <c r="BU146" s="766"/>
      <c r="BV146" s="761"/>
      <c r="BW146" s="326"/>
      <c r="BX146" s="764"/>
      <c r="BZ146" s="766"/>
      <c r="CA146" s="761"/>
      <c r="CB146" s="321"/>
      <c r="CC146" s="370"/>
      <c r="CD146" s="761"/>
      <c r="CE146" s="321"/>
      <c r="CF146" s="766"/>
      <c r="CG146" s="761"/>
      <c r="CH146" s="321"/>
      <c r="CI146" s="766"/>
      <c r="CJ146" s="761"/>
      <c r="CK146" s="326"/>
      <c r="CL146" s="764"/>
    </row>
    <row r="147" spans="2:90" s="542" customFormat="1" ht="57" x14ac:dyDescent="0.25">
      <c r="B147" s="1393"/>
      <c r="C147" s="1397"/>
      <c r="D147" s="755" t="str">
        <f>+'Plan de Accion 2018'!G249</f>
        <v>Desarrollo tecnológico de encuesta de satisfacción al usuario.</v>
      </c>
      <c r="E147" s="1353"/>
      <c r="F147" s="344" t="str">
        <f>+'Plan de Accion 2018'!S249</f>
        <v># Encuestas virtuales de satisfacción al usuario dispuesta en el portal institucional.</v>
      </c>
      <c r="G147" s="362"/>
      <c r="H147" s="543">
        <f>+'Plan de Accion 2018'!AB249</f>
        <v>0</v>
      </c>
      <c r="I147" s="767" t="str">
        <f>+'Plan de Accion 2018'!BM249</f>
        <v>No Prog ni Ejec</v>
      </c>
      <c r="J147" s="767" t="s">
        <v>792</v>
      </c>
      <c r="K147" s="767">
        <f>+'Plan de Accion 2018'!AF249</f>
        <v>0</v>
      </c>
      <c r="L147" s="875">
        <f t="shared" si="52"/>
        <v>0</v>
      </c>
      <c r="M147" s="682" t="s">
        <v>792</v>
      </c>
      <c r="N147" s="644"/>
      <c r="O147" s="543">
        <f>+'Plan de Accion 2018'!AL249</f>
        <v>0</v>
      </c>
      <c r="P147" s="767" t="str">
        <f>+'Plan de Accion 2018'!BO249</f>
        <v>No Prog ni Ejec</v>
      </c>
      <c r="Q147" s="767" t="s">
        <v>792</v>
      </c>
      <c r="R147" s="751">
        <f>+'Plan de Accion 2018'!AP249</f>
        <v>0</v>
      </c>
      <c r="S147" s="873">
        <f t="shared" si="53"/>
        <v>0</v>
      </c>
      <c r="T147" s="682" t="s">
        <v>792</v>
      </c>
      <c r="U147" s="329"/>
      <c r="V147" s="543">
        <f>+'Plan de Accion 2018'!AV249</f>
        <v>0</v>
      </c>
      <c r="W147" s="767" t="str">
        <f>+'Plan de Accion 2018'!BQ249</f>
        <v>No Prog ni Ejec</v>
      </c>
      <c r="X147" s="629" t="s">
        <v>792</v>
      </c>
      <c r="Y147" s="882">
        <f>+'Plan de Accion 2018'!AZ249</f>
        <v>0</v>
      </c>
      <c r="Z147" s="882">
        <f t="shared" si="54"/>
        <v>0</v>
      </c>
      <c r="AA147" s="883" t="s">
        <v>792</v>
      </c>
      <c r="AB147" s="644"/>
      <c r="AC147" s="543">
        <f>+'Plan de Accion 2018'!BF249</f>
        <v>0</v>
      </c>
      <c r="AD147" s="767">
        <f>+'Plan de Accion 2018'!BS249</f>
        <v>0</v>
      </c>
      <c r="AE147" s="629">
        <f>IF(AD147&gt;100%,100%,AD147)</f>
        <v>0</v>
      </c>
      <c r="AF147" s="767">
        <f>+'Plan de Accion 2018'!BJ249</f>
        <v>0</v>
      </c>
      <c r="AG147" s="637">
        <f t="shared" si="56"/>
        <v>0</v>
      </c>
      <c r="AH147" s="765"/>
      <c r="AI147" s="1016"/>
      <c r="AJ147" s="766"/>
      <c r="AK147" s="761"/>
      <c r="AL147" s="321"/>
      <c r="AM147" s="370"/>
      <c r="AN147" s="761"/>
      <c r="AO147" s="321"/>
      <c r="AP147" s="766"/>
      <c r="AQ147" s="761"/>
      <c r="AR147" s="321"/>
      <c r="AS147" s="766"/>
      <c r="AT147" s="761"/>
      <c r="AU147" s="326"/>
      <c r="AV147" s="764"/>
      <c r="AW147" s="352"/>
      <c r="AX147" s="766"/>
      <c r="AY147" s="761"/>
      <c r="AZ147" s="321"/>
      <c r="BA147" s="370"/>
      <c r="BB147" s="761"/>
      <c r="BC147" s="321"/>
      <c r="BD147" s="766"/>
      <c r="BE147" s="761"/>
      <c r="BF147" s="321"/>
      <c r="BG147" s="766"/>
      <c r="BH147" s="761"/>
      <c r="BI147" s="326"/>
      <c r="BJ147" s="764"/>
      <c r="BL147" s="766"/>
      <c r="BM147" s="761"/>
      <c r="BN147" s="321"/>
      <c r="BO147" s="370"/>
      <c r="BP147" s="761"/>
      <c r="BQ147" s="321"/>
      <c r="BR147" s="766"/>
      <c r="BS147" s="761"/>
      <c r="BT147" s="321"/>
      <c r="BU147" s="766"/>
      <c r="BV147" s="761"/>
      <c r="BW147" s="326"/>
      <c r="BX147" s="764"/>
      <c r="BZ147" s="766"/>
      <c r="CA147" s="761"/>
      <c r="CB147" s="321"/>
      <c r="CC147" s="370"/>
      <c r="CD147" s="761"/>
      <c r="CE147" s="321"/>
      <c r="CF147" s="766"/>
      <c r="CG147" s="761"/>
      <c r="CH147" s="321"/>
      <c r="CI147" s="766"/>
      <c r="CJ147" s="761"/>
      <c r="CK147" s="326"/>
      <c r="CL147" s="764"/>
    </row>
    <row r="148" spans="2:90" s="542" customFormat="1" ht="57" x14ac:dyDescent="0.25">
      <c r="B148" s="1393"/>
      <c r="C148" s="1397"/>
      <c r="D148" s="755" t="str">
        <f>+'Plan de Accion 2018'!G261</f>
        <v>Publicación en portal de datos abiertos</v>
      </c>
      <c r="E148" s="1353"/>
      <c r="F148" s="344" t="str">
        <f>+'Plan de Accion 2018'!S261</f>
        <v># Información de datos abiertos publicada / # información de datos abiertos identificada</v>
      </c>
      <c r="G148" s="362"/>
      <c r="H148" s="543">
        <f>+'Plan de Accion 2018'!AB261</f>
        <v>0</v>
      </c>
      <c r="I148" s="767" t="str">
        <f>+'Plan de Accion 2018'!BM261</f>
        <v>No Prog ni Ejec</v>
      </c>
      <c r="J148" s="767" t="s">
        <v>792</v>
      </c>
      <c r="K148" s="767">
        <f>+'Plan de Accion 2018'!AF261</f>
        <v>0</v>
      </c>
      <c r="L148" s="875">
        <f t="shared" si="52"/>
        <v>0</v>
      </c>
      <c r="M148" s="682" t="s">
        <v>792</v>
      </c>
      <c r="N148" s="644"/>
      <c r="O148" s="543">
        <f>+'Plan de Accion 2018'!AL261</f>
        <v>0</v>
      </c>
      <c r="P148" s="767" t="str">
        <f>+'Plan de Accion 2018'!BO261</f>
        <v>No Prog ni Ejec</v>
      </c>
      <c r="Q148" s="767" t="s">
        <v>792</v>
      </c>
      <c r="R148" s="751">
        <f>+'Plan de Accion 2018'!AP261</f>
        <v>0</v>
      </c>
      <c r="S148" s="873">
        <f t="shared" si="53"/>
        <v>0</v>
      </c>
      <c r="T148" s="682" t="s">
        <v>792</v>
      </c>
      <c r="U148" s="329"/>
      <c r="V148" s="543">
        <f>+'Plan de Accion 2018'!AV261</f>
        <v>0</v>
      </c>
      <c r="W148" s="767" t="str">
        <f>+'Plan de Accion 2018'!BQ261</f>
        <v>No Prog ni Ejec</v>
      </c>
      <c r="X148" s="629" t="s">
        <v>792</v>
      </c>
      <c r="Y148" s="882">
        <f>+'Plan de Accion 2018'!AZ261</f>
        <v>0</v>
      </c>
      <c r="Z148" s="882">
        <f t="shared" si="54"/>
        <v>0</v>
      </c>
      <c r="AA148" s="883" t="s">
        <v>792</v>
      </c>
      <c r="AB148" s="644"/>
      <c r="AC148" s="543">
        <f>+'Plan de Accion 2018'!BF261</f>
        <v>0</v>
      </c>
      <c r="AD148" s="767">
        <f>+'Plan de Accion 2018'!BS261</f>
        <v>0</v>
      </c>
      <c r="AE148" s="629">
        <f>IF(AD148&gt;100%,100%,AD148)</f>
        <v>0</v>
      </c>
      <c r="AF148" s="767">
        <f>+'Plan de Accion 2018'!BJ261</f>
        <v>0</v>
      </c>
      <c r="AG148" s="637">
        <f t="shared" si="56"/>
        <v>0</v>
      </c>
      <c r="AH148" s="765"/>
      <c r="AI148" s="1016"/>
      <c r="AJ148" s="766"/>
      <c r="AK148" s="761"/>
      <c r="AL148" s="321"/>
      <c r="AM148" s="370"/>
      <c r="AN148" s="761"/>
      <c r="AO148" s="321"/>
      <c r="AP148" s="766"/>
      <c r="AQ148" s="761"/>
      <c r="AR148" s="321"/>
      <c r="AS148" s="766"/>
      <c r="AT148" s="761"/>
      <c r="AU148" s="326"/>
      <c r="AV148" s="764"/>
      <c r="AW148" s="352"/>
      <c r="AX148" s="766"/>
      <c r="AY148" s="761"/>
      <c r="AZ148" s="321"/>
      <c r="BA148" s="370"/>
      <c r="BB148" s="761"/>
      <c r="BC148" s="321"/>
      <c r="BD148" s="766"/>
      <c r="BE148" s="761"/>
      <c r="BF148" s="321"/>
      <c r="BG148" s="766"/>
      <c r="BH148" s="761"/>
      <c r="BI148" s="326"/>
      <c r="BJ148" s="764"/>
      <c r="BL148" s="766"/>
      <c r="BM148" s="761"/>
      <c r="BN148" s="321"/>
      <c r="BO148" s="370"/>
      <c r="BP148" s="761"/>
      <c r="BQ148" s="321"/>
      <c r="BR148" s="766"/>
      <c r="BS148" s="761"/>
      <c r="BT148" s="321"/>
      <c r="BU148" s="766"/>
      <c r="BV148" s="761"/>
      <c r="BW148" s="326"/>
      <c r="BX148" s="764"/>
      <c r="BZ148" s="766"/>
      <c r="CA148" s="761"/>
      <c r="CB148" s="321"/>
      <c r="CC148" s="370"/>
      <c r="CD148" s="761"/>
      <c r="CE148" s="321"/>
      <c r="CF148" s="766"/>
      <c r="CG148" s="761"/>
      <c r="CH148" s="321"/>
      <c r="CI148" s="766"/>
      <c r="CJ148" s="761"/>
      <c r="CK148" s="326"/>
      <c r="CL148" s="764"/>
    </row>
    <row r="149" spans="2:90" s="542" customFormat="1" ht="57" x14ac:dyDescent="0.25">
      <c r="B149" s="1393"/>
      <c r="C149" s="1397"/>
      <c r="D149" s="755" t="str">
        <f>+'Plan de Accion 2018'!G280</f>
        <v>Tramites y otros procedimientos administrativos - OPA desarrollados, implementados y publicados en página web</v>
      </c>
      <c r="E149" s="1353"/>
      <c r="F149" s="344" t="str">
        <f>+'Plan de Accion 2018'!S280</f>
        <v># Procedimientos administrativos - OPA desarrollados, implementados y publicados en página web</v>
      </c>
      <c r="G149" s="362"/>
      <c r="H149" s="543">
        <f>+'Plan de Accion 2018'!AB280</f>
        <v>0</v>
      </c>
      <c r="I149" s="767">
        <f>+'Plan de Accion 2018'!BM280</f>
        <v>0</v>
      </c>
      <c r="J149" s="767">
        <f>IF(I149&gt;100%,100%,I149)</f>
        <v>0</v>
      </c>
      <c r="K149" s="767">
        <f>+'Plan de Accion 2018'!AF280</f>
        <v>0</v>
      </c>
      <c r="L149" s="875">
        <f t="shared" si="52"/>
        <v>0</v>
      </c>
      <c r="M149" s="682">
        <f t="shared" si="36"/>
        <v>0</v>
      </c>
      <c r="N149" s="644"/>
      <c r="O149" s="543">
        <f>+'Plan de Accion 2018'!AL280</f>
        <v>0</v>
      </c>
      <c r="P149" s="767" t="str">
        <f>+'Plan de Accion 2018'!BO280</f>
        <v>No Prog ni Ejec</v>
      </c>
      <c r="Q149" s="767" t="s">
        <v>792</v>
      </c>
      <c r="R149" s="751">
        <f>+'Plan de Accion 2018'!AP280</f>
        <v>0</v>
      </c>
      <c r="S149" s="873">
        <f t="shared" si="53"/>
        <v>0</v>
      </c>
      <c r="T149" s="682">
        <f>+S149</f>
        <v>0</v>
      </c>
      <c r="U149" s="329"/>
      <c r="V149" s="543">
        <f>+'Plan de Accion 2018'!AV280</f>
        <v>0</v>
      </c>
      <c r="W149" s="767" t="str">
        <f>+'Plan de Accion 2018'!BQ280</f>
        <v>No Prog ni Ejec</v>
      </c>
      <c r="X149" s="629" t="s">
        <v>792</v>
      </c>
      <c r="Y149" s="882">
        <f>+'Plan de Accion 2018'!AZ280</f>
        <v>0</v>
      </c>
      <c r="Z149" s="882">
        <f t="shared" si="54"/>
        <v>0</v>
      </c>
      <c r="AA149" s="883">
        <f>+Z149</f>
        <v>0</v>
      </c>
      <c r="AB149" s="644"/>
      <c r="AC149" s="543">
        <f>+'Plan de Accion 2018'!BF280</f>
        <v>1</v>
      </c>
      <c r="AD149" s="767" t="str">
        <f>+'Plan de Accion 2018'!BS280</f>
        <v>No Prog, Ejec=  1</v>
      </c>
      <c r="AE149" s="629" t="s">
        <v>792</v>
      </c>
      <c r="AF149" s="767">
        <f>+'Plan de Accion 2018'!BJ280</f>
        <v>1</v>
      </c>
      <c r="AG149" s="637">
        <f t="shared" si="56"/>
        <v>1</v>
      </c>
      <c r="AH149" s="765"/>
      <c r="AI149" s="1016"/>
      <c r="AJ149" s="766"/>
      <c r="AK149" s="761"/>
      <c r="AL149" s="321"/>
      <c r="AM149" s="370"/>
      <c r="AN149" s="761"/>
      <c r="AO149" s="321"/>
      <c r="AP149" s="766"/>
      <c r="AQ149" s="761"/>
      <c r="AR149" s="321"/>
      <c r="AS149" s="766"/>
      <c r="AT149" s="761"/>
      <c r="AU149" s="326"/>
      <c r="AV149" s="764"/>
      <c r="AW149" s="352"/>
      <c r="AX149" s="766"/>
      <c r="AY149" s="761"/>
      <c r="AZ149" s="321"/>
      <c r="BA149" s="370"/>
      <c r="BB149" s="761"/>
      <c r="BC149" s="321"/>
      <c r="BD149" s="766"/>
      <c r="BE149" s="761"/>
      <c r="BF149" s="321"/>
      <c r="BG149" s="766"/>
      <c r="BH149" s="761"/>
      <c r="BI149" s="326"/>
      <c r="BJ149" s="764"/>
      <c r="BL149" s="766"/>
      <c r="BM149" s="761"/>
      <c r="BN149" s="321"/>
      <c r="BO149" s="370"/>
      <c r="BP149" s="761"/>
      <c r="BQ149" s="321"/>
      <c r="BR149" s="766"/>
      <c r="BS149" s="761"/>
      <c r="BT149" s="321"/>
      <c r="BU149" s="766"/>
      <c r="BV149" s="761"/>
      <c r="BW149" s="326"/>
      <c r="BX149" s="764"/>
      <c r="BZ149" s="766"/>
      <c r="CA149" s="761"/>
      <c r="CB149" s="321"/>
      <c r="CC149" s="370"/>
      <c r="CD149" s="761"/>
      <c r="CE149" s="321"/>
      <c r="CF149" s="766"/>
      <c r="CG149" s="761"/>
      <c r="CH149" s="321"/>
      <c r="CI149" s="766"/>
      <c r="CJ149" s="761"/>
      <c r="CK149" s="326"/>
      <c r="CL149" s="764"/>
    </row>
    <row r="150" spans="2:90" s="542" customFormat="1" ht="57" x14ac:dyDescent="0.25">
      <c r="B150" s="1393"/>
      <c r="C150" s="1397"/>
      <c r="D150" s="755" t="str">
        <f>+'Plan de Accion 2018'!G250</f>
        <v>Desarrollo tecnológico de herramienta de medición de oportunidad de respuestas a PQRSD.</v>
      </c>
      <c r="E150" s="1351"/>
      <c r="F150" s="344" t="str">
        <f>+'Plan de Accion 2018'!S250</f>
        <v># Herramientas de medición de oportunidad de respuestas a PQRSD implementada</v>
      </c>
      <c r="G150" s="362"/>
      <c r="H150" s="543">
        <f>+'Plan de Accion 2018'!AB250</f>
        <v>0</v>
      </c>
      <c r="I150" s="767" t="str">
        <f>+'Plan de Accion 2018'!BM250</f>
        <v>No Prog ni Ejec</v>
      </c>
      <c r="J150" s="767" t="s">
        <v>792</v>
      </c>
      <c r="K150" s="767">
        <f>+'Plan de Accion 2018'!AF250</f>
        <v>0</v>
      </c>
      <c r="L150" s="875">
        <f t="shared" si="52"/>
        <v>0</v>
      </c>
      <c r="M150" s="682" t="s">
        <v>792</v>
      </c>
      <c r="N150" s="644"/>
      <c r="O150" s="543">
        <f>+'Plan de Accion 2018'!AL250</f>
        <v>0</v>
      </c>
      <c r="P150" s="767" t="str">
        <f>+'Plan de Accion 2018'!BO250</f>
        <v>No Prog ni Ejec</v>
      </c>
      <c r="Q150" s="767" t="s">
        <v>792</v>
      </c>
      <c r="R150" s="751">
        <f>+'Plan de Accion 2018'!AP250</f>
        <v>0</v>
      </c>
      <c r="S150" s="873">
        <f t="shared" si="53"/>
        <v>0</v>
      </c>
      <c r="T150" s="682" t="s">
        <v>792</v>
      </c>
      <c r="U150" s="329"/>
      <c r="V150" s="543">
        <f>+'Plan de Accion 2018'!AV250</f>
        <v>0</v>
      </c>
      <c r="W150" s="767" t="str">
        <f>+'Plan de Accion 2018'!BQ250</f>
        <v>No Prog ni Ejec</v>
      </c>
      <c r="X150" s="629" t="s">
        <v>792</v>
      </c>
      <c r="Y150" s="882">
        <f>+'Plan de Accion 2018'!AZ250</f>
        <v>0</v>
      </c>
      <c r="Z150" s="882">
        <f t="shared" si="54"/>
        <v>0</v>
      </c>
      <c r="AA150" s="883" t="s">
        <v>792</v>
      </c>
      <c r="AB150" s="644"/>
      <c r="AC150" s="543">
        <f>+'Plan de Accion 2018'!BF250</f>
        <v>0</v>
      </c>
      <c r="AD150" s="767">
        <f>+'Plan de Accion 2018'!BS250</f>
        <v>0</v>
      </c>
      <c r="AE150" s="629">
        <f t="shared" ref="AE150:AE157" si="57">IF(AD150&gt;100%,100%,AD150)</f>
        <v>0</v>
      </c>
      <c r="AF150" s="767">
        <f>+'Plan de Accion 2018'!BJ250</f>
        <v>0</v>
      </c>
      <c r="AG150" s="637">
        <f t="shared" si="56"/>
        <v>0</v>
      </c>
      <c r="AH150" s="765"/>
      <c r="AI150" s="1016"/>
      <c r="AJ150" s="766"/>
      <c r="AK150" s="761"/>
      <c r="AL150" s="321"/>
      <c r="AM150" s="370"/>
      <c r="AN150" s="761"/>
      <c r="AO150" s="321"/>
      <c r="AP150" s="766"/>
      <c r="AQ150" s="761"/>
      <c r="AR150" s="321"/>
      <c r="AS150" s="766"/>
      <c r="AT150" s="761"/>
      <c r="AU150" s="326"/>
      <c r="AV150" s="764"/>
      <c r="AW150" s="352"/>
      <c r="AX150" s="766"/>
      <c r="AY150" s="761"/>
      <c r="AZ150" s="321"/>
      <c r="BA150" s="370"/>
      <c r="BB150" s="761"/>
      <c r="BC150" s="321"/>
      <c r="BD150" s="766"/>
      <c r="BE150" s="761"/>
      <c r="BF150" s="321"/>
      <c r="BG150" s="766"/>
      <c r="BH150" s="761"/>
      <c r="BI150" s="326"/>
      <c r="BJ150" s="764"/>
      <c r="BL150" s="766"/>
      <c r="BM150" s="761"/>
      <c r="BN150" s="321"/>
      <c r="BO150" s="370"/>
      <c r="BP150" s="761"/>
      <c r="BQ150" s="321"/>
      <c r="BR150" s="766"/>
      <c r="BS150" s="761"/>
      <c r="BT150" s="321"/>
      <c r="BU150" s="766"/>
      <c r="BV150" s="761"/>
      <c r="BW150" s="326"/>
      <c r="BX150" s="764"/>
      <c r="BZ150" s="766"/>
      <c r="CA150" s="761"/>
      <c r="CB150" s="321"/>
      <c r="CC150" s="370"/>
      <c r="CD150" s="761"/>
      <c r="CE150" s="321"/>
      <c r="CF150" s="766"/>
      <c r="CG150" s="761"/>
      <c r="CH150" s="321"/>
      <c r="CI150" s="766"/>
      <c r="CJ150" s="761"/>
      <c r="CK150" s="326"/>
      <c r="CL150" s="764"/>
    </row>
    <row r="151" spans="2:90" ht="51.75" customHeight="1" x14ac:dyDescent="0.25">
      <c r="B151" s="1393"/>
      <c r="C151" s="1397"/>
      <c r="D151" s="1402" t="str">
        <f>+'Plan de Accion 2018'!G9</f>
        <v>Estrategia de Comunicación y  Marketing de la Adres</v>
      </c>
      <c r="E151" s="1487" t="s">
        <v>3</v>
      </c>
      <c r="F151" s="344" t="str">
        <f>+'Plan de Accion 2018'!S9</f>
        <v>#Noticias Positivas en el periodo/#Noticias Negativas en el mismo periodo.</v>
      </c>
      <c r="G151" s="362"/>
      <c r="H151" s="555">
        <f>+'Plan de Accion 2018'!AB9</f>
        <v>19.333333333333332</v>
      </c>
      <c r="I151" s="767">
        <f>+'Plan de Accion 2018'!BM9</f>
        <v>2.7619047619047619</v>
      </c>
      <c r="J151" s="767">
        <f t="shared" si="35"/>
        <v>1</v>
      </c>
      <c r="K151" s="767">
        <f>+'Plan de Accion 2018'!AF9</f>
        <v>0.48333333333333328</v>
      </c>
      <c r="L151" s="875">
        <f t="shared" si="52"/>
        <v>0.48333333333333328</v>
      </c>
      <c r="M151" s="682">
        <f t="shared" si="36"/>
        <v>0.48333333333333328</v>
      </c>
      <c r="N151" s="644">
        <v>1</v>
      </c>
      <c r="O151" s="555">
        <f>+'Plan de Accion 2018'!AL9</f>
        <v>9.6</v>
      </c>
      <c r="P151" s="767">
        <f>+'Plan de Accion 2018'!BO9</f>
        <v>0.64</v>
      </c>
      <c r="Q151" s="629">
        <f>IF(P151&gt;100%,100%,P151)</f>
        <v>0.64</v>
      </c>
      <c r="R151" s="751">
        <f>+'Plan de Accion 2018'!AP9</f>
        <v>0.72333333333333327</v>
      </c>
      <c r="S151" s="873">
        <f t="shared" si="53"/>
        <v>0.72333333333333327</v>
      </c>
      <c r="T151" s="637">
        <f>+S151</f>
        <v>0.72333333333333327</v>
      </c>
      <c r="U151" s="644">
        <v>1</v>
      </c>
      <c r="V151" s="859">
        <f>+'Plan de Accion 2018'!AV9</f>
        <v>3.4210526315789473</v>
      </c>
      <c r="W151" s="767">
        <f>+'Plan de Accion 2018'!BQ9</f>
        <v>0.22807017543859648</v>
      </c>
      <c r="X151" s="629">
        <f>IF(W151&gt;100%,100%,W151)</f>
        <v>0.22807017543859648</v>
      </c>
      <c r="Y151" s="882">
        <f>+'Plan de Accion 2018'!AZ9</f>
        <v>0.80885964912280683</v>
      </c>
      <c r="Z151" s="882">
        <f t="shared" si="54"/>
        <v>0.80885964912280683</v>
      </c>
      <c r="AA151" s="883">
        <f>+Z151</f>
        <v>0.80885964912280683</v>
      </c>
      <c r="AB151" s="644"/>
      <c r="AC151" s="555">
        <f>+'Plan de Accion 2018'!BF9</f>
        <v>33.333333333333336</v>
      </c>
      <c r="AD151" s="767">
        <f>+'Plan de Accion 2018'!BS9</f>
        <v>11.111111111111112</v>
      </c>
      <c r="AE151" s="629">
        <f t="shared" si="57"/>
        <v>1</v>
      </c>
      <c r="AF151" s="767">
        <f>+'Plan de Accion 2018'!BJ9</f>
        <v>1.6421929824561403</v>
      </c>
      <c r="AG151" s="637">
        <f t="shared" si="56"/>
        <v>1</v>
      </c>
      <c r="AH151" s="368"/>
      <c r="AI151" s="1016">
        <v>1</v>
      </c>
      <c r="AJ151" s="369"/>
      <c r="AK151" s="341"/>
      <c r="AL151" s="321"/>
      <c r="AM151" s="370"/>
      <c r="AN151" s="341"/>
      <c r="AO151" s="321"/>
      <c r="AP151" s="369"/>
      <c r="AQ151" s="341"/>
      <c r="AR151" s="321"/>
      <c r="AS151" s="369"/>
      <c r="AT151" s="341"/>
      <c r="AU151" s="326"/>
      <c r="AV151" s="371"/>
      <c r="AW151" s="352"/>
      <c r="AX151" s="369"/>
      <c r="AY151" s="341"/>
      <c r="AZ151" s="321"/>
      <c r="BA151" s="370"/>
      <c r="BB151" s="341"/>
      <c r="BC151" s="321"/>
      <c r="BD151" s="369"/>
      <c r="BE151" s="341"/>
      <c r="BF151" s="321"/>
      <c r="BG151" s="369"/>
      <c r="BH151" s="341"/>
      <c r="BI151" s="326"/>
      <c r="BJ151" s="371"/>
      <c r="BL151" s="369"/>
      <c r="BM151" s="341"/>
      <c r="BN151" s="321"/>
      <c r="BO151" s="370"/>
      <c r="BP151" s="341"/>
      <c r="BQ151" s="321"/>
      <c r="BR151" s="369"/>
      <c r="BS151" s="341"/>
      <c r="BT151" s="321"/>
      <c r="BU151" s="369"/>
      <c r="BV151" s="341"/>
      <c r="BW151" s="326"/>
      <c r="BX151" s="371"/>
      <c r="BZ151" s="369"/>
      <c r="CA151" s="341"/>
      <c r="CB151" s="321"/>
      <c r="CC151" s="370"/>
      <c r="CD151" s="341"/>
      <c r="CE151" s="321"/>
      <c r="CF151" s="369"/>
      <c r="CG151" s="341"/>
      <c r="CH151" s="321"/>
      <c r="CI151" s="369"/>
      <c r="CJ151" s="341"/>
      <c r="CK151" s="326"/>
      <c r="CL151" s="371"/>
    </row>
    <row r="152" spans="2:90" ht="75" customHeight="1" x14ac:dyDescent="0.25">
      <c r="B152" s="1393"/>
      <c r="C152" s="1397"/>
      <c r="D152" s="1402"/>
      <c r="E152" s="1488"/>
      <c r="F152" s="344" t="str">
        <f>+'Plan de Accion 2018'!S10</f>
        <v>((# de seguidores en Twitter periodo actual - # de seguidores en Twitter periodo anterior)/ # de seguidores en Twitter periodo anterior)</v>
      </c>
      <c r="G152" s="362"/>
      <c r="H152" s="372">
        <f>+'Plan de Accion 2018'!AB10</f>
        <v>0.66216216216216217</v>
      </c>
      <c r="I152" s="767">
        <f>+'Plan de Accion 2018'!BM10</f>
        <v>2.2072072072072073</v>
      </c>
      <c r="J152" s="767">
        <f t="shared" si="35"/>
        <v>1</v>
      </c>
      <c r="K152" s="767">
        <f>+'Plan de Accion 2018'!AF10</f>
        <v>0.55180180180180183</v>
      </c>
      <c r="L152" s="875">
        <f t="shared" si="52"/>
        <v>0.55180180180180183</v>
      </c>
      <c r="M152" s="682">
        <f t="shared" si="36"/>
        <v>0.55180180180180183</v>
      </c>
      <c r="N152" s="644">
        <v>1</v>
      </c>
      <c r="O152" s="543">
        <f>+'Plan de Accion 2018'!AL10</f>
        <v>0.65989159891598914</v>
      </c>
      <c r="P152" s="767">
        <f>+'Plan de Accion 2018'!BO10</f>
        <v>2.1996386630532974</v>
      </c>
      <c r="Q152" s="629">
        <f>IF(P152&gt;100%,100%,P152)</f>
        <v>1</v>
      </c>
      <c r="R152" s="751">
        <f>+'Plan de Accion 2018'!AP10</f>
        <v>1.1017114675651261</v>
      </c>
      <c r="S152" s="873">
        <f t="shared" si="53"/>
        <v>1</v>
      </c>
      <c r="T152" s="637">
        <f>+S152</f>
        <v>1</v>
      </c>
      <c r="U152" s="644">
        <v>1</v>
      </c>
      <c r="V152" s="543">
        <f>+'Plan de Accion 2018'!AV10</f>
        <v>0.40487804878048783</v>
      </c>
      <c r="W152" s="767">
        <f>+'Plan de Accion 2018'!BQ10</f>
        <v>1.3495934959349596</v>
      </c>
      <c r="X152" s="629">
        <f>IF(W152&gt;100%,100%,W152)</f>
        <v>1</v>
      </c>
      <c r="Y152" s="882">
        <f>+'Plan de Accion 2018'!AZ10</f>
        <v>1.4391098415488661</v>
      </c>
      <c r="Z152" s="882">
        <f t="shared" si="54"/>
        <v>1</v>
      </c>
      <c r="AA152" s="883">
        <f>+Z152</f>
        <v>1</v>
      </c>
      <c r="AB152" s="644">
        <v>1</v>
      </c>
      <c r="AC152" s="543">
        <f>+'Plan de Accion 2018'!BF10</f>
        <v>0.20034742327735958</v>
      </c>
      <c r="AD152" s="767">
        <f>+'Plan de Accion 2018'!BS10</f>
        <v>0.66782474425786531</v>
      </c>
      <c r="AE152" s="629">
        <f t="shared" si="57"/>
        <v>0.66782474425786531</v>
      </c>
      <c r="AF152" s="767">
        <f>+'Plan de Accion 2018'!BJ10</f>
        <v>1.6060660276133325</v>
      </c>
      <c r="AG152" s="637">
        <f t="shared" si="56"/>
        <v>1</v>
      </c>
      <c r="AH152" s="368"/>
      <c r="AI152" s="1016">
        <v>1</v>
      </c>
      <c r="AJ152" s="369"/>
      <c r="AK152" s="341"/>
      <c r="AL152" s="321"/>
      <c r="AM152" s="370"/>
      <c r="AN152" s="341"/>
      <c r="AO152" s="321"/>
      <c r="AP152" s="369"/>
      <c r="AQ152" s="341"/>
      <c r="AR152" s="321"/>
      <c r="AS152" s="369"/>
      <c r="AT152" s="341"/>
      <c r="AU152" s="326"/>
      <c r="AV152" s="371"/>
      <c r="AW152" s="352"/>
      <c r="AX152" s="369"/>
      <c r="AY152" s="341"/>
      <c r="AZ152" s="321"/>
      <c r="BA152" s="370"/>
      <c r="BB152" s="341"/>
      <c r="BC152" s="321"/>
      <c r="BD152" s="369"/>
      <c r="BE152" s="341"/>
      <c r="BF152" s="321"/>
      <c r="BG152" s="369"/>
      <c r="BH152" s="341"/>
      <c r="BI152" s="326"/>
      <c r="BJ152" s="371"/>
      <c r="BL152" s="369"/>
      <c r="BM152" s="341"/>
      <c r="BN152" s="321"/>
      <c r="BO152" s="370"/>
      <c r="BP152" s="341"/>
      <c r="BQ152" s="321"/>
      <c r="BR152" s="369"/>
      <c r="BS152" s="341"/>
      <c r="BT152" s="321"/>
      <c r="BU152" s="369"/>
      <c r="BV152" s="341"/>
      <c r="BW152" s="326"/>
      <c r="BX152" s="371"/>
      <c r="BZ152" s="369"/>
      <c r="CA152" s="341"/>
      <c r="CB152" s="321"/>
      <c r="CC152" s="370"/>
      <c r="CD152" s="341"/>
      <c r="CE152" s="321"/>
      <c r="CF152" s="369"/>
      <c r="CG152" s="341"/>
      <c r="CH152" s="321"/>
      <c r="CI152" s="369"/>
      <c r="CJ152" s="341"/>
      <c r="CK152" s="326"/>
      <c r="CL152" s="371"/>
    </row>
    <row r="153" spans="2:90" s="542" customFormat="1" ht="75" customHeight="1" x14ac:dyDescent="0.25">
      <c r="B153" s="1393"/>
      <c r="C153" s="1397"/>
      <c r="D153" s="1402"/>
      <c r="E153" s="1488"/>
      <c r="F153" s="344" t="str">
        <f>+'Plan de Accion 2018'!S11</f>
        <v>((#Visitas Página WEB periodo actual - # Visitas Página WEB periodo anterior) / # Visitas Página WEB periodo anterior)</v>
      </c>
      <c r="G153" s="362"/>
      <c r="H153" s="372" t="str">
        <f>+'Plan de Accion 2018'!AB11</f>
        <v>N.A</v>
      </c>
      <c r="I153" s="767" t="str">
        <f>+'Plan de Accion 2018'!BM11</f>
        <v>No Prog, Ejec=  N.A</v>
      </c>
      <c r="J153" s="767" t="s">
        <v>792</v>
      </c>
      <c r="K153" s="767" t="str">
        <f>+'Plan de Accion 2018'!AF11</f>
        <v>N.A</v>
      </c>
      <c r="L153" s="875" t="str">
        <f t="shared" si="52"/>
        <v>N.A</v>
      </c>
      <c r="M153" s="682" t="str">
        <f>+L153</f>
        <v>N.A</v>
      </c>
      <c r="N153" s="644">
        <v>1</v>
      </c>
      <c r="O153" s="543">
        <f>+'Plan de Accion 2018'!AL11</f>
        <v>8.7510908307135871E-2</v>
      </c>
      <c r="P153" s="767">
        <f>+'Plan de Accion 2018'!BO11</f>
        <v>0.97234342563484299</v>
      </c>
      <c r="Q153" s="629">
        <f>IF(P153&gt;100%,100%,P153)</f>
        <v>0.97234342563484299</v>
      </c>
      <c r="R153" s="751">
        <f>+'Plan de Accion 2018'!AP11</f>
        <v>0.51477004886550504</v>
      </c>
      <c r="S153" s="873">
        <f t="shared" si="53"/>
        <v>0.51477004886550504</v>
      </c>
      <c r="T153" s="637">
        <f>+S153</f>
        <v>0.51477004886550504</v>
      </c>
      <c r="U153" s="644">
        <v>1</v>
      </c>
      <c r="V153" s="543">
        <f>+'Plan de Accion 2018'!AV11</f>
        <v>-8.6527250967147043E-2</v>
      </c>
      <c r="W153" s="767">
        <f>+'Plan de Accion 2018'!BQ11</f>
        <v>-1.7305450193429408</v>
      </c>
      <c r="X153" s="629">
        <v>0</v>
      </c>
      <c r="Y153" s="882">
        <f>+'Plan de Accion 2018'!AZ11</f>
        <v>5.7862196469931036E-3</v>
      </c>
      <c r="Z153" s="882">
        <f t="shared" si="54"/>
        <v>5.7862196469931036E-3</v>
      </c>
      <c r="AA153" s="883">
        <f>+Z153</f>
        <v>5.7862196469931036E-3</v>
      </c>
      <c r="AB153" s="644"/>
      <c r="AC153" s="543">
        <f>+'Plan de Accion 2018'!BF11</f>
        <v>0.51543598137729585</v>
      </c>
      <c r="AD153" s="767">
        <f>+'Plan de Accion 2018'!BS11</f>
        <v>17.181199379243196</v>
      </c>
      <c r="AE153" s="629">
        <f t="shared" si="57"/>
        <v>1</v>
      </c>
      <c r="AF153" s="767">
        <f>+'Plan de Accion 2018'!BJ11</f>
        <v>3.0377625806899098</v>
      </c>
      <c r="AG153" s="637">
        <f t="shared" si="56"/>
        <v>1</v>
      </c>
      <c r="AH153" s="720"/>
      <c r="AI153" s="1016">
        <v>1</v>
      </c>
      <c r="AJ153" s="721"/>
      <c r="AK153" s="717"/>
      <c r="AL153" s="321"/>
      <c r="AM153" s="370"/>
      <c r="AN153" s="717"/>
      <c r="AO153" s="321"/>
      <c r="AP153" s="721"/>
      <c r="AQ153" s="717"/>
      <c r="AR153" s="321"/>
      <c r="AS153" s="721"/>
      <c r="AT153" s="717"/>
      <c r="AU153" s="326"/>
      <c r="AV153" s="719"/>
      <c r="AW153" s="352"/>
      <c r="AX153" s="721"/>
      <c r="AY153" s="717"/>
      <c r="AZ153" s="321"/>
      <c r="BA153" s="370"/>
      <c r="BB153" s="717"/>
      <c r="BC153" s="321"/>
      <c r="BD153" s="721"/>
      <c r="BE153" s="717"/>
      <c r="BF153" s="321"/>
      <c r="BG153" s="721"/>
      <c r="BH153" s="717"/>
      <c r="BI153" s="326"/>
      <c r="BJ153" s="719"/>
      <c r="BL153" s="721"/>
      <c r="BM153" s="717"/>
      <c r="BN153" s="321"/>
      <c r="BO153" s="370"/>
      <c r="BP153" s="717"/>
      <c r="BQ153" s="321"/>
      <c r="BR153" s="721"/>
      <c r="BS153" s="717"/>
      <c r="BT153" s="321"/>
      <c r="BU153" s="721"/>
      <c r="BV153" s="717"/>
      <c r="BW153" s="326"/>
      <c r="BX153" s="719"/>
      <c r="BZ153" s="721"/>
      <c r="CA153" s="717"/>
      <c r="CB153" s="321"/>
      <c r="CC153" s="370"/>
      <c r="CD153" s="717"/>
      <c r="CE153" s="321"/>
      <c r="CF153" s="721"/>
      <c r="CG153" s="717"/>
      <c r="CH153" s="321"/>
      <c r="CI153" s="721"/>
      <c r="CJ153" s="717"/>
      <c r="CK153" s="326"/>
      <c r="CL153" s="719"/>
    </row>
    <row r="154" spans="2:90" s="542" customFormat="1" ht="75" customHeight="1" thickBot="1" x14ac:dyDescent="0.3">
      <c r="B154" s="1393"/>
      <c r="C154" s="1397"/>
      <c r="D154" s="754" t="str">
        <f>+'Plan de Accion 2018'!G268</f>
        <v>Documento anexo técnico</v>
      </c>
      <c r="E154" s="1489"/>
      <c r="F154" s="344" t="str">
        <f>+'Plan de Accion 2018'!S268</f>
        <v># Documentos anexo técnico elaborados</v>
      </c>
      <c r="G154" s="362"/>
      <c r="H154" s="372">
        <f>+'Plan de Accion 2018'!Y268</f>
        <v>0</v>
      </c>
      <c r="I154" s="767" t="str">
        <f>+'Plan de Accion 2018'!BM268</f>
        <v>No Prog ni Ejec</v>
      </c>
      <c r="J154" s="767" t="s">
        <v>792</v>
      </c>
      <c r="K154" s="767">
        <f>+'Plan de Accion 2018'!AF268</f>
        <v>0</v>
      </c>
      <c r="L154" s="875">
        <f t="shared" si="52"/>
        <v>0</v>
      </c>
      <c r="M154" s="682" t="s">
        <v>792</v>
      </c>
      <c r="N154" s="644"/>
      <c r="O154" s="543">
        <f>+'Plan de Accion 2018'!AI268</f>
        <v>0</v>
      </c>
      <c r="P154" s="767" t="str">
        <f>+'Plan de Accion 2018'!BO268</f>
        <v>No Prog ni Ejec</v>
      </c>
      <c r="Q154" s="767" t="s">
        <v>792</v>
      </c>
      <c r="R154" s="751">
        <f>+'Plan de Accion 2018'!AP268</f>
        <v>0</v>
      </c>
      <c r="S154" s="873">
        <f t="shared" si="53"/>
        <v>0</v>
      </c>
      <c r="T154" s="682" t="s">
        <v>792</v>
      </c>
      <c r="U154" s="644"/>
      <c r="V154" s="543">
        <f>+'Plan de Accion 2018'!AS268</f>
        <v>0</v>
      </c>
      <c r="W154" s="767" t="str">
        <f>+'Plan de Accion 2018'!BQ268</f>
        <v>No Prog ni Ejec</v>
      </c>
      <c r="X154" s="629" t="s">
        <v>792</v>
      </c>
      <c r="Y154" s="882">
        <f>+'Plan de Accion 2018'!AZ268</f>
        <v>0</v>
      </c>
      <c r="Z154" s="882">
        <f t="shared" si="54"/>
        <v>0</v>
      </c>
      <c r="AA154" s="883" t="s">
        <v>792</v>
      </c>
      <c r="AB154" s="644"/>
      <c r="AC154" s="543">
        <f>+'Plan de Accion 2018'!BC268</f>
        <v>1</v>
      </c>
      <c r="AD154" s="767">
        <f>+'Plan de Accion 2018'!BS268</f>
        <v>1</v>
      </c>
      <c r="AE154" s="629">
        <f t="shared" si="57"/>
        <v>1</v>
      </c>
      <c r="AF154" s="767">
        <f>+'Plan de Accion 2018'!BJ268</f>
        <v>1</v>
      </c>
      <c r="AG154" s="637">
        <f t="shared" si="56"/>
        <v>1</v>
      </c>
      <c r="AH154" s="713"/>
      <c r="AI154" s="1016"/>
      <c r="AJ154" s="714"/>
      <c r="AK154" s="711"/>
      <c r="AL154" s="321"/>
      <c r="AM154" s="370"/>
      <c r="AN154" s="711"/>
      <c r="AO154" s="321"/>
      <c r="AP154" s="714"/>
      <c r="AQ154" s="711"/>
      <c r="AR154" s="321"/>
      <c r="AS154" s="714"/>
      <c r="AT154" s="711"/>
      <c r="AU154" s="326"/>
      <c r="AV154" s="712"/>
      <c r="AW154" s="352"/>
      <c r="AX154" s="714"/>
      <c r="AY154" s="711"/>
      <c r="AZ154" s="321"/>
      <c r="BA154" s="370"/>
      <c r="BB154" s="711"/>
      <c r="BC154" s="321"/>
      <c r="BD154" s="714"/>
      <c r="BE154" s="711"/>
      <c r="BF154" s="321"/>
      <c r="BG154" s="714"/>
      <c r="BH154" s="711"/>
      <c r="BI154" s="326"/>
      <c r="BJ154" s="712"/>
      <c r="BL154" s="714"/>
      <c r="BM154" s="711"/>
      <c r="BN154" s="321"/>
      <c r="BO154" s="370"/>
      <c r="BP154" s="711"/>
      <c r="BQ154" s="321"/>
      <c r="BR154" s="714"/>
      <c r="BS154" s="711"/>
      <c r="BT154" s="321"/>
      <c r="BU154" s="714"/>
      <c r="BV154" s="711"/>
      <c r="BW154" s="326"/>
      <c r="BX154" s="712"/>
      <c r="BZ154" s="714"/>
      <c r="CA154" s="711"/>
      <c r="CB154" s="321"/>
      <c r="CC154" s="370"/>
      <c r="CD154" s="711"/>
      <c r="CE154" s="321"/>
      <c r="CF154" s="714"/>
      <c r="CG154" s="711"/>
      <c r="CH154" s="321"/>
      <c r="CI154" s="714"/>
      <c r="CJ154" s="711"/>
      <c r="CK154" s="326"/>
      <c r="CL154" s="712"/>
    </row>
    <row r="155" spans="2:90" ht="99.75" x14ac:dyDescent="0.25">
      <c r="B155" s="1393"/>
      <c r="C155" s="1397"/>
      <c r="D155" s="768" t="str">
        <f>+'Plan de Accion 2018'!G153</f>
        <v>Entrega de informes a organismos externos en el marco de la normatividad vigente</v>
      </c>
      <c r="E155" s="768" t="str">
        <f>+'Plan de Accion 2018'!B153</f>
        <v>Oficina de Control Interno</v>
      </c>
      <c r="F155" s="544" t="str">
        <f>+'Plan de Accion 2018'!S153</f>
        <v>(Número de informes presentados oportunamente a entes externos / Número de informes requeridos por entes externos en el marco de la normatividad vigente)*100</v>
      </c>
      <c r="G155" s="362"/>
      <c r="H155" s="543">
        <f>+'Plan de Accion 2018'!AB153</f>
        <v>0.47</v>
      </c>
      <c r="I155" s="373">
        <f>+'Plan de Accion 2018'!BM153</f>
        <v>0.88679245283018859</v>
      </c>
      <c r="J155" s="767">
        <f t="shared" si="35"/>
        <v>0.88679245283018859</v>
      </c>
      <c r="K155" s="767">
        <f>+'Plan de Accion 2018'!AF153</f>
        <v>0.47</v>
      </c>
      <c r="L155" s="875">
        <f t="shared" si="52"/>
        <v>0.47</v>
      </c>
      <c r="M155" s="682">
        <f t="shared" si="36"/>
        <v>0.47</v>
      </c>
      <c r="N155" s="644"/>
      <c r="O155" s="543">
        <f>+'Plan de Accion 2018'!AL153</f>
        <v>0.17647058823529413</v>
      </c>
      <c r="P155" s="767">
        <f>+'Plan de Accion 2018'!BO153</f>
        <v>1.4705882352941178</v>
      </c>
      <c r="Q155" s="629">
        <f>IF(P155&gt;100%,100%,P155)</f>
        <v>1</v>
      </c>
      <c r="R155" s="751">
        <f>+'Plan de Accion 2018'!AP153</f>
        <v>0.64647058823529413</v>
      </c>
      <c r="S155" s="873">
        <f t="shared" si="53"/>
        <v>0.64647058823529413</v>
      </c>
      <c r="T155" s="637">
        <f>+S155</f>
        <v>0.64647058823529413</v>
      </c>
      <c r="U155" s="644">
        <v>1</v>
      </c>
      <c r="V155" s="543">
        <f>+'Plan de Accion 2018'!AV153</f>
        <v>0.23529411764705882</v>
      </c>
      <c r="W155" s="767">
        <f>+'Plan de Accion 2018'!BQ153</f>
        <v>0.98039215686274517</v>
      </c>
      <c r="X155" s="629">
        <f>IF(W155&gt;100%,100%,W155)</f>
        <v>0.98039215686274517</v>
      </c>
      <c r="Y155" s="882">
        <f>+'Plan de Accion 2018'!AZ153</f>
        <v>0.88176470588235301</v>
      </c>
      <c r="Z155" s="882">
        <f t="shared" si="54"/>
        <v>0.88176470588235301</v>
      </c>
      <c r="AA155" s="883">
        <f>+Z155</f>
        <v>0.88176470588235301</v>
      </c>
      <c r="AB155" s="644"/>
      <c r="AC155" s="543">
        <f>+'Plan de Accion 2018'!BF153</f>
        <v>0.12</v>
      </c>
      <c r="AD155" s="767">
        <f>+'Plan de Accion 2018'!BS153</f>
        <v>1</v>
      </c>
      <c r="AE155" s="629">
        <f t="shared" si="57"/>
        <v>1</v>
      </c>
      <c r="AF155" s="767">
        <f>+'Plan de Accion 2018'!BJ153</f>
        <v>1.0017647058823531</v>
      </c>
      <c r="AG155" s="637">
        <f t="shared" si="56"/>
        <v>1</v>
      </c>
      <c r="AH155" s="335"/>
      <c r="AI155" s="1016"/>
      <c r="AJ155" s="1445"/>
      <c r="AK155" s="1445"/>
      <c r="AL155" s="321"/>
      <c r="AM155" s="1467"/>
      <c r="AN155" s="1445"/>
      <c r="AO155" s="321"/>
      <c r="AP155" s="1445"/>
      <c r="AQ155" s="1445"/>
      <c r="AR155" s="321"/>
      <c r="AS155" s="1445"/>
      <c r="AT155" s="1445"/>
      <c r="AU155" s="326"/>
      <c r="AV155" s="336"/>
      <c r="AW155" s="352"/>
      <c r="AX155" s="1445"/>
      <c r="AY155" s="1445"/>
      <c r="AZ155" s="321"/>
      <c r="BA155" s="1467"/>
      <c r="BB155" s="1445"/>
      <c r="BC155" s="321"/>
      <c r="BD155" s="1445"/>
      <c r="BE155" s="1445"/>
      <c r="BF155" s="321"/>
      <c r="BG155" s="1445"/>
      <c r="BH155" s="1445"/>
      <c r="BI155" s="326"/>
      <c r="BJ155" s="336"/>
      <c r="BL155" s="1445"/>
      <c r="BM155" s="1445"/>
      <c r="BN155" s="321"/>
      <c r="BO155" s="1467"/>
      <c r="BP155" s="1445"/>
      <c r="BQ155" s="321"/>
      <c r="BR155" s="1445"/>
      <c r="BS155" s="1445"/>
      <c r="BT155" s="321"/>
      <c r="BU155" s="1445"/>
      <c r="BV155" s="1445"/>
      <c r="BW155" s="326"/>
      <c r="BX155" s="336"/>
      <c r="BZ155" s="1445"/>
      <c r="CA155" s="1445"/>
      <c r="CB155" s="321"/>
      <c r="CC155" s="1467"/>
      <c r="CD155" s="1445"/>
      <c r="CE155" s="321"/>
      <c r="CF155" s="1445"/>
      <c r="CG155" s="1445"/>
      <c r="CH155" s="321"/>
      <c r="CI155" s="1445"/>
      <c r="CJ155" s="1445"/>
      <c r="CK155" s="326"/>
      <c r="CL155" s="336"/>
    </row>
    <row r="156" spans="2:90" ht="30.75" customHeight="1" x14ac:dyDescent="0.25">
      <c r="B156" s="1393"/>
      <c r="C156" s="1397"/>
      <c r="D156" s="768" t="str">
        <f>+'Plan de Accion 2018'!G300</f>
        <v>Informe mensual de los contenidos digitales de la ADRES</v>
      </c>
      <c r="E156" s="1484" t="str">
        <f>+'Plan de Accion 2018'!B300</f>
        <v xml:space="preserve">Dirección General </v>
      </c>
      <c r="F156" s="535" t="str">
        <f>+'Plan de Accion 2018'!S300</f>
        <v># Informes de administración de contenidos digitales de la ADRES</v>
      </c>
      <c r="G156" s="362"/>
      <c r="H156" s="545">
        <f>+'Plan de Accion 2018'!AB300</f>
        <v>0</v>
      </c>
      <c r="I156" s="373" t="str">
        <f>+'Plan de Accion 2018'!BM300</f>
        <v>No Prog ni Ejec</v>
      </c>
      <c r="J156" s="767" t="s">
        <v>792</v>
      </c>
      <c r="K156" s="767">
        <f>+'Plan de Accion 2018'!AF300</f>
        <v>0</v>
      </c>
      <c r="L156" s="875">
        <f t="shared" si="52"/>
        <v>0</v>
      </c>
      <c r="M156" s="682" t="s">
        <v>792</v>
      </c>
      <c r="N156" s="644"/>
      <c r="O156" s="545">
        <f>+'Plan de Accion 2018'!AL300</f>
        <v>0</v>
      </c>
      <c r="P156" s="767" t="str">
        <f>+'Plan de Accion 2018'!BO300</f>
        <v>No Prog ni Ejec</v>
      </c>
      <c r="Q156" s="629" t="s">
        <v>792</v>
      </c>
      <c r="R156" s="751">
        <f>+'Plan de Accion 2018'!AP300</f>
        <v>0</v>
      </c>
      <c r="S156" s="873">
        <f t="shared" si="53"/>
        <v>0</v>
      </c>
      <c r="T156" s="637" t="s">
        <v>792</v>
      </c>
      <c r="U156" s="329"/>
      <c r="V156" s="545">
        <f>+'Plan de Accion 2018'!AV300</f>
        <v>3</v>
      </c>
      <c r="W156" s="767">
        <f>+'Plan de Accion 2018'!BQ300</f>
        <v>1</v>
      </c>
      <c r="X156" s="629">
        <f>IF(W156&gt;100%,100%,W156)</f>
        <v>1</v>
      </c>
      <c r="Y156" s="882">
        <f>+'Plan de Accion 2018'!AZ300</f>
        <v>0.5</v>
      </c>
      <c r="Z156" s="882">
        <f t="shared" si="54"/>
        <v>0.5</v>
      </c>
      <c r="AA156" s="883">
        <f>+Z156</f>
        <v>0.5</v>
      </c>
      <c r="AB156" s="644"/>
      <c r="AC156" s="543">
        <f>+'Plan de Accion 2018'!BF300</f>
        <v>3</v>
      </c>
      <c r="AD156" s="767">
        <f>+'Plan de Accion 2018'!BS300</f>
        <v>1</v>
      </c>
      <c r="AE156" s="629">
        <f t="shared" si="57"/>
        <v>1</v>
      </c>
      <c r="AF156" s="767">
        <f>+'Plan de Accion 2018'!BJ300</f>
        <v>1</v>
      </c>
      <c r="AG156" s="637">
        <f t="shared" si="56"/>
        <v>1</v>
      </c>
      <c r="AH156" s="337"/>
      <c r="AI156" s="1016"/>
      <c r="AJ156" s="1446"/>
      <c r="AK156" s="1446"/>
      <c r="AL156" s="321"/>
      <c r="AM156" s="1468"/>
      <c r="AN156" s="1446"/>
      <c r="AO156" s="321"/>
      <c r="AP156" s="1446"/>
      <c r="AQ156" s="1446"/>
      <c r="AR156" s="321"/>
      <c r="AS156" s="1446"/>
      <c r="AT156" s="1446"/>
      <c r="AU156" s="326"/>
      <c r="AV156" s="338"/>
      <c r="AW156" s="352"/>
      <c r="AX156" s="1446"/>
      <c r="AY156" s="1446"/>
      <c r="AZ156" s="321"/>
      <c r="BA156" s="1468"/>
      <c r="BB156" s="1446"/>
      <c r="BC156" s="321"/>
      <c r="BD156" s="1446"/>
      <c r="BE156" s="1446"/>
      <c r="BF156" s="321"/>
      <c r="BG156" s="1446"/>
      <c r="BH156" s="1446"/>
      <c r="BI156" s="326"/>
      <c r="BJ156" s="338"/>
      <c r="BL156" s="1446"/>
      <c r="BM156" s="1446"/>
      <c r="BN156" s="321"/>
      <c r="BO156" s="1468"/>
      <c r="BP156" s="1446"/>
      <c r="BQ156" s="321"/>
      <c r="BR156" s="1446"/>
      <c r="BS156" s="1446"/>
      <c r="BT156" s="321"/>
      <c r="BU156" s="1446"/>
      <c r="BV156" s="1446"/>
      <c r="BW156" s="326"/>
      <c r="BX156" s="338"/>
      <c r="BZ156" s="1446"/>
      <c r="CA156" s="1446"/>
      <c r="CB156" s="321"/>
      <c r="CC156" s="1468"/>
      <c r="CD156" s="1446"/>
      <c r="CE156" s="321"/>
      <c r="CF156" s="1446"/>
      <c r="CG156" s="1446"/>
      <c r="CH156" s="321"/>
      <c r="CI156" s="1446"/>
      <c r="CJ156" s="1446"/>
      <c r="CK156" s="326"/>
      <c r="CL156" s="338"/>
    </row>
    <row r="157" spans="2:90" ht="57" x14ac:dyDescent="0.25">
      <c r="B157" s="1393"/>
      <c r="C157" s="1397"/>
      <c r="D157" s="768" t="str">
        <f>+'Plan de Accion 2018'!G227</f>
        <v>Resultados socializados en página web</v>
      </c>
      <c r="E157" s="1485"/>
      <c r="F157" s="535" t="str">
        <f>+'Plan de Accion 2018'!S227</f>
        <v># publicaciones realizadas de los resultados de la rendición de cuentas en la página Web de la ADRES</v>
      </c>
      <c r="G157" s="362"/>
      <c r="H157" s="545">
        <f>+'Plan de Accion 2018'!AB227</f>
        <v>0</v>
      </c>
      <c r="I157" s="373" t="str">
        <f>+'Plan de Accion 2018'!BM227</f>
        <v>No Prog ni Ejec</v>
      </c>
      <c r="J157" s="767" t="s">
        <v>792</v>
      </c>
      <c r="K157" s="767">
        <f>+'Plan de Accion 2018'!AF227</f>
        <v>0</v>
      </c>
      <c r="L157" s="875">
        <f t="shared" si="52"/>
        <v>0</v>
      </c>
      <c r="M157" s="682" t="s">
        <v>792</v>
      </c>
      <c r="N157" s="644"/>
      <c r="O157" s="545">
        <f>+'Plan de Accion 2018'!AL227</f>
        <v>0</v>
      </c>
      <c r="P157" s="767" t="str">
        <f>+'Plan de Accion 2018'!BO227</f>
        <v>No Prog ni Ejec</v>
      </c>
      <c r="Q157" s="629" t="s">
        <v>792</v>
      </c>
      <c r="R157" s="751">
        <f>+'Plan de Accion 2018'!AP227</f>
        <v>0</v>
      </c>
      <c r="S157" s="873">
        <f t="shared" si="53"/>
        <v>0</v>
      </c>
      <c r="T157" s="637" t="s">
        <v>792</v>
      </c>
      <c r="U157" s="329"/>
      <c r="V157" s="543">
        <f>+'Plan de Accion 2018'!AV227</f>
        <v>0</v>
      </c>
      <c r="W157" s="767" t="str">
        <f>+'Plan de Accion 2018'!BQ227</f>
        <v>No Prog ni Ejec</v>
      </c>
      <c r="X157" s="629" t="s">
        <v>792</v>
      </c>
      <c r="Y157" s="882">
        <f>+'Plan de Accion 2018'!AZ227</f>
        <v>0</v>
      </c>
      <c r="Z157" s="882">
        <f t="shared" si="54"/>
        <v>0</v>
      </c>
      <c r="AA157" s="883" t="s">
        <v>792</v>
      </c>
      <c r="AB157" s="644"/>
      <c r="AC157" s="543">
        <f>+'Plan de Accion 2018'!BF227</f>
        <v>1</v>
      </c>
      <c r="AD157" s="767">
        <f>+'Plan de Accion 2018'!BS227</f>
        <v>1</v>
      </c>
      <c r="AE157" s="629">
        <f t="shared" si="57"/>
        <v>1</v>
      </c>
      <c r="AF157" s="767">
        <f>+'Plan de Accion 2018'!BJ227</f>
        <v>1</v>
      </c>
      <c r="AG157" s="637">
        <f t="shared" si="56"/>
        <v>1</v>
      </c>
      <c r="AH157" s="337"/>
      <c r="AI157" s="1016"/>
      <c r="AJ157" s="1446"/>
      <c r="AK157" s="1446"/>
      <c r="AL157" s="321"/>
      <c r="AM157" s="1468"/>
      <c r="AN157" s="1446"/>
      <c r="AO157" s="321"/>
      <c r="AP157" s="1446"/>
      <c r="AQ157" s="1446"/>
      <c r="AR157" s="321"/>
      <c r="AS157" s="1446"/>
      <c r="AT157" s="1446"/>
      <c r="AU157" s="326"/>
      <c r="AV157" s="338"/>
      <c r="AW157" s="352"/>
      <c r="AX157" s="1446"/>
      <c r="AY157" s="1446"/>
      <c r="AZ157" s="321"/>
      <c r="BA157" s="1468"/>
      <c r="BB157" s="1446"/>
      <c r="BC157" s="321"/>
      <c r="BD157" s="1446"/>
      <c r="BE157" s="1446"/>
      <c r="BF157" s="321"/>
      <c r="BG157" s="1446"/>
      <c r="BH157" s="1446"/>
      <c r="BI157" s="326"/>
      <c r="BJ157" s="338"/>
      <c r="BL157" s="1446"/>
      <c r="BM157" s="1446"/>
      <c r="BN157" s="321"/>
      <c r="BO157" s="1468"/>
      <c r="BP157" s="1446"/>
      <c r="BQ157" s="321"/>
      <c r="BR157" s="1446"/>
      <c r="BS157" s="1446"/>
      <c r="BT157" s="321"/>
      <c r="BU157" s="1446"/>
      <c r="BV157" s="1446"/>
      <c r="BW157" s="326"/>
      <c r="BX157" s="338"/>
      <c r="BZ157" s="1446"/>
      <c r="CA157" s="1446"/>
      <c r="CB157" s="321"/>
      <c r="CC157" s="1468"/>
      <c r="CD157" s="1446"/>
      <c r="CE157" s="321"/>
      <c r="CF157" s="1446"/>
      <c r="CG157" s="1446"/>
      <c r="CH157" s="321"/>
      <c r="CI157" s="1446"/>
      <c r="CJ157" s="1446"/>
      <c r="CK157" s="326"/>
      <c r="CL157" s="338"/>
    </row>
    <row r="158" spans="2:90" s="542" customFormat="1" ht="57" x14ac:dyDescent="0.25">
      <c r="B158" s="1393"/>
      <c r="C158" s="1397"/>
      <c r="D158" s="1424" t="str">
        <f>+'Plan de Accion 2018'!G230</f>
        <v>Una (1) pieza comunicacional y una (1) presentación explicativa de rendición de cuentas</v>
      </c>
      <c r="E158" s="1485"/>
      <c r="F158" s="535" t="str">
        <f>+'Plan de Accion 2018'!S230</f>
        <v># Piezas comunicacionales  explicativas de rendición de cuentas publicadas en la página Web</v>
      </c>
      <c r="G158" s="362"/>
      <c r="H158" s="545">
        <f>+'Plan de Accion 2018'!AB230</f>
        <v>0</v>
      </c>
      <c r="I158" s="373" t="str">
        <f>+'Plan de Accion 2018'!BM230</f>
        <v>No Prog ni Ejec</v>
      </c>
      <c r="J158" s="767" t="s">
        <v>792</v>
      </c>
      <c r="K158" s="767">
        <f>+'Plan de Accion 2018'!AF230</f>
        <v>0</v>
      </c>
      <c r="L158" s="875">
        <f t="shared" si="52"/>
        <v>0</v>
      </c>
      <c r="M158" s="682" t="s">
        <v>792</v>
      </c>
      <c r="N158" s="644"/>
      <c r="O158" s="545">
        <f>+'Plan de Accion 2018'!AL230</f>
        <v>0</v>
      </c>
      <c r="P158" s="767" t="str">
        <f>+'Plan de Accion 2018'!BO230</f>
        <v>No Prog ni Ejec</v>
      </c>
      <c r="Q158" s="767" t="s">
        <v>792</v>
      </c>
      <c r="R158" s="751">
        <f>+'Plan de Accion 2018'!AP230</f>
        <v>0</v>
      </c>
      <c r="S158" s="873">
        <f t="shared" si="53"/>
        <v>0</v>
      </c>
      <c r="T158" s="682" t="s">
        <v>792</v>
      </c>
      <c r="U158" s="329"/>
      <c r="V158" s="543">
        <f>+'Plan de Accion 2018'!AV230</f>
        <v>1</v>
      </c>
      <c r="W158" s="767">
        <f>+'Plan de Accion 2018'!BQ230</f>
        <v>1</v>
      </c>
      <c r="X158" s="629">
        <f>IF(W158&gt;100%,100%,W158)</f>
        <v>1</v>
      </c>
      <c r="Y158" s="882">
        <f>+'Plan de Accion 2018'!AZ230</f>
        <v>1</v>
      </c>
      <c r="Z158" s="882">
        <f t="shared" si="54"/>
        <v>1</v>
      </c>
      <c r="AA158" s="883">
        <f>+Z158</f>
        <v>1</v>
      </c>
      <c r="AB158" s="644"/>
      <c r="AC158" s="543">
        <f>+'Plan de Accion 2018'!BF230</f>
        <v>0</v>
      </c>
      <c r="AD158" s="767" t="str">
        <f>+'Plan de Accion 2018'!BS230</f>
        <v>No Prog ni Ejec</v>
      </c>
      <c r="AE158" s="767" t="s">
        <v>792</v>
      </c>
      <c r="AF158" s="767">
        <f>+'Plan de Accion 2018'!BJ230</f>
        <v>1</v>
      </c>
      <c r="AG158" s="637">
        <f t="shared" si="56"/>
        <v>1</v>
      </c>
      <c r="AH158" s="337"/>
      <c r="AI158" s="1016"/>
      <c r="AJ158" s="1446"/>
      <c r="AK158" s="1446"/>
      <c r="AL158" s="321"/>
      <c r="AM158" s="1468"/>
      <c r="AN158" s="1446"/>
      <c r="AO158" s="321"/>
      <c r="AP158" s="1446"/>
      <c r="AQ158" s="1446"/>
      <c r="AR158" s="321"/>
      <c r="AS158" s="1446"/>
      <c r="AT158" s="1446"/>
      <c r="AU158" s="326"/>
      <c r="AV158" s="338"/>
      <c r="AW158" s="352"/>
      <c r="AX158" s="1446"/>
      <c r="AY158" s="1446"/>
      <c r="AZ158" s="321"/>
      <c r="BA158" s="1468"/>
      <c r="BB158" s="1446"/>
      <c r="BC158" s="321"/>
      <c r="BD158" s="1446"/>
      <c r="BE158" s="1446"/>
      <c r="BF158" s="321"/>
      <c r="BG158" s="1446"/>
      <c r="BH158" s="1446"/>
      <c r="BI158" s="326"/>
      <c r="BJ158" s="338"/>
      <c r="BL158" s="1446"/>
      <c r="BM158" s="1446"/>
      <c r="BN158" s="321"/>
      <c r="BO158" s="1468"/>
      <c r="BP158" s="1446"/>
      <c r="BQ158" s="321"/>
      <c r="BR158" s="1446"/>
      <c r="BS158" s="1446"/>
      <c r="BT158" s="321"/>
      <c r="BU158" s="1446"/>
      <c r="BV158" s="1446"/>
      <c r="BW158" s="326"/>
      <c r="BX158" s="338"/>
      <c r="BZ158" s="1446"/>
      <c r="CA158" s="1446"/>
      <c r="CB158" s="321"/>
      <c r="CC158" s="1468"/>
      <c r="CD158" s="1446"/>
      <c r="CE158" s="321"/>
      <c r="CF158" s="1446"/>
      <c r="CG158" s="1446"/>
      <c r="CH158" s="321"/>
      <c r="CI158" s="1446"/>
      <c r="CJ158" s="1446"/>
      <c r="CK158" s="326"/>
      <c r="CL158" s="338"/>
    </row>
    <row r="159" spans="2:90" s="542" customFormat="1" ht="60.75" customHeight="1" x14ac:dyDescent="0.25">
      <c r="B159" s="1393"/>
      <c r="C159" s="1397"/>
      <c r="D159" s="1428"/>
      <c r="E159" s="1485"/>
      <c r="F159" s="535" t="str">
        <f>+'Plan de Accion 2018'!S231</f>
        <v># Presentaciones explicativas de rendición de cuentas publicadas en la página Web</v>
      </c>
      <c r="G159" s="362"/>
      <c r="H159" s="545">
        <f>+'Plan de Accion 2018'!AB231</f>
        <v>0</v>
      </c>
      <c r="I159" s="373" t="str">
        <f>+'Plan de Accion 2018'!BM231</f>
        <v>No Prog ni Ejec</v>
      </c>
      <c r="J159" s="767" t="s">
        <v>792</v>
      </c>
      <c r="K159" s="767">
        <f>+'Plan de Accion 2018'!AF231</f>
        <v>0</v>
      </c>
      <c r="L159" s="875">
        <f t="shared" si="52"/>
        <v>0</v>
      </c>
      <c r="M159" s="682" t="s">
        <v>792</v>
      </c>
      <c r="N159" s="644"/>
      <c r="O159" s="545">
        <f>+'Plan de Accion 2018'!AL231</f>
        <v>0</v>
      </c>
      <c r="P159" s="767" t="str">
        <f>+'Plan de Accion 2018'!BO231</f>
        <v>No Prog ni Ejec</v>
      </c>
      <c r="Q159" s="767" t="s">
        <v>792</v>
      </c>
      <c r="R159" s="751">
        <f>+'Plan de Accion 2018'!AP231</f>
        <v>0</v>
      </c>
      <c r="S159" s="873">
        <f t="shared" si="53"/>
        <v>0</v>
      </c>
      <c r="T159" s="682" t="s">
        <v>792</v>
      </c>
      <c r="U159" s="329"/>
      <c r="V159" s="543">
        <f>+'Plan de Accion 2018'!AV231</f>
        <v>1</v>
      </c>
      <c r="W159" s="767">
        <f>+'Plan de Accion 2018'!BQ231</f>
        <v>1</v>
      </c>
      <c r="X159" s="629">
        <f>IF(W159&gt;100%,100%,W159)</f>
        <v>1</v>
      </c>
      <c r="Y159" s="882">
        <f>+'Plan de Accion 2018'!AZ231</f>
        <v>1</v>
      </c>
      <c r="Z159" s="882">
        <f t="shared" si="54"/>
        <v>1</v>
      </c>
      <c r="AA159" s="883">
        <f>+Z159</f>
        <v>1</v>
      </c>
      <c r="AB159" s="644"/>
      <c r="AC159" s="543">
        <f>+'Plan de Accion 2018'!BF231</f>
        <v>0</v>
      </c>
      <c r="AD159" s="767" t="str">
        <f>+'Plan de Accion 2018'!BS231</f>
        <v>No Prog ni Ejec</v>
      </c>
      <c r="AE159" s="767" t="s">
        <v>792</v>
      </c>
      <c r="AF159" s="767">
        <f>+'Plan de Accion 2018'!BJ231</f>
        <v>1</v>
      </c>
      <c r="AG159" s="637">
        <f t="shared" si="56"/>
        <v>1</v>
      </c>
      <c r="AH159" s="337"/>
      <c r="AI159" s="1016"/>
      <c r="AJ159" s="1446"/>
      <c r="AK159" s="1446"/>
      <c r="AL159" s="321"/>
      <c r="AM159" s="1468"/>
      <c r="AN159" s="1446"/>
      <c r="AO159" s="321"/>
      <c r="AP159" s="1446"/>
      <c r="AQ159" s="1446"/>
      <c r="AR159" s="321"/>
      <c r="AS159" s="1446"/>
      <c r="AT159" s="1446"/>
      <c r="AU159" s="326"/>
      <c r="AV159" s="338"/>
      <c r="AW159" s="352"/>
      <c r="AX159" s="1446"/>
      <c r="AY159" s="1446"/>
      <c r="AZ159" s="321"/>
      <c r="BA159" s="1468"/>
      <c r="BB159" s="1446"/>
      <c r="BC159" s="321"/>
      <c r="BD159" s="1446"/>
      <c r="BE159" s="1446"/>
      <c r="BF159" s="321"/>
      <c r="BG159" s="1446"/>
      <c r="BH159" s="1446"/>
      <c r="BI159" s="326"/>
      <c r="BJ159" s="338"/>
      <c r="BL159" s="1446"/>
      <c r="BM159" s="1446"/>
      <c r="BN159" s="321"/>
      <c r="BO159" s="1468"/>
      <c r="BP159" s="1446"/>
      <c r="BQ159" s="321"/>
      <c r="BR159" s="1446"/>
      <c r="BS159" s="1446"/>
      <c r="BT159" s="321"/>
      <c r="BU159" s="1446"/>
      <c r="BV159" s="1446"/>
      <c r="BW159" s="326"/>
      <c r="BX159" s="338"/>
      <c r="BZ159" s="1446"/>
      <c r="CA159" s="1446"/>
      <c r="CB159" s="321"/>
      <c r="CC159" s="1468"/>
      <c r="CD159" s="1446"/>
      <c r="CE159" s="321"/>
      <c r="CF159" s="1446"/>
      <c r="CG159" s="1446"/>
      <c r="CH159" s="321"/>
      <c r="CI159" s="1446"/>
      <c r="CJ159" s="1446"/>
      <c r="CK159" s="326"/>
      <c r="CL159" s="338"/>
    </row>
    <row r="160" spans="2:90" s="542" customFormat="1" ht="42.75" x14ac:dyDescent="0.25">
      <c r="B160" s="1393"/>
      <c r="C160" s="1397"/>
      <c r="D160" s="757" t="str">
        <f>+'Plan de Accion 2018'!G264</f>
        <v>Esquema de publicación publicado en página web institucional</v>
      </c>
      <c r="E160" s="1485"/>
      <c r="F160" s="535" t="str">
        <f>+'Plan de Accion 2018'!S264</f>
        <v># Esquemas de publicación publicados en página web institucional</v>
      </c>
      <c r="G160" s="362"/>
      <c r="H160" s="545">
        <f>+'Plan de Accion 2018'!AB264</f>
        <v>0</v>
      </c>
      <c r="I160" s="373" t="str">
        <f>+'Plan de Accion 2018'!BM264</f>
        <v>No Prog ni Ejec</v>
      </c>
      <c r="J160" s="767" t="s">
        <v>792</v>
      </c>
      <c r="K160" s="767">
        <f>+'Plan de Accion 2018'!AF264</f>
        <v>0</v>
      </c>
      <c r="L160" s="875">
        <f t="shared" si="52"/>
        <v>0</v>
      </c>
      <c r="M160" s="682" t="s">
        <v>792</v>
      </c>
      <c r="N160" s="644"/>
      <c r="O160" s="545">
        <f>+'Plan de Accion 2018'!AL264</f>
        <v>0</v>
      </c>
      <c r="P160" s="767" t="str">
        <f>+'Plan de Accion 2018'!BO264</f>
        <v>No Prog ni Ejec</v>
      </c>
      <c r="Q160" s="767" t="s">
        <v>792</v>
      </c>
      <c r="R160" s="751">
        <f>+'Plan de Accion 2018'!AP264</f>
        <v>0</v>
      </c>
      <c r="S160" s="873">
        <f t="shared" si="53"/>
        <v>0</v>
      </c>
      <c r="T160" s="682" t="s">
        <v>792</v>
      </c>
      <c r="U160" s="329"/>
      <c r="V160" s="543">
        <f>+'Plan de Accion 2018'!AV264</f>
        <v>0</v>
      </c>
      <c r="W160" s="767" t="str">
        <f>+'Plan de Accion 2018'!BQ264</f>
        <v>No Prog ni Ejec</v>
      </c>
      <c r="X160" s="629" t="s">
        <v>792</v>
      </c>
      <c r="Y160" s="882">
        <f>+'Plan de Accion 2018'!AZ264</f>
        <v>0</v>
      </c>
      <c r="Z160" s="882">
        <f t="shared" si="54"/>
        <v>0</v>
      </c>
      <c r="AA160" s="883" t="s">
        <v>792</v>
      </c>
      <c r="AB160" s="644"/>
      <c r="AC160" s="543">
        <f>+'Plan de Accion 2018'!BF264</f>
        <v>1</v>
      </c>
      <c r="AD160" s="767">
        <f>+'Plan de Accion 2018'!BS264</f>
        <v>1</v>
      </c>
      <c r="AE160" s="629">
        <f>IF(AD160&gt;100%,100%,AD160)</f>
        <v>1</v>
      </c>
      <c r="AF160" s="767">
        <f>+'Plan de Accion 2018'!BJ264</f>
        <v>1</v>
      </c>
      <c r="AG160" s="637">
        <f t="shared" si="56"/>
        <v>1</v>
      </c>
      <c r="AH160" s="337"/>
      <c r="AI160" s="1016"/>
      <c r="AJ160" s="1446"/>
      <c r="AK160" s="1446"/>
      <c r="AL160" s="321"/>
      <c r="AM160" s="1468"/>
      <c r="AN160" s="1446"/>
      <c r="AO160" s="321"/>
      <c r="AP160" s="1446"/>
      <c r="AQ160" s="1446"/>
      <c r="AR160" s="321"/>
      <c r="AS160" s="1446"/>
      <c r="AT160" s="1446"/>
      <c r="AU160" s="326"/>
      <c r="AV160" s="338"/>
      <c r="AW160" s="352"/>
      <c r="AX160" s="1446"/>
      <c r="AY160" s="1446"/>
      <c r="AZ160" s="321"/>
      <c r="BA160" s="1468"/>
      <c r="BB160" s="1446"/>
      <c r="BC160" s="321"/>
      <c r="BD160" s="1446"/>
      <c r="BE160" s="1446"/>
      <c r="BF160" s="321"/>
      <c r="BG160" s="1446"/>
      <c r="BH160" s="1446"/>
      <c r="BI160" s="326"/>
      <c r="BJ160" s="338"/>
      <c r="BL160" s="1446"/>
      <c r="BM160" s="1446"/>
      <c r="BN160" s="321"/>
      <c r="BO160" s="1468"/>
      <c r="BP160" s="1446"/>
      <c r="BQ160" s="321"/>
      <c r="BR160" s="1446"/>
      <c r="BS160" s="1446"/>
      <c r="BT160" s="321"/>
      <c r="BU160" s="1446"/>
      <c r="BV160" s="1446"/>
      <c r="BW160" s="326"/>
      <c r="BX160" s="338"/>
      <c r="BZ160" s="1446"/>
      <c r="CA160" s="1446"/>
      <c r="CB160" s="321"/>
      <c r="CC160" s="1468"/>
      <c r="CD160" s="1446"/>
      <c r="CE160" s="321"/>
      <c r="CF160" s="1446"/>
      <c r="CG160" s="1446"/>
      <c r="CH160" s="321"/>
      <c r="CI160" s="1446"/>
      <c r="CJ160" s="1446"/>
      <c r="CK160" s="326"/>
      <c r="CL160" s="338"/>
    </row>
    <row r="161" spans="2:90" s="542" customFormat="1" ht="45" customHeight="1" x14ac:dyDescent="0.25">
      <c r="B161" s="1393"/>
      <c r="C161" s="1397"/>
      <c r="D161" s="757" t="str">
        <f>+'Plan de Accion 2018'!G288</f>
        <v xml:space="preserve">Propuesta de Mecanismo virtual </v>
      </c>
      <c r="E161" s="1485"/>
      <c r="F161" s="535" t="str">
        <f>+'Plan de Accion 2018'!S288</f>
        <v># Propuestas de Mecanismo virtual para la Rendición de Cuentas estructuradas</v>
      </c>
      <c r="G161" s="362"/>
      <c r="H161" s="545">
        <f>+'Plan de Accion 2018'!AB288</f>
        <v>0</v>
      </c>
      <c r="I161" s="373" t="str">
        <f>+'Plan de Accion 2018'!BM288</f>
        <v>No Prog ni Ejec</v>
      </c>
      <c r="J161" s="767" t="s">
        <v>792</v>
      </c>
      <c r="K161" s="767">
        <f>+'Plan de Accion 2018'!AF288</f>
        <v>0</v>
      </c>
      <c r="L161" s="875">
        <f t="shared" si="52"/>
        <v>0</v>
      </c>
      <c r="M161" s="682" t="s">
        <v>792</v>
      </c>
      <c r="N161" s="644"/>
      <c r="O161" s="545">
        <f>+'Plan de Accion 2018'!AL288</f>
        <v>0</v>
      </c>
      <c r="P161" s="767" t="str">
        <f>+'Plan de Accion 2018'!BO288</f>
        <v>No Prog ni Ejec</v>
      </c>
      <c r="Q161" s="767" t="s">
        <v>792</v>
      </c>
      <c r="R161" s="751">
        <f>+'Plan de Accion 2018'!AP288</f>
        <v>0</v>
      </c>
      <c r="S161" s="873">
        <f t="shared" si="53"/>
        <v>0</v>
      </c>
      <c r="T161" s="682" t="s">
        <v>792</v>
      </c>
      <c r="U161" s="329"/>
      <c r="V161" s="543">
        <f>+'Plan de Accion 2018'!AV288</f>
        <v>1</v>
      </c>
      <c r="W161" s="767">
        <f>+'Plan de Accion 2018'!BQ288</f>
        <v>1</v>
      </c>
      <c r="X161" s="629">
        <f>IF(W161&gt;100%,100%,W161)</f>
        <v>1</v>
      </c>
      <c r="Y161" s="882">
        <f>+'Plan de Accion 2018'!AZ288</f>
        <v>1</v>
      </c>
      <c r="Z161" s="882">
        <f t="shared" si="54"/>
        <v>1</v>
      </c>
      <c r="AA161" s="883">
        <f>+Z161</f>
        <v>1</v>
      </c>
      <c r="AB161" s="644"/>
      <c r="AC161" s="543">
        <f>+'Plan de Accion 2018'!BF288</f>
        <v>0</v>
      </c>
      <c r="AD161" s="767" t="str">
        <f>+'Plan de Accion 2018'!BS288</f>
        <v>No Prog ni Ejec</v>
      </c>
      <c r="AE161" s="767" t="s">
        <v>792</v>
      </c>
      <c r="AF161" s="767">
        <f>+'Plan de Accion 2018'!BJ288</f>
        <v>1</v>
      </c>
      <c r="AG161" s="637">
        <f t="shared" si="56"/>
        <v>1</v>
      </c>
      <c r="AH161" s="337"/>
      <c r="AI161" s="1016"/>
      <c r="AJ161" s="1446"/>
      <c r="AK161" s="1446"/>
      <c r="AL161" s="321"/>
      <c r="AM161" s="1468"/>
      <c r="AN161" s="1446"/>
      <c r="AO161" s="321"/>
      <c r="AP161" s="1446"/>
      <c r="AQ161" s="1446"/>
      <c r="AR161" s="321"/>
      <c r="AS161" s="1446"/>
      <c r="AT161" s="1446"/>
      <c r="AU161" s="326"/>
      <c r="AV161" s="338"/>
      <c r="AW161" s="352"/>
      <c r="AX161" s="1446"/>
      <c r="AY161" s="1446"/>
      <c r="AZ161" s="321"/>
      <c r="BA161" s="1468"/>
      <c r="BB161" s="1446"/>
      <c r="BC161" s="321"/>
      <c r="BD161" s="1446"/>
      <c r="BE161" s="1446"/>
      <c r="BF161" s="321"/>
      <c r="BG161" s="1446"/>
      <c r="BH161" s="1446"/>
      <c r="BI161" s="326"/>
      <c r="BJ161" s="338"/>
      <c r="BL161" s="1446"/>
      <c r="BM161" s="1446"/>
      <c r="BN161" s="321"/>
      <c r="BO161" s="1468"/>
      <c r="BP161" s="1446"/>
      <c r="BQ161" s="321"/>
      <c r="BR161" s="1446"/>
      <c r="BS161" s="1446"/>
      <c r="BT161" s="321"/>
      <c r="BU161" s="1446"/>
      <c r="BV161" s="1446"/>
      <c r="BW161" s="326"/>
      <c r="BX161" s="338"/>
      <c r="BZ161" s="1446"/>
      <c r="CA161" s="1446"/>
      <c r="CB161" s="321"/>
      <c r="CC161" s="1468"/>
      <c r="CD161" s="1446"/>
      <c r="CE161" s="321"/>
      <c r="CF161" s="1446"/>
      <c r="CG161" s="1446"/>
      <c r="CH161" s="321"/>
      <c r="CI161" s="1446"/>
      <c r="CJ161" s="1446"/>
      <c r="CK161" s="326"/>
      <c r="CL161" s="338"/>
    </row>
    <row r="162" spans="2:90" s="542" customFormat="1" ht="42.75" x14ac:dyDescent="0.25">
      <c r="B162" s="1393"/>
      <c r="C162" s="1397"/>
      <c r="D162" s="757" t="str">
        <f>+'Plan de Accion 2018'!G289</f>
        <v>Informe de Resultados</v>
      </c>
      <c r="E162" s="1485"/>
      <c r="F162" s="535" t="str">
        <f>+'Plan de Accion 2018'!S289</f>
        <v># Informes de Resultados de la Rendición de Cuentas interna</v>
      </c>
      <c r="G162" s="362"/>
      <c r="H162" s="545">
        <f>+'Plan de Accion 2018'!AB289</f>
        <v>0</v>
      </c>
      <c r="I162" s="373" t="str">
        <f>+'Plan de Accion 2018'!BM289</f>
        <v>No Prog ni Ejec</v>
      </c>
      <c r="J162" s="767" t="s">
        <v>792</v>
      </c>
      <c r="K162" s="767">
        <f>+'Plan de Accion 2018'!AF289</f>
        <v>0</v>
      </c>
      <c r="L162" s="875">
        <f t="shared" si="52"/>
        <v>0</v>
      </c>
      <c r="M162" s="682" t="s">
        <v>792</v>
      </c>
      <c r="N162" s="644"/>
      <c r="O162" s="545">
        <f>+'Plan de Accion 2018'!AL289</f>
        <v>0</v>
      </c>
      <c r="P162" s="767" t="str">
        <f>+'Plan de Accion 2018'!BO289</f>
        <v>No Prog ni Ejec</v>
      </c>
      <c r="Q162" s="767" t="s">
        <v>792</v>
      </c>
      <c r="R162" s="751">
        <f>+'Plan de Accion 2018'!AP289</f>
        <v>0</v>
      </c>
      <c r="S162" s="873">
        <f t="shared" si="53"/>
        <v>0</v>
      </c>
      <c r="T162" s="682" t="s">
        <v>792</v>
      </c>
      <c r="U162" s="329"/>
      <c r="V162" s="543">
        <f>+'Plan de Accion 2018'!AV289</f>
        <v>0</v>
      </c>
      <c r="W162" s="767" t="str">
        <f>+'Plan de Accion 2018'!BQ289</f>
        <v>No Prog ni Ejec</v>
      </c>
      <c r="X162" s="629" t="s">
        <v>792</v>
      </c>
      <c r="Y162" s="882">
        <f>+'Plan de Accion 2018'!AZ289</f>
        <v>0</v>
      </c>
      <c r="Z162" s="882">
        <f t="shared" si="54"/>
        <v>0</v>
      </c>
      <c r="AA162" s="883" t="s">
        <v>792</v>
      </c>
      <c r="AB162" s="644"/>
      <c r="AC162" s="543">
        <f>+'Plan de Accion 2018'!BF289</f>
        <v>1</v>
      </c>
      <c r="AD162" s="767">
        <f>+'Plan de Accion 2018'!BS289</f>
        <v>1</v>
      </c>
      <c r="AE162" s="629">
        <f>IF(AD162&gt;100%,100%,AD162)</f>
        <v>1</v>
      </c>
      <c r="AF162" s="767">
        <f>+'Plan de Accion 2018'!BJ289</f>
        <v>1</v>
      </c>
      <c r="AG162" s="637">
        <f t="shared" si="56"/>
        <v>1</v>
      </c>
      <c r="AH162" s="337"/>
      <c r="AI162" s="1016"/>
      <c r="AJ162" s="1446"/>
      <c r="AK162" s="1446"/>
      <c r="AL162" s="321"/>
      <c r="AM162" s="1468"/>
      <c r="AN162" s="1446"/>
      <c r="AO162" s="321"/>
      <c r="AP162" s="1446"/>
      <c r="AQ162" s="1446"/>
      <c r="AR162" s="321"/>
      <c r="AS162" s="1446"/>
      <c r="AT162" s="1446"/>
      <c r="AU162" s="326"/>
      <c r="AV162" s="338"/>
      <c r="AW162" s="352"/>
      <c r="AX162" s="1446"/>
      <c r="AY162" s="1446"/>
      <c r="AZ162" s="321"/>
      <c r="BA162" s="1468"/>
      <c r="BB162" s="1446"/>
      <c r="BC162" s="321"/>
      <c r="BD162" s="1446"/>
      <c r="BE162" s="1446"/>
      <c r="BF162" s="321"/>
      <c r="BG162" s="1446"/>
      <c r="BH162" s="1446"/>
      <c r="BI162" s="326"/>
      <c r="BJ162" s="338"/>
      <c r="BL162" s="1446"/>
      <c r="BM162" s="1446"/>
      <c r="BN162" s="321"/>
      <c r="BO162" s="1468"/>
      <c r="BP162" s="1446"/>
      <c r="BQ162" s="321"/>
      <c r="BR162" s="1446"/>
      <c r="BS162" s="1446"/>
      <c r="BT162" s="321"/>
      <c r="BU162" s="1446"/>
      <c r="BV162" s="1446"/>
      <c r="BW162" s="326"/>
      <c r="BX162" s="338"/>
      <c r="BZ162" s="1446"/>
      <c r="CA162" s="1446"/>
      <c r="CB162" s="321"/>
      <c r="CC162" s="1468"/>
      <c r="CD162" s="1446"/>
      <c r="CE162" s="321"/>
      <c r="CF162" s="1446"/>
      <c r="CG162" s="1446"/>
      <c r="CH162" s="321"/>
      <c r="CI162" s="1446"/>
      <c r="CJ162" s="1446"/>
      <c r="CK162" s="326"/>
      <c r="CL162" s="338"/>
    </row>
    <row r="163" spans="2:90" s="542" customFormat="1" ht="28.5" x14ac:dyDescent="0.25">
      <c r="B163" s="1393"/>
      <c r="C163" s="1397"/>
      <c r="D163" s="755" t="str">
        <f>+'Plan de Accion 2018'!G259</f>
        <v>Propuesta de Política de Comunicaciones</v>
      </c>
      <c r="E163" s="1486"/>
      <c r="F163" s="344" t="str">
        <f>+'Plan de Accion 2018'!S259</f>
        <v># Propuestas de Política de Comunicaciones elaboradas</v>
      </c>
      <c r="G163" s="362"/>
      <c r="H163" s="543">
        <f>+'Plan de Accion 2018'!AB259</f>
        <v>0</v>
      </c>
      <c r="I163" s="767" t="str">
        <f>+'Plan de Accion 2018'!BM259</f>
        <v>No Prog ni Ejec</v>
      </c>
      <c r="J163" s="767" t="s">
        <v>792</v>
      </c>
      <c r="K163" s="767">
        <f>+'Plan de Accion 2018'!AF259</f>
        <v>0</v>
      </c>
      <c r="L163" s="875">
        <f t="shared" si="52"/>
        <v>0</v>
      </c>
      <c r="M163" s="682" t="s">
        <v>792</v>
      </c>
      <c r="N163" s="644"/>
      <c r="O163" s="543">
        <f>+'Plan de Accion 2018'!AL259</f>
        <v>0</v>
      </c>
      <c r="P163" s="767" t="str">
        <f>+'Plan de Accion 2018'!BO259</f>
        <v>No Prog ni Ejec</v>
      </c>
      <c r="Q163" s="767" t="s">
        <v>792</v>
      </c>
      <c r="R163" s="751">
        <f>+'Plan de Accion 2018'!AP259</f>
        <v>0</v>
      </c>
      <c r="S163" s="873">
        <f t="shared" si="53"/>
        <v>0</v>
      </c>
      <c r="T163" s="682" t="s">
        <v>792</v>
      </c>
      <c r="U163" s="329"/>
      <c r="V163" s="543">
        <f>+'Plan de Accion 2018'!AV259</f>
        <v>0</v>
      </c>
      <c r="W163" s="767" t="str">
        <f>+'Plan de Accion 2018'!BQ259</f>
        <v>No Prog ni Ejec</v>
      </c>
      <c r="X163" s="629" t="s">
        <v>792</v>
      </c>
      <c r="Y163" s="882">
        <f>+'Plan de Accion 2018'!AZ259</f>
        <v>0</v>
      </c>
      <c r="Z163" s="882">
        <f t="shared" si="54"/>
        <v>0</v>
      </c>
      <c r="AA163" s="883" t="s">
        <v>792</v>
      </c>
      <c r="AB163" s="644"/>
      <c r="AC163" s="543">
        <f>+'Plan de Accion 2018'!BF259</f>
        <v>1</v>
      </c>
      <c r="AD163" s="767">
        <f>+'Plan de Accion 2018'!BS259</f>
        <v>1</v>
      </c>
      <c r="AE163" s="629">
        <f>IF(AD163&gt;100%,100%,AD163)</f>
        <v>1</v>
      </c>
      <c r="AF163" s="767">
        <f>+'Plan de Accion 2018'!BJ259</f>
        <v>1</v>
      </c>
      <c r="AG163" s="637">
        <f t="shared" si="56"/>
        <v>1</v>
      </c>
      <c r="AH163" s="337"/>
      <c r="AI163" s="1016"/>
      <c r="AJ163" s="1446"/>
      <c r="AK163" s="1446"/>
      <c r="AL163" s="321"/>
      <c r="AM163" s="1468"/>
      <c r="AN163" s="1446"/>
      <c r="AO163" s="321"/>
      <c r="AP163" s="1446"/>
      <c r="AQ163" s="1446"/>
      <c r="AR163" s="321"/>
      <c r="AS163" s="1446"/>
      <c r="AT163" s="1446"/>
      <c r="AU163" s="326"/>
      <c r="AV163" s="338"/>
      <c r="AW163" s="352"/>
      <c r="AX163" s="1446"/>
      <c r="AY163" s="1446"/>
      <c r="AZ163" s="321"/>
      <c r="BA163" s="1468"/>
      <c r="BB163" s="1446"/>
      <c r="BC163" s="321"/>
      <c r="BD163" s="1446"/>
      <c r="BE163" s="1446"/>
      <c r="BF163" s="321"/>
      <c r="BG163" s="1446"/>
      <c r="BH163" s="1446"/>
      <c r="BI163" s="326"/>
      <c r="BJ163" s="338"/>
      <c r="BL163" s="1446"/>
      <c r="BM163" s="1446"/>
      <c r="BN163" s="321"/>
      <c r="BO163" s="1468"/>
      <c r="BP163" s="1446"/>
      <c r="BQ163" s="321"/>
      <c r="BR163" s="1446"/>
      <c r="BS163" s="1446"/>
      <c r="BT163" s="321"/>
      <c r="BU163" s="1446"/>
      <c r="BV163" s="1446"/>
      <c r="BW163" s="326"/>
      <c r="BX163" s="338"/>
      <c r="BZ163" s="1446"/>
      <c r="CA163" s="1446"/>
      <c r="CB163" s="321"/>
      <c r="CC163" s="1468"/>
      <c r="CD163" s="1446"/>
      <c r="CE163" s="321"/>
      <c r="CF163" s="1446"/>
      <c r="CG163" s="1446"/>
      <c r="CH163" s="321"/>
      <c r="CI163" s="1446"/>
      <c r="CJ163" s="1446"/>
      <c r="CK163" s="326"/>
      <c r="CL163" s="338"/>
    </row>
    <row r="164" spans="2:90" ht="85.5" x14ac:dyDescent="0.25">
      <c r="B164" s="1393"/>
      <c r="C164" s="1397"/>
      <c r="D164" s="768" t="str">
        <f>+'Plan de Accion 2018'!G301</f>
        <v>NIIF implementadas</v>
      </c>
      <c r="E164" s="768" t="str">
        <f>+'Plan de Accion 2018'!B301</f>
        <v>Dirección de Gestión de Recursos Financieros para la Salud
Dirección Administrativa y Financiera</v>
      </c>
      <c r="F164" s="535" t="str">
        <f>+'Plan de Accion 2018'!S301</f>
        <v># Actividades realizadas para la implementación de las NIIF / # actividades programadas para la implementación de las NIIF</v>
      </c>
      <c r="G164" s="362"/>
      <c r="H164" s="543">
        <f>+'Plan de Accion 2018'!AB301</f>
        <v>0</v>
      </c>
      <c r="I164" s="373" t="str">
        <f>+'Plan de Accion 2018'!BM301</f>
        <v>No Prog ni Ejec</v>
      </c>
      <c r="J164" s="767" t="s">
        <v>792</v>
      </c>
      <c r="K164" s="767">
        <f>+'Plan de Accion 2018'!AF301</f>
        <v>0</v>
      </c>
      <c r="L164" s="875">
        <f t="shared" si="52"/>
        <v>0</v>
      </c>
      <c r="M164" s="682" t="s">
        <v>792</v>
      </c>
      <c r="N164" s="644"/>
      <c r="O164" s="543">
        <f>+'Plan de Accion 2018'!AL301</f>
        <v>0</v>
      </c>
      <c r="P164" s="767" t="str">
        <f>+'Plan de Accion 2018'!BO301</f>
        <v>No Prog ni Ejec</v>
      </c>
      <c r="Q164" s="629" t="s">
        <v>792</v>
      </c>
      <c r="R164" s="751">
        <f>+'Plan de Accion 2018'!AP301</f>
        <v>0</v>
      </c>
      <c r="S164" s="873">
        <f t="shared" si="53"/>
        <v>0</v>
      </c>
      <c r="T164" s="637" t="s">
        <v>792</v>
      </c>
      <c r="U164" s="329"/>
      <c r="V164" s="543">
        <f>+'Plan de Accion 2018'!AV301</f>
        <v>0</v>
      </c>
      <c r="W164" s="767" t="str">
        <f>+'Plan de Accion 2018'!BQ301</f>
        <v>No Prog ni Ejec</v>
      </c>
      <c r="X164" s="629" t="s">
        <v>792</v>
      </c>
      <c r="Y164" s="882">
        <f>+'Plan de Accion 2018'!AZ301</f>
        <v>0</v>
      </c>
      <c r="Z164" s="882">
        <f t="shared" si="54"/>
        <v>0</v>
      </c>
      <c r="AA164" s="883" t="s">
        <v>792</v>
      </c>
      <c r="AB164" s="644"/>
      <c r="AC164" s="543">
        <f>+'Plan de Accion 2018'!BF301</f>
        <v>1</v>
      </c>
      <c r="AD164" s="767">
        <f>+'Plan de Accion 2018'!BS301</f>
        <v>1</v>
      </c>
      <c r="AE164" s="629">
        <f>IF(AD164&gt;100%,100%,AD164)</f>
        <v>1</v>
      </c>
      <c r="AF164" s="767">
        <f>+'Plan de Accion 2018'!BJ301</f>
        <v>1</v>
      </c>
      <c r="AG164" s="637">
        <f t="shared" si="56"/>
        <v>1</v>
      </c>
      <c r="AH164" s="337"/>
      <c r="AI164" s="1016"/>
      <c r="AJ164" s="1446"/>
      <c r="AK164" s="1446"/>
      <c r="AL164" s="321"/>
      <c r="AM164" s="1468"/>
      <c r="AN164" s="1446"/>
      <c r="AO164" s="321"/>
      <c r="AP164" s="1446"/>
      <c r="AQ164" s="1446"/>
      <c r="AR164" s="321"/>
      <c r="AS164" s="1446"/>
      <c r="AT164" s="1446"/>
      <c r="AU164" s="326"/>
      <c r="AV164" s="338"/>
      <c r="AW164" s="352"/>
      <c r="AX164" s="1446"/>
      <c r="AY164" s="1446"/>
      <c r="AZ164" s="321"/>
      <c r="BA164" s="1468"/>
      <c r="BB164" s="1446"/>
      <c r="BC164" s="321"/>
      <c r="BD164" s="1446"/>
      <c r="BE164" s="1446"/>
      <c r="BF164" s="321"/>
      <c r="BG164" s="1446"/>
      <c r="BH164" s="1446"/>
      <c r="BI164" s="326"/>
      <c r="BJ164" s="338"/>
      <c r="BL164" s="1446"/>
      <c r="BM164" s="1446"/>
      <c r="BN164" s="321"/>
      <c r="BO164" s="1468"/>
      <c r="BP164" s="1446"/>
      <c r="BQ164" s="321"/>
      <c r="BR164" s="1446"/>
      <c r="BS164" s="1446"/>
      <c r="BT164" s="321"/>
      <c r="BU164" s="1446"/>
      <c r="BV164" s="1446"/>
      <c r="BW164" s="326"/>
      <c r="BX164" s="338"/>
      <c r="BZ164" s="1446"/>
      <c r="CA164" s="1446"/>
      <c r="CB164" s="321"/>
      <c r="CC164" s="1468"/>
      <c r="CD164" s="1446"/>
      <c r="CE164" s="321"/>
      <c r="CF164" s="1446"/>
      <c r="CG164" s="1446"/>
      <c r="CH164" s="321"/>
      <c r="CI164" s="1446"/>
      <c r="CJ164" s="1446"/>
      <c r="CK164" s="326"/>
      <c r="CL164" s="338"/>
    </row>
    <row r="165" spans="2:90" s="542" customFormat="1" ht="71.25" x14ac:dyDescent="0.25">
      <c r="B165" s="1393"/>
      <c r="C165" s="1397"/>
      <c r="D165" s="768" t="str">
        <f>+'Plan de Accion 2018'!G278</f>
        <v>Tramites y otros procedimientos administrativos - OPA desarrollados, implementados y publicados en página web</v>
      </c>
      <c r="E165" s="768" t="str">
        <f>+'Plan de Accion 2018'!B278</f>
        <v>Dirección de Gestión de Recursos Financieros de Salud</v>
      </c>
      <c r="F165" s="535" t="str">
        <f>+'Plan de Accion 2018'!S278</f>
        <v># Tramites y otros procedimientos administrativos - OPA desarrollados, implementados y publicados en página web</v>
      </c>
      <c r="G165" s="362"/>
      <c r="H165" s="543">
        <f>+'Plan de Accion 2018'!AB278</f>
        <v>0</v>
      </c>
      <c r="I165" s="373" t="str">
        <f>+'Plan de Accion 2018'!BM278</f>
        <v>No Prog ni Ejec</v>
      </c>
      <c r="J165" s="767" t="s">
        <v>792</v>
      </c>
      <c r="K165" s="767">
        <f>+'Plan de Accion 2018'!AF278</f>
        <v>0</v>
      </c>
      <c r="L165" s="875">
        <f t="shared" si="52"/>
        <v>0</v>
      </c>
      <c r="M165" s="682" t="s">
        <v>792</v>
      </c>
      <c r="N165" s="644"/>
      <c r="O165" s="543">
        <f>+'Plan de Accion 2018'!AL278</f>
        <v>0</v>
      </c>
      <c r="P165" s="767" t="str">
        <f>+'Plan de Accion 2018'!BO278</f>
        <v>No Prog ni Ejec</v>
      </c>
      <c r="Q165" s="629" t="s">
        <v>792</v>
      </c>
      <c r="R165" s="751">
        <f>+'Plan de Accion 2018'!AP278</f>
        <v>0</v>
      </c>
      <c r="S165" s="873">
        <f t="shared" si="53"/>
        <v>0</v>
      </c>
      <c r="T165" s="637" t="s">
        <v>792</v>
      </c>
      <c r="U165" s="329"/>
      <c r="V165" s="545">
        <f>+'Plan de Accion 2018'!AV278</f>
        <v>2</v>
      </c>
      <c r="W165" s="767">
        <f>+'Plan de Accion 2018'!AZ278</f>
        <v>1</v>
      </c>
      <c r="X165" s="629">
        <f>IF(W165&gt;100%,100%,W165)</f>
        <v>1</v>
      </c>
      <c r="Y165" s="882">
        <f>+'Plan de Accion 2018'!AZ278</f>
        <v>1</v>
      </c>
      <c r="Z165" s="882">
        <f t="shared" si="54"/>
        <v>1</v>
      </c>
      <c r="AA165" s="883">
        <f>+Z165</f>
        <v>1</v>
      </c>
      <c r="AB165" s="644"/>
      <c r="AC165" s="543">
        <f>+'Plan de Accion 2018'!BF278</f>
        <v>0</v>
      </c>
      <c r="AD165" s="767">
        <f>+'Plan de Accion 2018'!BS278</f>
        <v>0</v>
      </c>
      <c r="AE165" s="629">
        <f>IF(AD165&gt;100%,100%,AD165)</f>
        <v>0</v>
      </c>
      <c r="AF165" s="767">
        <f>+'Plan de Accion 2018'!BJ278</f>
        <v>1</v>
      </c>
      <c r="AG165" s="637">
        <f t="shared" si="56"/>
        <v>1</v>
      </c>
      <c r="AH165" s="337"/>
      <c r="AI165" s="1016"/>
      <c r="AJ165" s="1446"/>
      <c r="AK165" s="1446"/>
      <c r="AL165" s="321"/>
      <c r="AM165" s="1468"/>
      <c r="AN165" s="1446"/>
      <c r="AO165" s="321"/>
      <c r="AP165" s="1446"/>
      <c r="AQ165" s="1446"/>
      <c r="AR165" s="321"/>
      <c r="AS165" s="1446"/>
      <c r="AT165" s="1446"/>
      <c r="AU165" s="326"/>
      <c r="AV165" s="338"/>
      <c r="AW165" s="352"/>
      <c r="AX165" s="1446"/>
      <c r="AY165" s="1446"/>
      <c r="AZ165" s="321"/>
      <c r="BA165" s="1468"/>
      <c r="BB165" s="1446"/>
      <c r="BC165" s="321"/>
      <c r="BD165" s="1446"/>
      <c r="BE165" s="1446"/>
      <c r="BF165" s="321"/>
      <c r="BG165" s="1446"/>
      <c r="BH165" s="1446"/>
      <c r="BI165" s="326"/>
      <c r="BJ165" s="338"/>
      <c r="BL165" s="1446"/>
      <c r="BM165" s="1446"/>
      <c r="BN165" s="321"/>
      <c r="BO165" s="1468"/>
      <c r="BP165" s="1446"/>
      <c r="BQ165" s="321"/>
      <c r="BR165" s="1446"/>
      <c r="BS165" s="1446"/>
      <c r="BT165" s="321"/>
      <c r="BU165" s="1446"/>
      <c r="BV165" s="1446"/>
      <c r="BW165" s="326"/>
      <c r="BX165" s="338"/>
      <c r="BZ165" s="1446"/>
      <c r="CA165" s="1446"/>
      <c r="CB165" s="321"/>
      <c r="CC165" s="1468"/>
      <c r="CD165" s="1446"/>
      <c r="CE165" s="321"/>
      <c r="CF165" s="1446"/>
      <c r="CG165" s="1446"/>
      <c r="CH165" s="321"/>
      <c r="CI165" s="1446"/>
      <c r="CJ165" s="1446"/>
      <c r="CK165" s="326"/>
      <c r="CL165" s="338"/>
    </row>
    <row r="166" spans="2:90" ht="28.5" x14ac:dyDescent="0.25">
      <c r="B166" s="1393"/>
      <c r="C166" s="1397"/>
      <c r="D166" s="768" t="str">
        <f>+'Plan de Accion 2018'!G175</f>
        <v>Informes de seguimiento a la Ejecución del Plan de Acción</v>
      </c>
      <c r="E166" s="1423" t="str">
        <f>+'Plan de Accion 2018'!B175</f>
        <v>Oficina Asesora de Planeación y Control de Riegos</v>
      </c>
      <c r="F166" s="673" t="str">
        <f>+'Plan de Accion 2018'!S175</f>
        <v xml:space="preserve"># Informes Publicados </v>
      </c>
      <c r="G166" s="362"/>
      <c r="H166" s="545">
        <f>+'Plan de Accion 2018'!AB175</f>
        <v>1</v>
      </c>
      <c r="I166" s="767">
        <f>+'Plan de Accion 2018'!BM175</f>
        <v>1</v>
      </c>
      <c r="J166" s="767">
        <f t="shared" si="35"/>
        <v>1</v>
      </c>
      <c r="K166" s="767">
        <f>+'Plan de Accion 2018'!AF175</f>
        <v>0.25</v>
      </c>
      <c r="L166" s="875">
        <f t="shared" si="52"/>
        <v>0.25</v>
      </c>
      <c r="M166" s="682">
        <f t="shared" si="36"/>
        <v>0.25</v>
      </c>
      <c r="N166" s="644"/>
      <c r="O166" s="545">
        <f>+'Plan de Accion 2018'!AL175</f>
        <v>1</v>
      </c>
      <c r="P166" s="767">
        <f>+'Plan de Accion 2018'!BO175</f>
        <v>1</v>
      </c>
      <c r="Q166" s="629">
        <f>IF(P166&gt;100%,100%,P166)</f>
        <v>1</v>
      </c>
      <c r="R166" s="751">
        <f>+'Plan de Accion 2018'!AP175</f>
        <v>0.5</v>
      </c>
      <c r="S166" s="873">
        <f t="shared" si="53"/>
        <v>0.5</v>
      </c>
      <c r="T166" s="637">
        <f>+S166</f>
        <v>0.5</v>
      </c>
      <c r="U166" s="329"/>
      <c r="V166" s="543">
        <f>+'Plan de Accion 2018'!AV175</f>
        <v>1</v>
      </c>
      <c r="W166" s="767">
        <f>+'Plan de Accion 2018'!BQ175</f>
        <v>1</v>
      </c>
      <c r="X166" s="629">
        <f>IF(W166&gt;100%,100%,W166)</f>
        <v>1</v>
      </c>
      <c r="Y166" s="882">
        <f>+'Plan de Accion 2018'!AZ175</f>
        <v>0.75</v>
      </c>
      <c r="Z166" s="882">
        <f t="shared" si="54"/>
        <v>0.75</v>
      </c>
      <c r="AA166" s="883">
        <f>+Z166</f>
        <v>0.75</v>
      </c>
      <c r="AB166" s="644"/>
      <c r="AC166" s="543">
        <f>+'Plan de Accion 2018'!BF175</f>
        <v>1</v>
      </c>
      <c r="AD166" s="767">
        <f>+'Plan de Accion 2018'!BS175</f>
        <v>1</v>
      </c>
      <c r="AE166" s="629">
        <f>IF(AD166&gt;100%,100%,AD166)</f>
        <v>1</v>
      </c>
      <c r="AF166" s="767">
        <f>+'Plan de Accion 2018'!BJ175</f>
        <v>1</v>
      </c>
      <c r="AG166" s="637">
        <f t="shared" si="56"/>
        <v>1</v>
      </c>
      <c r="AH166" s="337"/>
      <c r="AI166" s="1016"/>
      <c r="AJ166" s="1446"/>
      <c r="AK166" s="1446"/>
      <c r="AL166" s="321"/>
      <c r="AM166" s="1468"/>
      <c r="AN166" s="1446"/>
      <c r="AO166" s="321"/>
      <c r="AP166" s="1446"/>
      <c r="AQ166" s="1446"/>
      <c r="AR166" s="321"/>
      <c r="AS166" s="1446"/>
      <c r="AT166" s="1446"/>
      <c r="AU166" s="326"/>
      <c r="AV166" s="338"/>
      <c r="AW166" s="352"/>
      <c r="AX166" s="1446"/>
      <c r="AY166" s="1446"/>
      <c r="AZ166" s="321"/>
      <c r="BA166" s="1468"/>
      <c r="BB166" s="1446"/>
      <c r="BC166" s="321"/>
      <c r="BD166" s="1446"/>
      <c r="BE166" s="1446"/>
      <c r="BF166" s="321"/>
      <c r="BG166" s="1446"/>
      <c r="BH166" s="1446"/>
      <c r="BI166" s="326"/>
      <c r="BJ166" s="338"/>
      <c r="BL166" s="1446"/>
      <c r="BM166" s="1446"/>
      <c r="BN166" s="321"/>
      <c r="BO166" s="1468"/>
      <c r="BP166" s="1446"/>
      <c r="BQ166" s="321"/>
      <c r="BR166" s="1446"/>
      <c r="BS166" s="1446"/>
      <c r="BT166" s="321"/>
      <c r="BU166" s="1446"/>
      <c r="BV166" s="1446"/>
      <c r="BW166" s="326"/>
      <c r="BX166" s="338"/>
      <c r="BZ166" s="1446"/>
      <c r="CA166" s="1446"/>
      <c r="CB166" s="321"/>
      <c r="CC166" s="1468"/>
      <c r="CD166" s="1446"/>
      <c r="CE166" s="321"/>
      <c r="CF166" s="1446"/>
      <c r="CG166" s="1446"/>
      <c r="CH166" s="321"/>
      <c r="CI166" s="1446"/>
      <c r="CJ166" s="1446"/>
      <c r="CK166" s="326"/>
      <c r="CL166" s="338"/>
    </row>
    <row r="167" spans="2:90" s="542" customFormat="1" ht="28.5" x14ac:dyDescent="0.25">
      <c r="B167" s="1393"/>
      <c r="C167" s="1397"/>
      <c r="D167" s="772" t="str">
        <f>+'Plan de Accion 2018'!G224</f>
        <v>Formalización de equipo líder</v>
      </c>
      <c r="E167" s="1424"/>
      <c r="F167" s="535" t="str">
        <f>+'Plan de Accion 2018'!S224</f>
        <v># Equipo líder de rendición de cuentas formalizado</v>
      </c>
      <c r="G167" s="362"/>
      <c r="H167" s="545">
        <f>+'Plan de Accion 2018'!AB224</f>
        <v>0</v>
      </c>
      <c r="I167" s="767" t="str">
        <f>+'Plan de Accion 2018'!BM224</f>
        <v>No Prog ni Ejec</v>
      </c>
      <c r="J167" s="767" t="s">
        <v>792</v>
      </c>
      <c r="K167" s="767">
        <f>+'Plan de Accion 2018'!AF224</f>
        <v>0</v>
      </c>
      <c r="L167" s="875">
        <f t="shared" si="52"/>
        <v>0</v>
      </c>
      <c r="M167" s="682" t="s">
        <v>792</v>
      </c>
      <c r="N167" s="644"/>
      <c r="O167" s="545">
        <f>+'Plan de Accion 2018'!AL224</f>
        <v>1</v>
      </c>
      <c r="P167" s="767">
        <f>+'Plan de Accion 2018'!BO224</f>
        <v>1</v>
      </c>
      <c r="Q167" s="629">
        <f>IF(P167&gt;100%,100%,P167)</f>
        <v>1</v>
      </c>
      <c r="R167" s="751">
        <f>+'Plan de Accion 2018'!AP224</f>
        <v>1</v>
      </c>
      <c r="S167" s="873">
        <f t="shared" si="53"/>
        <v>1</v>
      </c>
      <c r="T167" s="637">
        <f>+S167</f>
        <v>1</v>
      </c>
      <c r="U167" s="329"/>
      <c r="V167" s="543">
        <f>+'Plan de Accion 2018'!AV224</f>
        <v>0</v>
      </c>
      <c r="W167" s="767" t="str">
        <f>+'Plan de Accion 2018'!BQ224</f>
        <v>No Prog ni Ejec</v>
      </c>
      <c r="X167" s="629" t="s">
        <v>792</v>
      </c>
      <c r="Y167" s="882">
        <f>+'Plan de Accion 2018'!AZ224</f>
        <v>1</v>
      </c>
      <c r="Z167" s="882">
        <f t="shared" si="54"/>
        <v>1</v>
      </c>
      <c r="AA167" s="883">
        <f>+Z167</f>
        <v>1</v>
      </c>
      <c r="AB167" s="644"/>
      <c r="AC167" s="543">
        <f>+'Plan de Accion 2018'!BF224</f>
        <v>0</v>
      </c>
      <c r="AD167" s="767" t="str">
        <f>+'Plan de Accion 2018'!BS224</f>
        <v>No Prog ni Ejec</v>
      </c>
      <c r="AE167" s="629" t="s">
        <v>792</v>
      </c>
      <c r="AF167" s="767">
        <f>+'Plan de Accion 2018'!BJ224</f>
        <v>1</v>
      </c>
      <c r="AG167" s="637">
        <f t="shared" si="56"/>
        <v>1</v>
      </c>
      <c r="AH167" s="337"/>
      <c r="AI167" s="1016"/>
      <c r="AJ167" s="1446"/>
      <c r="AK167" s="1446"/>
      <c r="AL167" s="321"/>
      <c r="AM167" s="1468"/>
      <c r="AN167" s="1446"/>
      <c r="AO167" s="321"/>
      <c r="AP167" s="1446"/>
      <c r="AQ167" s="1446"/>
      <c r="AR167" s="321"/>
      <c r="AS167" s="1446"/>
      <c r="AT167" s="1446"/>
      <c r="AU167" s="326"/>
      <c r="AV167" s="338"/>
      <c r="AW167" s="352"/>
      <c r="AX167" s="1446"/>
      <c r="AY167" s="1446"/>
      <c r="AZ167" s="321"/>
      <c r="BA167" s="1468"/>
      <c r="BB167" s="1446"/>
      <c r="BC167" s="321"/>
      <c r="BD167" s="1446"/>
      <c r="BE167" s="1446"/>
      <c r="BF167" s="321"/>
      <c r="BG167" s="1446"/>
      <c r="BH167" s="1446"/>
      <c r="BI167" s="326"/>
      <c r="BJ167" s="338"/>
      <c r="BL167" s="1446"/>
      <c r="BM167" s="1446"/>
      <c r="BN167" s="321"/>
      <c r="BO167" s="1468"/>
      <c r="BP167" s="1446"/>
      <c r="BQ167" s="321"/>
      <c r="BR167" s="1446"/>
      <c r="BS167" s="1446"/>
      <c r="BT167" s="321"/>
      <c r="BU167" s="1446"/>
      <c r="BV167" s="1446"/>
      <c r="BW167" s="326"/>
      <c r="BX167" s="338"/>
      <c r="BZ167" s="1446"/>
      <c r="CA167" s="1446"/>
      <c r="CB167" s="321"/>
      <c r="CC167" s="1468"/>
      <c r="CD167" s="1446"/>
      <c r="CE167" s="321"/>
      <c r="CF167" s="1446"/>
      <c r="CG167" s="1446"/>
      <c r="CH167" s="321"/>
      <c r="CI167" s="1446"/>
      <c r="CJ167" s="1446"/>
      <c r="CK167" s="326"/>
      <c r="CL167" s="338"/>
    </row>
    <row r="168" spans="2:90" s="542" customFormat="1" ht="19.5" customHeight="1" x14ac:dyDescent="0.25">
      <c r="B168" s="1393"/>
      <c r="C168" s="1397"/>
      <c r="D168" s="772" t="str">
        <f>+'Plan de Accion 2018'!G226</f>
        <v>Soportes de la rendición de cuentas</v>
      </c>
      <c r="E168" s="1424"/>
      <c r="F168" s="535" t="str">
        <f>+'Plan de Accion 2018'!S226</f>
        <v xml:space="preserve"># soportes de rendición de cuentas elaborados / # soportes de rendición de cuentas requeridos </v>
      </c>
      <c r="G168" s="362"/>
      <c r="H168" s="545">
        <f>+'Plan de Accion 2018'!AB226</f>
        <v>0</v>
      </c>
      <c r="I168" s="767" t="str">
        <f>+'Plan de Accion 2018'!BM226</f>
        <v>No Prog ni Ejec</v>
      </c>
      <c r="J168" s="767" t="s">
        <v>792</v>
      </c>
      <c r="K168" s="767">
        <f>+'Plan de Accion 2018'!AF226</f>
        <v>0</v>
      </c>
      <c r="L168" s="875">
        <f t="shared" si="52"/>
        <v>0</v>
      </c>
      <c r="M168" s="682" t="s">
        <v>792</v>
      </c>
      <c r="N168" s="644"/>
      <c r="O168" s="545">
        <f>+'Plan de Accion 2018'!AL226</f>
        <v>0</v>
      </c>
      <c r="P168" s="767" t="str">
        <f>+'Plan de Accion 2018'!BO226</f>
        <v>No Prog ni Ejec</v>
      </c>
      <c r="Q168" s="629" t="s">
        <v>792</v>
      </c>
      <c r="R168" s="751">
        <f>+'Plan de Accion 2018'!AP226</f>
        <v>0</v>
      </c>
      <c r="S168" s="873">
        <f t="shared" si="53"/>
        <v>0</v>
      </c>
      <c r="T168" s="753" t="s">
        <v>792</v>
      </c>
      <c r="U168" s="329"/>
      <c r="V168" s="543">
        <f>+'Plan de Accion 2018'!AV226</f>
        <v>0</v>
      </c>
      <c r="W168" s="767" t="str">
        <f>+'Plan de Accion 2018'!BQ226</f>
        <v>No Prog ni Ejec</v>
      </c>
      <c r="X168" s="629" t="s">
        <v>792</v>
      </c>
      <c r="Y168" s="882">
        <f>+'Plan de Accion 2018'!AZ226</f>
        <v>0</v>
      </c>
      <c r="Z168" s="882">
        <f t="shared" si="54"/>
        <v>0</v>
      </c>
      <c r="AA168" s="883" t="s">
        <v>792</v>
      </c>
      <c r="AB168" s="644"/>
      <c r="AC168" s="543">
        <f>+'Plan de Accion 2018'!BF226</f>
        <v>1</v>
      </c>
      <c r="AD168" s="767">
        <f>+'Plan de Accion 2018'!BS226</f>
        <v>1</v>
      </c>
      <c r="AE168" s="629">
        <f>IF(AD168&gt;100%,100%,AD168)</f>
        <v>1</v>
      </c>
      <c r="AF168" s="767">
        <f>+'Plan de Accion 2018'!BJ226</f>
        <v>1</v>
      </c>
      <c r="AG168" s="637">
        <f t="shared" si="56"/>
        <v>1</v>
      </c>
      <c r="AH168" s="337"/>
      <c r="AI168" s="1016"/>
      <c r="AJ168" s="1446"/>
      <c r="AK168" s="1446"/>
      <c r="AL168" s="321"/>
      <c r="AM168" s="1468"/>
      <c r="AN168" s="1446"/>
      <c r="AO168" s="321"/>
      <c r="AP168" s="1446"/>
      <c r="AQ168" s="1446"/>
      <c r="AR168" s="321"/>
      <c r="AS168" s="1446"/>
      <c r="AT168" s="1446"/>
      <c r="AU168" s="326"/>
      <c r="AV168" s="338"/>
      <c r="AW168" s="352"/>
      <c r="AX168" s="1446"/>
      <c r="AY168" s="1446"/>
      <c r="AZ168" s="321"/>
      <c r="BA168" s="1468"/>
      <c r="BB168" s="1446"/>
      <c r="BC168" s="321"/>
      <c r="BD168" s="1446"/>
      <c r="BE168" s="1446"/>
      <c r="BF168" s="321"/>
      <c r="BG168" s="1446"/>
      <c r="BH168" s="1446"/>
      <c r="BI168" s="326"/>
      <c r="BJ168" s="338"/>
      <c r="BL168" s="1446"/>
      <c r="BM168" s="1446"/>
      <c r="BN168" s="321"/>
      <c r="BO168" s="1468"/>
      <c r="BP168" s="1446"/>
      <c r="BQ168" s="321"/>
      <c r="BR168" s="1446"/>
      <c r="BS168" s="1446"/>
      <c r="BT168" s="321"/>
      <c r="BU168" s="1446"/>
      <c r="BV168" s="1446"/>
      <c r="BW168" s="326"/>
      <c r="BX168" s="338"/>
      <c r="BZ168" s="1446"/>
      <c r="CA168" s="1446"/>
      <c r="CB168" s="321"/>
      <c r="CC168" s="1468"/>
      <c r="CD168" s="1446"/>
      <c r="CE168" s="321"/>
      <c r="CF168" s="1446"/>
      <c r="CG168" s="1446"/>
      <c r="CH168" s="321"/>
      <c r="CI168" s="1446"/>
      <c r="CJ168" s="1446"/>
      <c r="CK168" s="326"/>
      <c r="CL168" s="338"/>
    </row>
    <row r="169" spans="2:90" s="542" customFormat="1" ht="42.75" x14ac:dyDescent="0.25">
      <c r="B169" s="1393"/>
      <c r="C169" s="1397"/>
      <c r="D169" s="772" t="str">
        <f>+'Plan de Accion 2018'!G232</f>
        <v>Evaluación interna y externa del ejercicio de Rendición de Cuentas</v>
      </c>
      <c r="E169" s="1424"/>
      <c r="F169" s="535" t="str">
        <f>+'Plan de Accion 2018'!S232</f>
        <v># Evaluaciones del ejercicio de Rendición de Cuentas externa</v>
      </c>
      <c r="G169" s="362"/>
      <c r="H169" s="545">
        <f>+'Plan de Accion 2018'!AB232</f>
        <v>0</v>
      </c>
      <c r="I169" s="767" t="str">
        <f>+'Plan de Accion 2018'!BM232</f>
        <v>No Prog ni Ejec</v>
      </c>
      <c r="J169" s="767" t="s">
        <v>792</v>
      </c>
      <c r="K169" s="767">
        <f>+'Plan de Accion 2018'!AF232</f>
        <v>0</v>
      </c>
      <c r="L169" s="875">
        <f t="shared" si="52"/>
        <v>0</v>
      </c>
      <c r="M169" s="682" t="s">
        <v>792</v>
      </c>
      <c r="N169" s="644"/>
      <c r="O169" s="545">
        <f>+'Plan de Accion 2018'!AL232</f>
        <v>0</v>
      </c>
      <c r="P169" s="767" t="str">
        <f>+'Plan de Accion 2018'!BO232</f>
        <v>No Prog ni Ejec</v>
      </c>
      <c r="Q169" s="629" t="s">
        <v>792</v>
      </c>
      <c r="R169" s="751">
        <f>+'Plan de Accion 2018'!AP232</f>
        <v>0</v>
      </c>
      <c r="S169" s="873">
        <f t="shared" si="53"/>
        <v>0</v>
      </c>
      <c r="T169" s="753" t="s">
        <v>792</v>
      </c>
      <c r="U169" s="329"/>
      <c r="V169" s="543">
        <f>+'Plan de Accion 2018'!AV232</f>
        <v>0</v>
      </c>
      <c r="W169" s="767" t="str">
        <f>+'Plan de Accion 2018'!BQ232</f>
        <v>No Prog ni Ejec</v>
      </c>
      <c r="X169" s="629" t="s">
        <v>792</v>
      </c>
      <c r="Y169" s="882">
        <f>+'Plan de Accion 2018'!AZ232</f>
        <v>0</v>
      </c>
      <c r="Z169" s="882">
        <f t="shared" si="54"/>
        <v>0</v>
      </c>
      <c r="AA169" s="883" t="s">
        <v>792</v>
      </c>
      <c r="AB169" s="644"/>
      <c r="AC169" s="543">
        <f>+'Plan de Accion 2018'!BF232</f>
        <v>1</v>
      </c>
      <c r="AD169" s="767">
        <f>+'Plan de Accion 2018'!BS232</f>
        <v>1</v>
      </c>
      <c r="AE169" s="629">
        <f>IF(AD169&gt;100%,100%,AD169)</f>
        <v>1</v>
      </c>
      <c r="AF169" s="767">
        <f>+'Plan de Accion 2018'!BJ232</f>
        <v>1</v>
      </c>
      <c r="AG169" s="637">
        <f t="shared" si="56"/>
        <v>1</v>
      </c>
      <c r="AH169" s="337"/>
      <c r="AI169" s="1016"/>
      <c r="AJ169" s="1446"/>
      <c r="AK169" s="1446"/>
      <c r="AL169" s="321"/>
      <c r="AM169" s="1468"/>
      <c r="AN169" s="1446"/>
      <c r="AO169" s="321"/>
      <c r="AP169" s="1446"/>
      <c r="AQ169" s="1446"/>
      <c r="AR169" s="321"/>
      <c r="AS169" s="1446"/>
      <c r="AT169" s="1446"/>
      <c r="AU169" s="326"/>
      <c r="AV169" s="338"/>
      <c r="AW169" s="352"/>
      <c r="AX169" s="1446"/>
      <c r="AY169" s="1446"/>
      <c r="AZ169" s="321"/>
      <c r="BA169" s="1468"/>
      <c r="BB169" s="1446"/>
      <c r="BC169" s="321"/>
      <c r="BD169" s="1446"/>
      <c r="BE169" s="1446"/>
      <c r="BF169" s="321"/>
      <c r="BG169" s="1446"/>
      <c r="BH169" s="1446"/>
      <c r="BI169" s="326"/>
      <c r="BJ169" s="338"/>
      <c r="BL169" s="1446"/>
      <c r="BM169" s="1446"/>
      <c r="BN169" s="321"/>
      <c r="BO169" s="1468"/>
      <c r="BP169" s="1446"/>
      <c r="BQ169" s="321"/>
      <c r="BR169" s="1446"/>
      <c r="BS169" s="1446"/>
      <c r="BT169" s="321"/>
      <c r="BU169" s="1446"/>
      <c r="BV169" s="1446"/>
      <c r="BW169" s="326"/>
      <c r="BX169" s="338"/>
      <c r="BZ169" s="1446"/>
      <c r="CA169" s="1446"/>
      <c r="CB169" s="321"/>
      <c r="CC169" s="1468"/>
      <c r="CD169" s="1446"/>
      <c r="CE169" s="321"/>
      <c r="CF169" s="1446"/>
      <c r="CG169" s="1446"/>
      <c r="CH169" s="321"/>
      <c r="CI169" s="1446"/>
      <c r="CJ169" s="1446"/>
      <c r="CK169" s="326"/>
      <c r="CL169" s="338"/>
    </row>
    <row r="170" spans="2:90" s="542" customFormat="1" ht="42.75" x14ac:dyDescent="0.25">
      <c r="B170" s="1393"/>
      <c r="C170" s="1397"/>
      <c r="D170" s="772" t="str">
        <f>+'Plan de Accion 2018'!G233</f>
        <v>Informe de evaluación</v>
      </c>
      <c r="E170" s="1424"/>
      <c r="F170" s="535" t="str">
        <f>+'Plan de Accion 2018'!S233</f>
        <v># Informes de evaluación del ejercicio de rendición de cuentas interna</v>
      </c>
      <c r="G170" s="362"/>
      <c r="H170" s="545">
        <f>+'Plan de Accion 2018'!AB233</f>
        <v>0</v>
      </c>
      <c r="I170" s="767" t="str">
        <f>+'Plan de Accion 2018'!BM233</f>
        <v>No Prog ni Ejec</v>
      </c>
      <c r="J170" s="767" t="s">
        <v>792</v>
      </c>
      <c r="K170" s="767">
        <f>+'Plan de Accion 2018'!AF233</f>
        <v>0</v>
      </c>
      <c r="L170" s="875">
        <f t="shared" si="52"/>
        <v>0</v>
      </c>
      <c r="M170" s="682" t="s">
        <v>792</v>
      </c>
      <c r="N170" s="644"/>
      <c r="O170" s="545">
        <f>+'Plan de Accion 2018'!AL233</f>
        <v>0</v>
      </c>
      <c r="P170" s="767" t="str">
        <f>+'Plan de Accion 2018'!BO233</f>
        <v>No Prog ni Ejec</v>
      </c>
      <c r="Q170" s="629" t="s">
        <v>792</v>
      </c>
      <c r="R170" s="751">
        <f>+'Plan de Accion 2018'!AP233</f>
        <v>0</v>
      </c>
      <c r="S170" s="873">
        <f t="shared" si="53"/>
        <v>0</v>
      </c>
      <c r="T170" s="753" t="s">
        <v>792</v>
      </c>
      <c r="U170" s="329"/>
      <c r="V170" s="543">
        <f>+'Plan de Accion 2018'!AV233</f>
        <v>0</v>
      </c>
      <c r="W170" s="767" t="str">
        <f>+'Plan de Accion 2018'!BQ233</f>
        <v>No Prog ni Ejec</v>
      </c>
      <c r="X170" s="629" t="s">
        <v>792</v>
      </c>
      <c r="Y170" s="882">
        <f>+'Plan de Accion 2018'!AZ233</f>
        <v>0</v>
      </c>
      <c r="Z170" s="882">
        <f t="shared" si="54"/>
        <v>0</v>
      </c>
      <c r="AA170" s="883" t="s">
        <v>792</v>
      </c>
      <c r="AB170" s="644"/>
      <c r="AC170" s="543">
        <f>+'Plan de Accion 2018'!BF233</f>
        <v>1</v>
      </c>
      <c r="AD170" s="767">
        <f>+'Plan de Accion 2018'!BS233</f>
        <v>1</v>
      </c>
      <c r="AE170" s="629">
        <f t="shared" ref="AE170:AE178" si="58">IF(AD170&gt;100%,100%,AD170)</f>
        <v>1</v>
      </c>
      <c r="AF170" s="767">
        <f>+'Plan de Accion 2018'!BJ233</f>
        <v>1</v>
      </c>
      <c r="AG170" s="637">
        <f t="shared" si="56"/>
        <v>1</v>
      </c>
      <c r="AH170" s="337"/>
      <c r="AI170" s="1016"/>
      <c r="AJ170" s="1446"/>
      <c r="AK170" s="1446"/>
      <c r="AL170" s="321"/>
      <c r="AM170" s="1468"/>
      <c r="AN170" s="1446"/>
      <c r="AO170" s="321"/>
      <c r="AP170" s="1446"/>
      <c r="AQ170" s="1446"/>
      <c r="AR170" s="321"/>
      <c r="AS170" s="1446"/>
      <c r="AT170" s="1446"/>
      <c r="AU170" s="326"/>
      <c r="AV170" s="338"/>
      <c r="AW170" s="352"/>
      <c r="AX170" s="1446"/>
      <c r="AY170" s="1446"/>
      <c r="AZ170" s="321"/>
      <c r="BA170" s="1468"/>
      <c r="BB170" s="1446"/>
      <c r="BC170" s="321"/>
      <c r="BD170" s="1446"/>
      <c r="BE170" s="1446"/>
      <c r="BF170" s="321"/>
      <c r="BG170" s="1446"/>
      <c r="BH170" s="1446"/>
      <c r="BI170" s="326"/>
      <c r="BJ170" s="338"/>
      <c r="BL170" s="1446"/>
      <c r="BM170" s="1446"/>
      <c r="BN170" s="321"/>
      <c r="BO170" s="1468"/>
      <c r="BP170" s="1446"/>
      <c r="BQ170" s="321"/>
      <c r="BR170" s="1446"/>
      <c r="BS170" s="1446"/>
      <c r="BT170" s="321"/>
      <c r="BU170" s="1446"/>
      <c r="BV170" s="1446"/>
      <c r="BW170" s="326"/>
      <c r="BX170" s="338"/>
      <c r="BZ170" s="1446"/>
      <c r="CA170" s="1446"/>
      <c r="CB170" s="321"/>
      <c r="CC170" s="1468"/>
      <c r="CD170" s="1446"/>
      <c r="CE170" s="321"/>
      <c r="CF170" s="1446"/>
      <c r="CG170" s="1446"/>
      <c r="CH170" s="321"/>
      <c r="CI170" s="1446"/>
      <c r="CJ170" s="1446"/>
      <c r="CK170" s="326"/>
      <c r="CL170" s="338"/>
    </row>
    <row r="171" spans="2:90" s="542" customFormat="1" ht="42.75" customHeight="1" x14ac:dyDescent="0.25">
      <c r="B171" s="1393"/>
      <c r="C171" s="1397"/>
      <c r="D171" s="772" t="str">
        <f>+'Plan de Accion 2018'!G234</f>
        <v>Informe de autoevaluación</v>
      </c>
      <c r="E171" s="1424"/>
      <c r="F171" s="535" t="str">
        <f>+'Plan de Accion 2018'!S234</f>
        <v># Informes de autoevaluación de la estrategia de  rendición de cuentas</v>
      </c>
      <c r="G171" s="362"/>
      <c r="H171" s="545">
        <f>+'Plan de Accion 2018'!AB234</f>
        <v>0</v>
      </c>
      <c r="I171" s="767" t="str">
        <f>+'Plan de Accion 2018'!BM234</f>
        <v>No Prog ni Ejec</v>
      </c>
      <c r="J171" s="767" t="s">
        <v>792</v>
      </c>
      <c r="K171" s="767">
        <f>+'Plan de Accion 2018'!AF234</f>
        <v>0</v>
      </c>
      <c r="L171" s="875">
        <f t="shared" si="52"/>
        <v>0</v>
      </c>
      <c r="M171" s="682" t="s">
        <v>792</v>
      </c>
      <c r="N171" s="644"/>
      <c r="O171" s="545">
        <f>+'Plan de Accion 2018'!AL234</f>
        <v>0</v>
      </c>
      <c r="P171" s="767" t="str">
        <f>+'Plan de Accion 2018'!BO234</f>
        <v>No Prog ni Ejec</v>
      </c>
      <c r="Q171" s="629" t="s">
        <v>792</v>
      </c>
      <c r="R171" s="751">
        <f>+'Plan de Accion 2018'!AP234</f>
        <v>0</v>
      </c>
      <c r="S171" s="873">
        <f t="shared" si="53"/>
        <v>0</v>
      </c>
      <c r="T171" s="753" t="s">
        <v>792</v>
      </c>
      <c r="U171" s="329"/>
      <c r="V171" s="543">
        <f>+'Plan de Accion 2018'!AV234</f>
        <v>0</v>
      </c>
      <c r="W171" s="767" t="str">
        <f>+'Plan de Accion 2018'!BQ234</f>
        <v>No Prog ni Ejec</v>
      </c>
      <c r="X171" s="629" t="s">
        <v>792</v>
      </c>
      <c r="Y171" s="882">
        <f>+'Plan de Accion 2018'!AZ234</f>
        <v>0</v>
      </c>
      <c r="Z171" s="882">
        <f t="shared" si="54"/>
        <v>0</v>
      </c>
      <c r="AA171" s="883" t="s">
        <v>792</v>
      </c>
      <c r="AB171" s="644"/>
      <c r="AC171" s="543">
        <f>+'Plan de Accion 2018'!BF234</f>
        <v>1</v>
      </c>
      <c r="AD171" s="767">
        <f>+'Plan de Accion 2018'!BS234</f>
        <v>1</v>
      </c>
      <c r="AE171" s="629">
        <f t="shared" si="58"/>
        <v>1</v>
      </c>
      <c r="AF171" s="767">
        <f>+'Plan de Accion 2018'!BJ234</f>
        <v>1</v>
      </c>
      <c r="AG171" s="637">
        <f t="shared" si="56"/>
        <v>1</v>
      </c>
      <c r="AH171" s="337"/>
      <c r="AI171" s="1016"/>
      <c r="AJ171" s="1446"/>
      <c r="AK171" s="1446"/>
      <c r="AL171" s="321"/>
      <c r="AM171" s="1468"/>
      <c r="AN171" s="1446"/>
      <c r="AO171" s="321"/>
      <c r="AP171" s="1446"/>
      <c r="AQ171" s="1446"/>
      <c r="AR171" s="321"/>
      <c r="AS171" s="1446"/>
      <c r="AT171" s="1446"/>
      <c r="AU171" s="326"/>
      <c r="AV171" s="338"/>
      <c r="AW171" s="352"/>
      <c r="AX171" s="1446"/>
      <c r="AY171" s="1446"/>
      <c r="AZ171" s="321"/>
      <c r="BA171" s="1468"/>
      <c r="BB171" s="1446"/>
      <c r="BC171" s="321"/>
      <c r="BD171" s="1446"/>
      <c r="BE171" s="1446"/>
      <c r="BF171" s="321"/>
      <c r="BG171" s="1446"/>
      <c r="BH171" s="1446"/>
      <c r="BI171" s="326"/>
      <c r="BJ171" s="338"/>
      <c r="BL171" s="1446"/>
      <c r="BM171" s="1446"/>
      <c r="BN171" s="321"/>
      <c r="BO171" s="1468"/>
      <c r="BP171" s="1446"/>
      <c r="BQ171" s="321"/>
      <c r="BR171" s="1446"/>
      <c r="BS171" s="1446"/>
      <c r="BT171" s="321"/>
      <c r="BU171" s="1446"/>
      <c r="BV171" s="1446"/>
      <c r="BW171" s="326"/>
      <c r="BX171" s="338"/>
      <c r="BZ171" s="1446"/>
      <c r="CA171" s="1446"/>
      <c r="CB171" s="321"/>
      <c r="CC171" s="1468"/>
      <c r="CD171" s="1446"/>
      <c r="CE171" s="321"/>
      <c r="CF171" s="1446"/>
      <c r="CG171" s="1446"/>
      <c r="CH171" s="321"/>
      <c r="CI171" s="1446"/>
      <c r="CJ171" s="1446"/>
      <c r="CK171" s="326"/>
      <c r="CL171" s="338"/>
    </row>
    <row r="172" spans="2:90" s="542" customFormat="1" ht="42.75" x14ac:dyDescent="0.25">
      <c r="B172" s="1393"/>
      <c r="C172" s="1397"/>
      <c r="D172" s="772" t="str">
        <f>+'Plan de Accion 2018'!G235</f>
        <v>Documento con acciones de mejoramiento publicado en página web</v>
      </c>
      <c r="E172" s="1424"/>
      <c r="F172" s="535" t="str">
        <f>+'Plan de Accion 2018'!S235</f>
        <v># Documentos con acciones de mejoramiento publicados en página web</v>
      </c>
      <c r="G172" s="362"/>
      <c r="H172" s="545">
        <f>+'Plan de Accion 2018'!AB235</f>
        <v>0</v>
      </c>
      <c r="I172" s="767" t="str">
        <f>+'Plan de Accion 2018'!BM235</f>
        <v>No Prog ni Ejec</v>
      </c>
      <c r="J172" s="767" t="s">
        <v>792</v>
      </c>
      <c r="K172" s="767">
        <f>+'Plan de Accion 2018'!AF235</f>
        <v>0</v>
      </c>
      <c r="L172" s="875">
        <f t="shared" si="52"/>
        <v>0</v>
      </c>
      <c r="M172" s="682" t="s">
        <v>792</v>
      </c>
      <c r="N172" s="644"/>
      <c r="O172" s="545">
        <f>+'Plan de Accion 2018'!AL235</f>
        <v>0</v>
      </c>
      <c r="P172" s="767" t="str">
        <f>+'Plan de Accion 2018'!BO235</f>
        <v>No Prog ni Ejec</v>
      </c>
      <c r="Q172" s="629" t="s">
        <v>792</v>
      </c>
      <c r="R172" s="751">
        <f>+'Plan de Accion 2018'!AP235</f>
        <v>0</v>
      </c>
      <c r="S172" s="873">
        <f t="shared" si="53"/>
        <v>0</v>
      </c>
      <c r="T172" s="753" t="s">
        <v>792</v>
      </c>
      <c r="U172" s="329"/>
      <c r="V172" s="543">
        <f>+'Plan de Accion 2018'!AV235</f>
        <v>0</v>
      </c>
      <c r="W172" s="767" t="str">
        <f>+'Plan de Accion 2018'!BQ235</f>
        <v>No Prog ni Ejec</v>
      </c>
      <c r="X172" s="629" t="s">
        <v>792</v>
      </c>
      <c r="Y172" s="882">
        <f>+'Plan de Accion 2018'!AZ235</f>
        <v>0</v>
      </c>
      <c r="Z172" s="882">
        <f t="shared" si="54"/>
        <v>0</v>
      </c>
      <c r="AA172" s="883" t="s">
        <v>792</v>
      </c>
      <c r="AB172" s="644"/>
      <c r="AC172" s="543">
        <f>+'Plan de Accion 2018'!BF235</f>
        <v>1</v>
      </c>
      <c r="AD172" s="767">
        <f>+'Plan de Accion 2018'!BS235</f>
        <v>1</v>
      </c>
      <c r="AE172" s="629">
        <f t="shared" si="58"/>
        <v>1</v>
      </c>
      <c r="AF172" s="767">
        <f>+'Plan de Accion 2018'!BJ235</f>
        <v>1</v>
      </c>
      <c r="AG172" s="637">
        <f t="shared" si="56"/>
        <v>1</v>
      </c>
      <c r="AH172" s="337"/>
      <c r="AI172" s="1016"/>
      <c r="AJ172" s="1446"/>
      <c r="AK172" s="1446"/>
      <c r="AL172" s="321"/>
      <c r="AM172" s="1468"/>
      <c r="AN172" s="1446"/>
      <c r="AO172" s="321"/>
      <c r="AP172" s="1446"/>
      <c r="AQ172" s="1446"/>
      <c r="AR172" s="321"/>
      <c r="AS172" s="1446"/>
      <c r="AT172" s="1446"/>
      <c r="AU172" s="326"/>
      <c r="AV172" s="338"/>
      <c r="AW172" s="352"/>
      <c r="AX172" s="1446"/>
      <c r="AY172" s="1446"/>
      <c r="AZ172" s="321"/>
      <c r="BA172" s="1468"/>
      <c r="BB172" s="1446"/>
      <c r="BC172" s="321"/>
      <c r="BD172" s="1446"/>
      <c r="BE172" s="1446"/>
      <c r="BF172" s="321"/>
      <c r="BG172" s="1446"/>
      <c r="BH172" s="1446"/>
      <c r="BI172" s="326"/>
      <c r="BJ172" s="338"/>
      <c r="BL172" s="1446"/>
      <c r="BM172" s="1446"/>
      <c r="BN172" s="321"/>
      <c r="BO172" s="1468"/>
      <c r="BP172" s="1446"/>
      <c r="BQ172" s="321"/>
      <c r="BR172" s="1446"/>
      <c r="BS172" s="1446"/>
      <c r="BT172" s="321"/>
      <c r="BU172" s="1446"/>
      <c r="BV172" s="1446"/>
      <c r="BW172" s="326"/>
      <c r="BX172" s="338"/>
      <c r="BZ172" s="1446"/>
      <c r="CA172" s="1446"/>
      <c r="CB172" s="321"/>
      <c r="CC172" s="1468"/>
      <c r="CD172" s="1446"/>
      <c r="CE172" s="321"/>
      <c r="CF172" s="1446"/>
      <c r="CG172" s="1446"/>
      <c r="CH172" s="321"/>
      <c r="CI172" s="1446"/>
      <c r="CJ172" s="1446"/>
      <c r="CK172" s="326"/>
      <c r="CL172" s="338"/>
    </row>
    <row r="173" spans="2:90" s="542" customFormat="1" ht="28.5" x14ac:dyDescent="0.25">
      <c r="B173" s="1393"/>
      <c r="C173" s="1397"/>
      <c r="D173" s="772" t="str">
        <f>+'Plan de Accion 2018'!G279</f>
        <v>Inventario de Trámites y Servicios</v>
      </c>
      <c r="E173" s="1424"/>
      <c r="F173" s="535" t="str">
        <f>+'Plan de Accion 2018'!S279</f>
        <v># Inventarios de Trámites y Servicios</v>
      </c>
      <c r="G173" s="362"/>
      <c r="H173" s="545">
        <f>+'Plan de Accion 2018'!AB279</f>
        <v>0</v>
      </c>
      <c r="I173" s="767" t="str">
        <f>+'Plan de Accion 2018'!BM279</f>
        <v>No Prog ni Ejec</v>
      </c>
      <c r="J173" s="767" t="s">
        <v>792</v>
      </c>
      <c r="K173" s="767">
        <f>+'Plan de Accion 2018'!AF279</f>
        <v>0</v>
      </c>
      <c r="L173" s="875">
        <f t="shared" si="52"/>
        <v>0</v>
      </c>
      <c r="M173" s="682" t="s">
        <v>792</v>
      </c>
      <c r="N173" s="644"/>
      <c r="O173" s="545">
        <f>+'Plan de Accion 2018'!AL279</f>
        <v>1</v>
      </c>
      <c r="P173" s="767">
        <f>+'Plan de Accion 2018'!BO279</f>
        <v>1</v>
      </c>
      <c r="Q173" s="629">
        <f>IF(P173&gt;100%,100%,P173)</f>
        <v>1</v>
      </c>
      <c r="R173" s="751">
        <f>+'Plan de Accion 2018'!AP279</f>
        <v>1</v>
      </c>
      <c r="S173" s="873">
        <f t="shared" si="53"/>
        <v>1</v>
      </c>
      <c r="T173" s="753">
        <f>+S173</f>
        <v>1</v>
      </c>
      <c r="U173" s="329"/>
      <c r="V173" s="543">
        <f>+'Plan de Accion 2018'!AV279</f>
        <v>0</v>
      </c>
      <c r="W173" s="767" t="str">
        <f>+'Plan de Accion 2018'!BQ279</f>
        <v>No Prog ni Ejec</v>
      </c>
      <c r="X173" s="629" t="s">
        <v>792</v>
      </c>
      <c r="Y173" s="882">
        <f>+'Plan de Accion 2018'!AZ279</f>
        <v>1</v>
      </c>
      <c r="Z173" s="882">
        <f t="shared" si="54"/>
        <v>1</v>
      </c>
      <c r="AA173" s="883">
        <f>+Z173</f>
        <v>1</v>
      </c>
      <c r="AB173" s="644"/>
      <c r="AC173" s="543">
        <f>+'Plan de Accion 2018'!BF279</f>
        <v>0</v>
      </c>
      <c r="AD173" s="767" t="str">
        <f>+'Plan de Accion 2018'!BS279</f>
        <v>No Prog ni Ejec</v>
      </c>
      <c r="AE173" s="629" t="s">
        <v>792</v>
      </c>
      <c r="AF173" s="767">
        <f>+'Plan de Accion 2018'!BJ279</f>
        <v>1</v>
      </c>
      <c r="AG173" s="637">
        <f t="shared" si="56"/>
        <v>1</v>
      </c>
      <c r="AH173" s="337"/>
      <c r="AI173" s="1016"/>
      <c r="AJ173" s="1446"/>
      <c r="AK173" s="1446"/>
      <c r="AL173" s="321"/>
      <c r="AM173" s="1468"/>
      <c r="AN173" s="1446"/>
      <c r="AO173" s="321"/>
      <c r="AP173" s="1446"/>
      <c r="AQ173" s="1446"/>
      <c r="AR173" s="321"/>
      <c r="AS173" s="1446"/>
      <c r="AT173" s="1446"/>
      <c r="AU173" s="326"/>
      <c r="AV173" s="338"/>
      <c r="AW173" s="352"/>
      <c r="AX173" s="1446"/>
      <c r="AY173" s="1446"/>
      <c r="AZ173" s="321"/>
      <c r="BA173" s="1468"/>
      <c r="BB173" s="1446"/>
      <c r="BC173" s="321"/>
      <c r="BD173" s="1446"/>
      <c r="BE173" s="1446"/>
      <c r="BF173" s="321"/>
      <c r="BG173" s="1446"/>
      <c r="BH173" s="1446"/>
      <c r="BI173" s="326"/>
      <c r="BJ173" s="338"/>
      <c r="BL173" s="1446"/>
      <c r="BM173" s="1446"/>
      <c r="BN173" s="321"/>
      <c r="BO173" s="1468"/>
      <c r="BP173" s="1446"/>
      <c r="BQ173" s="321"/>
      <c r="BR173" s="1446"/>
      <c r="BS173" s="1446"/>
      <c r="BT173" s="321"/>
      <c r="BU173" s="1446"/>
      <c r="BV173" s="1446"/>
      <c r="BW173" s="326"/>
      <c r="BX173" s="338"/>
      <c r="BZ173" s="1446"/>
      <c r="CA173" s="1446"/>
      <c r="CB173" s="321"/>
      <c r="CC173" s="1468"/>
      <c r="CD173" s="1446"/>
      <c r="CE173" s="321"/>
      <c r="CF173" s="1446"/>
      <c r="CG173" s="1446"/>
      <c r="CH173" s="321"/>
      <c r="CI173" s="1446"/>
      <c r="CJ173" s="1446"/>
      <c r="CK173" s="326"/>
      <c r="CL173" s="338"/>
    </row>
    <row r="174" spans="2:90" s="542" customFormat="1" ht="33" customHeight="1" x14ac:dyDescent="0.25">
      <c r="B174" s="1393"/>
      <c r="C174" s="1397"/>
      <c r="D174" s="772" t="str">
        <f>+'Plan de Accion 2018'!G281</f>
        <v>Trámites inscritos en el SUIT</v>
      </c>
      <c r="E174" s="1424"/>
      <c r="F174" s="535" t="str">
        <f>+'Plan de Accion 2018'!S281</f>
        <v># trámites inscritos en el SUIT / # Trámites identificados</v>
      </c>
      <c r="G174" s="362"/>
      <c r="H174" s="545">
        <f>+'Plan de Accion 2018'!AB281</f>
        <v>0</v>
      </c>
      <c r="I174" s="767" t="str">
        <f>+'Plan de Accion 2018'!BM281</f>
        <v>No Prog ni Ejec</v>
      </c>
      <c r="J174" s="767" t="s">
        <v>792</v>
      </c>
      <c r="K174" s="767">
        <f>+'Plan de Accion 2018'!AF281</f>
        <v>0</v>
      </c>
      <c r="L174" s="875">
        <f t="shared" si="52"/>
        <v>0</v>
      </c>
      <c r="M174" s="682" t="s">
        <v>792</v>
      </c>
      <c r="N174" s="644"/>
      <c r="O174" s="545">
        <f>+'Plan de Accion 2018'!AL281</f>
        <v>0</v>
      </c>
      <c r="P174" s="767" t="str">
        <f>+'Plan de Accion 2018'!BO281</f>
        <v>No Prog ni Ejec</v>
      </c>
      <c r="Q174" s="629" t="s">
        <v>792</v>
      </c>
      <c r="R174" s="751">
        <f>+'Plan de Accion 2018'!AP281</f>
        <v>0</v>
      </c>
      <c r="S174" s="873">
        <f t="shared" si="53"/>
        <v>0</v>
      </c>
      <c r="T174" s="753" t="s">
        <v>792</v>
      </c>
      <c r="U174" s="329"/>
      <c r="V174" s="543">
        <f>+'Plan de Accion 2018'!AV281</f>
        <v>0</v>
      </c>
      <c r="W174" s="767" t="str">
        <f>+'Plan de Accion 2018'!BQ281</f>
        <v>No Prog ni Ejec</v>
      </c>
      <c r="X174" s="629" t="s">
        <v>792</v>
      </c>
      <c r="Y174" s="882">
        <f>+'Plan de Accion 2018'!AZ281</f>
        <v>0</v>
      </c>
      <c r="Z174" s="882">
        <f t="shared" si="54"/>
        <v>0</v>
      </c>
      <c r="AA174" s="883" t="s">
        <v>792</v>
      </c>
      <c r="AB174" s="644"/>
      <c r="AC174" s="543">
        <f>+'Plan de Accion 2018'!BF281</f>
        <v>1</v>
      </c>
      <c r="AD174" s="767">
        <f>+'Plan de Accion 2018'!BS281</f>
        <v>1</v>
      </c>
      <c r="AE174" s="629">
        <f t="shared" si="58"/>
        <v>1</v>
      </c>
      <c r="AF174" s="767">
        <f>+'Plan de Accion 2018'!BJ281</f>
        <v>1</v>
      </c>
      <c r="AG174" s="637">
        <f t="shared" si="56"/>
        <v>1</v>
      </c>
      <c r="AH174" s="337"/>
      <c r="AI174" s="1016"/>
      <c r="AJ174" s="1446"/>
      <c r="AK174" s="1446"/>
      <c r="AL174" s="321"/>
      <c r="AM174" s="1468"/>
      <c r="AN174" s="1446"/>
      <c r="AO174" s="321"/>
      <c r="AP174" s="1446"/>
      <c r="AQ174" s="1446"/>
      <c r="AR174" s="321"/>
      <c r="AS174" s="1446"/>
      <c r="AT174" s="1446"/>
      <c r="AU174" s="326"/>
      <c r="AV174" s="338"/>
      <c r="AW174" s="352"/>
      <c r="AX174" s="1446"/>
      <c r="AY174" s="1446"/>
      <c r="AZ174" s="321"/>
      <c r="BA174" s="1468"/>
      <c r="BB174" s="1446"/>
      <c r="BC174" s="321"/>
      <c r="BD174" s="1446"/>
      <c r="BE174" s="1446"/>
      <c r="BF174" s="321"/>
      <c r="BG174" s="1446"/>
      <c r="BH174" s="1446"/>
      <c r="BI174" s="326"/>
      <c r="BJ174" s="338"/>
      <c r="BL174" s="1446"/>
      <c r="BM174" s="1446"/>
      <c r="BN174" s="321"/>
      <c r="BO174" s="1468"/>
      <c r="BP174" s="1446"/>
      <c r="BQ174" s="321"/>
      <c r="BR174" s="1446"/>
      <c r="BS174" s="1446"/>
      <c r="BT174" s="321"/>
      <c r="BU174" s="1446"/>
      <c r="BV174" s="1446"/>
      <c r="BW174" s="326"/>
      <c r="BX174" s="338"/>
      <c r="BZ174" s="1446"/>
      <c r="CA174" s="1446"/>
      <c r="CB174" s="321"/>
      <c r="CC174" s="1468"/>
      <c r="CD174" s="1446"/>
      <c r="CE174" s="321"/>
      <c r="CF174" s="1446"/>
      <c r="CG174" s="1446"/>
      <c r="CH174" s="321"/>
      <c r="CI174" s="1446"/>
      <c r="CJ174" s="1446"/>
      <c r="CK174" s="326"/>
      <c r="CL174" s="338"/>
    </row>
    <row r="175" spans="2:90" s="542" customFormat="1" ht="53.25" customHeight="1" x14ac:dyDescent="0.25">
      <c r="B175" s="1393"/>
      <c r="C175" s="1397"/>
      <c r="D175" s="838" t="str">
        <f>+'Plan de Accion 2018'!G193</f>
        <v>Política socializada nivel externo</v>
      </c>
      <c r="E175" s="1424"/>
      <c r="F175" s="535" t="str">
        <f>+'Plan de Accion 2018'!S193</f>
        <v># Publicaciones de la Política de Administración de Riesgos en la página Web de la ADRES</v>
      </c>
      <c r="G175" s="362"/>
      <c r="H175" s="836">
        <f>+'Plan de Accion 2018'!AB193</f>
        <v>0</v>
      </c>
      <c r="I175" s="834" t="str">
        <f>+'Plan de Accion 2018'!BM193</f>
        <v>No Prog ni Ejec</v>
      </c>
      <c r="J175" s="834" t="s">
        <v>792</v>
      </c>
      <c r="K175" s="834">
        <f>+'Plan de Accion 2018'!AF193</f>
        <v>0</v>
      </c>
      <c r="L175" s="875">
        <f t="shared" si="52"/>
        <v>0</v>
      </c>
      <c r="M175" s="682" t="s">
        <v>792</v>
      </c>
      <c r="N175" s="644"/>
      <c r="O175" s="836">
        <f>+'Plan de Accion 2018'!AL193</f>
        <v>1</v>
      </c>
      <c r="P175" s="834">
        <f>+'Plan de Accion 2018'!BO193</f>
        <v>1</v>
      </c>
      <c r="Q175" s="629">
        <f>IF(P175&gt;100%,100%,P175)</f>
        <v>1</v>
      </c>
      <c r="R175" s="835">
        <f>+'Plan de Accion 2018'!AP193</f>
        <v>1</v>
      </c>
      <c r="S175" s="873">
        <f t="shared" si="53"/>
        <v>1</v>
      </c>
      <c r="T175" s="637">
        <f t="shared" ref="T175:T176" si="59">+S175</f>
        <v>1</v>
      </c>
      <c r="U175" s="329"/>
      <c r="V175" s="836">
        <f>+'Plan de Accion 2018'!AV193</f>
        <v>0</v>
      </c>
      <c r="W175" s="834" t="str">
        <f>+'Plan de Accion 2018'!BQ193</f>
        <v>No Prog ni Ejec</v>
      </c>
      <c r="X175" s="629" t="s">
        <v>792</v>
      </c>
      <c r="Y175" s="882">
        <f>+'Plan de Accion 2018'!AZ193</f>
        <v>1</v>
      </c>
      <c r="Z175" s="882">
        <f t="shared" si="54"/>
        <v>1</v>
      </c>
      <c r="AA175" s="883">
        <f>+Z175</f>
        <v>1</v>
      </c>
      <c r="AB175" s="644"/>
      <c r="AC175" s="836">
        <f>+'Plan de Accion 2018'!BF193</f>
        <v>0</v>
      </c>
      <c r="AD175" s="834" t="str">
        <f>+'Plan de Accion 2018'!BS193</f>
        <v>No Prog ni Ejec</v>
      </c>
      <c r="AE175" s="629" t="s">
        <v>792</v>
      </c>
      <c r="AF175" s="834">
        <f>+'Plan de Accion 2018'!BJ193</f>
        <v>1</v>
      </c>
      <c r="AG175" s="637">
        <f t="shared" si="56"/>
        <v>1</v>
      </c>
      <c r="AH175" s="337"/>
      <c r="AI175" s="1016"/>
      <c r="AJ175" s="1446"/>
      <c r="AK175" s="1446"/>
      <c r="AL175" s="321"/>
      <c r="AM175" s="1468"/>
      <c r="AN175" s="1446"/>
      <c r="AO175" s="321"/>
      <c r="AP175" s="1446"/>
      <c r="AQ175" s="1446"/>
      <c r="AR175" s="321"/>
      <c r="AS175" s="1446"/>
      <c r="AT175" s="1446"/>
      <c r="AU175" s="326"/>
      <c r="AV175" s="338"/>
      <c r="AW175" s="352"/>
      <c r="AX175" s="1446"/>
      <c r="AY175" s="1446"/>
      <c r="AZ175" s="321"/>
      <c r="BA175" s="1468"/>
      <c r="BB175" s="1446"/>
      <c r="BC175" s="321"/>
      <c r="BD175" s="1446"/>
      <c r="BE175" s="1446"/>
      <c r="BF175" s="321"/>
      <c r="BG175" s="1446"/>
      <c r="BH175" s="1446"/>
      <c r="BI175" s="326"/>
      <c r="BJ175" s="338"/>
      <c r="BL175" s="1446"/>
      <c r="BM175" s="1446"/>
      <c r="BN175" s="321"/>
      <c r="BO175" s="1468"/>
      <c r="BP175" s="1446"/>
      <c r="BQ175" s="321"/>
      <c r="BR175" s="1446"/>
      <c r="BS175" s="1446"/>
      <c r="BT175" s="321"/>
      <c r="BU175" s="1446"/>
      <c r="BV175" s="1446"/>
      <c r="BW175" s="326"/>
      <c r="BX175" s="338"/>
      <c r="BZ175" s="1446"/>
      <c r="CA175" s="1446"/>
      <c r="CB175" s="321"/>
      <c r="CC175" s="1468"/>
      <c r="CD175" s="1446"/>
      <c r="CE175" s="321"/>
      <c r="CF175" s="1446"/>
      <c r="CG175" s="1446"/>
      <c r="CH175" s="321"/>
      <c r="CI175" s="1446"/>
      <c r="CJ175" s="1446"/>
      <c r="CK175" s="326"/>
      <c r="CL175" s="338"/>
    </row>
    <row r="176" spans="2:90" s="542" customFormat="1" ht="60" customHeight="1" x14ac:dyDescent="0.25">
      <c r="B176" s="1393"/>
      <c r="C176" s="1397"/>
      <c r="D176" s="838" t="str">
        <f>+'Plan de Accion 2018'!G202</f>
        <v>Publicación de mapa de riesgos de corrupción en página web de la entidad.</v>
      </c>
      <c r="E176" s="1424"/>
      <c r="F176" s="535" t="str">
        <f>+'Plan de Accion 2018'!S202</f>
        <v># Publicaciones del mapa de riesgos de corrupción en la página Web de la ADRES</v>
      </c>
      <c r="G176" s="362"/>
      <c r="H176" s="836">
        <f>+'Plan de Accion 2018'!AB202</f>
        <v>0</v>
      </c>
      <c r="I176" s="834" t="str">
        <f>+'Plan de Accion 2018'!BM202</f>
        <v>No Prog ni Ejec</v>
      </c>
      <c r="J176" s="834" t="s">
        <v>792</v>
      </c>
      <c r="K176" s="834">
        <f>+'Plan de Accion 2018'!AF202</f>
        <v>0</v>
      </c>
      <c r="L176" s="875">
        <f t="shared" si="52"/>
        <v>0</v>
      </c>
      <c r="M176" s="682" t="s">
        <v>792</v>
      </c>
      <c r="N176" s="644"/>
      <c r="O176" s="836">
        <f>+'Plan de Accion 2018'!AL202</f>
        <v>1</v>
      </c>
      <c r="P176" s="834">
        <f>+'Plan de Accion 2018'!BO202</f>
        <v>1</v>
      </c>
      <c r="Q176" s="629">
        <f t="shared" ref="Q176" si="60">IF(P176&gt;100%,100%,P176)</f>
        <v>1</v>
      </c>
      <c r="R176" s="835">
        <f>+'Plan de Accion 2018'!AP202</f>
        <v>1</v>
      </c>
      <c r="S176" s="873">
        <f t="shared" si="53"/>
        <v>1</v>
      </c>
      <c r="T176" s="637">
        <f t="shared" si="59"/>
        <v>1</v>
      </c>
      <c r="U176" s="329"/>
      <c r="V176" s="836">
        <f>+'Plan de Accion 2018'!AV202</f>
        <v>0</v>
      </c>
      <c r="W176" s="834" t="str">
        <f>+'Plan de Accion 2018'!BQ202</f>
        <v>No Prog ni Ejec</v>
      </c>
      <c r="X176" s="629" t="s">
        <v>792</v>
      </c>
      <c r="Y176" s="882">
        <f>+'Plan de Accion 2018'!AZ202</f>
        <v>1</v>
      </c>
      <c r="Z176" s="882">
        <f t="shared" si="54"/>
        <v>1</v>
      </c>
      <c r="AA176" s="883">
        <f>+Z176</f>
        <v>1</v>
      </c>
      <c r="AB176" s="644"/>
      <c r="AC176" s="836">
        <f>+'Plan de Accion 2018'!BF202</f>
        <v>0</v>
      </c>
      <c r="AD176" s="834" t="str">
        <f>+'Plan de Accion 2018'!BS202</f>
        <v>No Prog ni Ejec</v>
      </c>
      <c r="AE176" s="629" t="s">
        <v>792</v>
      </c>
      <c r="AF176" s="834">
        <f>+'Plan de Accion 2018'!BJ202</f>
        <v>1</v>
      </c>
      <c r="AG176" s="637">
        <f>IF(AF176&gt;100%,100%,AF176)</f>
        <v>1</v>
      </c>
      <c r="AH176" s="337"/>
      <c r="AI176" s="1016"/>
      <c r="AJ176" s="1446"/>
      <c r="AK176" s="1446"/>
      <c r="AL176" s="321"/>
      <c r="AM176" s="1468"/>
      <c r="AN176" s="1446"/>
      <c r="AO176" s="321"/>
      <c r="AP176" s="1446"/>
      <c r="AQ176" s="1446"/>
      <c r="AR176" s="321"/>
      <c r="AS176" s="1446"/>
      <c r="AT176" s="1446"/>
      <c r="AU176" s="326"/>
      <c r="AV176" s="338"/>
      <c r="AW176" s="352"/>
      <c r="AX176" s="1446"/>
      <c r="AY176" s="1446"/>
      <c r="AZ176" s="321"/>
      <c r="BA176" s="1468"/>
      <c r="BB176" s="1446"/>
      <c r="BC176" s="321"/>
      <c r="BD176" s="1446"/>
      <c r="BE176" s="1446"/>
      <c r="BF176" s="321"/>
      <c r="BG176" s="1446"/>
      <c r="BH176" s="1446"/>
      <c r="BI176" s="326"/>
      <c r="BJ176" s="338"/>
      <c r="BL176" s="1446"/>
      <c r="BM176" s="1446"/>
      <c r="BN176" s="321"/>
      <c r="BO176" s="1468"/>
      <c r="BP176" s="1446"/>
      <c r="BQ176" s="321"/>
      <c r="BR176" s="1446"/>
      <c r="BS176" s="1446"/>
      <c r="BT176" s="321"/>
      <c r="BU176" s="1446"/>
      <c r="BV176" s="1446"/>
      <c r="BW176" s="326"/>
      <c r="BX176" s="338"/>
      <c r="BZ176" s="1446"/>
      <c r="CA176" s="1446"/>
      <c r="CB176" s="321"/>
      <c r="CC176" s="1468"/>
      <c r="CD176" s="1446"/>
      <c r="CE176" s="321"/>
      <c r="CF176" s="1446"/>
      <c r="CG176" s="1446"/>
      <c r="CH176" s="321"/>
      <c r="CI176" s="1446"/>
      <c r="CJ176" s="1446"/>
      <c r="CK176" s="326"/>
      <c r="CL176" s="338"/>
    </row>
    <row r="177" spans="2:90" ht="43.5" thickBot="1" x14ac:dyDescent="0.3">
      <c r="B177" s="1393"/>
      <c r="C177" s="1397"/>
      <c r="D177" s="772" t="str">
        <f>+'Plan de Accion 2018'!K177</f>
        <v>Elaboración del Informe de Rendición de Cuentas al Congreso de la República 2017-2018</v>
      </c>
      <c r="E177" s="1424"/>
      <c r="F177" s="535" t="str">
        <f>+'Plan de Accion 2018'!S177</f>
        <v xml:space="preserve"># Informes Publicados </v>
      </c>
      <c r="G177" s="362"/>
      <c r="H177" s="546">
        <f>+'Plan de Accion 2018'!AB177</f>
        <v>0</v>
      </c>
      <c r="I177" s="750" t="str">
        <f>+'Plan de Accion 2018'!BM177</f>
        <v>No Prog ni Ejec</v>
      </c>
      <c r="J177" s="750" t="s">
        <v>792</v>
      </c>
      <c r="K177" s="750">
        <f>+'Plan de Accion 2018'!AF177</f>
        <v>0</v>
      </c>
      <c r="L177" s="875">
        <f t="shared" si="52"/>
        <v>0</v>
      </c>
      <c r="M177" s="752" t="s">
        <v>792</v>
      </c>
      <c r="N177" s="644"/>
      <c r="O177" s="546">
        <f>+'Plan de Accion 2018'!AL177</f>
        <v>0</v>
      </c>
      <c r="P177" s="750" t="str">
        <f>+'Plan de Accion 2018'!BO177</f>
        <v>No Prog ni Ejec</v>
      </c>
      <c r="Q177" s="629" t="s">
        <v>792</v>
      </c>
      <c r="R177" s="751">
        <f>+'Plan de Accion 2018'!AP177</f>
        <v>0</v>
      </c>
      <c r="S177" s="873">
        <f t="shared" si="53"/>
        <v>0</v>
      </c>
      <c r="T177" s="850" t="s">
        <v>792</v>
      </c>
      <c r="U177" s="644">
        <v>1</v>
      </c>
      <c r="V177" s="748">
        <f>+'Plan de Accion 2018'!AV177</f>
        <v>1</v>
      </c>
      <c r="W177" s="750">
        <f>+'Plan de Accion 2018'!BQ177</f>
        <v>1</v>
      </c>
      <c r="X177" s="629">
        <f>IF(W177&gt;100%,100%,W177)</f>
        <v>1</v>
      </c>
      <c r="Y177" s="882">
        <f>+'Plan de Accion 2018'!AZ177</f>
        <v>1</v>
      </c>
      <c r="Z177" s="882">
        <f t="shared" si="54"/>
        <v>1</v>
      </c>
      <c r="AA177" s="883">
        <f>+Z177</f>
        <v>1</v>
      </c>
      <c r="AB177" s="644"/>
      <c r="AC177" s="748">
        <f>+'Plan de Accion 2018'!BF177</f>
        <v>0</v>
      </c>
      <c r="AD177" s="750" t="str">
        <f>+'Plan de Accion 2018'!BS177</f>
        <v>No Prog ni Ejec</v>
      </c>
      <c r="AE177" s="629" t="s">
        <v>792</v>
      </c>
      <c r="AF177" s="750">
        <f>+'Plan de Accion 2018'!BJ177</f>
        <v>1</v>
      </c>
      <c r="AG177" s="637">
        <f t="shared" si="56"/>
        <v>1</v>
      </c>
      <c r="AH177" s="339"/>
      <c r="AI177" s="1016"/>
      <c r="AJ177" s="1447"/>
      <c r="AK177" s="1447"/>
      <c r="AL177" s="321"/>
      <c r="AM177" s="1469"/>
      <c r="AN177" s="1447"/>
      <c r="AO177" s="321"/>
      <c r="AP177" s="1447"/>
      <c r="AQ177" s="1447"/>
      <c r="AR177" s="321"/>
      <c r="AS177" s="1447"/>
      <c r="AT177" s="1447"/>
      <c r="AU177" s="326"/>
      <c r="AV177" s="340"/>
      <c r="AW177" s="352"/>
      <c r="AX177" s="1447"/>
      <c r="AY177" s="1447"/>
      <c r="AZ177" s="321"/>
      <c r="BA177" s="1469"/>
      <c r="BB177" s="1447"/>
      <c r="BC177" s="321"/>
      <c r="BD177" s="1447"/>
      <c r="BE177" s="1447"/>
      <c r="BF177" s="321"/>
      <c r="BG177" s="1447"/>
      <c r="BH177" s="1447"/>
      <c r="BI177" s="326"/>
      <c r="BJ177" s="340"/>
      <c r="BL177" s="1447"/>
      <c r="BM177" s="1447"/>
      <c r="BN177" s="321"/>
      <c r="BO177" s="1469"/>
      <c r="BP177" s="1447"/>
      <c r="BQ177" s="321"/>
      <c r="BR177" s="1447"/>
      <c r="BS177" s="1447"/>
      <c r="BT177" s="321"/>
      <c r="BU177" s="1447"/>
      <c r="BV177" s="1447"/>
      <c r="BW177" s="326"/>
      <c r="BX177" s="340"/>
      <c r="BZ177" s="1447"/>
      <c r="CA177" s="1447"/>
      <c r="CB177" s="321"/>
      <c r="CC177" s="1469"/>
      <c r="CD177" s="1447"/>
      <c r="CE177" s="321"/>
      <c r="CF177" s="1447"/>
      <c r="CG177" s="1447"/>
      <c r="CH177" s="321"/>
      <c r="CI177" s="1447"/>
      <c r="CJ177" s="1447"/>
      <c r="CK177" s="326"/>
      <c r="CL177" s="340"/>
    </row>
    <row r="178" spans="2:90" s="542" customFormat="1" ht="114" x14ac:dyDescent="0.25">
      <c r="B178" s="1393"/>
      <c r="C178" s="1397"/>
      <c r="D178" s="768" t="str">
        <f>+'Plan de Accion 2018'!G228</f>
        <v>Jornada de rendición de Cuentas interna</v>
      </c>
      <c r="E178" s="768" t="str">
        <f>+'Plan de Accion 2018'!B228</f>
        <v>Oficina Asesora de Planeación y Control de Riesgos
Dirección General
Dirección Administrativa y Financiera</v>
      </c>
      <c r="F178" s="544" t="str">
        <f>+'Plan de Accion 2018'!S228</f>
        <v># Jornadas de rendición de Cuentas internas realizadas</v>
      </c>
      <c r="G178" s="362"/>
      <c r="H178" s="546">
        <f>+'Plan de Accion 2018'!AB228</f>
        <v>0</v>
      </c>
      <c r="I178" s="750" t="str">
        <f>+'Plan de Accion 2018'!BM228</f>
        <v>No Prog ni Ejec</v>
      </c>
      <c r="J178" s="750" t="s">
        <v>792</v>
      </c>
      <c r="K178" s="750">
        <f>+'Plan de Accion 2018'!AF228</f>
        <v>0</v>
      </c>
      <c r="L178" s="875">
        <f t="shared" si="52"/>
        <v>0</v>
      </c>
      <c r="M178" s="752" t="s">
        <v>792</v>
      </c>
      <c r="N178" s="644"/>
      <c r="O178" s="546">
        <f>+'Plan de Accion 2018'!AL228</f>
        <v>0</v>
      </c>
      <c r="P178" s="750" t="str">
        <f>+'Plan de Accion 2018'!BO228</f>
        <v>No Prog ni Ejec</v>
      </c>
      <c r="Q178" s="629" t="s">
        <v>792</v>
      </c>
      <c r="R178" s="751">
        <f>+'Plan de Accion 2018'!AP228</f>
        <v>0</v>
      </c>
      <c r="S178" s="873">
        <f t="shared" si="53"/>
        <v>0</v>
      </c>
      <c r="T178" s="850" t="s">
        <v>792</v>
      </c>
      <c r="U178" s="644">
        <v>1</v>
      </c>
      <c r="V178" s="748">
        <f>+'Plan de Accion 2018'!AV228</f>
        <v>0</v>
      </c>
      <c r="W178" s="750" t="str">
        <f>+'Plan de Accion 2018'!BQ228</f>
        <v>No Prog ni Ejec</v>
      </c>
      <c r="X178" s="629" t="s">
        <v>792</v>
      </c>
      <c r="Y178" s="882">
        <f>+'Plan de Accion 2018'!AZ228</f>
        <v>0</v>
      </c>
      <c r="Z178" s="882">
        <f t="shared" si="54"/>
        <v>0</v>
      </c>
      <c r="AA178" s="883" t="s">
        <v>792</v>
      </c>
      <c r="AB178" s="644"/>
      <c r="AC178" s="748">
        <f>+'Plan de Accion 2018'!BF228</f>
        <v>1</v>
      </c>
      <c r="AD178" s="750">
        <f>+'Plan de Accion 2018'!BS228</f>
        <v>1</v>
      </c>
      <c r="AE178" s="629">
        <f t="shared" si="58"/>
        <v>1</v>
      </c>
      <c r="AF178" s="750">
        <f>+'Plan de Accion 2018'!BJ228</f>
        <v>1</v>
      </c>
      <c r="AG178" s="637">
        <f t="shared" si="56"/>
        <v>1</v>
      </c>
      <c r="AH178" s="337"/>
      <c r="AI178" s="1016"/>
      <c r="AJ178" s="728"/>
      <c r="AK178" s="728"/>
      <c r="AL178" s="321"/>
      <c r="AM178" s="731"/>
      <c r="AN178" s="728"/>
      <c r="AO178" s="321"/>
      <c r="AP178" s="728"/>
      <c r="AQ178" s="728"/>
      <c r="AR178" s="321"/>
      <c r="AS178" s="728"/>
      <c r="AT178" s="728"/>
      <c r="AU178" s="326"/>
      <c r="AV178" s="338"/>
      <c r="AW178" s="352"/>
      <c r="AX178" s="728"/>
      <c r="AY178" s="728"/>
      <c r="AZ178" s="321"/>
      <c r="BA178" s="731"/>
      <c r="BB178" s="728"/>
      <c r="BC178" s="321"/>
      <c r="BD178" s="728"/>
      <c r="BE178" s="728"/>
      <c r="BF178" s="321"/>
      <c r="BG178" s="728"/>
      <c r="BH178" s="728"/>
      <c r="BI178" s="326"/>
      <c r="BJ178" s="338"/>
      <c r="BL178" s="728"/>
      <c r="BM178" s="728"/>
      <c r="BN178" s="321"/>
      <c r="BO178" s="731"/>
      <c r="BP178" s="728"/>
      <c r="BQ178" s="321"/>
      <c r="BR178" s="728"/>
      <c r="BS178" s="728"/>
      <c r="BT178" s="321"/>
      <c r="BU178" s="728"/>
      <c r="BV178" s="728"/>
      <c r="BW178" s="326"/>
      <c r="BX178" s="338"/>
      <c r="BZ178" s="728"/>
      <c r="CA178" s="728"/>
      <c r="CB178" s="321"/>
      <c r="CC178" s="731"/>
      <c r="CD178" s="728"/>
      <c r="CE178" s="321"/>
      <c r="CF178" s="728"/>
      <c r="CG178" s="728"/>
      <c r="CH178" s="321"/>
      <c r="CI178" s="728"/>
      <c r="CJ178" s="728"/>
      <c r="CK178" s="326"/>
      <c r="CL178" s="338"/>
    </row>
    <row r="179" spans="2:90" s="542" customFormat="1" ht="57" x14ac:dyDescent="0.25">
      <c r="B179" s="1393"/>
      <c r="C179" s="1397"/>
      <c r="D179" s="847" t="str">
        <f>+'Plan de Accion 2018'!G251</f>
        <v>Política formalizada a través de Acto Administrativo</v>
      </c>
      <c r="E179" s="848" t="str">
        <f>+'Plan de Accion 2018'!B251</f>
        <v>Oficina Asesora Jurídica
Dirección Administrativa y Financiera</v>
      </c>
      <c r="F179" s="344" t="str">
        <f>+'Plan de Accion 2018'!S251</f>
        <v># Actos Administrativos que contienen la política de protección de datos personales formalizados</v>
      </c>
      <c r="G179" s="362"/>
      <c r="H179" s="543">
        <f>+'Plan de Accion 2018'!AB251</f>
        <v>0</v>
      </c>
      <c r="I179" s="767" t="str">
        <f>+'Plan de Accion 2018'!BM251</f>
        <v>No Prog ni Ejec</v>
      </c>
      <c r="J179" s="767" t="s">
        <v>792</v>
      </c>
      <c r="K179" s="767">
        <f>+'Plan de Accion 2018'!AF251</f>
        <v>0</v>
      </c>
      <c r="L179" s="875">
        <f t="shared" si="52"/>
        <v>0</v>
      </c>
      <c r="M179" s="682" t="s">
        <v>792</v>
      </c>
      <c r="N179" s="644"/>
      <c r="O179" s="543">
        <f>+'Plan de Accion 2018'!AL251</f>
        <v>0</v>
      </c>
      <c r="P179" s="767">
        <f>+'Plan de Accion 2018'!BO251</f>
        <v>0</v>
      </c>
      <c r="Q179" s="629">
        <f>IF(P179&gt;100%,100%,P179)</f>
        <v>0</v>
      </c>
      <c r="R179" s="751">
        <f>+'Plan de Accion 2018'!AP251</f>
        <v>0</v>
      </c>
      <c r="S179" s="873">
        <f t="shared" si="53"/>
        <v>0</v>
      </c>
      <c r="T179" s="637">
        <f>+S179</f>
        <v>0</v>
      </c>
      <c r="U179" s="329"/>
      <c r="V179" s="543">
        <f>+'Plan de Accion 2018'!AV251</f>
        <v>1</v>
      </c>
      <c r="W179" s="767">
        <f>+'Plan de Accion 2018'!AZ251</f>
        <v>1</v>
      </c>
      <c r="X179" s="629">
        <f>IF(W179&gt;100%,100%,W179)</f>
        <v>1</v>
      </c>
      <c r="Y179" s="882">
        <f>+'Plan de Accion 2018'!AZ251</f>
        <v>1</v>
      </c>
      <c r="Z179" s="882">
        <f t="shared" si="54"/>
        <v>1</v>
      </c>
      <c r="AA179" s="883">
        <f>+Z179</f>
        <v>1</v>
      </c>
      <c r="AB179" s="644"/>
      <c r="AC179" s="543">
        <f>+'Plan de Accion 2018'!BF251</f>
        <v>0</v>
      </c>
      <c r="AD179" s="767" t="str">
        <f>+'Plan de Accion 2018'!BS251</f>
        <v>No Prog ni Ejec</v>
      </c>
      <c r="AE179" s="629" t="s">
        <v>792</v>
      </c>
      <c r="AF179" s="767">
        <f>+'Plan de Accion 2018'!BJ251</f>
        <v>1</v>
      </c>
      <c r="AG179" s="637">
        <f t="shared" si="56"/>
        <v>1</v>
      </c>
      <c r="AH179" s="337"/>
      <c r="AI179" s="1016"/>
      <c r="AJ179" s="761"/>
      <c r="AK179" s="761"/>
      <c r="AL179" s="321"/>
      <c r="AM179" s="762"/>
      <c r="AN179" s="761"/>
      <c r="AO179" s="321"/>
      <c r="AP179" s="761"/>
      <c r="AQ179" s="761"/>
      <c r="AR179" s="321"/>
      <c r="AS179" s="761"/>
      <c r="AT179" s="761"/>
      <c r="AU179" s="326"/>
      <c r="AV179" s="338"/>
      <c r="AW179" s="352"/>
      <c r="AX179" s="761"/>
      <c r="AY179" s="761"/>
      <c r="AZ179" s="321"/>
      <c r="BA179" s="762"/>
      <c r="BB179" s="761"/>
      <c r="BC179" s="321"/>
      <c r="BD179" s="761"/>
      <c r="BE179" s="761"/>
      <c r="BF179" s="321"/>
      <c r="BG179" s="761"/>
      <c r="BH179" s="761"/>
      <c r="BI179" s="326"/>
      <c r="BJ179" s="338"/>
      <c r="BL179" s="761"/>
      <c r="BM179" s="761"/>
      <c r="BN179" s="321"/>
      <c r="BO179" s="762"/>
      <c r="BP179" s="761"/>
      <c r="BQ179" s="321"/>
      <c r="BR179" s="761"/>
      <c r="BS179" s="761"/>
      <c r="BT179" s="321"/>
      <c r="BU179" s="761"/>
      <c r="BV179" s="761"/>
      <c r="BW179" s="326"/>
      <c r="BX179" s="338"/>
      <c r="BZ179" s="761"/>
      <c r="CA179" s="761"/>
      <c r="CB179" s="321"/>
      <c r="CC179" s="762"/>
      <c r="CD179" s="761"/>
      <c r="CE179" s="321"/>
      <c r="CF179" s="761"/>
      <c r="CG179" s="761"/>
      <c r="CH179" s="321"/>
      <c r="CI179" s="761"/>
      <c r="CJ179" s="761"/>
      <c r="CK179" s="326"/>
      <c r="CL179" s="338"/>
    </row>
    <row r="180" spans="2:90" s="542" customFormat="1" ht="71.25" x14ac:dyDescent="0.25">
      <c r="B180" s="1393"/>
      <c r="C180" s="1397"/>
      <c r="D180" s="848" t="str">
        <f>+'Plan de Accion 2018'!G225</f>
        <v>Caracterización de ciudadanos y grupos de interés</v>
      </c>
      <c r="E180" s="848" t="str">
        <f>+'Plan de Accion 2018'!B225</f>
        <v>Oficina Asesora de Planeación y Control de Riegos
Dirección General</v>
      </c>
      <c r="F180" s="544" t="str">
        <f>+'Plan de Accion 2018'!S225</f>
        <v># Documentos de caracterización de ciudadanos y grupos de interés elaborados</v>
      </c>
      <c r="G180" s="362"/>
      <c r="H180" s="546">
        <f>+'Plan de Accion 2018'!AB225</f>
        <v>0</v>
      </c>
      <c r="I180" s="750" t="str">
        <f>+'Plan de Accion 2018'!BM225</f>
        <v>No Prog ni Ejec</v>
      </c>
      <c r="J180" s="750" t="s">
        <v>792</v>
      </c>
      <c r="K180" s="750">
        <f>+'Plan de Accion 2018'!AF225</f>
        <v>0</v>
      </c>
      <c r="L180" s="875">
        <f t="shared" si="52"/>
        <v>0</v>
      </c>
      <c r="M180" s="752" t="s">
        <v>792</v>
      </c>
      <c r="N180" s="644"/>
      <c r="O180" s="546">
        <f>+'Plan de Accion 2018'!AL225</f>
        <v>1</v>
      </c>
      <c r="P180" s="750">
        <f>+'Plan de Accion 2018'!BO225</f>
        <v>1</v>
      </c>
      <c r="Q180" s="629">
        <f>IF(P180&gt;100%,100%,P180)</f>
        <v>1</v>
      </c>
      <c r="R180" s="751">
        <f>+'Plan de Accion 2018'!AP225</f>
        <v>1</v>
      </c>
      <c r="S180" s="873">
        <f t="shared" si="53"/>
        <v>1</v>
      </c>
      <c r="T180" s="637">
        <f>+S180</f>
        <v>1</v>
      </c>
      <c r="U180" s="644">
        <v>1</v>
      </c>
      <c r="V180" s="748">
        <f>+'Plan de Accion 2018'!AV225</f>
        <v>0</v>
      </c>
      <c r="W180" s="750" t="str">
        <f>+'Plan de Accion 2018'!BQ225</f>
        <v>No Prog ni Ejec</v>
      </c>
      <c r="X180" s="629" t="s">
        <v>792</v>
      </c>
      <c r="Y180" s="882">
        <f>+'Plan de Accion 2018'!AZ225</f>
        <v>1</v>
      </c>
      <c r="Z180" s="882">
        <f t="shared" si="54"/>
        <v>1</v>
      </c>
      <c r="AA180" s="883">
        <f>+Z180</f>
        <v>1</v>
      </c>
      <c r="AB180" s="644"/>
      <c r="AC180" s="748">
        <f>+'Plan de Accion 2018'!BF259</f>
        <v>1</v>
      </c>
      <c r="AD180" s="750" t="str">
        <f>+'Plan de Accion 2018'!BS225</f>
        <v>No Prog ni Ejec</v>
      </c>
      <c r="AE180" s="629" t="s">
        <v>792</v>
      </c>
      <c r="AF180" s="750">
        <f>+'Plan de Accion 2018'!BJ225</f>
        <v>1</v>
      </c>
      <c r="AG180" s="637">
        <f t="shared" si="56"/>
        <v>1</v>
      </c>
      <c r="AH180" s="337"/>
      <c r="AI180" s="1016"/>
      <c r="AJ180" s="728"/>
      <c r="AK180" s="728"/>
      <c r="AL180" s="321"/>
      <c r="AM180" s="731"/>
      <c r="AN180" s="728"/>
      <c r="AO180" s="321"/>
      <c r="AP180" s="728"/>
      <c r="AQ180" s="728"/>
      <c r="AR180" s="321"/>
      <c r="AS180" s="728"/>
      <c r="AT180" s="728"/>
      <c r="AU180" s="326"/>
      <c r="AV180" s="338"/>
      <c r="AW180" s="352"/>
      <c r="AX180" s="728"/>
      <c r="AY180" s="728"/>
      <c r="AZ180" s="321"/>
      <c r="BA180" s="731"/>
      <c r="BB180" s="728"/>
      <c r="BC180" s="321"/>
      <c r="BD180" s="728"/>
      <c r="BE180" s="728"/>
      <c r="BF180" s="321"/>
      <c r="BG180" s="728"/>
      <c r="BH180" s="728"/>
      <c r="BI180" s="326"/>
      <c r="BJ180" s="338"/>
      <c r="BL180" s="728"/>
      <c r="BM180" s="728"/>
      <c r="BN180" s="321"/>
      <c r="BO180" s="731"/>
      <c r="BP180" s="728"/>
      <c r="BQ180" s="321"/>
      <c r="BR180" s="728"/>
      <c r="BS180" s="728"/>
      <c r="BT180" s="321"/>
      <c r="BU180" s="728"/>
      <c r="BV180" s="728"/>
      <c r="BW180" s="326"/>
      <c r="BX180" s="338"/>
      <c r="BZ180" s="728"/>
      <c r="CA180" s="728"/>
      <c r="CB180" s="321"/>
      <c r="CC180" s="731"/>
      <c r="CD180" s="728"/>
      <c r="CE180" s="321"/>
      <c r="CF180" s="728"/>
      <c r="CG180" s="728"/>
      <c r="CH180" s="321"/>
      <c r="CI180" s="728"/>
      <c r="CJ180" s="728"/>
      <c r="CK180" s="326"/>
      <c r="CL180" s="338"/>
    </row>
    <row r="181" spans="2:90" s="542" customFormat="1" ht="71.25" x14ac:dyDescent="0.25">
      <c r="B181" s="1393"/>
      <c r="C181" s="1397"/>
      <c r="D181" s="848" t="str">
        <f>+'Plan de Accion 2018'!G282</f>
        <v>Tramites y otros procedimientos administrativos - OPA desarrollados, implementados y publicados en página web</v>
      </c>
      <c r="E181" s="848" t="str">
        <f>+'Plan de Accion 2018'!B282</f>
        <v>Dirección de Liquidaciones y Garantías</v>
      </c>
      <c r="F181" s="774" t="str">
        <f>+'Plan de Accion 2018'!S282</f>
        <v># Tramites y otros procedimientos administrativos - OPA desarrollados, implementados y publicados en página web</v>
      </c>
      <c r="G181" s="362"/>
      <c r="H181" s="546">
        <f>+'Plan de Accion 2018'!AB282</f>
        <v>0</v>
      </c>
      <c r="I181" s="750" t="str">
        <f>+'Plan de Accion 2018'!BM282</f>
        <v>No Prog ni Ejec</v>
      </c>
      <c r="J181" s="750" t="s">
        <v>792</v>
      </c>
      <c r="K181" s="750">
        <f>+'Plan de Accion 2018'!AF282</f>
        <v>0</v>
      </c>
      <c r="L181" s="875">
        <f t="shared" si="52"/>
        <v>0</v>
      </c>
      <c r="M181" s="752" t="s">
        <v>792</v>
      </c>
      <c r="N181" s="644"/>
      <c r="O181" s="546">
        <f>+'Plan de Accion 2018'!AL282</f>
        <v>0</v>
      </c>
      <c r="P181" s="750" t="str">
        <f>+'Plan de Accion 2018'!BO282</f>
        <v>No Prog ni Ejec</v>
      </c>
      <c r="Q181" s="629" t="s">
        <v>792</v>
      </c>
      <c r="R181" s="751">
        <f>+'Plan de Accion 2018'!AP282</f>
        <v>0</v>
      </c>
      <c r="S181" s="873">
        <f t="shared" si="53"/>
        <v>0</v>
      </c>
      <c r="T181" s="637" t="s">
        <v>792</v>
      </c>
      <c r="U181" s="644">
        <v>1</v>
      </c>
      <c r="V181" s="748">
        <f>+'Plan de Accion 2018'!AV282</f>
        <v>0</v>
      </c>
      <c r="W181" s="750" t="str">
        <f>+'Plan de Accion 2018'!BQ282</f>
        <v>No Prog ni Ejec</v>
      </c>
      <c r="X181" s="629" t="s">
        <v>792</v>
      </c>
      <c r="Y181" s="882">
        <f>+'Plan de Accion 2018'!AZ282</f>
        <v>0</v>
      </c>
      <c r="Z181" s="882">
        <f t="shared" si="54"/>
        <v>0</v>
      </c>
      <c r="AA181" s="883" t="s">
        <v>792</v>
      </c>
      <c r="AB181" s="644"/>
      <c r="AC181" s="748">
        <f>+'Plan de Accion 2018'!BF282</f>
        <v>2</v>
      </c>
      <c r="AD181" s="750">
        <f>+'Plan de Accion 2018'!BS282</f>
        <v>0.5</v>
      </c>
      <c r="AE181" s="629">
        <f>IF(AD181&gt;100%,100%,AD181)</f>
        <v>0.5</v>
      </c>
      <c r="AF181" s="750">
        <f>+'Plan de Accion 2018'!BJ282</f>
        <v>0.5</v>
      </c>
      <c r="AG181" s="637">
        <f t="shared" si="56"/>
        <v>0.5</v>
      </c>
      <c r="AH181" s="337"/>
      <c r="AI181" s="1016"/>
      <c r="AJ181" s="761"/>
      <c r="AK181" s="761"/>
      <c r="AL181" s="321"/>
      <c r="AM181" s="762"/>
      <c r="AN181" s="761"/>
      <c r="AO181" s="321"/>
      <c r="AP181" s="761"/>
      <c r="AQ181" s="761"/>
      <c r="AR181" s="321"/>
      <c r="AS181" s="761"/>
      <c r="AT181" s="761"/>
      <c r="AU181" s="326"/>
      <c r="AV181" s="338"/>
      <c r="AW181" s="352"/>
      <c r="AX181" s="761"/>
      <c r="AY181" s="761"/>
      <c r="AZ181" s="321"/>
      <c r="BA181" s="762"/>
      <c r="BB181" s="761"/>
      <c r="BC181" s="321"/>
      <c r="BD181" s="761"/>
      <c r="BE181" s="761"/>
      <c r="BF181" s="321"/>
      <c r="BG181" s="761"/>
      <c r="BH181" s="761"/>
      <c r="BI181" s="326"/>
      <c r="BJ181" s="338"/>
      <c r="BL181" s="761"/>
      <c r="BM181" s="761"/>
      <c r="BN181" s="321"/>
      <c r="BO181" s="762"/>
      <c r="BP181" s="761"/>
      <c r="BQ181" s="321"/>
      <c r="BR181" s="761"/>
      <c r="BS181" s="761"/>
      <c r="BT181" s="321"/>
      <c r="BU181" s="761"/>
      <c r="BV181" s="761"/>
      <c r="BW181" s="326"/>
      <c r="BX181" s="338"/>
      <c r="BZ181" s="761"/>
      <c r="CA181" s="761"/>
      <c r="CB181" s="321"/>
      <c r="CC181" s="762"/>
      <c r="CD181" s="761"/>
      <c r="CE181" s="321"/>
      <c r="CF181" s="761"/>
      <c r="CG181" s="761"/>
      <c r="CH181" s="321"/>
      <c r="CI181" s="761"/>
      <c r="CJ181" s="761"/>
      <c r="CK181" s="326"/>
      <c r="CL181" s="338"/>
    </row>
    <row r="182" spans="2:90" s="542" customFormat="1" ht="57.75" customHeight="1" thickBot="1" x14ac:dyDescent="0.3">
      <c r="B182" s="1393"/>
      <c r="C182" s="1397"/>
      <c r="D182" s="757" t="str">
        <f>+'Plan de Accion 2018'!G283</f>
        <v>Tramites y otros procedimientos administrativos - OPA desarrollados, implementados y publicados en página web</v>
      </c>
      <c r="E182" s="757" t="str">
        <f>+'Plan de Accion 2018'!B283</f>
        <v xml:space="preserve">Dirección de Otras Prestaciones  </v>
      </c>
      <c r="F182" s="774" t="str">
        <f>+'Plan de Accion 2018'!S283</f>
        <v># Tramites y otros procedimientos administrativos - OPA desarrollados, implementados y publicados en página web</v>
      </c>
      <c r="G182" s="362"/>
      <c r="H182" s="546">
        <f>+'Plan de Accion 2018'!AB283</f>
        <v>0</v>
      </c>
      <c r="I182" s="750" t="str">
        <f>+'Plan de Accion 2018'!BM283</f>
        <v>No Prog ni Ejec</v>
      </c>
      <c r="J182" s="750" t="s">
        <v>792</v>
      </c>
      <c r="K182" s="750">
        <f>+'Plan de Accion 2018'!AF283</f>
        <v>0</v>
      </c>
      <c r="L182" s="875">
        <f t="shared" si="52"/>
        <v>0</v>
      </c>
      <c r="M182" s="752" t="s">
        <v>792</v>
      </c>
      <c r="N182" s="644"/>
      <c r="O182" s="546">
        <f>+'Plan de Accion 2018'!AL283</f>
        <v>0</v>
      </c>
      <c r="P182" s="750" t="str">
        <f>+'Plan de Accion 2018'!BO283</f>
        <v>No Prog ni Ejec</v>
      </c>
      <c r="Q182" s="629" t="s">
        <v>792</v>
      </c>
      <c r="R182" s="751">
        <f>+'Plan de Accion 2018'!AP283</f>
        <v>0</v>
      </c>
      <c r="S182" s="873">
        <f t="shared" si="53"/>
        <v>0</v>
      </c>
      <c r="T182" s="637" t="s">
        <v>792</v>
      </c>
      <c r="U182" s="644">
        <v>1</v>
      </c>
      <c r="V182" s="748">
        <f>+'Plan de Accion 2018'!AV283</f>
        <v>0</v>
      </c>
      <c r="W182" s="750" t="str">
        <f>+'Plan de Accion 2018'!BQ283</f>
        <v>No Prog ni Ejec</v>
      </c>
      <c r="X182" s="629" t="s">
        <v>792</v>
      </c>
      <c r="Y182" s="882">
        <f>+'Plan de Accion 2018'!AZ283</f>
        <v>0</v>
      </c>
      <c r="Z182" s="882">
        <f t="shared" si="54"/>
        <v>0</v>
      </c>
      <c r="AA182" s="883" t="s">
        <v>792</v>
      </c>
      <c r="AB182" s="644"/>
      <c r="AC182" s="748">
        <f>+'Plan de Accion 2018'!BF283</f>
        <v>1</v>
      </c>
      <c r="AD182" s="750">
        <f>+'Plan de Accion 2018'!BS283</f>
        <v>0.33333333333333331</v>
      </c>
      <c r="AE182" s="629">
        <f>IF(AD182&gt;100%,100%,AD182)</f>
        <v>0.33333333333333331</v>
      </c>
      <c r="AF182" s="750">
        <f>+'Plan de Accion 2018'!BJ283</f>
        <v>0.33333333333333331</v>
      </c>
      <c r="AG182" s="637">
        <f t="shared" si="56"/>
        <v>0.33333333333333331</v>
      </c>
      <c r="AH182" s="337"/>
      <c r="AI182" s="1016"/>
      <c r="AJ182" s="761"/>
      <c r="AK182" s="761"/>
      <c r="AL182" s="321"/>
      <c r="AM182" s="762"/>
      <c r="AN182" s="761"/>
      <c r="AO182" s="321"/>
      <c r="AP182" s="761"/>
      <c r="AQ182" s="761"/>
      <c r="AR182" s="321"/>
      <c r="AS182" s="761"/>
      <c r="AT182" s="761"/>
      <c r="AU182" s="326"/>
      <c r="AV182" s="338"/>
      <c r="AW182" s="352"/>
      <c r="AX182" s="761"/>
      <c r="AY182" s="761"/>
      <c r="AZ182" s="321"/>
      <c r="BA182" s="762"/>
      <c r="BB182" s="761"/>
      <c r="BC182" s="321"/>
      <c r="BD182" s="761"/>
      <c r="BE182" s="761"/>
      <c r="BF182" s="321"/>
      <c r="BG182" s="761"/>
      <c r="BH182" s="761"/>
      <c r="BI182" s="326"/>
      <c r="BJ182" s="338"/>
      <c r="BL182" s="761"/>
      <c r="BM182" s="761"/>
      <c r="BN182" s="321"/>
      <c r="BO182" s="762"/>
      <c r="BP182" s="761"/>
      <c r="BQ182" s="321"/>
      <c r="BR182" s="761"/>
      <c r="BS182" s="761"/>
      <c r="BT182" s="321"/>
      <c r="BU182" s="761"/>
      <c r="BV182" s="761"/>
      <c r="BW182" s="326"/>
      <c r="BX182" s="338"/>
      <c r="BZ182" s="761"/>
      <c r="CA182" s="761"/>
      <c r="CB182" s="321"/>
      <c r="CC182" s="762"/>
      <c r="CD182" s="761"/>
      <c r="CE182" s="321"/>
      <c r="CF182" s="761"/>
      <c r="CG182" s="761"/>
      <c r="CH182" s="321"/>
      <c r="CI182" s="761"/>
      <c r="CJ182" s="761"/>
      <c r="CK182" s="326"/>
      <c r="CL182" s="338"/>
    </row>
    <row r="183" spans="2:90" ht="33.75" customHeight="1" thickBot="1" x14ac:dyDescent="0.3">
      <c r="B183" s="1393"/>
      <c r="C183" s="1425" t="s">
        <v>816</v>
      </c>
      <c r="D183" s="1400"/>
      <c r="E183" s="1400"/>
      <c r="F183" s="1401"/>
      <c r="G183" s="362"/>
      <c r="H183" s="346" t="s">
        <v>792</v>
      </c>
      <c r="I183" s="332">
        <f>SUM(I120:I182)/COUNT(I120:I177)</f>
        <v>1.0883717565560687</v>
      </c>
      <c r="J183" s="332">
        <f>IF(I183&gt;100%,100%,I183)</f>
        <v>1</v>
      </c>
      <c r="K183" s="332">
        <f>SUM(K120:K182)/COUNT(K120:K182)</f>
        <v>0.14989355033573665</v>
      </c>
      <c r="L183" s="332">
        <f>SUM(L120:L182)/COUNT(L120:L182)</f>
        <v>0.14989355033573665</v>
      </c>
      <c r="M183" s="334">
        <f>SUM(M120:M182)/COUNT(M120:M182)</f>
        <v>0.49796667337864853</v>
      </c>
      <c r="N183" s="692"/>
      <c r="O183" s="346" t="s">
        <v>792</v>
      </c>
      <c r="P183" s="635">
        <f>SUM(P120:P182)/COUNT(P120:P182)</f>
        <v>0.92189270224983866</v>
      </c>
      <c r="Q183" s="635">
        <f>SUM(Q120:Q182)/COUNT(Q120:Q182)</f>
        <v>0.85741578925547002</v>
      </c>
      <c r="R183" s="639">
        <f>SUM(R120:R182)/COUNT(R120:R182)</f>
        <v>0.33617358182274498</v>
      </c>
      <c r="S183" s="670">
        <f>SUM(S120:S182)/COUNT(S120:S182)</f>
        <v>0.33455911408361605</v>
      </c>
      <c r="T183" s="645">
        <f>SUM(T120:T182)/COUNT(T120:T182)</f>
        <v>0.65866325585211905</v>
      </c>
      <c r="U183" s="644">
        <v>1</v>
      </c>
      <c r="V183" s="346" t="s">
        <v>792</v>
      </c>
      <c r="W183" s="332">
        <f>SUM(W120:W182)/COUNT(W120:W182)</f>
        <v>0.95002615634703258</v>
      </c>
      <c r="X183" s="332">
        <f>SUM(X120:X182)/COUNT(X120:X182)</f>
        <v>0.92791728218303182</v>
      </c>
      <c r="Y183" s="651">
        <f>SUM(Y120:Y182)/COUNT(Y120:Y123,Y125:Y177)</f>
        <v>0.63902955449295906</v>
      </c>
      <c r="Z183" s="651">
        <f>SUM(Z120:Z182)/COUNT(Z120:Z123,Z125:Z177)</f>
        <v>0.6137820134131543</v>
      </c>
      <c r="AA183" s="617">
        <f>SUM(AA120:AA182)/COUNT(AA120:AA182)</f>
        <v>0.8374479666094542</v>
      </c>
      <c r="AB183" s="692"/>
      <c r="AC183" s="346" t="s">
        <v>792</v>
      </c>
      <c r="AD183" s="332">
        <f>SUM(AD120:AD182)/COUNT(AD120:AD182)</f>
        <v>1.4671330041216561</v>
      </c>
      <c r="AE183" s="332">
        <f>SUM(AE120:AE182)/COUNT(AE120:AE182)</f>
        <v>0.80644686348442018</v>
      </c>
      <c r="AF183" s="635">
        <f>SUM(AF120:AF182)/COUNT(AF120:AF182)</f>
        <v>0.98198842542916687</v>
      </c>
      <c r="AG183" s="400">
        <f>SUM(AG120:AG182)/COUNT(AG120:AG182)</f>
        <v>0.91339466660916013</v>
      </c>
      <c r="AH183" s="337"/>
      <c r="AI183" s="1016"/>
      <c r="AJ183" s="341"/>
      <c r="AK183" s="341"/>
      <c r="AL183" s="321"/>
      <c r="AM183" s="342"/>
      <c r="AN183" s="341"/>
      <c r="AO183" s="321"/>
      <c r="AP183" s="341"/>
      <c r="AQ183" s="341"/>
      <c r="AR183" s="321"/>
      <c r="AS183" s="341"/>
      <c r="AT183" s="341"/>
      <c r="AU183" s="326"/>
      <c r="AV183" s="338"/>
      <c r="AW183" s="352"/>
      <c r="AX183" s="341"/>
      <c r="AY183" s="341"/>
      <c r="AZ183" s="321"/>
      <c r="BA183" s="342"/>
      <c r="BB183" s="341"/>
      <c r="BC183" s="321"/>
      <c r="BD183" s="341"/>
      <c r="BE183" s="341"/>
      <c r="BF183" s="321"/>
      <c r="BG183" s="341"/>
      <c r="BH183" s="341"/>
      <c r="BI183" s="326"/>
      <c r="BJ183" s="338"/>
      <c r="BL183" s="341"/>
      <c r="BM183" s="341"/>
      <c r="BN183" s="321"/>
      <c r="BO183" s="342"/>
      <c r="BP183" s="341"/>
      <c r="BQ183" s="321"/>
      <c r="BR183" s="341"/>
      <c r="BS183" s="341"/>
      <c r="BT183" s="321"/>
      <c r="BU183" s="341"/>
      <c r="BV183" s="341"/>
      <c r="BW183" s="326"/>
      <c r="BX183" s="338"/>
      <c r="BZ183" s="341"/>
      <c r="CA183" s="341"/>
      <c r="CB183" s="321"/>
      <c r="CC183" s="342"/>
      <c r="CD183" s="341"/>
      <c r="CE183" s="321"/>
      <c r="CF183" s="341"/>
      <c r="CG183" s="341"/>
      <c r="CH183" s="321"/>
      <c r="CI183" s="341"/>
      <c r="CJ183" s="341"/>
      <c r="CK183" s="326"/>
      <c r="CL183" s="338"/>
    </row>
    <row r="184" spans="2:90" ht="28.5" x14ac:dyDescent="0.25">
      <c r="B184" s="1394"/>
      <c r="C184" s="1396" t="s">
        <v>144</v>
      </c>
      <c r="D184" s="759" t="str">
        <f>+'Plan de Accion 2018'!G47</f>
        <v>Proceso de Compensación</v>
      </c>
      <c r="E184" s="1351" t="str">
        <f>+'Plan de Accion 2018'!B47</f>
        <v>Dirección de Liquidaciones y Garantías</v>
      </c>
      <c r="F184" s="769" t="str">
        <f>+'Plan de Accion 2018'!S47</f>
        <v># Procesos de Compensación Ejecutados</v>
      </c>
      <c r="G184" s="362"/>
      <c r="H184" s="547">
        <f>+'Plan de Accion 2018'!AB47</f>
        <v>11</v>
      </c>
      <c r="I184" s="751">
        <f>+'Plan de Accion 2018'!BM47</f>
        <v>1</v>
      </c>
      <c r="J184" s="751">
        <f t="shared" si="35"/>
        <v>1</v>
      </c>
      <c r="K184" s="751">
        <f>+'Plan de Accion 2018'!AF47</f>
        <v>0.23404255319148937</v>
      </c>
      <c r="L184" s="751">
        <f>+K184</f>
        <v>0.23404255319148937</v>
      </c>
      <c r="M184" s="753">
        <f t="shared" si="36"/>
        <v>0.23404255319148937</v>
      </c>
      <c r="N184" s="644"/>
      <c r="O184" s="547">
        <f>+'Plan de Accion 2018'!AL47</f>
        <v>12</v>
      </c>
      <c r="P184" s="751">
        <f>+'Plan de Accion 2018'!BO47</f>
        <v>1</v>
      </c>
      <c r="Q184" s="629">
        <f t="shared" ref="Q184:Q193" si="61">IF(P184&gt;100%,100%,P184)</f>
        <v>1</v>
      </c>
      <c r="R184" s="751">
        <f>+'Plan de Accion 2018'!AP47</f>
        <v>0.48936170212765956</v>
      </c>
      <c r="S184" s="751">
        <f>IF(R184&gt;100%,100%,R184)</f>
        <v>0.48936170212765956</v>
      </c>
      <c r="T184" s="637">
        <f t="shared" ref="T184:T193" si="62">+S184</f>
        <v>0.48936170212765956</v>
      </c>
      <c r="U184" s="329"/>
      <c r="V184" s="547">
        <f>+'Plan de Accion 2018'!AV47</f>
        <v>12</v>
      </c>
      <c r="W184" s="751">
        <f>+'Plan de Accion 2018'!BQ47</f>
        <v>1</v>
      </c>
      <c r="X184" s="629">
        <f t="shared" ref="X184:X193" si="63">IF(W184&gt;100%,100%,W184)</f>
        <v>1</v>
      </c>
      <c r="Y184" s="882">
        <f>+'Plan de Accion 2018'!AZ47</f>
        <v>0.74468085106382975</v>
      </c>
      <c r="Z184" s="882">
        <f>IF(Y184&gt;100%,100%,Y184)</f>
        <v>0.74468085106382975</v>
      </c>
      <c r="AA184" s="883">
        <f t="shared" ref="AA184:AA193" si="64">+Z184</f>
        <v>0.74468085106382975</v>
      </c>
      <c r="AB184" s="644"/>
      <c r="AC184" s="547">
        <f>+'Plan de Accion 2018'!BF47</f>
        <v>12</v>
      </c>
      <c r="AD184" s="751">
        <f>+'Plan de Accion 2018'!BS47</f>
        <v>1</v>
      </c>
      <c r="AE184" s="629">
        <f t="shared" ref="AE184:AE200" si="65">IF(AD184&gt;100%,100%,AD184)</f>
        <v>1</v>
      </c>
      <c r="AF184" s="751">
        <f>+'Plan de Accion 2018'!BJ47</f>
        <v>1</v>
      </c>
      <c r="AG184" s="637">
        <f t="shared" ref="AG184:AG200" si="66">IF(AF184&gt;100%,100%,AF184)</f>
        <v>1</v>
      </c>
      <c r="AH184" s="335"/>
      <c r="AI184" s="1016"/>
      <c r="AJ184" s="341"/>
      <c r="AK184" s="341"/>
      <c r="AL184" s="321"/>
      <c r="AM184" s="342"/>
      <c r="AN184" s="341"/>
      <c r="AO184" s="321"/>
      <c r="AP184" s="341"/>
      <c r="AQ184" s="341"/>
      <c r="AR184" s="321"/>
      <c r="AS184" s="341"/>
      <c r="AT184" s="341"/>
      <c r="AU184" s="326"/>
      <c r="AV184" s="338"/>
      <c r="AW184" s="352"/>
      <c r="AX184" s="341"/>
      <c r="AY184" s="341"/>
      <c r="AZ184" s="321"/>
      <c r="BA184" s="342"/>
      <c r="BB184" s="341"/>
      <c r="BC184" s="321"/>
      <c r="BD184" s="341"/>
      <c r="BE184" s="341"/>
      <c r="BF184" s="321"/>
      <c r="BG184" s="341"/>
      <c r="BH184" s="341"/>
      <c r="BI184" s="326"/>
      <c r="BJ184" s="338"/>
      <c r="BL184" s="341"/>
      <c r="BM184" s="341"/>
      <c r="BN184" s="321"/>
      <c r="BO184" s="342"/>
      <c r="BP184" s="341"/>
      <c r="BQ184" s="321"/>
      <c r="BR184" s="341"/>
      <c r="BS184" s="341"/>
      <c r="BT184" s="321"/>
      <c r="BU184" s="341"/>
      <c r="BV184" s="341"/>
      <c r="BW184" s="326"/>
      <c r="BX184" s="338"/>
      <c r="BZ184" s="341"/>
      <c r="CA184" s="341"/>
      <c r="CB184" s="321"/>
      <c r="CC184" s="342"/>
      <c r="CD184" s="341"/>
      <c r="CE184" s="321"/>
      <c r="CF184" s="341"/>
      <c r="CG184" s="341"/>
      <c r="CH184" s="321"/>
      <c r="CI184" s="341"/>
      <c r="CJ184" s="341"/>
      <c r="CK184" s="326"/>
      <c r="CL184" s="338"/>
    </row>
    <row r="185" spans="2:90" ht="28.5" x14ac:dyDescent="0.25">
      <c r="B185" s="1394"/>
      <c r="C185" s="1397"/>
      <c r="D185" s="754" t="str">
        <f>+'Plan de Accion 2018'!G48</f>
        <v>Liquidación de la UPC de los Afiliados del Régimen Subsidiado</v>
      </c>
      <c r="E185" s="1402"/>
      <c r="F185" s="344" t="str">
        <f>+'Plan de Accion 2018'!S48</f>
        <v xml:space="preserve"># Procesos de LMA Ejecutados </v>
      </c>
      <c r="G185" s="362"/>
      <c r="H185" s="545">
        <f>+'Plan de Accion 2018'!AB48</f>
        <v>3</v>
      </c>
      <c r="I185" s="767">
        <f>+'Plan de Accion 2018'!BM48</f>
        <v>1</v>
      </c>
      <c r="J185" s="767">
        <f t="shared" si="35"/>
        <v>1</v>
      </c>
      <c r="K185" s="767">
        <f>+'Plan de Accion 2018'!AF48</f>
        <v>0.25</v>
      </c>
      <c r="L185" s="767">
        <f>+K185</f>
        <v>0.25</v>
      </c>
      <c r="M185" s="682">
        <f t="shared" si="36"/>
        <v>0.25</v>
      </c>
      <c r="N185" s="644"/>
      <c r="O185" s="545">
        <f>+'Plan de Accion 2018'!AL48</f>
        <v>3</v>
      </c>
      <c r="P185" s="767">
        <f>+'Plan de Accion 2018'!BO48</f>
        <v>1</v>
      </c>
      <c r="Q185" s="629">
        <f t="shared" si="61"/>
        <v>1</v>
      </c>
      <c r="R185" s="751">
        <f>+'Plan de Accion 2018'!AP48</f>
        <v>0.5</v>
      </c>
      <c r="S185" s="751">
        <f>IF(R185&gt;100%,100%,R185)</f>
        <v>0.5</v>
      </c>
      <c r="T185" s="637">
        <f t="shared" si="62"/>
        <v>0.5</v>
      </c>
      <c r="U185" s="329"/>
      <c r="V185" s="545">
        <f>+'Plan de Accion 2018'!AV48</f>
        <v>3</v>
      </c>
      <c r="W185" s="767">
        <f>+'Plan de Accion 2018'!BQ48</f>
        <v>1</v>
      </c>
      <c r="X185" s="629">
        <f t="shared" si="63"/>
        <v>1</v>
      </c>
      <c r="Y185" s="882">
        <f>+'Plan de Accion 2018'!AZ48</f>
        <v>0.75</v>
      </c>
      <c r="Z185" s="882">
        <f>IF(Y185&gt;100%,100%,Y185)</f>
        <v>0.75</v>
      </c>
      <c r="AA185" s="883">
        <f t="shared" si="64"/>
        <v>0.75</v>
      </c>
      <c r="AB185" s="644"/>
      <c r="AC185" s="545">
        <f>+'Plan de Accion 2018'!BF48</f>
        <v>3</v>
      </c>
      <c r="AD185" s="767">
        <f>+'Plan de Accion 2018'!BS48</f>
        <v>1</v>
      </c>
      <c r="AE185" s="629">
        <f t="shared" si="65"/>
        <v>1</v>
      </c>
      <c r="AF185" s="767">
        <f>+'Plan de Accion 2018'!BJ48</f>
        <v>1</v>
      </c>
      <c r="AG185" s="637">
        <f t="shared" si="66"/>
        <v>1</v>
      </c>
      <c r="AH185" s="337"/>
      <c r="AI185" s="1016"/>
      <c r="AJ185" s="341"/>
      <c r="AK185" s="341"/>
      <c r="AL185" s="321"/>
      <c r="AM185" s="342"/>
      <c r="AN185" s="341"/>
      <c r="AO185" s="321"/>
      <c r="AP185" s="341"/>
      <c r="AQ185" s="341"/>
      <c r="AR185" s="321"/>
      <c r="AS185" s="341"/>
      <c r="AT185" s="341"/>
      <c r="AU185" s="326"/>
      <c r="AV185" s="338"/>
      <c r="AW185" s="352"/>
      <c r="AX185" s="341"/>
      <c r="AY185" s="341"/>
      <c r="AZ185" s="321"/>
      <c r="BA185" s="342"/>
      <c r="BB185" s="341"/>
      <c r="BC185" s="321"/>
      <c r="BD185" s="341"/>
      <c r="BE185" s="341"/>
      <c r="BF185" s="321"/>
      <c r="BG185" s="341"/>
      <c r="BH185" s="341"/>
      <c r="BI185" s="326"/>
      <c r="BJ185" s="338"/>
      <c r="BL185" s="341"/>
      <c r="BM185" s="341"/>
      <c r="BN185" s="321"/>
      <c r="BO185" s="342"/>
      <c r="BP185" s="341"/>
      <c r="BQ185" s="321"/>
      <c r="BR185" s="341"/>
      <c r="BS185" s="341"/>
      <c r="BT185" s="321"/>
      <c r="BU185" s="341"/>
      <c r="BV185" s="341"/>
      <c r="BW185" s="326"/>
      <c r="BX185" s="338"/>
      <c r="BZ185" s="341"/>
      <c r="CA185" s="341"/>
      <c r="CB185" s="321"/>
      <c r="CC185" s="342"/>
      <c r="CD185" s="341"/>
      <c r="CE185" s="321"/>
      <c r="CF185" s="341"/>
      <c r="CG185" s="341"/>
      <c r="CH185" s="321"/>
      <c r="CI185" s="341"/>
      <c r="CJ185" s="341"/>
      <c r="CK185" s="326"/>
      <c r="CL185" s="338"/>
    </row>
    <row r="186" spans="2:90" ht="29.25" thickBot="1" x14ac:dyDescent="0.3">
      <c r="B186" s="1394"/>
      <c r="C186" s="1397"/>
      <c r="D186" s="754" t="str">
        <f>+'Plan de Accion 2018'!G49</f>
        <v>Giro Directo RC</v>
      </c>
      <c r="E186" s="1402"/>
      <c r="F186" s="344" t="str">
        <f>+'Plan de Accion 2018'!S49</f>
        <v># Giros Directos Ejecutados y Publicados</v>
      </c>
      <c r="G186" s="362"/>
      <c r="H186" s="545">
        <f>+'Plan de Accion 2018'!AB49</f>
        <v>3</v>
      </c>
      <c r="I186" s="767">
        <f>+'Plan de Accion 2018'!BM49</f>
        <v>1</v>
      </c>
      <c r="J186" s="767">
        <f t="shared" si="35"/>
        <v>1</v>
      </c>
      <c r="K186" s="767">
        <f>+'Plan de Accion 2018'!AF49</f>
        <v>0.25</v>
      </c>
      <c r="L186" s="875">
        <f t="shared" ref="L186:L205" si="67">+K186</f>
        <v>0.25</v>
      </c>
      <c r="M186" s="682">
        <f t="shared" si="36"/>
        <v>0.25</v>
      </c>
      <c r="N186" s="644"/>
      <c r="O186" s="545">
        <f>+'Plan de Accion 2018'!AL49</f>
        <v>3</v>
      </c>
      <c r="P186" s="767">
        <f>+'Plan de Accion 2018'!BO49</f>
        <v>1</v>
      </c>
      <c r="Q186" s="629">
        <f t="shared" si="61"/>
        <v>1</v>
      </c>
      <c r="R186" s="751">
        <f>+'Plan de Accion 2018'!AP49</f>
        <v>0.5</v>
      </c>
      <c r="S186" s="873">
        <f t="shared" ref="S186:S205" si="68">IF(R186&gt;100%,100%,R186)</f>
        <v>0.5</v>
      </c>
      <c r="T186" s="637">
        <f t="shared" si="62"/>
        <v>0.5</v>
      </c>
      <c r="U186" s="329"/>
      <c r="V186" s="545">
        <f>+'Plan de Accion 2018'!AV49</f>
        <v>4</v>
      </c>
      <c r="W186" s="767">
        <f>+'Plan de Accion 2018'!BQ49</f>
        <v>1.3333333333333333</v>
      </c>
      <c r="X186" s="629">
        <f t="shared" si="63"/>
        <v>1</v>
      </c>
      <c r="Y186" s="882">
        <f>+'Plan de Accion 2018'!AZ49</f>
        <v>0.83333333333333337</v>
      </c>
      <c r="Z186" s="882">
        <f t="shared" ref="Z186:Z205" si="69">IF(Y186&gt;100%,100%,Y186)</f>
        <v>0.83333333333333337</v>
      </c>
      <c r="AA186" s="883">
        <f t="shared" si="64"/>
        <v>0.83333333333333337</v>
      </c>
      <c r="AB186" s="644">
        <v>1</v>
      </c>
      <c r="AC186" s="545">
        <f>+'Plan de Accion 2018'!BF49</f>
        <v>3</v>
      </c>
      <c r="AD186" s="767">
        <f>+'Plan de Accion 2018'!BS49</f>
        <v>1</v>
      </c>
      <c r="AE186" s="629">
        <f t="shared" si="65"/>
        <v>1</v>
      </c>
      <c r="AF186" s="767">
        <f>+'Plan de Accion 2018'!BJ49</f>
        <v>1.0833333333333333</v>
      </c>
      <c r="AG186" s="637">
        <f t="shared" si="66"/>
        <v>1</v>
      </c>
      <c r="AH186" s="339"/>
      <c r="AI186" s="1016">
        <v>1</v>
      </c>
      <c r="AJ186" s="341"/>
      <c r="AK186" s="341"/>
      <c r="AL186" s="321"/>
      <c r="AM186" s="342"/>
      <c r="AN186" s="341"/>
      <c r="AO186" s="321"/>
      <c r="AP186" s="341"/>
      <c r="AQ186" s="341"/>
      <c r="AR186" s="321"/>
      <c r="AS186" s="341"/>
      <c r="AT186" s="341"/>
      <c r="AU186" s="326"/>
      <c r="AV186" s="338"/>
      <c r="AW186" s="352"/>
      <c r="AX186" s="341"/>
      <c r="AY186" s="341"/>
      <c r="AZ186" s="321"/>
      <c r="BA186" s="342"/>
      <c r="BB186" s="341"/>
      <c r="BC186" s="321"/>
      <c r="BD186" s="341"/>
      <c r="BE186" s="341"/>
      <c r="BF186" s="321"/>
      <c r="BG186" s="341"/>
      <c r="BH186" s="341"/>
      <c r="BI186" s="326"/>
      <c r="BJ186" s="338"/>
      <c r="BL186" s="341"/>
      <c r="BM186" s="341"/>
      <c r="BN186" s="321"/>
      <c r="BO186" s="342"/>
      <c r="BP186" s="341"/>
      <c r="BQ186" s="321"/>
      <c r="BR186" s="341"/>
      <c r="BS186" s="341"/>
      <c r="BT186" s="321"/>
      <c r="BU186" s="341"/>
      <c r="BV186" s="341"/>
      <c r="BW186" s="326"/>
      <c r="BX186" s="338"/>
      <c r="BZ186" s="341"/>
      <c r="CA186" s="341"/>
      <c r="CB186" s="321"/>
      <c r="CC186" s="342"/>
      <c r="CD186" s="341"/>
      <c r="CE186" s="321"/>
      <c r="CF186" s="341"/>
      <c r="CG186" s="341"/>
      <c r="CH186" s="321"/>
      <c r="CI186" s="341"/>
      <c r="CJ186" s="341"/>
      <c r="CK186" s="326"/>
      <c r="CL186" s="338"/>
    </row>
    <row r="187" spans="2:90" ht="28.5" x14ac:dyDescent="0.25">
      <c r="B187" s="1394"/>
      <c r="C187" s="1397"/>
      <c r="D187" s="754" t="str">
        <f>+'Plan de Accion 2018'!G50</f>
        <v>Giro Directo RS</v>
      </c>
      <c r="E187" s="1402"/>
      <c r="F187" s="344" t="str">
        <f>+'Plan de Accion 2018'!S50</f>
        <v># Giros Directos Ejecutados y Publicados</v>
      </c>
      <c r="G187" s="362"/>
      <c r="H187" s="545">
        <f>+'Plan de Accion 2018'!AB50</f>
        <v>3</v>
      </c>
      <c r="I187" s="767">
        <f>+'Plan de Accion 2018'!BM50</f>
        <v>1</v>
      </c>
      <c r="J187" s="767">
        <f t="shared" si="35"/>
        <v>1</v>
      </c>
      <c r="K187" s="767">
        <f>+'Plan de Accion 2018'!AF50</f>
        <v>0.25</v>
      </c>
      <c r="L187" s="875">
        <f t="shared" si="67"/>
        <v>0.25</v>
      </c>
      <c r="M187" s="682">
        <f t="shared" si="36"/>
        <v>0.25</v>
      </c>
      <c r="N187" s="644"/>
      <c r="O187" s="545">
        <f>+'Plan de Accion 2018'!AL50</f>
        <v>3</v>
      </c>
      <c r="P187" s="767">
        <f>+'Plan de Accion 2018'!BO50</f>
        <v>1</v>
      </c>
      <c r="Q187" s="629">
        <f t="shared" si="61"/>
        <v>1</v>
      </c>
      <c r="R187" s="751">
        <f>+'Plan de Accion 2018'!AP50</f>
        <v>0.5</v>
      </c>
      <c r="S187" s="873">
        <f t="shared" si="68"/>
        <v>0.5</v>
      </c>
      <c r="T187" s="637">
        <f t="shared" si="62"/>
        <v>0.5</v>
      </c>
      <c r="U187" s="329"/>
      <c r="V187" s="545">
        <f>+'Plan de Accion 2018'!AV50</f>
        <v>3</v>
      </c>
      <c r="W187" s="767">
        <f>+'Plan de Accion 2018'!BQ50</f>
        <v>1</v>
      </c>
      <c r="X187" s="629">
        <f t="shared" si="63"/>
        <v>1</v>
      </c>
      <c r="Y187" s="882">
        <f>+'Plan de Accion 2018'!AZ50</f>
        <v>0.75</v>
      </c>
      <c r="Z187" s="882">
        <f t="shared" si="69"/>
        <v>0.75</v>
      </c>
      <c r="AA187" s="883">
        <f t="shared" si="64"/>
        <v>0.75</v>
      </c>
      <c r="AB187" s="644"/>
      <c r="AC187" s="545">
        <f>+'Plan de Accion 2018'!BF50</f>
        <v>3</v>
      </c>
      <c r="AD187" s="767">
        <f>+'Plan de Accion 2018'!BS50</f>
        <v>1</v>
      </c>
      <c r="AE187" s="629">
        <f t="shared" si="65"/>
        <v>1</v>
      </c>
      <c r="AF187" s="767">
        <f>+'Plan de Accion 2018'!BJ50</f>
        <v>1</v>
      </c>
      <c r="AG187" s="637">
        <f t="shared" si="66"/>
        <v>1</v>
      </c>
      <c r="AH187" s="335"/>
      <c r="AI187" s="1016"/>
      <c r="AJ187" s="341"/>
      <c r="AK187" s="341"/>
      <c r="AL187" s="321"/>
      <c r="AM187" s="342"/>
      <c r="AN187" s="341"/>
      <c r="AO187" s="321"/>
      <c r="AP187" s="341"/>
      <c r="AQ187" s="341"/>
      <c r="AR187" s="321"/>
      <c r="AS187" s="341"/>
      <c r="AT187" s="341"/>
      <c r="AU187" s="326"/>
      <c r="AV187" s="338"/>
      <c r="AW187" s="352"/>
      <c r="AX187" s="341"/>
      <c r="AY187" s="341"/>
      <c r="AZ187" s="321"/>
      <c r="BA187" s="342"/>
      <c r="BB187" s="341"/>
      <c r="BC187" s="321"/>
      <c r="BD187" s="341"/>
      <c r="BE187" s="341"/>
      <c r="BF187" s="321"/>
      <c r="BG187" s="341"/>
      <c r="BH187" s="341"/>
      <c r="BI187" s="326"/>
      <c r="BJ187" s="338"/>
      <c r="BL187" s="341"/>
      <c r="BM187" s="341"/>
      <c r="BN187" s="321"/>
      <c r="BO187" s="342"/>
      <c r="BP187" s="341"/>
      <c r="BQ187" s="321"/>
      <c r="BR187" s="341"/>
      <c r="BS187" s="341"/>
      <c r="BT187" s="321"/>
      <c r="BU187" s="341"/>
      <c r="BV187" s="341"/>
      <c r="BW187" s="326"/>
      <c r="BX187" s="338"/>
      <c r="BZ187" s="341"/>
      <c r="CA187" s="341"/>
      <c r="CB187" s="321"/>
      <c r="CC187" s="342"/>
      <c r="CD187" s="341"/>
      <c r="CE187" s="321"/>
      <c r="CF187" s="341"/>
      <c r="CG187" s="341"/>
      <c r="CH187" s="321"/>
      <c r="CI187" s="341"/>
      <c r="CJ187" s="341"/>
      <c r="CK187" s="326"/>
      <c r="CL187" s="338"/>
    </row>
    <row r="188" spans="2:90" ht="57" x14ac:dyDescent="0.25">
      <c r="B188" s="1394"/>
      <c r="C188" s="1397"/>
      <c r="D188" s="1402" t="str">
        <f>+'Plan de Accion 2018'!G51</f>
        <v>Prestaciones económicas REX</v>
      </c>
      <c r="E188" s="1402"/>
      <c r="F188" s="344" t="str">
        <f>+'Plan de Accion 2018'!S51</f>
        <v># Solicitudes de Prestaciones Económicas Tramitadas / # Solicitudes de Prestaciones Económicas Presentadas</v>
      </c>
      <c r="G188" s="362"/>
      <c r="H188" s="543">
        <f>+'Plan de Accion 2018'!AB51</f>
        <v>0.14285714285714285</v>
      </c>
      <c r="I188" s="767">
        <f>+'Plan de Accion 2018'!BM51</f>
        <v>0.5714285714285714</v>
      </c>
      <c r="J188" s="767">
        <f t="shared" si="35"/>
        <v>0.5714285714285714</v>
      </c>
      <c r="K188" s="767">
        <f>+'Plan de Accion 2018'!AF51</f>
        <v>0.14285714285714285</v>
      </c>
      <c r="L188" s="875">
        <f t="shared" si="67"/>
        <v>0.14285714285714285</v>
      </c>
      <c r="M188" s="682">
        <f t="shared" si="36"/>
        <v>0.14285714285714285</v>
      </c>
      <c r="N188" s="644"/>
      <c r="O188" s="543">
        <f>+'Plan de Accion 2018'!AL51</f>
        <v>0.17368125701459033</v>
      </c>
      <c r="P188" s="767">
        <f>+'Plan de Accion 2018'!BO51</f>
        <v>0.69472502805836134</v>
      </c>
      <c r="Q188" s="629">
        <f t="shared" si="61"/>
        <v>0.69472502805836134</v>
      </c>
      <c r="R188" s="751">
        <f>+'Plan de Accion 2018'!AP51</f>
        <v>0.31653839987173316</v>
      </c>
      <c r="S188" s="873">
        <f t="shared" si="68"/>
        <v>0.31653839987173316</v>
      </c>
      <c r="T188" s="637">
        <f t="shared" si="62"/>
        <v>0.31653839987173316</v>
      </c>
      <c r="U188" s="329"/>
      <c r="V188" s="543">
        <f>+'Plan de Accion 2018'!AV51</f>
        <v>0.21563011456628478</v>
      </c>
      <c r="W188" s="767">
        <f>+'Plan de Accion 2018'!BQ51</f>
        <v>0.86252045826513912</v>
      </c>
      <c r="X188" s="629">
        <f t="shared" si="63"/>
        <v>0.86252045826513912</v>
      </c>
      <c r="Y188" s="882">
        <f>+'Plan de Accion 2018'!AZ51</f>
        <v>0.53216851443801794</v>
      </c>
      <c r="Z188" s="882">
        <f t="shared" si="69"/>
        <v>0.53216851443801794</v>
      </c>
      <c r="AA188" s="883">
        <f t="shared" si="64"/>
        <v>0.53216851443801794</v>
      </c>
      <c r="AB188" s="644"/>
      <c r="AC188" s="543">
        <f>+'Plan de Accion 2018'!BF51</f>
        <v>0.23529411764705882</v>
      </c>
      <c r="AD188" s="767">
        <f>+'Plan de Accion 2018'!BS51</f>
        <v>0.94117647058823528</v>
      </c>
      <c r="AE188" s="629">
        <f t="shared" si="65"/>
        <v>0.94117647058823528</v>
      </c>
      <c r="AF188" s="767">
        <f>+'Plan de Accion 2018'!BJ51</f>
        <v>0.76746263208507681</v>
      </c>
      <c r="AG188" s="637">
        <f t="shared" si="66"/>
        <v>0.76746263208507681</v>
      </c>
      <c r="AH188" s="337"/>
      <c r="AI188" s="1016"/>
      <c r="AJ188" s="341"/>
      <c r="AK188" s="341"/>
      <c r="AL188" s="321"/>
      <c r="AM188" s="342"/>
      <c r="AN188" s="341"/>
      <c r="AO188" s="321"/>
      <c r="AP188" s="341"/>
      <c r="AQ188" s="341"/>
      <c r="AR188" s="321"/>
      <c r="AS188" s="341"/>
      <c r="AT188" s="341"/>
      <c r="AU188" s="326"/>
      <c r="AV188" s="338"/>
      <c r="AW188" s="352"/>
      <c r="AX188" s="341"/>
      <c r="AY188" s="341"/>
      <c r="AZ188" s="321"/>
      <c r="BA188" s="342"/>
      <c r="BB188" s="341"/>
      <c r="BC188" s="321"/>
      <c r="BD188" s="341"/>
      <c r="BE188" s="341"/>
      <c r="BF188" s="321"/>
      <c r="BG188" s="341"/>
      <c r="BH188" s="341"/>
      <c r="BI188" s="326"/>
      <c r="BJ188" s="338"/>
      <c r="BL188" s="341"/>
      <c r="BM188" s="341"/>
      <c r="BN188" s="321"/>
      <c r="BO188" s="342"/>
      <c r="BP188" s="341"/>
      <c r="BQ188" s="321"/>
      <c r="BR188" s="341"/>
      <c r="BS188" s="341"/>
      <c r="BT188" s="321"/>
      <c r="BU188" s="341"/>
      <c r="BV188" s="341"/>
      <c r="BW188" s="326"/>
      <c r="BX188" s="338"/>
      <c r="BZ188" s="341"/>
      <c r="CA188" s="341"/>
      <c r="CB188" s="321"/>
      <c r="CC188" s="342"/>
      <c r="CD188" s="341"/>
      <c r="CE188" s="321"/>
      <c r="CF188" s="341"/>
      <c r="CG188" s="341"/>
      <c r="CH188" s="321"/>
      <c r="CI188" s="341"/>
      <c r="CJ188" s="341"/>
      <c r="CK188" s="326"/>
      <c r="CL188" s="338"/>
    </row>
    <row r="189" spans="2:90" ht="57.75" thickBot="1" x14ac:dyDescent="0.3">
      <c r="B189" s="1394"/>
      <c r="C189" s="1397"/>
      <c r="D189" s="1402"/>
      <c r="E189" s="1402"/>
      <c r="F189" s="344" t="str">
        <f>+'Plan de Accion 2018'!S52</f>
        <v># Solicitudes Devolución Aportes REX Tramitadas / # Solicitudes Devolución Aportes Presentadas</v>
      </c>
      <c r="G189" s="362"/>
      <c r="H189" s="543">
        <f>+'Plan de Accion 2018'!AB52</f>
        <v>0.14883720930232558</v>
      </c>
      <c r="I189" s="767">
        <f>+'Plan de Accion 2018'!BM52</f>
        <v>0.59534883720930232</v>
      </c>
      <c r="J189" s="767">
        <f t="shared" si="35"/>
        <v>0.59534883720930232</v>
      </c>
      <c r="K189" s="767">
        <f>+'Plan de Accion 2018'!AF52</f>
        <v>0.14883720930232558</v>
      </c>
      <c r="L189" s="875">
        <f t="shared" si="67"/>
        <v>0.14883720930232558</v>
      </c>
      <c r="M189" s="682">
        <f t="shared" si="36"/>
        <v>0.14883720930232558</v>
      </c>
      <c r="N189" s="644"/>
      <c r="O189" s="543">
        <f>+'Plan de Accion 2018'!AL52</f>
        <v>0.18290734824281149</v>
      </c>
      <c r="P189" s="767">
        <f>+'Plan de Accion 2018'!BO52</f>
        <v>0.73162939297124596</v>
      </c>
      <c r="Q189" s="629">
        <f t="shared" si="61"/>
        <v>0.73162939297124596</v>
      </c>
      <c r="R189" s="751">
        <f>+'Plan de Accion 2018'!AP52</f>
        <v>0.3317445575451371</v>
      </c>
      <c r="S189" s="873">
        <f t="shared" si="68"/>
        <v>0.3317445575451371</v>
      </c>
      <c r="T189" s="637">
        <f t="shared" si="62"/>
        <v>0.3317445575451371</v>
      </c>
      <c r="U189" s="329"/>
      <c r="V189" s="543">
        <f>+'Plan de Accion 2018'!AV52</f>
        <v>0.20406626506024098</v>
      </c>
      <c r="W189" s="767">
        <f>+'Plan de Accion 2018'!BQ52</f>
        <v>0.8162650602409639</v>
      </c>
      <c r="X189" s="629">
        <f t="shared" si="63"/>
        <v>0.8162650602409639</v>
      </c>
      <c r="Y189" s="882">
        <f>+'Plan de Accion 2018'!AZ52</f>
        <v>0.53581082260537805</v>
      </c>
      <c r="Z189" s="882">
        <f t="shared" si="69"/>
        <v>0.53581082260537805</v>
      </c>
      <c r="AA189" s="883">
        <f t="shared" si="64"/>
        <v>0.53581082260537805</v>
      </c>
      <c r="AB189" s="644"/>
      <c r="AC189" s="543">
        <f>+'Plan de Accion 2018'!BF52</f>
        <v>0.23026315789473684</v>
      </c>
      <c r="AD189" s="767">
        <f>+'Plan de Accion 2018'!BS52</f>
        <v>0.92105263157894735</v>
      </c>
      <c r="AE189" s="629">
        <f t="shared" si="65"/>
        <v>0.92105263157894735</v>
      </c>
      <c r="AF189" s="767">
        <f>+'Plan de Accion 2018'!BJ52</f>
        <v>0.76607398050011488</v>
      </c>
      <c r="AG189" s="637">
        <f t="shared" si="66"/>
        <v>0.76607398050011488</v>
      </c>
      <c r="AH189" s="339"/>
      <c r="AI189" s="1016"/>
      <c r="AJ189" s="341"/>
      <c r="AK189" s="341"/>
      <c r="AL189" s="321"/>
      <c r="AM189" s="342"/>
      <c r="AN189" s="341"/>
      <c r="AO189" s="321"/>
      <c r="AP189" s="341"/>
      <c r="AQ189" s="341"/>
      <c r="AR189" s="321"/>
      <c r="AS189" s="341"/>
      <c r="AT189" s="341"/>
      <c r="AU189" s="326"/>
      <c r="AV189" s="338"/>
      <c r="AW189" s="352"/>
      <c r="AX189" s="341"/>
      <c r="AY189" s="341"/>
      <c r="AZ189" s="321"/>
      <c r="BA189" s="342"/>
      <c r="BB189" s="341"/>
      <c r="BC189" s="321"/>
      <c r="BD189" s="341"/>
      <c r="BE189" s="341"/>
      <c r="BF189" s="321"/>
      <c r="BG189" s="341"/>
      <c r="BH189" s="341"/>
      <c r="BI189" s="326"/>
      <c r="BJ189" s="338"/>
      <c r="BL189" s="341"/>
      <c r="BM189" s="341"/>
      <c r="BN189" s="321"/>
      <c r="BO189" s="342"/>
      <c r="BP189" s="341"/>
      <c r="BQ189" s="321"/>
      <c r="BR189" s="341"/>
      <c r="BS189" s="341"/>
      <c r="BT189" s="321"/>
      <c r="BU189" s="341"/>
      <c r="BV189" s="341"/>
      <c r="BW189" s="326"/>
      <c r="BX189" s="338"/>
      <c r="BZ189" s="341"/>
      <c r="CA189" s="341"/>
      <c r="CB189" s="321"/>
      <c r="CC189" s="342"/>
      <c r="CD189" s="341"/>
      <c r="CE189" s="321"/>
      <c r="CF189" s="341"/>
      <c r="CG189" s="341"/>
      <c r="CH189" s="321"/>
      <c r="CI189" s="341"/>
      <c r="CJ189" s="341"/>
      <c r="CK189" s="326"/>
      <c r="CL189" s="338"/>
    </row>
    <row r="190" spans="2:90" ht="57" x14ac:dyDescent="0.25">
      <c r="B190" s="1394"/>
      <c r="C190" s="1397"/>
      <c r="D190" s="754" t="str">
        <f>+'Plan de Accion 2018'!G53</f>
        <v>Solicitudes de aclaración sobre apropiaciones sin justa causa</v>
      </c>
      <c r="E190" s="1402"/>
      <c r="F190" s="344" t="str">
        <f>+'Plan de Accion 2018'!S53</f>
        <v># solicitudes de aclaración elaboradas/# EPS con hallazgos de apropiación sin justa causa</v>
      </c>
      <c r="G190" s="362"/>
      <c r="H190" s="543">
        <f>+'Plan de Accion 2018'!AB53</f>
        <v>0.25</v>
      </c>
      <c r="I190" s="767">
        <f>+'Plan de Accion 2018'!BM53</f>
        <v>1</v>
      </c>
      <c r="J190" s="767">
        <f t="shared" si="35"/>
        <v>1</v>
      </c>
      <c r="K190" s="767">
        <f>+'Plan de Accion 2018'!AF53</f>
        <v>0.25</v>
      </c>
      <c r="L190" s="875">
        <f t="shared" si="67"/>
        <v>0.25</v>
      </c>
      <c r="M190" s="682">
        <f t="shared" si="36"/>
        <v>0.25</v>
      </c>
      <c r="N190" s="644"/>
      <c r="O190" s="543">
        <f>+'Plan de Accion 2018'!AL53</f>
        <v>0.25</v>
      </c>
      <c r="P190" s="767">
        <f>+'Plan de Accion 2018'!BO53</f>
        <v>1</v>
      </c>
      <c r="Q190" s="629">
        <f t="shared" si="61"/>
        <v>1</v>
      </c>
      <c r="R190" s="751">
        <f>+'Plan de Accion 2018'!AP53</f>
        <v>0.5</v>
      </c>
      <c r="S190" s="873">
        <f t="shared" si="68"/>
        <v>0.5</v>
      </c>
      <c r="T190" s="637">
        <f t="shared" si="62"/>
        <v>0.5</v>
      </c>
      <c r="U190" s="329"/>
      <c r="V190" s="543">
        <f>+'Plan de Accion 2018'!AV53</f>
        <v>0</v>
      </c>
      <c r="W190" s="767">
        <f>+'Plan de Accion 2018'!BQ53</f>
        <v>0</v>
      </c>
      <c r="X190" s="629">
        <f t="shared" si="63"/>
        <v>0</v>
      </c>
      <c r="Y190" s="882">
        <f>+'Plan de Accion 2018'!AZ53</f>
        <v>0.5</v>
      </c>
      <c r="Z190" s="882">
        <f t="shared" si="69"/>
        <v>0.5</v>
      </c>
      <c r="AA190" s="883">
        <f t="shared" si="64"/>
        <v>0.5</v>
      </c>
      <c r="AB190" s="644"/>
      <c r="AC190" s="543">
        <f>+'Plan de Accion 2018'!BF53</f>
        <v>0.25</v>
      </c>
      <c r="AD190" s="767">
        <f>+'Plan de Accion 2018'!BS53</f>
        <v>1</v>
      </c>
      <c r="AE190" s="629">
        <f t="shared" si="65"/>
        <v>1</v>
      </c>
      <c r="AF190" s="767">
        <f>+'Plan de Accion 2018'!BJ53</f>
        <v>0.75</v>
      </c>
      <c r="AG190" s="637">
        <f t="shared" si="66"/>
        <v>0.75</v>
      </c>
      <c r="AH190" s="335"/>
      <c r="AI190" s="1016"/>
      <c r="AJ190" s="341"/>
      <c r="AK190" s="341"/>
      <c r="AL190" s="321"/>
      <c r="AM190" s="342"/>
      <c r="AN190" s="341"/>
      <c r="AO190" s="321"/>
      <c r="AP190" s="341"/>
      <c r="AQ190" s="341"/>
      <c r="AR190" s="321"/>
      <c r="AS190" s="341"/>
      <c r="AT190" s="341"/>
      <c r="AU190" s="326"/>
      <c r="AV190" s="338"/>
      <c r="AW190" s="352"/>
      <c r="AX190" s="341"/>
      <c r="AY190" s="341"/>
      <c r="AZ190" s="321"/>
      <c r="BA190" s="342"/>
      <c r="BB190" s="341"/>
      <c r="BC190" s="321"/>
      <c r="BD190" s="341"/>
      <c r="BE190" s="341"/>
      <c r="BF190" s="321"/>
      <c r="BG190" s="341"/>
      <c r="BH190" s="341"/>
      <c r="BI190" s="326"/>
      <c r="BJ190" s="338"/>
      <c r="BL190" s="341"/>
      <c r="BM190" s="341"/>
      <c r="BN190" s="321"/>
      <c r="BO190" s="342"/>
      <c r="BP190" s="341"/>
      <c r="BQ190" s="321"/>
      <c r="BR190" s="341"/>
      <c r="BS190" s="341"/>
      <c r="BT190" s="321"/>
      <c r="BU190" s="341"/>
      <c r="BV190" s="341"/>
      <c r="BW190" s="326"/>
      <c r="BX190" s="338"/>
      <c r="BZ190" s="341"/>
      <c r="CA190" s="341"/>
      <c r="CB190" s="321"/>
      <c r="CC190" s="342"/>
      <c r="CD190" s="341"/>
      <c r="CE190" s="321"/>
      <c r="CF190" s="341"/>
      <c r="CG190" s="341"/>
      <c r="CH190" s="321"/>
      <c r="CI190" s="341"/>
      <c r="CJ190" s="341"/>
      <c r="CK190" s="326"/>
      <c r="CL190" s="338"/>
    </row>
    <row r="191" spans="2:90" ht="71.25" x14ac:dyDescent="0.25">
      <c r="B191" s="1394"/>
      <c r="C191" s="1397"/>
      <c r="D191" s="754" t="str">
        <f>+'Plan de Accion 2018'!G54</f>
        <v>Informes de auditoría de reintegro de recursos</v>
      </c>
      <c r="E191" s="1402"/>
      <c r="F191" s="344" t="str">
        <f>+'Plan de Accion 2018'!S54</f>
        <v># Informes de Auditoría de Reintegro Elaborados / # EPS con Procedimiento de Reintegro de Recursos Iniciado</v>
      </c>
      <c r="G191" s="362"/>
      <c r="H191" s="543">
        <f>+'Plan de Accion 2018'!AB54</f>
        <v>0</v>
      </c>
      <c r="I191" s="767">
        <f>+'Plan de Accion 2018'!BM54</f>
        <v>0</v>
      </c>
      <c r="J191" s="767">
        <f t="shared" si="35"/>
        <v>0</v>
      </c>
      <c r="K191" s="767">
        <f>+'Plan de Accion 2018'!AF54</f>
        <v>0</v>
      </c>
      <c r="L191" s="875">
        <f t="shared" si="67"/>
        <v>0</v>
      </c>
      <c r="M191" s="682">
        <f t="shared" si="36"/>
        <v>0</v>
      </c>
      <c r="N191" s="644"/>
      <c r="O191" s="543">
        <f>+'Plan de Accion 2018'!AL54</f>
        <v>0.25</v>
      </c>
      <c r="P191" s="767">
        <f>+'Plan de Accion 2018'!BO54</f>
        <v>1</v>
      </c>
      <c r="Q191" s="629">
        <f t="shared" si="61"/>
        <v>1</v>
      </c>
      <c r="R191" s="751">
        <f>+'Plan de Accion 2018'!AP54</f>
        <v>0.25</v>
      </c>
      <c r="S191" s="873">
        <f t="shared" si="68"/>
        <v>0.25</v>
      </c>
      <c r="T191" s="637">
        <f t="shared" si="62"/>
        <v>0.25</v>
      </c>
      <c r="U191" s="329"/>
      <c r="V191" s="543">
        <f>+'Plan de Accion 2018'!AV54</f>
        <v>0.25</v>
      </c>
      <c r="W191" s="767">
        <f>+'Plan de Accion 2018'!BQ54</f>
        <v>1</v>
      </c>
      <c r="X191" s="629">
        <f t="shared" si="63"/>
        <v>1</v>
      </c>
      <c r="Y191" s="882">
        <f>+'Plan de Accion 2018'!AZ54</f>
        <v>0.5</v>
      </c>
      <c r="Z191" s="882">
        <f t="shared" si="69"/>
        <v>0.5</v>
      </c>
      <c r="AA191" s="883">
        <f t="shared" si="64"/>
        <v>0.5</v>
      </c>
      <c r="AB191" s="644"/>
      <c r="AC191" s="543">
        <f>+'Plan de Accion 2018'!BF54</f>
        <v>0.25</v>
      </c>
      <c r="AD191" s="767">
        <f>+'Plan de Accion 2018'!BS54</f>
        <v>1</v>
      </c>
      <c r="AE191" s="629">
        <f t="shared" si="65"/>
        <v>1</v>
      </c>
      <c r="AF191" s="767">
        <f>+'Plan de Accion 2018'!BJ54</f>
        <v>0.75</v>
      </c>
      <c r="AG191" s="637">
        <f t="shared" si="66"/>
        <v>0.75</v>
      </c>
      <c r="AH191" s="337"/>
      <c r="AI191" s="1016"/>
      <c r="AJ191" s="341"/>
      <c r="AK191" s="341"/>
      <c r="AL191" s="321"/>
      <c r="AM191" s="342"/>
      <c r="AN191" s="341"/>
      <c r="AO191" s="321"/>
      <c r="AP191" s="341"/>
      <c r="AQ191" s="341"/>
      <c r="AR191" s="321"/>
      <c r="AS191" s="341"/>
      <c r="AT191" s="341"/>
      <c r="AU191" s="326"/>
      <c r="AV191" s="338"/>
      <c r="AW191" s="352"/>
      <c r="AX191" s="341"/>
      <c r="AY191" s="341"/>
      <c r="AZ191" s="321"/>
      <c r="BA191" s="342"/>
      <c r="BB191" s="341"/>
      <c r="BC191" s="321"/>
      <c r="BD191" s="341"/>
      <c r="BE191" s="341"/>
      <c r="BF191" s="321"/>
      <c r="BG191" s="341"/>
      <c r="BH191" s="341"/>
      <c r="BI191" s="326"/>
      <c r="BJ191" s="338"/>
      <c r="BL191" s="341"/>
      <c r="BM191" s="341"/>
      <c r="BN191" s="321"/>
      <c r="BO191" s="342"/>
      <c r="BP191" s="341"/>
      <c r="BQ191" s="321"/>
      <c r="BR191" s="341"/>
      <c r="BS191" s="341"/>
      <c r="BT191" s="321"/>
      <c r="BU191" s="341"/>
      <c r="BV191" s="341"/>
      <c r="BW191" s="326"/>
      <c r="BX191" s="338"/>
      <c r="BZ191" s="341"/>
      <c r="CA191" s="341"/>
      <c r="CB191" s="321"/>
      <c r="CC191" s="342"/>
      <c r="CD191" s="341"/>
      <c r="CE191" s="321"/>
      <c r="CF191" s="341"/>
      <c r="CG191" s="341"/>
      <c r="CH191" s="321"/>
      <c r="CI191" s="341"/>
      <c r="CJ191" s="341"/>
      <c r="CK191" s="326"/>
      <c r="CL191" s="338"/>
    </row>
    <row r="192" spans="2:90" ht="100.5" thickBot="1" x14ac:dyDescent="0.3">
      <c r="B192" s="1394"/>
      <c r="C192" s="1397"/>
      <c r="D192" s="754" t="str">
        <f>+'Plan de Accion 2018'!G55</f>
        <v>Informes de comunicaciones con las conclusiones de la auditoría de reintegro de recursos enviados a la SNS</v>
      </c>
      <c r="E192" s="1402"/>
      <c r="F192" s="344" t="str">
        <f>+'Plan de Accion 2018'!S55</f>
        <v xml:space="preserve"># Comunicaciones con las conclusiones del procedimiento de la auditoría de reintegro de recursos elaborados/ # EPS con hallazgos de apropiación sin justa causa </v>
      </c>
      <c r="G192" s="362"/>
      <c r="H192" s="543">
        <f>+'Plan de Accion 2018'!AB55</f>
        <v>0.25</v>
      </c>
      <c r="I192" s="767">
        <f>+'Plan de Accion 2018'!BM55</f>
        <v>1</v>
      </c>
      <c r="J192" s="767">
        <f t="shared" si="35"/>
        <v>1</v>
      </c>
      <c r="K192" s="767">
        <f>+'Plan de Accion 2018'!AF55</f>
        <v>0.25</v>
      </c>
      <c r="L192" s="875">
        <f t="shared" si="67"/>
        <v>0.25</v>
      </c>
      <c r="M192" s="682">
        <f t="shared" si="36"/>
        <v>0.25</v>
      </c>
      <c r="N192" s="644"/>
      <c r="O192" s="543">
        <f>+'Plan de Accion 2018'!AL55</f>
        <v>0.25</v>
      </c>
      <c r="P192" s="767">
        <f>+'Plan de Accion 2018'!BO55</f>
        <v>1</v>
      </c>
      <c r="Q192" s="629">
        <f t="shared" si="61"/>
        <v>1</v>
      </c>
      <c r="R192" s="751">
        <f>+'Plan de Accion 2018'!AP55</f>
        <v>0.5</v>
      </c>
      <c r="S192" s="873">
        <f t="shared" si="68"/>
        <v>0.5</v>
      </c>
      <c r="T192" s="637">
        <f t="shared" si="62"/>
        <v>0.5</v>
      </c>
      <c r="U192" s="329"/>
      <c r="V192" s="543">
        <f>+'Plan de Accion 2018'!AV55</f>
        <v>0.25</v>
      </c>
      <c r="W192" s="767">
        <f>+'Plan de Accion 2018'!BQ55</f>
        <v>1</v>
      </c>
      <c r="X192" s="629">
        <f t="shared" si="63"/>
        <v>1</v>
      </c>
      <c r="Y192" s="882">
        <f>+'Plan de Accion 2018'!AZ55</f>
        <v>0.75</v>
      </c>
      <c r="Z192" s="882">
        <f t="shared" si="69"/>
        <v>0.75</v>
      </c>
      <c r="AA192" s="883">
        <f t="shared" si="64"/>
        <v>0.75</v>
      </c>
      <c r="AB192" s="644"/>
      <c r="AC192" s="543">
        <f>+'Plan de Accion 2018'!BF55</f>
        <v>0.25</v>
      </c>
      <c r="AD192" s="767">
        <f>+'Plan de Accion 2018'!BS55</f>
        <v>1</v>
      </c>
      <c r="AE192" s="629">
        <f t="shared" si="65"/>
        <v>1</v>
      </c>
      <c r="AF192" s="767">
        <f>+'Plan de Accion 2018'!BJ55</f>
        <v>1</v>
      </c>
      <c r="AG192" s="637">
        <f t="shared" si="66"/>
        <v>1</v>
      </c>
      <c r="AH192" s="339"/>
      <c r="AI192" s="1016"/>
      <c r="AJ192" s="341"/>
      <c r="AK192" s="341"/>
      <c r="AL192" s="321"/>
      <c r="AM192" s="342"/>
      <c r="AN192" s="341"/>
      <c r="AO192" s="321"/>
      <c r="AP192" s="341"/>
      <c r="AQ192" s="341"/>
      <c r="AR192" s="321"/>
      <c r="AS192" s="341"/>
      <c r="AT192" s="341"/>
      <c r="AU192" s="326"/>
      <c r="AV192" s="338"/>
      <c r="AW192" s="352"/>
      <c r="AX192" s="341"/>
      <c r="AY192" s="341"/>
      <c r="AZ192" s="321"/>
      <c r="BA192" s="342"/>
      <c r="BB192" s="341"/>
      <c r="BC192" s="321"/>
      <c r="BD192" s="341"/>
      <c r="BE192" s="341"/>
      <c r="BF192" s="321"/>
      <c r="BG192" s="341"/>
      <c r="BH192" s="341"/>
      <c r="BI192" s="326"/>
      <c r="BJ192" s="338"/>
      <c r="BL192" s="341"/>
      <c r="BM192" s="341"/>
      <c r="BN192" s="321"/>
      <c r="BO192" s="342"/>
      <c r="BP192" s="341"/>
      <c r="BQ192" s="321"/>
      <c r="BR192" s="341"/>
      <c r="BS192" s="341"/>
      <c r="BT192" s="321"/>
      <c r="BU192" s="341"/>
      <c r="BV192" s="341"/>
      <c r="BW192" s="326"/>
      <c r="BX192" s="338"/>
      <c r="BZ192" s="341"/>
      <c r="CA192" s="341"/>
      <c r="CB192" s="321"/>
      <c r="CC192" s="342"/>
      <c r="CD192" s="341"/>
      <c r="CE192" s="321"/>
      <c r="CF192" s="341"/>
      <c r="CG192" s="341"/>
      <c r="CH192" s="321"/>
      <c r="CI192" s="341"/>
      <c r="CJ192" s="341"/>
      <c r="CK192" s="326"/>
      <c r="CL192" s="338"/>
    </row>
    <row r="193" spans="2:90" ht="57" x14ac:dyDescent="0.25">
      <c r="B193" s="1394"/>
      <c r="C193" s="1397"/>
      <c r="D193" s="754" t="str">
        <f>+'Plan de Accion 2018'!G56</f>
        <v>Saldos a favor de ADRES en el proceso LMA</v>
      </c>
      <c r="E193" s="1402"/>
      <c r="F193" s="344" t="str">
        <f>+'Plan de Accion 2018'!S56</f>
        <v># Solicitudes de Aclaración Enviadas a las EPS / EPS con Saldos a Favor de ADRES en el Proceso de LMA</v>
      </c>
      <c r="G193" s="362"/>
      <c r="H193" s="543">
        <f>+'Plan de Accion 2018'!AB56</f>
        <v>0.25</v>
      </c>
      <c r="I193" s="767">
        <f>+'Plan de Accion 2018'!BM56</f>
        <v>1</v>
      </c>
      <c r="J193" s="767">
        <f t="shared" si="35"/>
        <v>1</v>
      </c>
      <c r="K193" s="767">
        <f>+'Plan de Accion 2018'!AF56</f>
        <v>0.25</v>
      </c>
      <c r="L193" s="875">
        <f t="shared" si="67"/>
        <v>0.25</v>
      </c>
      <c r="M193" s="682">
        <f t="shared" si="36"/>
        <v>0.25</v>
      </c>
      <c r="N193" s="644"/>
      <c r="O193" s="543">
        <f>+'Plan de Accion 2018'!AL56</f>
        <v>0.25</v>
      </c>
      <c r="P193" s="767">
        <f>+'Plan de Accion 2018'!BO56</f>
        <v>1</v>
      </c>
      <c r="Q193" s="629">
        <f t="shared" si="61"/>
        <v>1</v>
      </c>
      <c r="R193" s="751">
        <f>+'Plan de Accion 2018'!AP56</f>
        <v>0.5</v>
      </c>
      <c r="S193" s="873">
        <f t="shared" si="68"/>
        <v>0.5</v>
      </c>
      <c r="T193" s="637">
        <f t="shared" si="62"/>
        <v>0.5</v>
      </c>
      <c r="U193" s="329"/>
      <c r="V193" s="543">
        <f>+'Plan de Accion 2018'!AV56</f>
        <v>0.25</v>
      </c>
      <c r="W193" s="767">
        <f>+'Plan de Accion 2018'!BQ56</f>
        <v>1</v>
      </c>
      <c r="X193" s="629">
        <f t="shared" si="63"/>
        <v>1</v>
      </c>
      <c r="Y193" s="882">
        <f>+'Plan de Accion 2018'!AZ56</f>
        <v>0.75</v>
      </c>
      <c r="Z193" s="882">
        <f t="shared" si="69"/>
        <v>0.75</v>
      </c>
      <c r="AA193" s="883">
        <f t="shared" si="64"/>
        <v>0.75</v>
      </c>
      <c r="AB193" s="644"/>
      <c r="AC193" s="543">
        <f>+'Plan de Accion 2018'!BF56</f>
        <v>0.25</v>
      </c>
      <c r="AD193" s="767">
        <f>+'Plan de Accion 2018'!BS56</f>
        <v>1</v>
      </c>
      <c r="AE193" s="629">
        <f t="shared" si="65"/>
        <v>1</v>
      </c>
      <c r="AF193" s="767">
        <f>+'Plan de Accion 2018'!BJ56</f>
        <v>1</v>
      </c>
      <c r="AG193" s="637">
        <f t="shared" si="66"/>
        <v>1</v>
      </c>
      <c r="AH193" s="335"/>
      <c r="AI193" s="1016"/>
      <c r="AJ193" s="341"/>
      <c r="AK193" s="341"/>
      <c r="AL193" s="321"/>
      <c r="AM193" s="342"/>
      <c r="AN193" s="341"/>
      <c r="AO193" s="321"/>
      <c r="AP193" s="341"/>
      <c r="AQ193" s="341"/>
      <c r="AR193" s="321"/>
      <c r="AS193" s="341"/>
      <c r="AT193" s="341"/>
      <c r="AU193" s="326"/>
      <c r="AV193" s="338"/>
      <c r="AW193" s="352"/>
      <c r="AX193" s="341"/>
      <c r="AY193" s="341"/>
      <c r="AZ193" s="321"/>
      <c r="BA193" s="342"/>
      <c r="BB193" s="341"/>
      <c r="BC193" s="321"/>
      <c r="BD193" s="341"/>
      <c r="BE193" s="341"/>
      <c r="BF193" s="321"/>
      <c r="BG193" s="341"/>
      <c r="BH193" s="341"/>
      <c r="BI193" s="326"/>
      <c r="BJ193" s="338"/>
      <c r="BL193" s="341"/>
      <c r="BM193" s="341"/>
      <c r="BN193" s="321"/>
      <c r="BO193" s="342"/>
      <c r="BP193" s="341"/>
      <c r="BQ193" s="321"/>
      <c r="BR193" s="341"/>
      <c r="BS193" s="341"/>
      <c r="BT193" s="321"/>
      <c r="BU193" s="341"/>
      <c r="BV193" s="341"/>
      <c r="BW193" s="326"/>
      <c r="BX193" s="338"/>
      <c r="BZ193" s="341"/>
      <c r="CA193" s="341"/>
      <c r="CB193" s="321"/>
      <c r="CC193" s="342"/>
      <c r="CD193" s="341"/>
      <c r="CE193" s="321"/>
      <c r="CF193" s="341"/>
      <c r="CG193" s="341"/>
      <c r="CH193" s="321"/>
      <c r="CI193" s="341"/>
      <c r="CJ193" s="341"/>
      <c r="CK193" s="326"/>
      <c r="CL193" s="338"/>
    </row>
    <row r="194" spans="2:90" ht="42.75" x14ac:dyDescent="0.25">
      <c r="B194" s="1394"/>
      <c r="C194" s="1397"/>
      <c r="D194" s="754" t="str">
        <f>+'Plan de Accion 2018'!G57</f>
        <v>Compra Directa de Cartera</v>
      </c>
      <c r="E194" s="1402"/>
      <c r="F194" s="344" t="str">
        <f>+'Plan de Accion 2018'!S57</f>
        <v># Compras de cartera realizadas/# Compras de carteras proyectadas</v>
      </c>
      <c r="G194" s="362"/>
      <c r="H194" s="543">
        <f>+'Plan de Accion 2018'!AB57</f>
        <v>0</v>
      </c>
      <c r="I194" s="767" t="str">
        <f>+'Plan de Accion 2018'!BM57</f>
        <v>No Prog ni Ejec</v>
      </c>
      <c r="J194" s="767" t="s">
        <v>792</v>
      </c>
      <c r="K194" s="767">
        <f>+'Plan de Accion 2018'!AF57</f>
        <v>0</v>
      </c>
      <c r="L194" s="875">
        <f t="shared" si="67"/>
        <v>0</v>
      </c>
      <c r="M194" s="682" t="s">
        <v>792</v>
      </c>
      <c r="N194" s="644"/>
      <c r="O194" s="543">
        <f>+'Plan de Accion 2018'!AL57</f>
        <v>0</v>
      </c>
      <c r="P194" s="767" t="str">
        <f>+'Plan de Accion 2018'!BO57</f>
        <v>No Prog ni Ejec</v>
      </c>
      <c r="Q194" s="629" t="s">
        <v>792</v>
      </c>
      <c r="R194" s="751">
        <f>+'Plan de Accion 2018'!AP57</f>
        <v>0</v>
      </c>
      <c r="S194" s="873">
        <f t="shared" si="68"/>
        <v>0</v>
      </c>
      <c r="T194" s="637" t="s">
        <v>792</v>
      </c>
      <c r="U194" s="329"/>
      <c r="V194" s="543">
        <f>+'Plan de Accion 2018'!AV57</f>
        <v>0</v>
      </c>
      <c r="W194" s="767" t="str">
        <f>+'Plan de Accion 2018'!BQ57</f>
        <v>No Prog ni Ejec</v>
      </c>
      <c r="X194" s="629" t="s">
        <v>792</v>
      </c>
      <c r="Y194" s="882">
        <f>+'Plan de Accion 2018'!AZ57</f>
        <v>0</v>
      </c>
      <c r="Z194" s="882">
        <f t="shared" si="69"/>
        <v>0</v>
      </c>
      <c r="AA194" s="883" t="s">
        <v>792</v>
      </c>
      <c r="AB194" s="644"/>
      <c r="AC194" s="543">
        <f>+'Plan de Accion 2018'!BF57</f>
        <v>1</v>
      </c>
      <c r="AD194" s="767">
        <f>+'Plan de Accion 2018'!BS57</f>
        <v>1</v>
      </c>
      <c r="AE194" s="629">
        <f t="shared" si="65"/>
        <v>1</v>
      </c>
      <c r="AF194" s="767">
        <f>+'Plan de Accion 2018'!BJ57</f>
        <v>1</v>
      </c>
      <c r="AG194" s="637">
        <f t="shared" si="66"/>
        <v>1</v>
      </c>
      <c r="AH194" s="337"/>
      <c r="AI194" s="1016"/>
      <c r="AJ194" s="341"/>
      <c r="AK194" s="341"/>
      <c r="AL194" s="321"/>
      <c r="AM194" s="342"/>
      <c r="AN194" s="341"/>
      <c r="AO194" s="321"/>
      <c r="AP194" s="341"/>
      <c r="AQ194" s="341"/>
      <c r="AR194" s="321"/>
      <c r="AS194" s="341"/>
      <c r="AT194" s="341"/>
      <c r="AU194" s="326"/>
      <c r="AV194" s="338"/>
      <c r="AW194" s="352"/>
      <c r="AX194" s="341"/>
      <c r="AY194" s="341"/>
      <c r="AZ194" s="321"/>
      <c r="BA194" s="342"/>
      <c r="BB194" s="341"/>
      <c r="BC194" s="321"/>
      <c r="BD194" s="341"/>
      <c r="BE194" s="341"/>
      <c r="BF194" s="321"/>
      <c r="BG194" s="341"/>
      <c r="BH194" s="341"/>
      <c r="BI194" s="326"/>
      <c r="BJ194" s="338"/>
      <c r="BL194" s="341"/>
      <c r="BM194" s="341"/>
      <c r="BN194" s="321"/>
      <c r="BO194" s="342"/>
      <c r="BP194" s="341"/>
      <c r="BQ194" s="321"/>
      <c r="BR194" s="341"/>
      <c r="BS194" s="341"/>
      <c r="BT194" s="321"/>
      <c r="BU194" s="341"/>
      <c r="BV194" s="341"/>
      <c r="BW194" s="326"/>
      <c r="BX194" s="338"/>
      <c r="BZ194" s="341"/>
      <c r="CA194" s="341"/>
      <c r="CB194" s="321"/>
      <c r="CC194" s="342"/>
      <c r="CD194" s="341"/>
      <c r="CE194" s="321"/>
      <c r="CF194" s="341"/>
      <c r="CG194" s="341"/>
      <c r="CH194" s="321"/>
      <c r="CI194" s="341"/>
      <c r="CJ194" s="341"/>
      <c r="CK194" s="326"/>
      <c r="CL194" s="338"/>
    </row>
    <row r="195" spans="2:90" ht="54.95" customHeight="1" thickBot="1" x14ac:dyDescent="0.3">
      <c r="B195" s="1394"/>
      <c r="C195" s="1397"/>
      <c r="D195" s="754" t="str">
        <f>+'Plan de Accion 2018'!G58</f>
        <v>Certificación descuento proceso LMA - Findeter línea compensada</v>
      </c>
      <c r="E195" s="1402"/>
      <c r="F195" s="344" t="str">
        <f>+'Plan de Accion 2018'!S58</f>
        <v># Certificaciones remitidas/# Certificaciones proyectadas de acuerdo con el # de procesos en los que sea necesario aplicar</v>
      </c>
      <c r="G195" s="362"/>
      <c r="H195" s="543">
        <f>+'Plan de Accion 2018'!AB58</f>
        <v>0.25</v>
      </c>
      <c r="I195" s="767">
        <f>+'Plan de Accion 2018'!BM58</f>
        <v>1</v>
      </c>
      <c r="J195" s="767">
        <f t="shared" si="35"/>
        <v>1</v>
      </c>
      <c r="K195" s="767">
        <f>+'Plan de Accion 2018'!AF58</f>
        <v>0.25</v>
      </c>
      <c r="L195" s="875">
        <f t="shared" si="67"/>
        <v>0.25</v>
      </c>
      <c r="M195" s="682">
        <f t="shared" si="36"/>
        <v>0.25</v>
      </c>
      <c r="N195" s="644"/>
      <c r="O195" s="543">
        <f>+'Plan de Accion 2018'!AL58</f>
        <v>0.25</v>
      </c>
      <c r="P195" s="767">
        <f>+'Plan de Accion 2018'!BO58</f>
        <v>1</v>
      </c>
      <c r="Q195" s="629">
        <f t="shared" ref="Q195:Q200" si="70">IF(P195&gt;100%,100%,P195)</f>
        <v>1</v>
      </c>
      <c r="R195" s="751">
        <f>+'Plan de Accion 2018'!AP58</f>
        <v>0.5</v>
      </c>
      <c r="S195" s="873">
        <f t="shared" si="68"/>
        <v>0.5</v>
      </c>
      <c r="T195" s="637">
        <f t="shared" ref="T195:T200" si="71">+S195</f>
        <v>0.5</v>
      </c>
      <c r="U195" s="329"/>
      <c r="V195" s="543">
        <f>+'Plan de Accion 2018'!AV58</f>
        <v>0.25</v>
      </c>
      <c r="W195" s="767">
        <f>+'Plan de Accion 2018'!BQ58</f>
        <v>1</v>
      </c>
      <c r="X195" s="629">
        <f t="shared" ref="X195:X200" si="72">IF(W195&gt;100%,100%,W195)</f>
        <v>1</v>
      </c>
      <c r="Y195" s="882">
        <f>+'Plan de Accion 2018'!AZ58</f>
        <v>0.75</v>
      </c>
      <c r="Z195" s="882">
        <f t="shared" si="69"/>
        <v>0.75</v>
      </c>
      <c r="AA195" s="883">
        <f t="shared" ref="AA195:AA200" si="73">+Z195</f>
        <v>0.75</v>
      </c>
      <c r="AB195" s="644"/>
      <c r="AC195" s="543">
        <f>+'Plan de Accion 2018'!BF58</f>
        <v>0.25</v>
      </c>
      <c r="AD195" s="767">
        <f>+'Plan de Accion 2018'!BS58</f>
        <v>1</v>
      </c>
      <c r="AE195" s="629">
        <f t="shared" si="65"/>
        <v>1</v>
      </c>
      <c r="AF195" s="767">
        <f>+'Plan de Accion 2018'!BJ58</f>
        <v>1</v>
      </c>
      <c r="AG195" s="637">
        <f t="shared" si="66"/>
        <v>1</v>
      </c>
      <c r="AH195" s="339"/>
      <c r="AI195" s="1016"/>
      <c r="AJ195" s="341"/>
      <c r="AK195" s="341"/>
      <c r="AL195" s="321"/>
      <c r="AM195" s="342"/>
      <c r="AN195" s="341"/>
      <c r="AO195" s="321"/>
      <c r="AP195" s="341"/>
      <c r="AQ195" s="341"/>
      <c r="AR195" s="321"/>
      <c r="AS195" s="341"/>
      <c r="AT195" s="341"/>
      <c r="AU195" s="326"/>
      <c r="AV195" s="338"/>
      <c r="AW195" s="352"/>
      <c r="AX195" s="341"/>
      <c r="AY195" s="341"/>
      <c r="AZ195" s="321"/>
      <c r="BA195" s="342"/>
      <c r="BB195" s="341"/>
      <c r="BC195" s="321"/>
      <c r="BD195" s="341"/>
      <c r="BE195" s="341"/>
      <c r="BF195" s="321"/>
      <c r="BG195" s="341"/>
      <c r="BH195" s="341"/>
      <c r="BI195" s="326"/>
      <c r="BJ195" s="338"/>
      <c r="BL195" s="341"/>
      <c r="BM195" s="341"/>
      <c r="BN195" s="321"/>
      <c r="BO195" s="342"/>
      <c r="BP195" s="341"/>
      <c r="BQ195" s="321"/>
      <c r="BR195" s="341"/>
      <c r="BS195" s="341"/>
      <c r="BT195" s="321"/>
      <c r="BU195" s="341"/>
      <c r="BV195" s="341"/>
      <c r="BW195" s="326"/>
      <c r="BX195" s="338"/>
      <c r="BZ195" s="341"/>
      <c r="CA195" s="341"/>
      <c r="CB195" s="321"/>
      <c r="CC195" s="342"/>
      <c r="CD195" s="341"/>
      <c r="CE195" s="321"/>
      <c r="CF195" s="341"/>
      <c r="CG195" s="341"/>
      <c r="CH195" s="321"/>
      <c r="CI195" s="341"/>
      <c r="CJ195" s="341"/>
      <c r="CK195" s="326"/>
      <c r="CL195" s="338"/>
    </row>
    <row r="196" spans="2:90" ht="71.25" x14ac:dyDescent="0.25">
      <c r="B196" s="1394"/>
      <c r="C196" s="1397"/>
      <c r="D196" s="754" t="str">
        <f>+'Plan de Accion 2018'!G59</f>
        <v>Certificación descuento proceso de compensación - Findeter línea compensada</v>
      </c>
      <c r="E196" s="1402"/>
      <c r="F196" s="344" t="str">
        <f>+'Plan de Accion 2018'!S59</f>
        <v># Certificaciones remitidas/# Certificaciones proyectadas de acuerdo con el # de procesos en los que sea necesario aplicar</v>
      </c>
      <c r="G196" s="362"/>
      <c r="H196" s="543">
        <f>+'Plan de Accion 2018'!AB59</f>
        <v>0.25</v>
      </c>
      <c r="I196" s="767">
        <f>+'Plan de Accion 2018'!BM59</f>
        <v>1</v>
      </c>
      <c r="J196" s="767">
        <f t="shared" si="35"/>
        <v>1</v>
      </c>
      <c r="K196" s="767">
        <f>+'Plan de Accion 2018'!AF59</f>
        <v>0.25</v>
      </c>
      <c r="L196" s="875">
        <f t="shared" si="67"/>
        <v>0.25</v>
      </c>
      <c r="M196" s="682">
        <f t="shared" si="36"/>
        <v>0.25</v>
      </c>
      <c r="N196" s="644"/>
      <c r="O196" s="543">
        <f>+'Plan de Accion 2018'!AL59</f>
        <v>0.25</v>
      </c>
      <c r="P196" s="767">
        <f>+'Plan de Accion 2018'!BO59</f>
        <v>1</v>
      </c>
      <c r="Q196" s="629">
        <f t="shared" si="70"/>
        <v>1</v>
      </c>
      <c r="R196" s="751">
        <f>+'Plan de Accion 2018'!AP59</f>
        <v>0.5</v>
      </c>
      <c r="S196" s="873">
        <f t="shared" si="68"/>
        <v>0.5</v>
      </c>
      <c r="T196" s="637">
        <f t="shared" si="71"/>
        <v>0.5</v>
      </c>
      <c r="U196" s="329"/>
      <c r="V196" s="543">
        <f>+'Plan de Accion 2018'!AV59</f>
        <v>0.25</v>
      </c>
      <c r="W196" s="767">
        <f>+'Plan de Accion 2018'!BQ59</f>
        <v>1</v>
      </c>
      <c r="X196" s="629">
        <f t="shared" si="72"/>
        <v>1</v>
      </c>
      <c r="Y196" s="882">
        <f>+'Plan de Accion 2018'!AZ59</f>
        <v>0.75</v>
      </c>
      <c r="Z196" s="882">
        <f t="shared" si="69"/>
        <v>0.75</v>
      </c>
      <c r="AA196" s="883">
        <f t="shared" si="73"/>
        <v>0.75</v>
      </c>
      <c r="AB196" s="644"/>
      <c r="AC196" s="543">
        <f>+'Plan de Accion 2018'!BF59</f>
        <v>0.25</v>
      </c>
      <c r="AD196" s="767">
        <f>+'Plan de Accion 2018'!BS59</f>
        <v>1</v>
      </c>
      <c r="AE196" s="629">
        <f t="shared" si="65"/>
        <v>1</v>
      </c>
      <c r="AF196" s="767">
        <f>+'Plan de Accion 2018'!BJ59</f>
        <v>1</v>
      </c>
      <c r="AG196" s="637">
        <f t="shared" si="66"/>
        <v>1</v>
      </c>
      <c r="AH196" s="374"/>
      <c r="AI196" s="1016"/>
      <c r="AJ196" s="342"/>
      <c r="AK196" s="343"/>
      <c r="AL196" s="321"/>
      <c r="AM196" s="342"/>
      <c r="AN196" s="343"/>
      <c r="AO196" s="321"/>
      <c r="AP196" s="342"/>
      <c r="AQ196" s="343"/>
      <c r="AR196" s="321"/>
      <c r="AS196" s="342"/>
      <c r="AT196" s="343"/>
      <c r="AU196" s="326"/>
      <c r="AV196" s="374"/>
      <c r="AW196" s="352"/>
      <c r="AX196" s="342"/>
      <c r="AY196" s="343"/>
      <c r="AZ196" s="321"/>
      <c r="BA196" s="342"/>
      <c r="BB196" s="343"/>
      <c r="BC196" s="321"/>
      <c r="BD196" s="342"/>
      <c r="BE196" s="343"/>
      <c r="BF196" s="321"/>
      <c r="BG196" s="342"/>
      <c r="BH196" s="343"/>
      <c r="BI196" s="326"/>
      <c r="BJ196" s="374"/>
      <c r="BL196" s="342"/>
      <c r="BM196" s="343"/>
      <c r="BN196" s="321"/>
      <c r="BO196" s="342"/>
      <c r="BP196" s="343"/>
      <c r="BQ196" s="321"/>
      <c r="BR196" s="342"/>
      <c r="BS196" s="343"/>
      <c r="BT196" s="321"/>
      <c r="BU196" s="342"/>
      <c r="BV196" s="343"/>
      <c r="BW196" s="326"/>
      <c r="BX196" s="374"/>
      <c r="BZ196" s="342"/>
      <c r="CA196" s="343"/>
      <c r="CB196" s="321"/>
      <c r="CC196" s="342"/>
      <c r="CD196" s="343"/>
      <c r="CE196" s="321"/>
      <c r="CF196" s="342"/>
      <c r="CG196" s="343"/>
      <c r="CH196" s="321"/>
      <c r="CI196" s="342"/>
      <c r="CJ196" s="343"/>
      <c r="CK196" s="326"/>
      <c r="CL196" s="374"/>
    </row>
    <row r="197" spans="2:90" ht="71.25" x14ac:dyDescent="0.25">
      <c r="B197" s="1394"/>
      <c r="C197" s="1397"/>
      <c r="D197" s="754" t="str">
        <f>+'Plan de Accion 2018'!G60</f>
        <v>Certificación descuento proceso LMA - Compra de Cartera</v>
      </c>
      <c r="E197" s="1402"/>
      <c r="F197" s="344" t="str">
        <f>+'Plan de Accion 2018'!S60</f>
        <v># Certificaciones remitidas/# Certificaciones proyectadas de acuerdo con el # de procesos en los que sea necesario aplicar</v>
      </c>
      <c r="G197" s="362"/>
      <c r="H197" s="543">
        <f>+'Plan de Accion 2018'!AB60</f>
        <v>0.25</v>
      </c>
      <c r="I197" s="767">
        <f>+'Plan de Accion 2018'!BM60</f>
        <v>1</v>
      </c>
      <c r="J197" s="767">
        <f t="shared" si="35"/>
        <v>1</v>
      </c>
      <c r="K197" s="767">
        <f>+'Plan de Accion 2018'!AF60</f>
        <v>0.25</v>
      </c>
      <c r="L197" s="875">
        <f t="shared" si="67"/>
        <v>0.25</v>
      </c>
      <c r="M197" s="682">
        <f t="shared" si="36"/>
        <v>0.25</v>
      </c>
      <c r="N197" s="644"/>
      <c r="O197" s="543">
        <f>+'Plan de Accion 2018'!AL60</f>
        <v>0.25</v>
      </c>
      <c r="P197" s="767">
        <f>+'Plan de Accion 2018'!BO60</f>
        <v>1</v>
      </c>
      <c r="Q197" s="629">
        <f t="shared" si="70"/>
        <v>1</v>
      </c>
      <c r="R197" s="751">
        <f>+'Plan de Accion 2018'!AP60</f>
        <v>0.5</v>
      </c>
      <c r="S197" s="873">
        <f t="shared" si="68"/>
        <v>0.5</v>
      </c>
      <c r="T197" s="637">
        <f t="shared" si="71"/>
        <v>0.5</v>
      </c>
      <c r="U197" s="329"/>
      <c r="V197" s="543">
        <f>+'Plan de Accion 2018'!AV60</f>
        <v>0.25</v>
      </c>
      <c r="W197" s="767">
        <f>+'Plan de Accion 2018'!BQ60</f>
        <v>1</v>
      </c>
      <c r="X197" s="629">
        <f t="shared" si="72"/>
        <v>1</v>
      </c>
      <c r="Y197" s="882">
        <f>+'Plan de Accion 2018'!AZ60</f>
        <v>0.75</v>
      </c>
      <c r="Z197" s="882">
        <f t="shared" si="69"/>
        <v>0.75</v>
      </c>
      <c r="AA197" s="883">
        <f t="shared" si="73"/>
        <v>0.75</v>
      </c>
      <c r="AB197" s="644"/>
      <c r="AC197" s="543">
        <f>+'Plan de Accion 2018'!BF60</f>
        <v>0.25</v>
      </c>
      <c r="AD197" s="767">
        <f>+'Plan de Accion 2018'!BS60</f>
        <v>1</v>
      </c>
      <c r="AE197" s="629">
        <f t="shared" si="65"/>
        <v>1</v>
      </c>
      <c r="AF197" s="767">
        <f>+'Plan de Accion 2018'!BJ60</f>
        <v>1</v>
      </c>
      <c r="AG197" s="637">
        <f t="shared" si="66"/>
        <v>1</v>
      </c>
      <c r="AH197" s="374"/>
      <c r="AI197" s="1016"/>
      <c r="AJ197" s="342"/>
      <c r="AK197" s="343"/>
      <c r="AL197" s="321"/>
      <c r="AM197" s="342"/>
      <c r="AN197" s="343"/>
      <c r="AO197" s="321"/>
      <c r="AP197" s="342"/>
      <c r="AQ197" s="343"/>
      <c r="AR197" s="321"/>
      <c r="AS197" s="342"/>
      <c r="AT197" s="343"/>
      <c r="AU197" s="326"/>
      <c r="AV197" s="374"/>
      <c r="AW197" s="352"/>
      <c r="AX197" s="342"/>
      <c r="AY197" s="343"/>
      <c r="AZ197" s="321"/>
      <c r="BA197" s="342"/>
      <c r="BB197" s="343"/>
      <c r="BC197" s="321"/>
      <c r="BD197" s="342"/>
      <c r="BE197" s="343"/>
      <c r="BF197" s="321"/>
      <c r="BG197" s="342"/>
      <c r="BH197" s="343"/>
      <c r="BI197" s="326"/>
      <c r="BJ197" s="374"/>
      <c r="BL197" s="342"/>
      <c r="BM197" s="343"/>
      <c r="BN197" s="321"/>
      <c r="BO197" s="342"/>
      <c r="BP197" s="343"/>
      <c r="BQ197" s="321"/>
      <c r="BR197" s="342"/>
      <c r="BS197" s="343"/>
      <c r="BT197" s="321"/>
      <c r="BU197" s="342"/>
      <c r="BV197" s="343"/>
      <c r="BW197" s="326"/>
      <c r="BX197" s="374"/>
      <c r="BZ197" s="342"/>
      <c r="CA197" s="343"/>
      <c r="CB197" s="321"/>
      <c r="CC197" s="342"/>
      <c r="CD197" s="343"/>
      <c r="CE197" s="321"/>
      <c r="CF197" s="342"/>
      <c r="CG197" s="343"/>
      <c r="CH197" s="321"/>
      <c r="CI197" s="342"/>
      <c r="CJ197" s="343"/>
      <c r="CK197" s="326"/>
      <c r="CL197" s="374"/>
    </row>
    <row r="198" spans="2:90" ht="71.25" x14ac:dyDescent="0.25">
      <c r="B198" s="1394"/>
      <c r="C198" s="1397"/>
      <c r="D198" s="754" t="str">
        <f>+'Plan de Accion 2018'!G61</f>
        <v>Certificación descuento proceso de compensación - Compra de Cartera</v>
      </c>
      <c r="E198" s="1402"/>
      <c r="F198" s="344" t="str">
        <f>+'Plan de Accion 2018'!S61</f>
        <v># Certificaciones remitidas/# Certificaciones proyectadas de acuerdo con el # de procesos en los que sea necesario aplicar</v>
      </c>
      <c r="G198" s="362"/>
      <c r="H198" s="543">
        <f>+'Plan de Accion 2018'!AB61</f>
        <v>0.25</v>
      </c>
      <c r="I198" s="767">
        <f>+'Plan de Accion 2018'!BM61</f>
        <v>1</v>
      </c>
      <c r="J198" s="767">
        <f t="shared" si="35"/>
        <v>1</v>
      </c>
      <c r="K198" s="767">
        <f>+'Plan de Accion 2018'!AF61</f>
        <v>0.25</v>
      </c>
      <c r="L198" s="875">
        <f t="shared" si="67"/>
        <v>0.25</v>
      </c>
      <c r="M198" s="682">
        <f t="shared" si="36"/>
        <v>0.25</v>
      </c>
      <c r="N198" s="644"/>
      <c r="O198" s="543">
        <f>+'Plan de Accion 2018'!AL61</f>
        <v>0.25</v>
      </c>
      <c r="P198" s="767">
        <f>+'Plan de Accion 2018'!BO61</f>
        <v>1</v>
      </c>
      <c r="Q198" s="629">
        <f t="shared" si="70"/>
        <v>1</v>
      </c>
      <c r="R198" s="751">
        <f>+'Plan de Accion 2018'!AP61</f>
        <v>0.5</v>
      </c>
      <c r="S198" s="873">
        <f t="shared" si="68"/>
        <v>0.5</v>
      </c>
      <c r="T198" s="637">
        <f t="shared" si="71"/>
        <v>0.5</v>
      </c>
      <c r="U198" s="329"/>
      <c r="V198" s="543">
        <f>+'Plan de Accion 2018'!AV61</f>
        <v>0.25</v>
      </c>
      <c r="W198" s="767">
        <f>+'Plan de Accion 2018'!BQ61</f>
        <v>1</v>
      </c>
      <c r="X198" s="629">
        <f t="shared" si="72"/>
        <v>1</v>
      </c>
      <c r="Y198" s="882">
        <f>+'Plan de Accion 2018'!AZ61</f>
        <v>0.75</v>
      </c>
      <c r="Z198" s="882">
        <f t="shared" si="69"/>
        <v>0.75</v>
      </c>
      <c r="AA198" s="883">
        <f t="shared" si="73"/>
        <v>0.75</v>
      </c>
      <c r="AB198" s="644"/>
      <c r="AC198" s="543">
        <f>+'Plan de Accion 2018'!BF61</f>
        <v>0.25</v>
      </c>
      <c r="AD198" s="767">
        <f>+'Plan de Accion 2018'!BS61</f>
        <v>1</v>
      </c>
      <c r="AE198" s="629">
        <f t="shared" si="65"/>
        <v>1</v>
      </c>
      <c r="AF198" s="767">
        <f>+'Plan de Accion 2018'!BJ61</f>
        <v>1</v>
      </c>
      <c r="AG198" s="637">
        <f t="shared" si="66"/>
        <v>1</v>
      </c>
      <c r="AH198" s="374"/>
      <c r="AI198" s="1016"/>
      <c r="AJ198" s="342"/>
      <c r="AK198" s="343"/>
      <c r="AL198" s="321"/>
      <c r="AM198" s="342"/>
      <c r="AN198" s="343"/>
      <c r="AO198" s="321"/>
      <c r="AP198" s="342"/>
      <c r="AQ198" s="343"/>
      <c r="AR198" s="321"/>
      <c r="AS198" s="342"/>
      <c r="AT198" s="343"/>
      <c r="AU198" s="326"/>
      <c r="AV198" s="374"/>
      <c r="AW198" s="352"/>
      <c r="AX198" s="342"/>
      <c r="AY198" s="343"/>
      <c r="AZ198" s="321"/>
      <c r="BA198" s="342"/>
      <c r="BB198" s="343"/>
      <c r="BC198" s="321"/>
      <c r="BD198" s="342"/>
      <c r="BE198" s="343"/>
      <c r="BF198" s="321"/>
      <c r="BG198" s="342"/>
      <c r="BH198" s="343"/>
      <c r="BI198" s="326"/>
      <c r="BJ198" s="374"/>
      <c r="BL198" s="342"/>
      <c r="BM198" s="343"/>
      <c r="BN198" s="321"/>
      <c r="BO198" s="342"/>
      <c r="BP198" s="343"/>
      <c r="BQ198" s="321"/>
      <c r="BR198" s="342"/>
      <c r="BS198" s="343"/>
      <c r="BT198" s="321"/>
      <c r="BU198" s="342"/>
      <c r="BV198" s="343"/>
      <c r="BW198" s="326"/>
      <c r="BX198" s="374"/>
      <c r="BZ198" s="342"/>
      <c r="CA198" s="343"/>
      <c r="CB198" s="321"/>
      <c r="CC198" s="342"/>
      <c r="CD198" s="343"/>
      <c r="CE198" s="321"/>
      <c r="CF198" s="342"/>
      <c r="CG198" s="343"/>
      <c r="CH198" s="321"/>
      <c r="CI198" s="342"/>
      <c r="CJ198" s="343"/>
      <c r="CK198" s="326"/>
      <c r="CL198" s="374"/>
    </row>
    <row r="199" spans="2:90" ht="71.25" x14ac:dyDescent="0.25">
      <c r="B199" s="1394"/>
      <c r="C199" s="1397"/>
      <c r="D199" s="754" t="str">
        <f>+'Plan de Accion 2018'!G66</f>
        <v>Proceso de Giro Previo realizado a favor de las entidades recobrantes y proveedores servicios y tecnologías no incluidas en el PB con cargo a la UPC</v>
      </c>
      <c r="E199" s="1402" t="str">
        <f>+'Plan de Accion 2018'!B66</f>
        <v xml:space="preserve">Dirección de Otras Prestaciones  </v>
      </c>
      <c r="F199" s="344" t="str">
        <f>+'Plan de Accion 2018'!S66</f>
        <v xml:space="preserve"># Procesos de Ordenación de gasto del Giro previo </v>
      </c>
      <c r="G199" s="362"/>
      <c r="H199" s="375">
        <f>+'Plan de Accion 2018'!AB66</f>
        <v>3</v>
      </c>
      <c r="I199" s="767">
        <f>+'Plan de Accion 2018'!BM66</f>
        <v>1</v>
      </c>
      <c r="J199" s="767">
        <f t="shared" si="35"/>
        <v>1</v>
      </c>
      <c r="K199" s="767">
        <f>+'Plan de Accion 2018'!AF66</f>
        <v>0.25</v>
      </c>
      <c r="L199" s="875">
        <f t="shared" si="67"/>
        <v>0.25</v>
      </c>
      <c r="M199" s="682">
        <f t="shared" si="36"/>
        <v>0.25</v>
      </c>
      <c r="N199" s="644"/>
      <c r="O199" s="545">
        <f>+'Plan de Accion 2018'!AL66</f>
        <v>3</v>
      </c>
      <c r="P199" s="767">
        <f>+'Plan de Accion 2018'!BO66</f>
        <v>1</v>
      </c>
      <c r="Q199" s="629">
        <f t="shared" si="70"/>
        <v>1</v>
      </c>
      <c r="R199" s="751">
        <f>+'Plan de Accion 2018'!AP66</f>
        <v>0.5</v>
      </c>
      <c r="S199" s="873">
        <f t="shared" si="68"/>
        <v>0.5</v>
      </c>
      <c r="T199" s="637">
        <f t="shared" si="71"/>
        <v>0.5</v>
      </c>
      <c r="U199" s="329"/>
      <c r="V199" s="545">
        <f>+'Plan de Accion 2018'!AV66</f>
        <v>3</v>
      </c>
      <c r="W199" s="767">
        <f>+'Plan de Accion 2018'!BQ66</f>
        <v>1</v>
      </c>
      <c r="X199" s="629">
        <f t="shared" si="72"/>
        <v>1</v>
      </c>
      <c r="Y199" s="882">
        <f>+'Plan de Accion 2018'!AZ66</f>
        <v>0.75</v>
      </c>
      <c r="Z199" s="882">
        <f t="shared" si="69"/>
        <v>0.75</v>
      </c>
      <c r="AA199" s="883">
        <f t="shared" si="73"/>
        <v>0.75</v>
      </c>
      <c r="AB199" s="644"/>
      <c r="AC199" s="545">
        <f>+'Plan de Accion 2018'!BF66</f>
        <v>3</v>
      </c>
      <c r="AD199" s="767">
        <f>+'Plan de Accion 2018'!BS66</f>
        <v>1</v>
      </c>
      <c r="AE199" s="629">
        <f t="shared" si="65"/>
        <v>1</v>
      </c>
      <c r="AF199" s="767">
        <f>+'Plan de Accion 2018'!BJ66</f>
        <v>1</v>
      </c>
      <c r="AG199" s="637">
        <f t="shared" si="66"/>
        <v>1</v>
      </c>
      <c r="AH199" s="374"/>
      <c r="AI199" s="1016"/>
      <c r="AJ199" s="342"/>
      <c r="AK199" s="343"/>
      <c r="AL199" s="321"/>
      <c r="AM199" s="342"/>
      <c r="AN199" s="343"/>
      <c r="AO199" s="321"/>
      <c r="AP199" s="342"/>
      <c r="AQ199" s="343"/>
      <c r="AR199" s="321"/>
      <c r="AS199" s="342"/>
      <c r="AT199" s="343"/>
      <c r="AU199" s="326"/>
      <c r="AV199" s="374"/>
      <c r="AW199" s="352"/>
      <c r="AX199" s="342"/>
      <c r="AY199" s="343"/>
      <c r="AZ199" s="321"/>
      <c r="BA199" s="342"/>
      <c r="BB199" s="343"/>
      <c r="BC199" s="321"/>
      <c r="BD199" s="342"/>
      <c r="BE199" s="343"/>
      <c r="BF199" s="321"/>
      <c r="BG199" s="342"/>
      <c r="BH199" s="343"/>
      <c r="BI199" s="326"/>
      <c r="BJ199" s="374"/>
      <c r="BL199" s="342"/>
      <c r="BM199" s="343"/>
      <c r="BN199" s="321"/>
      <c r="BO199" s="342"/>
      <c r="BP199" s="343"/>
      <c r="BQ199" s="321"/>
      <c r="BR199" s="342"/>
      <c r="BS199" s="343"/>
      <c r="BT199" s="321"/>
      <c r="BU199" s="342"/>
      <c r="BV199" s="343"/>
      <c r="BW199" s="326"/>
      <c r="BX199" s="374"/>
      <c r="BZ199" s="342"/>
      <c r="CA199" s="343"/>
      <c r="CB199" s="321"/>
      <c r="CC199" s="342"/>
      <c r="CD199" s="343"/>
      <c r="CE199" s="321"/>
      <c r="CF199" s="342"/>
      <c r="CG199" s="343"/>
      <c r="CH199" s="321"/>
      <c r="CI199" s="342"/>
      <c r="CJ199" s="343"/>
      <c r="CK199" s="326"/>
      <c r="CL199" s="374"/>
    </row>
    <row r="200" spans="2:90" ht="99.75" customHeight="1" x14ac:dyDescent="0.25">
      <c r="B200" s="1394"/>
      <c r="C200" s="1397"/>
      <c r="D200" s="1350" t="str">
        <f>+'Plan de Accion 2018'!G67</f>
        <v>Paquetes de recobros cuyo trámite de auditoría haya culminado, reconocidos y pagados por parte de ADRES.</v>
      </c>
      <c r="E200" s="1402"/>
      <c r="F200" s="1421" t="str">
        <f>+'Plan de Accion 2018'!S67</f>
        <v># De ordenaciones realizadas de paquetes de recobros MYT0102 con resultado de auditoría culminado/ # Paquetes MYT0102 cuyo tramite de auditoria haya culminado</v>
      </c>
      <c r="G200" s="362"/>
      <c r="H200" s="543">
        <f>+'Plan de Accion 2018'!AB67</f>
        <v>0.25</v>
      </c>
      <c r="I200" s="767">
        <f>+'Plan de Accion 2018'!BM67</f>
        <v>1</v>
      </c>
      <c r="J200" s="767">
        <f t="shared" si="35"/>
        <v>1</v>
      </c>
      <c r="K200" s="767">
        <f>+'Plan de Accion 2018'!AF67</f>
        <v>0.25</v>
      </c>
      <c r="L200" s="875">
        <f t="shared" si="67"/>
        <v>0.25</v>
      </c>
      <c r="M200" s="682">
        <f t="shared" si="36"/>
        <v>0.25</v>
      </c>
      <c r="N200" s="644"/>
      <c r="O200" s="543">
        <f>+'Plan de Accion 2018'!AL67</f>
        <v>0.25</v>
      </c>
      <c r="P200" s="767">
        <f>+'Plan de Accion 2018'!BO67</f>
        <v>1</v>
      </c>
      <c r="Q200" s="629">
        <f t="shared" si="70"/>
        <v>1</v>
      </c>
      <c r="R200" s="751">
        <f>+'Plan de Accion 2018'!AP67</f>
        <v>0.5</v>
      </c>
      <c r="S200" s="873">
        <f t="shared" si="68"/>
        <v>0.5</v>
      </c>
      <c r="T200" s="637">
        <f t="shared" si="71"/>
        <v>0.5</v>
      </c>
      <c r="U200" s="329"/>
      <c r="V200" s="543">
        <f>+'Plan de Accion 2018'!AV67</f>
        <v>0.25</v>
      </c>
      <c r="W200" s="767">
        <f>+'Plan de Accion 2018'!BQ67</f>
        <v>1</v>
      </c>
      <c r="X200" s="629">
        <f t="shared" si="72"/>
        <v>1</v>
      </c>
      <c r="Y200" s="882">
        <f>+'Plan de Accion 2018'!AZ67</f>
        <v>0.75</v>
      </c>
      <c r="Z200" s="882">
        <f t="shared" si="69"/>
        <v>0.75</v>
      </c>
      <c r="AA200" s="883">
        <f t="shared" si="73"/>
        <v>0.75</v>
      </c>
      <c r="AB200" s="644"/>
      <c r="AC200" s="543">
        <f>+'Plan de Accion 2018'!BF67</f>
        <v>0.25</v>
      </c>
      <c r="AD200" s="767">
        <f>+'Plan de Accion 2018'!BS67</f>
        <v>1</v>
      </c>
      <c r="AE200" s="629">
        <f t="shared" si="65"/>
        <v>1</v>
      </c>
      <c r="AF200" s="767">
        <f>+'Plan de Accion 2018'!BJ67</f>
        <v>1</v>
      </c>
      <c r="AG200" s="637">
        <f t="shared" si="66"/>
        <v>1</v>
      </c>
      <c r="AH200" s="374"/>
      <c r="AI200" s="1016"/>
      <c r="AJ200" s="342"/>
      <c r="AK200" s="343"/>
      <c r="AL200" s="321"/>
      <c r="AM200" s="342"/>
      <c r="AN200" s="343"/>
      <c r="AO200" s="321"/>
      <c r="AP200" s="342"/>
      <c r="AQ200" s="343"/>
      <c r="AR200" s="321"/>
      <c r="AS200" s="342"/>
      <c r="AT200" s="343"/>
      <c r="AU200" s="326"/>
      <c r="AV200" s="374"/>
      <c r="AW200" s="352"/>
      <c r="AX200" s="342"/>
      <c r="AY200" s="343"/>
      <c r="AZ200" s="321"/>
      <c r="BA200" s="342"/>
      <c r="BB200" s="343"/>
      <c r="BC200" s="321"/>
      <c r="BD200" s="342"/>
      <c r="BE200" s="343"/>
      <c r="BF200" s="321"/>
      <c r="BG200" s="342"/>
      <c r="BH200" s="343"/>
      <c r="BI200" s="326"/>
      <c r="BJ200" s="374"/>
      <c r="BL200" s="342"/>
      <c r="BM200" s="343"/>
      <c r="BN200" s="321"/>
      <c r="BO200" s="342"/>
      <c r="BP200" s="343"/>
      <c r="BQ200" s="321"/>
      <c r="BR200" s="342"/>
      <c r="BS200" s="343"/>
      <c r="BT200" s="321"/>
      <c r="BU200" s="342"/>
      <c r="BV200" s="343"/>
      <c r="BW200" s="326"/>
      <c r="BX200" s="374"/>
      <c r="BZ200" s="342"/>
      <c r="CA200" s="343"/>
      <c r="CB200" s="321"/>
      <c r="CC200" s="342"/>
      <c r="CD200" s="343"/>
      <c r="CE200" s="321"/>
      <c r="CF200" s="342"/>
      <c r="CG200" s="343"/>
      <c r="CH200" s="321"/>
      <c r="CI200" s="342"/>
      <c r="CJ200" s="343"/>
      <c r="CK200" s="326"/>
      <c r="CL200" s="374"/>
    </row>
    <row r="201" spans="2:90" ht="19.5" x14ac:dyDescent="0.25">
      <c r="B201" s="1394"/>
      <c r="C201" s="1397"/>
      <c r="D201" s="1351"/>
      <c r="E201" s="1402"/>
      <c r="F201" s="1422"/>
      <c r="G201" s="362"/>
      <c r="H201" s="543">
        <f>+'Plan de Accion 2018'!AB68</f>
        <v>0</v>
      </c>
      <c r="I201" s="767" t="str">
        <f>+'Plan de Accion 2018'!BM68</f>
        <v>No Prog ni Ejec</v>
      </c>
      <c r="J201" s="767" t="s">
        <v>792</v>
      </c>
      <c r="K201" s="767">
        <f>+'Plan de Accion 2018'!AF68</f>
        <v>0</v>
      </c>
      <c r="L201" s="875">
        <f t="shared" si="67"/>
        <v>0</v>
      </c>
      <c r="M201" s="682" t="s">
        <v>792</v>
      </c>
      <c r="N201" s="644"/>
      <c r="O201" s="543">
        <f>+'Plan de Accion 2018'!AL68</f>
        <v>0</v>
      </c>
      <c r="P201" s="767" t="str">
        <f>+'Plan de Accion 2018'!BO68</f>
        <v>No Prog ni Ejec</v>
      </c>
      <c r="Q201" s="629" t="s">
        <v>792</v>
      </c>
      <c r="R201" s="751">
        <f>+'Plan de Accion 2018'!AP68</f>
        <v>0</v>
      </c>
      <c r="S201" s="873">
        <f t="shared" si="68"/>
        <v>0</v>
      </c>
      <c r="T201" s="637" t="s">
        <v>792</v>
      </c>
      <c r="U201" s="329"/>
      <c r="V201" s="543">
        <f>+'Plan de Accion 2018'!AV68</f>
        <v>0</v>
      </c>
      <c r="W201" s="767" t="str">
        <f>+'Plan de Accion 2018'!BQ68</f>
        <v>No Prog ni Ejec</v>
      </c>
      <c r="X201" s="629" t="s">
        <v>792</v>
      </c>
      <c r="Y201" s="882">
        <f>+'Plan de Accion 2018'!AZ68</f>
        <v>0</v>
      </c>
      <c r="Z201" s="882">
        <f t="shared" si="69"/>
        <v>0</v>
      </c>
      <c r="AA201" s="883" t="s">
        <v>792</v>
      </c>
      <c r="AB201" s="644"/>
      <c r="AC201" s="543">
        <f>+'Plan de Accion 2018'!BF68</f>
        <v>0</v>
      </c>
      <c r="AD201" s="767">
        <f>+'Plan de Accion 2018'!BS68</f>
        <v>0</v>
      </c>
      <c r="AE201" s="629">
        <f t="shared" ref="AE201:AE304" si="74">IF(AD201&gt;100%,100%,AD201)</f>
        <v>0</v>
      </c>
      <c r="AF201" s="767">
        <f>+'Plan de Accion 2018'!BJ68</f>
        <v>0</v>
      </c>
      <c r="AG201" s="637">
        <f t="shared" ref="AG201:AG304" si="75">IF(AF201&gt;100%,100%,AF201)</f>
        <v>0</v>
      </c>
      <c r="AH201" s="374"/>
      <c r="AI201" s="1016"/>
      <c r="AJ201" s="402"/>
      <c r="AK201" s="343"/>
      <c r="AL201" s="321"/>
      <c r="AM201" s="402"/>
      <c r="AN201" s="343"/>
      <c r="AO201" s="321"/>
      <c r="AP201" s="402"/>
      <c r="AQ201" s="343"/>
      <c r="AR201" s="321"/>
      <c r="AS201" s="402"/>
      <c r="AT201" s="343"/>
      <c r="AU201" s="326"/>
      <c r="AV201" s="374"/>
      <c r="AW201" s="352"/>
      <c r="AX201" s="402"/>
      <c r="AY201" s="343"/>
      <c r="AZ201" s="321"/>
      <c r="BA201" s="402"/>
      <c r="BB201" s="343"/>
      <c r="BC201" s="321"/>
      <c r="BD201" s="402"/>
      <c r="BE201" s="343"/>
      <c r="BF201" s="321"/>
      <c r="BG201" s="402"/>
      <c r="BH201" s="343"/>
      <c r="BI201" s="326"/>
      <c r="BJ201" s="374"/>
      <c r="BL201" s="402"/>
      <c r="BM201" s="343"/>
      <c r="BN201" s="321"/>
      <c r="BO201" s="402"/>
      <c r="BP201" s="343"/>
      <c r="BQ201" s="321"/>
      <c r="BR201" s="402"/>
      <c r="BS201" s="343"/>
      <c r="BT201" s="321"/>
      <c r="BU201" s="402"/>
      <c r="BV201" s="343"/>
      <c r="BW201" s="326"/>
      <c r="BX201" s="374"/>
      <c r="BZ201" s="402"/>
      <c r="CA201" s="343"/>
      <c r="CB201" s="321"/>
      <c r="CC201" s="402"/>
      <c r="CD201" s="343"/>
      <c r="CE201" s="321"/>
      <c r="CF201" s="402"/>
      <c r="CG201" s="343"/>
      <c r="CH201" s="321"/>
      <c r="CI201" s="402"/>
      <c r="CJ201" s="343"/>
      <c r="CK201" s="326"/>
      <c r="CL201" s="374"/>
    </row>
    <row r="202" spans="2:90" ht="28.5" x14ac:dyDescent="0.25">
      <c r="B202" s="1394"/>
      <c r="C202" s="1397"/>
      <c r="D202" s="754" t="str">
        <f>+'Plan de Accion 2018'!G69</f>
        <v>Giro Directo del giro previo publicados</v>
      </c>
      <c r="E202" s="1402"/>
      <c r="F202" s="344" t="str">
        <f>+'Plan de Accion 2018'!S69</f>
        <v># publicaciones de Giros Directos efectuados</v>
      </c>
      <c r="G202" s="362"/>
      <c r="H202" s="545">
        <f>+'Plan de Accion 2018'!AB69</f>
        <v>1</v>
      </c>
      <c r="I202" s="767">
        <f>+'Plan de Accion 2018'!BM69</f>
        <v>0.33333333333333331</v>
      </c>
      <c r="J202" s="767">
        <f t="shared" si="35"/>
        <v>0.33333333333333331</v>
      </c>
      <c r="K202" s="767">
        <f>+'Plan de Accion 2018'!AF69</f>
        <v>8.3333333333333329E-2</v>
      </c>
      <c r="L202" s="875">
        <f t="shared" si="67"/>
        <v>8.3333333333333329E-2</v>
      </c>
      <c r="M202" s="682">
        <f t="shared" si="36"/>
        <v>8.3333333333333329E-2</v>
      </c>
      <c r="N202" s="644"/>
      <c r="O202" s="545">
        <f>+'Plan de Accion 2018'!AL69</f>
        <v>5</v>
      </c>
      <c r="P202" s="767">
        <f>+'Plan de Accion 2018'!BO69</f>
        <v>1.6666666666666667</v>
      </c>
      <c r="Q202" s="629">
        <f t="shared" ref="Q202:Q304" si="76">IF(P202&gt;100%,100%,P202)</f>
        <v>1</v>
      </c>
      <c r="R202" s="751">
        <f>+'Plan de Accion 2018'!AP69</f>
        <v>0.5</v>
      </c>
      <c r="S202" s="873">
        <f t="shared" si="68"/>
        <v>0.5</v>
      </c>
      <c r="T202" s="637">
        <f>+S202</f>
        <v>0.5</v>
      </c>
      <c r="U202" s="644">
        <v>1</v>
      </c>
      <c r="V202" s="545">
        <f>+'Plan de Accion 2018'!AV69</f>
        <v>3</v>
      </c>
      <c r="W202" s="767">
        <f>+'Plan de Accion 2018'!BQ69</f>
        <v>1</v>
      </c>
      <c r="X202" s="629">
        <f t="shared" ref="X202:X288" si="77">IF(W202&gt;100%,100%,W202)</f>
        <v>1</v>
      </c>
      <c r="Y202" s="882">
        <f>+'Plan de Accion 2018'!AZ69</f>
        <v>0.75</v>
      </c>
      <c r="Z202" s="882">
        <f t="shared" si="69"/>
        <v>0.75</v>
      </c>
      <c r="AA202" s="883">
        <f>+Z202</f>
        <v>0.75</v>
      </c>
      <c r="AB202" s="644"/>
      <c r="AC202" s="545">
        <f>+'Plan de Accion 2018'!BF69</f>
        <v>3</v>
      </c>
      <c r="AD202" s="767">
        <f>+'Plan de Accion 2018'!BS69</f>
        <v>1</v>
      </c>
      <c r="AE202" s="629">
        <f t="shared" si="74"/>
        <v>1</v>
      </c>
      <c r="AF202" s="767">
        <f>+'Plan de Accion 2018'!BJ69</f>
        <v>1</v>
      </c>
      <c r="AG202" s="637">
        <f t="shared" si="75"/>
        <v>1</v>
      </c>
      <c r="AH202" s="374"/>
      <c r="AI202" s="1016"/>
      <c r="AJ202" s="342"/>
      <c r="AK202" s="343"/>
      <c r="AL202" s="321"/>
      <c r="AM202" s="342"/>
      <c r="AN202" s="343"/>
      <c r="AO202" s="321"/>
      <c r="AP202" s="342"/>
      <c r="AQ202" s="343"/>
      <c r="AR202" s="321"/>
      <c r="AS202" s="342"/>
      <c r="AT202" s="343"/>
      <c r="AU202" s="326"/>
      <c r="AV202" s="374"/>
      <c r="AW202" s="352"/>
      <c r="AX202" s="342"/>
      <c r="AY202" s="343"/>
      <c r="AZ202" s="321"/>
      <c r="BA202" s="342"/>
      <c r="BB202" s="343"/>
      <c r="BC202" s="321"/>
      <c r="BD202" s="342"/>
      <c r="BE202" s="343"/>
      <c r="BF202" s="321"/>
      <c r="BG202" s="342"/>
      <c r="BH202" s="343"/>
      <c r="BI202" s="326"/>
      <c r="BJ202" s="374"/>
      <c r="BL202" s="342"/>
      <c r="BM202" s="343"/>
      <c r="BN202" s="321"/>
      <c r="BO202" s="342"/>
      <c r="BP202" s="343"/>
      <c r="BQ202" s="321"/>
      <c r="BR202" s="342"/>
      <c r="BS202" s="343"/>
      <c r="BT202" s="321"/>
      <c r="BU202" s="342"/>
      <c r="BV202" s="343"/>
      <c r="BW202" s="326"/>
      <c r="BX202" s="374"/>
      <c r="BZ202" s="342"/>
      <c r="CA202" s="343"/>
      <c r="CB202" s="321"/>
      <c r="CC202" s="342"/>
      <c r="CD202" s="343"/>
      <c r="CE202" s="321"/>
      <c r="CF202" s="342"/>
      <c r="CG202" s="343"/>
      <c r="CH202" s="321"/>
      <c r="CI202" s="342"/>
      <c r="CJ202" s="343"/>
      <c r="CK202" s="326"/>
      <c r="CL202" s="374"/>
    </row>
    <row r="203" spans="2:90" ht="85.5" x14ac:dyDescent="0.25">
      <c r="B203" s="1394"/>
      <c r="C203" s="1397"/>
      <c r="D203" s="754" t="str">
        <f>+'Plan de Accion 2018'!G71</f>
        <v xml:space="preserve">Boletines con resultados del proceso de reconocimiento y pago de recobros por concepto de servicios y tecnologías no cubiertos por el plan de beneficios con cargo a la UPC </v>
      </c>
      <c r="E203" s="1402"/>
      <c r="F203" s="344" t="str">
        <f>+'Plan de Accion 2018'!S71</f>
        <v># Boletines realizados</v>
      </c>
      <c r="G203" s="362"/>
      <c r="H203" s="545">
        <f>+'Plan de Accion 2018'!AB71</f>
        <v>1</v>
      </c>
      <c r="I203" s="767">
        <f>+'Plan de Accion 2018'!BM71</f>
        <v>1</v>
      </c>
      <c r="J203" s="767">
        <f t="shared" si="35"/>
        <v>1</v>
      </c>
      <c r="K203" s="767">
        <f>+'Plan de Accion 2018'!AF71</f>
        <v>0.25</v>
      </c>
      <c r="L203" s="875">
        <f t="shared" si="67"/>
        <v>0.25</v>
      </c>
      <c r="M203" s="682">
        <f t="shared" si="36"/>
        <v>0.25</v>
      </c>
      <c r="N203" s="644"/>
      <c r="O203" s="545">
        <f>+'Plan de Accion 2018'!AL71</f>
        <v>1</v>
      </c>
      <c r="P203" s="767">
        <f>+'Plan de Accion 2018'!BO71</f>
        <v>1</v>
      </c>
      <c r="Q203" s="629">
        <f t="shared" si="76"/>
        <v>1</v>
      </c>
      <c r="R203" s="751">
        <f>+'Plan de Accion 2018'!AP71</f>
        <v>0.5</v>
      </c>
      <c r="S203" s="873">
        <f t="shared" si="68"/>
        <v>0.5</v>
      </c>
      <c r="T203" s="637">
        <f>+S203</f>
        <v>0.5</v>
      </c>
      <c r="U203" s="329"/>
      <c r="V203" s="545">
        <f>+'Plan de Accion 2018'!AV71</f>
        <v>1</v>
      </c>
      <c r="W203" s="767">
        <f>+'Plan de Accion 2018'!BQ71</f>
        <v>1</v>
      </c>
      <c r="X203" s="629">
        <f t="shared" si="77"/>
        <v>1</v>
      </c>
      <c r="Y203" s="882">
        <f>+'Plan de Accion 2018'!AZ71</f>
        <v>0.75</v>
      </c>
      <c r="Z203" s="882">
        <f t="shared" si="69"/>
        <v>0.75</v>
      </c>
      <c r="AA203" s="883">
        <f>+Z203</f>
        <v>0.75</v>
      </c>
      <c r="AB203" s="644"/>
      <c r="AC203" s="545">
        <f>+'Plan de Accion 2018'!BF71</f>
        <v>1</v>
      </c>
      <c r="AD203" s="767">
        <f>+'Plan de Accion 2018'!BS71</f>
        <v>1</v>
      </c>
      <c r="AE203" s="629">
        <f t="shared" si="74"/>
        <v>1</v>
      </c>
      <c r="AF203" s="767">
        <f>+'Plan de Accion 2018'!BJ71</f>
        <v>1</v>
      </c>
      <c r="AG203" s="637">
        <f t="shared" si="75"/>
        <v>1</v>
      </c>
      <c r="AH203" s="374"/>
      <c r="AI203" s="1016"/>
      <c r="AJ203" s="342"/>
      <c r="AK203" s="343"/>
      <c r="AL203" s="321"/>
      <c r="AM203" s="342"/>
      <c r="AN203" s="343"/>
      <c r="AO203" s="321"/>
      <c r="AP203" s="342"/>
      <c r="AQ203" s="343"/>
      <c r="AR203" s="321"/>
      <c r="AS203" s="342"/>
      <c r="AT203" s="343"/>
      <c r="AU203" s="326"/>
      <c r="AV203" s="374"/>
      <c r="AW203" s="352"/>
      <c r="AX203" s="342"/>
      <c r="AY203" s="343"/>
      <c r="AZ203" s="321"/>
      <c r="BA203" s="342"/>
      <c r="BB203" s="343"/>
      <c r="BC203" s="321"/>
      <c r="BD203" s="342"/>
      <c r="BE203" s="343"/>
      <c r="BF203" s="321"/>
      <c r="BG203" s="342"/>
      <c r="BH203" s="343"/>
      <c r="BI203" s="326"/>
      <c r="BJ203" s="374"/>
      <c r="BL203" s="342"/>
      <c r="BM203" s="343"/>
      <c r="BN203" s="321"/>
      <c r="BO203" s="342"/>
      <c r="BP203" s="343"/>
      <c r="BQ203" s="321"/>
      <c r="BR203" s="342"/>
      <c r="BS203" s="343"/>
      <c r="BT203" s="321"/>
      <c r="BU203" s="342"/>
      <c r="BV203" s="343"/>
      <c r="BW203" s="326"/>
      <c r="BX203" s="374"/>
      <c r="BZ203" s="342"/>
      <c r="CA203" s="343"/>
      <c r="CB203" s="321"/>
      <c r="CC203" s="342"/>
      <c r="CD203" s="343"/>
      <c r="CE203" s="321"/>
      <c r="CF203" s="342"/>
      <c r="CG203" s="343"/>
      <c r="CH203" s="321"/>
      <c r="CI203" s="342"/>
      <c r="CJ203" s="343"/>
      <c r="CK203" s="326"/>
      <c r="CL203" s="374"/>
    </row>
    <row r="204" spans="2:90" ht="85.5" x14ac:dyDescent="0.25">
      <c r="B204" s="1394"/>
      <c r="C204" s="1397"/>
      <c r="D204" s="754" t="str">
        <f>+'Plan de Accion 2018'!K73</f>
        <v>Pagar paquetes de reclamaciones de acuerdo con lo definido en la normativa vigente</v>
      </c>
      <c r="E204" s="1402"/>
      <c r="F204" s="344" t="str">
        <f>+'Plan de Accion 2018'!S73</f>
        <v># De ordenaciones de paquetes de reclamaciones con resultado de auditoría culminado / # Paquetes cuyo tramite de auditoría haya culminado</v>
      </c>
      <c r="G204" s="362"/>
      <c r="H204" s="543">
        <f>+'Plan de Accion 2018'!AB73</f>
        <v>0.25</v>
      </c>
      <c r="I204" s="767">
        <f>+'Plan de Accion 2018'!BM73</f>
        <v>1</v>
      </c>
      <c r="J204" s="767">
        <f t="shared" si="35"/>
        <v>1</v>
      </c>
      <c r="K204" s="767">
        <f>+'Plan de Accion 2018'!AF73</f>
        <v>0.25</v>
      </c>
      <c r="L204" s="875">
        <f t="shared" si="67"/>
        <v>0.25</v>
      </c>
      <c r="M204" s="682">
        <f t="shared" si="36"/>
        <v>0.25</v>
      </c>
      <c r="N204" s="644"/>
      <c r="O204" s="543">
        <f>+'Plan de Accion 2018'!AL73</f>
        <v>0.25</v>
      </c>
      <c r="P204" s="767">
        <f>+'Plan de Accion 2018'!BO73</f>
        <v>1</v>
      </c>
      <c r="Q204" s="629">
        <f t="shared" si="76"/>
        <v>1</v>
      </c>
      <c r="R204" s="751">
        <f>+'Plan de Accion 2018'!AP73</f>
        <v>0.5</v>
      </c>
      <c r="S204" s="873">
        <f t="shared" si="68"/>
        <v>0.5</v>
      </c>
      <c r="T204" s="637">
        <f>+S204</f>
        <v>0.5</v>
      </c>
      <c r="U204" s="329"/>
      <c r="V204" s="543">
        <f>+'Plan de Accion 2018'!AV73</f>
        <v>0.25</v>
      </c>
      <c r="W204" s="767">
        <f>+'Plan de Accion 2018'!BQ73</f>
        <v>1</v>
      </c>
      <c r="X204" s="629">
        <f t="shared" si="77"/>
        <v>1</v>
      </c>
      <c r="Y204" s="882">
        <f>+'Plan de Accion 2018'!AZ73</f>
        <v>0.75</v>
      </c>
      <c r="Z204" s="882">
        <f t="shared" si="69"/>
        <v>0.75</v>
      </c>
      <c r="AA204" s="883">
        <f>+Z204</f>
        <v>0.75</v>
      </c>
      <c r="AB204" s="644"/>
      <c r="AC204" s="543">
        <f>+'Plan de Accion 2018'!BF73</f>
        <v>0.25</v>
      </c>
      <c r="AD204" s="767">
        <f>+'Plan de Accion 2018'!BS73</f>
        <v>1</v>
      </c>
      <c r="AE204" s="629">
        <f t="shared" si="74"/>
        <v>1</v>
      </c>
      <c r="AF204" s="767">
        <f>+'Plan de Accion 2018'!BJ73</f>
        <v>1</v>
      </c>
      <c r="AG204" s="637">
        <f t="shared" si="75"/>
        <v>1</v>
      </c>
      <c r="AH204" s="374"/>
      <c r="AI204" s="1016"/>
      <c r="AJ204" s="342"/>
      <c r="AK204" s="343"/>
      <c r="AL204" s="321"/>
      <c r="AM204" s="342"/>
      <c r="AN204" s="343"/>
      <c r="AO204" s="321"/>
      <c r="AP204" s="342"/>
      <c r="AQ204" s="343"/>
      <c r="AR204" s="321"/>
      <c r="AS204" s="342"/>
      <c r="AT204" s="343"/>
      <c r="AU204" s="326"/>
      <c r="AV204" s="374"/>
      <c r="AW204" s="352"/>
      <c r="AX204" s="342"/>
      <c r="AY204" s="343"/>
      <c r="AZ204" s="321"/>
      <c r="BA204" s="342"/>
      <c r="BB204" s="343"/>
      <c r="BC204" s="321"/>
      <c r="BD204" s="342"/>
      <c r="BE204" s="343"/>
      <c r="BF204" s="321"/>
      <c r="BG204" s="342"/>
      <c r="BH204" s="343"/>
      <c r="BI204" s="326"/>
      <c r="BJ204" s="374"/>
      <c r="BL204" s="342"/>
      <c r="BM204" s="343"/>
      <c r="BN204" s="321"/>
      <c r="BO204" s="342"/>
      <c r="BP204" s="343"/>
      <c r="BQ204" s="321"/>
      <c r="BR204" s="342"/>
      <c r="BS204" s="343"/>
      <c r="BT204" s="321"/>
      <c r="BU204" s="342"/>
      <c r="BV204" s="343"/>
      <c r="BW204" s="326"/>
      <c r="BX204" s="374"/>
      <c r="BZ204" s="342"/>
      <c r="CA204" s="343"/>
      <c r="CB204" s="321"/>
      <c r="CC204" s="342"/>
      <c r="CD204" s="343"/>
      <c r="CE204" s="321"/>
      <c r="CF204" s="342"/>
      <c r="CG204" s="343"/>
      <c r="CH204" s="321"/>
      <c r="CI204" s="342"/>
      <c r="CJ204" s="343"/>
      <c r="CK204" s="326"/>
      <c r="CL204" s="374"/>
    </row>
    <row r="205" spans="2:90" ht="29.25" thickBot="1" x14ac:dyDescent="0.3">
      <c r="B205" s="1394"/>
      <c r="C205" s="1398"/>
      <c r="D205" s="755" t="str">
        <f>+'Plan de Accion 2018'!G74</f>
        <v>Boletines con resultados del proceso reclamaciones</v>
      </c>
      <c r="E205" s="1350"/>
      <c r="F205" s="773" t="str">
        <f>+'Plan de Accion 2018'!S74</f>
        <v># Boletines realizados</v>
      </c>
      <c r="G205" s="362"/>
      <c r="H205" s="546">
        <f>+'Plan de Accion 2018'!AB74</f>
        <v>1</v>
      </c>
      <c r="I205" s="750">
        <f>+'Plan de Accion 2018'!BM74</f>
        <v>1</v>
      </c>
      <c r="J205" s="750">
        <f t="shared" ref="J205:J225" si="78">IF(I205&gt;100%,100%,I205)</f>
        <v>1</v>
      </c>
      <c r="K205" s="750">
        <f>+'Plan de Accion 2018'!AF74</f>
        <v>0.25</v>
      </c>
      <c r="L205" s="875">
        <f t="shared" si="67"/>
        <v>0.25</v>
      </c>
      <c r="M205" s="752">
        <f>+L205</f>
        <v>0.25</v>
      </c>
      <c r="N205" s="644"/>
      <c r="O205" s="546">
        <f>+'Plan de Accion 2018'!AL74</f>
        <v>1</v>
      </c>
      <c r="P205" s="750">
        <f>+'Plan de Accion 2018'!BO74</f>
        <v>1</v>
      </c>
      <c r="Q205" s="631">
        <f t="shared" si="76"/>
        <v>1</v>
      </c>
      <c r="R205" s="751">
        <f>+'Plan de Accion 2018'!AP74</f>
        <v>0.5</v>
      </c>
      <c r="S205" s="873">
        <f t="shared" si="68"/>
        <v>0.5</v>
      </c>
      <c r="T205" s="637">
        <f>+S205</f>
        <v>0.5</v>
      </c>
      <c r="U205" s="329"/>
      <c r="V205" s="546">
        <f>+'Plan de Accion 2018'!AV74</f>
        <v>1</v>
      </c>
      <c r="W205" s="750">
        <f>+'Plan de Accion 2018'!BQ74</f>
        <v>1</v>
      </c>
      <c r="X205" s="629">
        <f t="shared" si="77"/>
        <v>1</v>
      </c>
      <c r="Y205" s="882">
        <f>+'Plan de Accion 2018'!AZ74</f>
        <v>0.75</v>
      </c>
      <c r="Z205" s="882">
        <f t="shared" si="69"/>
        <v>0.75</v>
      </c>
      <c r="AA205" s="883">
        <f>+Z205</f>
        <v>0.75</v>
      </c>
      <c r="AB205" s="644"/>
      <c r="AC205" s="546">
        <f>+'Plan de Accion 2018'!BF74</f>
        <v>1</v>
      </c>
      <c r="AD205" s="750">
        <f>+'Plan de Accion 2018'!BS74</f>
        <v>1</v>
      </c>
      <c r="AE205" s="629">
        <f t="shared" si="74"/>
        <v>1</v>
      </c>
      <c r="AF205" s="750">
        <f>+'Plan de Accion 2018'!BJ74</f>
        <v>1</v>
      </c>
      <c r="AG205" s="637">
        <f t="shared" si="75"/>
        <v>1</v>
      </c>
      <c r="AH205" s="374"/>
      <c r="AI205" s="1016"/>
      <c r="AJ205" s="342"/>
      <c r="AK205" s="343"/>
      <c r="AL205" s="321"/>
      <c r="AM205" s="342"/>
      <c r="AN205" s="343"/>
      <c r="AO205" s="321"/>
      <c r="AP205" s="342"/>
      <c r="AQ205" s="343"/>
      <c r="AR205" s="321"/>
      <c r="AS205" s="342"/>
      <c r="AT205" s="343"/>
      <c r="AU205" s="326"/>
      <c r="AV205" s="374"/>
      <c r="AW205" s="352"/>
      <c r="AX205" s="342"/>
      <c r="AY205" s="343"/>
      <c r="AZ205" s="321"/>
      <c r="BA205" s="342"/>
      <c r="BB205" s="343"/>
      <c r="BC205" s="321"/>
      <c r="BD205" s="342"/>
      <c r="BE205" s="343"/>
      <c r="BF205" s="321"/>
      <c r="BG205" s="342"/>
      <c r="BH205" s="343"/>
      <c r="BI205" s="326"/>
      <c r="BJ205" s="374"/>
      <c r="BL205" s="342"/>
      <c r="BM205" s="343"/>
      <c r="BN205" s="321"/>
      <c r="BO205" s="342"/>
      <c r="BP205" s="343"/>
      <c r="BQ205" s="321"/>
      <c r="BR205" s="342"/>
      <c r="BS205" s="343"/>
      <c r="BT205" s="321"/>
      <c r="BU205" s="342"/>
      <c r="BV205" s="343"/>
      <c r="BW205" s="326"/>
      <c r="BX205" s="374"/>
      <c r="BZ205" s="342"/>
      <c r="CA205" s="343"/>
      <c r="CB205" s="321"/>
      <c r="CC205" s="342"/>
      <c r="CD205" s="343"/>
      <c r="CE205" s="321"/>
      <c r="CF205" s="342"/>
      <c r="CG205" s="343"/>
      <c r="CH205" s="321"/>
      <c r="CI205" s="342"/>
      <c r="CJ205" s="343"/>
      <c r="CK205" s="326"/>
      <c r="CL205" s="374"/>
    </row>
    <row r="206" spans="2:90" ht="33" customHeight="1" thickBot="1" x14ac:dyDescent="0.3">
      <c r="B206" s="1393"/>
      <c r="C206" s="1399" t="s">
        <v>816</v>
      </c>
      <c r="D206" s="1400"/>
      <c r="E206" s="1400"/>
      <c r="F206" s="1401"/>
      <c r="G206" s="362"/>
      <c r="H206" s="346" t="s">
        <v>792</v>
      </c>
      <c r="I206" s="332">
        <f>SUM(I184:I205)/COUNT(I184:I205)</f>
        <v>0.87500553709856033</v>
      </c>
      <c r="J206" s="332">
        <f t="shared" si="78"/>
        <v>0.87500553709856033</v>
      </c>
      <c r="K206" s="332">
        <f>SUM(K184:K205)/COUNT(K184:K205)</f>
        <v>0.1981395563038314</v>
      </c>
      <c r="L206" s="332">
        <f>SUM(L184:L205)/COUNT(L184:L205)</f>
        <v>0.1981395563038314</v>
      </c>
      <c r="M206" s="334">
        <f>SUM(M184:M205)/COUNT(M184:M205)</f>
        <v>0.21795351193421456</v>
      </c>
      <c r="N206" s="692"/>
      <c r="O206" s="346" t="s">
        <v>792</v>
      </c>
      <c r="P206" s="635">
        <f>SUM(P184:P205)/COUNT(P184:P205)</f>
        <v>1.0046510543848137</v>
      </c>
      <c r="Q206" s="635">
        <f>SUM(Q184:Q205)/COUNT(Q184:Q205)</f>
        <v>0.9713177210514804</v>
      </c>
      <c r="R206" s="639">
        <f>SUM(R184:R205)/COUNT(R184:R205)</f>
        <v>0.42671112088838775</v>
      </c>
      <c r="S206" s="670">
        <f>SUM(S184:S205)/COUNT(S184:S205)</f>
        <v>0.42671112088838775</v>
      </c>
      <c r="T206" s="645">
        <f>SUM(T184:T205)/COUNT(T184:T205)</f>
        <v>0.46938223297722653</v>
      </c>
      <c r="U206" s="354"/>
      <c r="V206" s="346" t="s">
        <v>792</v>
      </c>
      <c r="W206" s="332">
        <f>SUM(W184:W205)/COUNT(W184:W205)</f>
        <v>0.95060594259197173</v>
      </c>
      <c r="X206" s="332">
        <f>SUM(X184:X205)/COUNT(X184:X205)</f>
        <v>0.93393927592530512</v>
      </c>
      <c r="Y206" s="651">
        <f>SUM(Y184:Y205)/COUNT(Y184:Y205)</f>
        <v>0.64299970552002539</v>
      </c>
      <c r="Z206" s="651">
        <f>SUM(Z184:Z205)/COUNT(Z184:Z205)</f>
        <v>0.64299970552002539</v>
      </c>
      <c r="AA206" s="617">
        <f>SUM(AA184:AA205)/COUNT(AA184:AA205)</f>
        <v>0.70729967607202793</v>
      </c>
      <c r="AB206" s="692"/>
      <c r="AC206" s="346" t="s">
        <v>792</v>
      </c>
      <c r="AD206" s="332">
        <f>SUM(AD184:AD205)/COUNT(AD184:AD205)</f>
        <v>0.94828314100759925</v>
      </c>
      <c r="AE206" s="332">
        <f>SUM(AE184:AE205)/COUNT(AE184:AE205)</f>
        <v>0.94828314100759925</v>
      </c>
      <c r="AF206" s="635">
        <f>SUM(AF184:AF205)/COUNT(AF184:AF205)</f>
        <v>0.91440317935993287</v>
      </c>
      <c r="AG206" s="334">
        <f>SUM(AG184:AG205)/COUNT(AG184:AG205)</f>
        <v>0.9106153005720542</v>
      </c>
      <c r="AH206" s="374"/>
      <c r="AI206" s="1016"/>
      <c r="AJ206" s="342"/>
      <c r="AK206" s="343"/>
      <c r="AL206" s="321"/>
      <c r="AM206" s="342"/>
      <c r="AN206" s="343"/>
      <c r="AO206" s="321"/>
      <c r="AP206" s="342"/>
      <c r="AQ206" s="343"/>
      <c r="AR206" s="321"/>
      <c r="AS206" s="342"/>
      <c r="AT206" s="343"/>
      <c r="AU206" s="326"/>
      <c r="AV206" s="374"/>
      <c r="AW206" s="352"/>
      <c r="AX206" s="342"/>
      <c r="AY206" s="343"/>
      <c r="AZ206" s="321"/>
      <c r="BA206" s="342"/>
      <c r="BB206" s="343"/>
      <c r="BC206" s="321"/>
      <c r="BD206" s="342"/>
      <c r="BE206" s="343"/>
      <c r="BF206" s="321"/>
      <c r="BG206" s="342"/>
      <c r="BH206" s="343"/>
      <c r="BI206" s="326"/>
      <c r="BJ206" s="374"/>
      <c r="BL206" s="342"/>
      <c r="BM206" s="343"/>
      <c r="BN206" s="321"/>
      <c r="BO206" s="342"/>
      <c r="BP206" s="343"/>
      <c r="BQ206" s="321"/>
      <c r="BR206" s="342"/>
      <c r="BS206" s="343"/>
      <c r="BT206" s="321"/>
      <c r="BU206" s="342"/>
      <c r="BV206" s="343"/>
      <c r="BW206" s="326"/>
      <c r="BX206" s="374"/>
      <c r="BZ206" s="342"/>
      <c r="CA206" s="343"/>
      <c r="CB206" s="321"/>
      <c r="CC206" s="342"/>
      <c r="CD206" s="343"/>
      <c r="CE206" s="321"/>
      <c r="CF206" s="342"/>
      <c r="CG206" s="343"/>
      <c r="CH206" s="321"/>
      <c r="CI206" s="342"/>
      <c r="CJ206" s="343"/>
      <c r="CK206" s="326"/>
      <c r="CL206" s="374"/>
    </row>
    <row r="207" spans="2:90" ht="28.5" x14ac:dyDescent="0.25">
      <c r="B207" s="1394"/>
      <c r="C207" s="1414" t="s">
        <v>145</v>
      </c>
      <c r="D207" s="759" t="str">
        <f>+'Plan de Accion 2018'!G36</f>
        <v>Publicación  Ejecución Presupuestal</v>
      </c>
      <c r="E207" s="1351" t="str">
        <f>+'Plan de Accion 2018'!B36</f>
        <v>Dirección de Gestión de Recursos Financieros de Salud</v>
      </c>
      <c r="F207" s="769" t="str">
        <f>+'Plan de Accion 2018'!S36</f>
        <v># Ejecuciones Presupuestales Publicadas</v>
      </c>
      <c r="G207" s="328"/>
      <c r="H207" s="547">
        <f>+'Plan de Accion 2018'!AB36</f>
        <v>3</v>
      </c>
      <c r="I207" s="751">
        <f>+'Plan de Accion 2018'!BM36</f>
        <v>1</v>
      </c>
      <c r="J207" s="751">
        <f t="shared" si="78"/>
        <v>1</v>
      </c>
      <c r="K207" s="751">
        <f>+'Plan de Accion 2018'!AF36</f>
        <v>0.25</v>
      </c>
      <c r="L207" s="751">
        <f>+K207</f>
        <v>0.25</v>
      </c>
      <c r="M207" s="753">
        <f t="shared" ref="M207:M214" si="79">+L207</f>
        <v>0.25</v>
      </c>
      <c r="N207" s="644"/>
      <c r="O207" s="547">
        <f>+'Plan de Accion 2018'!AL36</f>
        <v>3</v>
      </c>
      <c r="P207" s="751">
        <f>+'Plan de Accion 2018'!BO36</f>
        <v>1</v>
      </c>
      <c r="Q207" s="629">
        <f t="shared" si="76"/>
        <v>1</v>
      </c>
      <c r="R207" s="751">
        <f>+'Plan de Accion 2018'!AP36</f>
        <v>0.5</v>
      </c>
      <c r="S207" s="751">
        <f>IF(R207&gt;100%,100%,R207)</f>
        <v>0.5</v>
      </c>
      <c r="T207" s="637">
        <f t="shared" ref="T207:T214" si="80">+S207</f>
        <v>0.5</v>
      </c>
      <c r="U207" s="329"/>
      <c r="V207" s="547">
        <f>+'Plan de Accion 2018'!AV36</f>
        <v>3</v>
      </c>
      <c r="W207" s="751">
        <f>+'Plan de Accion 2018'!BQ36</f>
        <v>1</v>
      </c>
      <c r="X207" s="629">
        <f t="shared" si="77"/>
        <v>1</v>
      </c>
      <c r="Y207" s="882">
        <f>+'Plan de Accion 2018'!AZ36</f>
        <v>0.75</v>
      </c>
      <c r="Z207" s="882">
        <f>IF(Y207&gt;100%,100%,Y207)</f>
        <v>0.75</v>
      </c>
      <c r="AA207" s="883">
        <f t="shared" ref="AA207:AA214" si="81">+Z207</f>
        <v>0.75</v>
      </c>
      <c r="AB207" s="644"/>
      <c r="AC207" s="547">
        <f>+'Plan de Accion 2018'!BF36</f>
        <v>3</v>
      </c>
      <c r="AD207" s="751">
        <f>+'Plan de Accion 2018'!BS36</f>
        <v>1</v>
      </c>
      <c r="AE207" s="629">
        <f t="shared" si="74"/>
        <v>1</v>
      </c>
      <c r="AF207" s="751">
        <f>+'Plan de Accion 2018'!BJ36</f>
        <v>1</v>
      </c>
      <c r="AG207" s="637">
        <f t="shared" si="75"/>
        <v>1</v>
      </c>
      <c r="AH207" s="376"/>
      <c r="AI207" s="1017"/>
      <c r="AJ207" s="377"/>
      <c r="AK207" s="378"/>
      <c r="AL207" s="321"/>
      <c r="AM207" s="342"/>
      <c r="AN207" s="343"/>
      <c r="AO207" s="321"/>
      <c r="AP207" s="342"/>
      <c r="AQ207" s="343"/>
      <c r="AR207" s="321"/>
      <c r="AS207" s="342"/>
      <c r="AT207" s="343"/>
      <c r="AU207" s="326"/>
      <c r="AV207" s="374"/>
      <c r="AW207" s="352"/>
      <c r="AX207" s="342"/>
      <c r="AY207" s="343"/>
      <c r="AZ207" s="321"/>
      <c r="BA207" s="342"/>
      <c r="BB207" s="343"/>
      <c r="BC207" s="321"/>
      <c r="BD207" s="342"/>
      <c r="BE207" s="343"/>
      <c r="BF207" s="321"/>
      <c r="BG207" s="342"/>
      <c r="BH207" s="343"/>
      <c r="BI207" s="326"/>
      <c r="BJ207" s="374"/>
      <c r="BL207" s="342"/>
      <c r="BM207" s="343"/>
      <c r="BN207" s="321"/>
      <c r="BO207" s="342"/>
      <c r="BP207" s="343"/>
      <c r="BQ207" s="321"/>
      <c r="BR207" s="342"/>
      <c r="BS207" s="343"/>
      <c r="BT207" s="321"/>
      <c r="BU207" s="342"/>
      <c r="BV207" s="343"/>
      <c r="BW207" s="326"/>
      <c r="BX207" s="374"/>
      <c r="BZ207" s="342"/>
      <c r="CA207" s="343"/>
      <c r="CB207" s="321"/>
      <c r="CC207" s="342"/>
      <c r="CD207" s="343"/>
      <c r="CE207" s="321"/>
      <c r="CF207" s="342"/>
      <c r="CG207" s="343"/>
      <c r="CH207" s="321"/>
      <c r="CI207" s="342"/>
      <c r="CJ207" s="343"/>
      <c r="CK207" s="326"/>
      <c r="CL207" s="374"/>
    </row>
    <row r="208" spans="2:90" ht="42.75" x14ac:dyDescent="0.25">
      <c r="B208" s="1394"/>
      <c r="C208" s="1415"/>
      <c r="D208" s="1402" t="str">
        <f>+'Plan de Accion 2018'!G37</f>
        <v>Gestión de Recaudo</v>
      </c>
      <c r="E208" s="1402"/>
      <c r="F208" s="344" t="str">
        <f>+'Plan de Accion 2018'!S37</f>
        <v># Recaudos Identificados / # Total de Recaudo Recibido en el Trimestre</v>
      </c>
      <c r="G208" s="328"/>
      <c r="H208" s="543">
        <f>+'Plan de Accion 2018'!AB37</f>
        <v>0.24968273121612766</v>
      </c>
      <c r="I208" s="767">
        <f>+'Plan de Accion 2018'!BM37</f>
        <v>0.99873092486451065</v>
      </c>
      <c r="J208" s="767">
        <f t="shared" si="78"/>
        <v>0.99873092486451065</v>
      </c>
      <c r="K208" s="767">
        <f>+'Plan de Accion 2018'!AF37</f>
        <v>0.24968273121612766</v>
      </c>
      <c r="L208" s="767">
        <f>+K208</f>
        <v>0.24968273121612766</v>
      </c>
      <c r="M208" s="682">
        <f t="shared" si="79"/>
        <v>0.24968273121612766</v>
      </c>
      <c r="N208" s="644"/>
      <c r="O208" s="543">
        <f>+'Plan de Accion 2018'!AL37</f>
        <v>0.24979999999999999</v>
      </c>
      <c r="P208" s="767">
        <f>+'Plan de Accion 2018'!BO37</f>
        <v>0.99919999999999998</v>
      </c>
      <c r="Q208" s="629">
        <f t="shared" si="76"/>
        <v>0.99919999999999998</v>
      </c>
      <c r="R208" s="751">
        <f>+'Plan de Accion 2018'!AP37</f>
        <v>0.49948273121612763</v>
      </c>
      <c r="S208" s="751">
        <f>IF(R208&gt;100%,100%,R208)</f>
        <v>0.49948273121612763</v>
      </c>
      <c r="T208" s="637">
        <f t="shared" si="80"/>
        <v>0.49948273121612763</v>
      </c>
      <c r="U208" s="329"/>
      <c r="V208" s="860">
        <f>+'Plan de Accion 2018'!AV37</f>
        <v>0.24970000000000001</v>
      </c>
      <c r="W208" s="767">
        <f>+'Plan de Accion 2018'!BQ37</f>
        <v>0.99880000000000002</v>
      </c>
      <c r="X208" s="629">
        <f t="shared" si="77"/>
        <v>0.99880000000000002</v>
      </c>
      <c r="Y208" s="882">
        <f>+'Plan de Accion 2018'!AZ37</f>
        <v>0.74918273121612766</v>
      </c>
      <c r="Z208" s="882">
        <f>IF(Y208&gt;100%,100%,Y208)</f>
        <v>0.74918273121612766</v>
      </c>
      <c r="AA208" s="883">
        <f t="shared" si="81"/>
        <v>0.74918273121612766</v>
      </c>
      <c r="AB208" s="644"/>
      <c r="AC208" s="543">
        <f>+'Plan de Accion 2018'!BF37</f>
        <v>0.24990000000000001</v>
      </c>
      <c r="AD208" s="767">
        <f>+'Plan de Accion 2018'!BS37</f>
        <v>0.99960000000000004</v>
      </c>
      <c r="AE208" s="629">
        <f t="shared" si="74"/>
        <v>0.99960000000000004</v>
      </c>
      <c r="AF208" s="767">
        <f>+'Plan de Accion 2018'!BJ37</f>
        <v>0.99908273121612767</v>
      </c>
      <c r="AG208" s="637">
        <f t="shared" si="75"/>
        <v>0.99908273121612767</v>
      </c>
      <c r="AH208" s="376"/>
      <c r="AI208" s="1017"/>
      <c r="AJ208" s="377"/>
      <c r="AK208" s="378"/>
      <c r="AL208" s="321"/>
      <c r="AM208" s="342"/>
      <c r="AN208" s="343"/>
      <c r="AO208" s="321"/>
      <c r="AP208" s="342"/>
      <c r="AQ208" s="343"/>
      <c r="AR208" s="321"/>
      <c r="AS208" s="342"/>
      <c r="AT208" s="343"/>
      <c r="AU208" s="326"/>
      <c r="AV208" s="374"/>
      <c r="AW208" s="352"/>
      <c r="AX208" s="342"/>
      <c r="AY208" s="343"/>
      <c r="AZ208" s="321"/>
      <c r="BA208" s="342"/>
      <c r="BB208" s="343"/>
      <c r="BC208" s="321"/>
      <c r="BD208" s="342"/>
      <c r="BE208" s="343"/>
      <c r="BF208" s="321"/>
      <c r="BG208" s="342"/>
      <c r="BH208" s="343"/>
      <c r="BI208" s="326"/>
      <c r="BJ208" s="374"/>
      <c r="BL208" s="342"/>
      <c r="BM208" s="343"/>
      <c r="BN208" s="321"/>
      <c r="BO208" s="342"/>
      <c r="BP208" s="343"/>
      <c r="BQ208" s="321"/>
      <c r="BR208" s="342"/>
      <c r="BS208" s="343"/>
      <c r="BT208" s="321"/>
      <c r="BU208" s="342"/>
      <c r="BV208" s="343"/>
      <c r="BW208" s="326"/>
      <c r="BX208" s="374"/>
      <c r="BZ208" s="342"/>
      <c r="CA208" s="343"/>
      <c r="CB208" s="321"/>
      <c r="CC208" s="342"/>
      <c r="CD208" s="343"/>
      <c r="CE208" s="321"/>
      <c r="CF208" s="342"/>
      <c r="CG208" s="343"/>
      <c r="CH208" s="321"/>
      <c r="CI208" s="342"/>
      <c r="CJ208" s="343"/>
      <c r="CK208" s="326"/>
      <c r="CL208" s="374"/>
    </row>
    <row r="209" spans="2:90" ht="19.5" x14ac:dyDescent="0.25">
      <c r="B209" s="1394"/>
      <c r="C209" s="1415"/>
      <c r="D209" s="1402"/>
      <c r="E209" s="1402"/>
      <c r="F209" s="344" t="str">
        <f>+'Plan de Accion 2018'!S38</f>
        <v># Informes reportados</v>
      </c>
      <c r="G209" s="328"/>
      <c r="H209" s="545">
        <f>+'Plan de Accion 2018'!AB38</f>
        <v>3</v>
      </c>
      <c r="I209" s="767">
        <f>+'Plan de Accion 2018'!BM38</f>
        <v>1</v>
      </c>
      <c r="J209" s="767">
        <f t="shared" si="78"/>
        <v>1</v>
      </c>
      <c r="K209" s="767">
        <f>+'Plan de Accion 2018'!AF38</f>
        <v>0.25</v>
      </c>
      <c r="L209" s="875">
        <f t="shared" ref="L209:L214" si="82">+K209</f>
        <v>0.25</v>
      </c>
      <c r="M209" s="682">
        <f t="shared" si="79"/>
        <v>0.25</v>
      </c>
      <c r="N209" s="644"/>
      <c r="O209" s="545">
        <f>+'Plan de Accion 2018'!AL38</f>
        <v>3</v>
      </c>
      <c r="P209" s="767">
        <f>+'Plan de Accion 2018'!BO38</f>
        <v>1</v>
      </c>
      <c r="Q209" s="629">
        <f t="shared" si="76"/>
        <v>1</v>
      </c>
      <c r="R209" s="751">
        <f>+'Plan de Accion 2018'!AP38</f>
        <v>0.5</v>
      </c>
      <c r="S209" s="873">
        <f t="shared" ref="S209:S214" si="83">IF(R209&gt;100%,100%,R209)</f>
        <v>0.5</v>
      </c>
      <c r="T209" s="637">
        <f t="shared" si="80"/>
        <v>0.5</v>
      </c>
      <c r="U209" s="329"/>
      <c r="V209" s="547">
        <f>+'Plan de Accion 2018'!AV38</f>
        <v>3</v>
      </c>
      <c r="W209" s="767">
        <f>+'Plan de Accion 2018'!BQ38</f>
        <v>1</v>
      </c>
      <c r="X209" s="629">
        <f t="shared" si="77"/>
        <v>1</v>
      </c>
      <c r="Y209" s="882">
        <f>+'Plan de Accion 2018'!AZ38</f>
        <v>0.75</v>
      </c>
      <c r="Z209" s="882">
        <f t="shared" ref="Z209:Z214" si="84">IF(Y209&gt;100%,100%,Y209)</f>
        <v>0.75</v>
      </c>
      <c r="AA209" s="883">
        <f t="shared" si="81"/>
        <v>0.75</v>
      </c>
      <c r="AB209" s="644"/>
      <c r="AC209" s="545">
        <f>+'Plan de Accion 2018'!BF38</f>
        <v>3</v>
      </c>
      <c r="AD209" s="767">
        <f>+'Plan de Accion 2018'!BS38</f>
        <v>1</v>
      </c>
      <c r="AE209" s="629">
        <f t="shared" si="74"/>
        <v>1</v>
      </c>
      <c r="AF209" s="767">
        <f>+'Plan de Accion 2018'!BJ38</f>
        <v>1</v>
      </c>
      <c r="AG209" s="637">
        <f t="shared" si="75"/>
        <v>1</v>
      </c>
      <c r="AH209" s="376"/>
      <c r="AI209" s="1017"/>
      <c r="AJ209" s="377"/>
      <c r="AK209" s="378"/>
      <c r="AL209" s="321"/>
      <c r="AM209" s="342"/>
      <c r="AN209" s="343"/>
      <c r="AO209" s="321"/>
      <c r="AP209" s="342"/>
      <c r="AQ209" s="343"/>
      <c r="AR209" s="321"/>
      <c r="AS209" s="342"/>
      <c r="AT209" s="343"/>
      <c r="AU209" s="326"/>
      <c r="AV209" s="374"/>
      <c r="AW209" s="352"/>
      <c r="AX209" s="342"/>
      <c r="AY209" s="343"/>
      <c r="AZ209" s="321"/>
      <c r="BA209" s="342"/>
      <c r="BB209" s="343"/>
      <c r="BC209" s="321"/>
      <c r="BD209" s="342"/>
      <c r="BE209" s="343"/>
      <c r="BF209" s="321"/>
      <c r="BG209" s="342"/>
      <c r="BH209" s="343"/>
      <c r="BI209" s="326"/>
      <c r="BJ209" s="374"/>
      <c r="BL209" s="342"/>
      <c r="BM209" s="343"/>
      <c r="BN209" s="321"/>
      <c r="BO209" s="342"/>
      <c r="BP209" s="343"/>
      <c r="BQ209" s="321"/>
      <c r="BR209" s="342"/>
      <c r="BS209" s="343"/>
      <c r="BT209" s="321"/>
      <c r="BU209" s="342"/>
      <c r="BV209" s="343"/>
      <c r="BW209" s="326"/>
      <c r="BX209" s="374"/>
      <c r="BZ209" s="342"/>
      <c r="CA209" s="343"/>
      <c r="CB209" s="321"/>
      <c r="CC209" s="342"/>
      <c r="CD209" s="343"/>
      <c r="CE209" s="321"/>
      <c r="CF209" s="342"/>
      <c r="CG209" s="343"/>
      <c r="CH209" s="321"/>
      <c r="CI209" s="342"/>
      <c r="CJ209" s="343"/>
      <c r="CK209" s="326"/>
      <c r="CL209" s="374"/>
    </row>
    <row r="210" spans="2:90" ht="54.95" customHeight="1" x14ac:dyDescent="0.25">
      <c r="B210" s="1394"/>
      <c r="C210" s="1415"/>
      <c r="D210" s="1402"/>
      <c r="E210" s="1402"/>
      <c r="F210" s="344" t="str">
        <f>+'Plan de Accion 2018'!S39</f>
        <v># Partidas Identificadas que no fueron identificadas en el mes anterior / # Partidas No identificadas en el mes anterior</v>
      </c>
      <c r="G210" s="328"/>
      <c r="H210" s="543">
        <f>+'Plan de Accion 2018'!AB39</f>
        <v>0.20501763837675097</v>
      </c>
      <c r="I210" s="767">
        <f>+'Plan de Accion 2018'!BM39</f>
        <v>0.82007055350700386</v>
      </c>
      <c r="J210" s="767">
        <f t="shared" si="78"/>
        <v>0.82007055350700386</v>
      </c>
      <c r="K210" s="767">
        <f>+'Plan de Accion 2018'!AF39</f>
        <v>0.20501763837675097</v>
      </c>
      <c r="L210" s="875">
        <f t="shared" si="82"/>
        <v>0.20501763837675097</v>
      </c>
      <c r="M210" s="682">
        <f t="shared" si="79"/>
        <v>0.20501763837675097</v>
      </c>
      <c r="N210" s="644"/>
      <c r="O210" s="543">
        <f>+'Plan de Accion 2018'!AL39</f>
        <v>0.19</v>
      </c>
      <c r="P210" s="767">
        <f>+'Plan de Accion 2018'!BO39</f>
        <v>0.76</v>
      </c>
      <c r="Q210" s="629">
        <f t="shared" si="76"/>
        <v>0.76</v>
      </c>
      <c r="R210" s="751">
        <f>+'Plan de Accion 2018'!AP39</f>
        <v>0.39501763837675097</v>
      </c>
      <c r="S210" s="873">
        <f t="shared" si="83"/>
        <v>0.39501763837675097</v>
      </c>
      <c r="T210" s="637">
        <f t="shared" si="80"/>
        <v>0.39501763837675097</v>
      </c>
      <c r="U210" s="329"/>
      <c r="V210" s="860">
        <f>+'Plan de Accion 2018'!AV39</f>
        <v>0.2445</v>
      </c>
      <c r="W210" s="767">
        <f>+'Plan de Accion 2018'!BQ39</f>
        <v>0.97799999999999998</v>
      </c>
      <c r="X210" s="629">
        <f t="shared" si="77"/>
        <v>0.97799999999999998</v>
      </c>
      <c r="Y210" s="882">
        <f>+'Plan de Accion 2018'!AZ39</f>
        <v>0.63951763837675091</v>
      </c>
      <c r="Z210" s="882">
        <f t="shared" si="84"/>
        <v>0.63951763837675091</v>
      </c>
      <c r="AA210" s="883">
        <f t="shared" si="81"/>
        <v>0.63951763837675091</v>
      </c>
      <c r="AB210" s="644"/>
      <c r="AC210" s="543">
        <f>+'Plan de Accion 2018'!BF39</f>
        <v>0.23860000000000001</v>
      </c>
      <c r="AD210" s="767">
        <f>+'Plan de Accion 2018'!BS39</f>
        <v>0.95440000000000003</v>
      </c>
      <c r="AE210" s="629">
        <f t="shared" si="74"/>
        <v>0.95440000000000003</v>
      </c>
      <c r="AF210" s="767">
        <f>+'Plan de Accion 2018'!BJ39</f>
        <v>0.87811763837675094</v>
      </c>
      <c r="AG210" s="637">
        <f t="shared" si="75"/>
        <v>0.87811763837675094</v>
      </c>
      <c r="AH210" s="376"/>
      <c r="AI210" s="1017"/>
      <c r="AJ210" s="377"/>
      <c r="AK210" s="378"/>
      <c r="AL210" s="321"/>
      <c r="AM210" s="342"/>
      <c r="AN210" s="343"/>
      <c r="AO210" s="321"/>
      <c r="AP210" s="342"/>
      <c r="AQ210" s="343"/>
      <c r="AR210" s="321"/>
      <c r="AS210" s="342"/>
      <c r="AT210" s="343"/>
      <c r="AU210" s="326"/>
      <c r="AV210" s="374"/>
      <c r="AW210" s="352"/>
      <c r="AX210" s="342"/>
      <c r="AY210" s="343"/>
      <c r="AZ210" s="321"/>
      <c r="BA210" s="342"/>
      <c r="BB210" s="343"/>
      <c r="BC210" s="321"/>
      <c r="BD210" s="342"/>
      <c r="BE210" s="343"/>
      <c r="BF210" s="321"/>
      <c r="BG210" s="342"/>
      <c r="BH210" s="343"/>
      <c r="BI210" s="326"/>
      <c r="BJ210" s="374"/>
      <c r="BL210" s="342"/>
      <c r="BM210" s="343"/>
      <c r="BN210" s="321"/>
      <c r="BO210" s="342"/>
      <c r="BP210" s="343"/>
      <c r="BQ210" s="321"/>
      <c r="BR210" s="342"/>
      <c r="BS210" s="343"/>
      <c r="BT210" s="321"/>
      <c r="BU210" s="342"/>
      <c r="BV210" s="343"/>
      <c r="BW210" s="326"/>
      <c r="BX210" s="374"/>
      <c r="BZ210" s="342"/>
      <c r="CA210" s="343"/>
      <c r="CB210" s="321"/>
      <c r="CC210" s="342"/>
      <c r="CD210" s="343"/>
      <c r="CE210" s="321"/>
      <c r="CF210" s="342"/>
      <c r="CG210" s="343"/>
      <c r="CH210" s="321"/>
      <c r="CI210" s="342"/>
      <c r="CJ210" s="343"/>
      <c r="CK210" s="326"/>
      <c r="CL210" s="374"/>
    </row>
    <row r="211" spans="2:90" ht="28.5" x14ac:dyDescent="0.25">
      <c r="B211" s="1394"/>
      <c r="C211" s="1415"/>
      <c r="D211" s="754" t="str">
        <f>+'Plan de Accion 2018'!G40</f>
        <v>Ordenes de Giros</v>
      </c>
      <c r="E211" s="1402"/>
      <c r="F211" s="344" t="str">
        <f>+'Plan de Accion 2018'!S40</f>
        <v># Ordenes Giradas / # Giradas Tramitadas</v>
      </c>
      <c r="G211" s="328"/>
      <c r="H211" s="543">
        <f>+'Plan de Accion 2018'!AB40</f>
        <v>0.25</v>
      </c>
      <c r="I211" s="767">
        <f>+'Plan de Accion 2018'!BM40</f>
        <v>1</v>
      </c>
      <c r="J211" s="767">
        <f t="shared" si="78"/>
        <v>1</v>
      </c>
      <c r="K211" s="767">
        <f>+'Plan de Accion 2018'!AF40</f>
        <v>0.25</v>
      </c>
      <c r="L211" s="875">
        <f t="shared" si="82"/>
        <v>0.25</v>
      </c>
      <c r="M211" s="682">
        <f t="shared" si="79"/>
        <v>0.25</v>
      </c>
      <c r="N211" s="644"/>
      <c r="O211" s="543">
        <f>+'Plan de Accion 2018'!AL40</f>
        <v>0.25</v>
      </c>
      <c r="P211" s="767">
        <f>+'Plan de Accion 2018'!BO40</f>
        <v>1</v>
      </c>
      <c r="Q211" s="629">
        <f t="shared" si="76"/>
        <v>1</v>
      </c>
      <c r="R211" s="751">
        <f>+'Plan de Accion 2018'!AP40</f>
        <v>0.5</v>
      </c>
      <c r="S211" s="873">
        <f t="shared" si="83"/>
        <v>0.5</v>
      </c>
      <c r="T211" s="637">
        <f t="shared" si="80"/>
        <v>0.5</v>
      </c>
      <c r="U211" s="329"/>
      <c r="V211" s="543">
        <f>+'Plan de Accion 2018'!AV40</f>
        <v>0.25</v>
      </c>
      <c r="W211" s="767">
        <f>+'Plan de Accion 2018'!BQ40</f>
        <v>1</v>
      </c>
      <c r="X211" s="629">
        <f t="shared" si="77"/>
        <v>1</v>
      </c>
      <c r="Y211" s="882">
        <f>+'Plan de Accion 2018'!AZ40</f>
        <v>0.75</v>
      </c>
      <c r="Z211" s="882">
        <f t="shared" si="84"/>
        <v>0.75</v>
      </c>
      <c r="AA211" s="883">
        <f t="shared" si="81"/>
        <v>0.75</v>
      </c>
      <c r="AB211" s="644"/>
      <c r="AC211" s="543">
        <f>+'Plan de Accion 2018'!BF40</f>
        <v>0.25</v>
      </c>
      <c r="AD211" s="767">
        <f>+'Plan de Accion 2018'!BS40</f>
        <v>1</v>
      </c>
      <c r="AE211" s="629">
        <f t="shared" si="74"/>
        <v>1</v>
      </c>
      <c r="AF211" s="767">
        <f>+'Plan de Accion 2018'!BJ40</f>
        <v>1</v>
      </c>
      <c r="AG211" s="637">
        <f t="shared" si="75"/>
        <v>1</v>
      </c>
      <c r="AH211" s="376"/>
      <c r="AI211" s="1017"/>
      <c r="AJ211" s="377"/>
      <c r="AK211" s="378"/>
      <c r="AL211" s="321"/>
      <c r="AM211" s="342"/>
      <c r="AN211" s="343"/>
      <c r="AO211" s="321"/>
      <c r="AP211" s="342"/>
      <c r="AQ211" s="343"/>
      <c r="AR211" s="321"/>
      <c r="AS211" s="342"/>
      <c r="AT211" s="343"/>
      <c r="AU211" s="326"/>
      <c r="AV211" s="374"/>
      <c r="AW211" s="352"/>
      <c r="AX211" s="342"/>
      <c r="AY211" s="343"/>
      <c r="AZ211" s="321"/>
      <c r="BA211" s="342"/>
      <c r="BB211" s="343"/>
      <c r="BC211" s="321"/>
      <c r="BD211" s="342"/>
      <c r="BE211" s="343"/>
      <c r="BF211" s="321"/>
      <c r="BG211" s="342"/>
      <c r="BH211" s="343"/>
      <c r="BI211" s="326"/>
      <c r="BJ211" s="374"/>
      <c r="BL211" s="342"/>
      <c r="BM211" s="343"/>
      <c r="BN211" s="321"/>
      <c r="BO211" s="342"/>
      <c r="BP211" s="343"/>
      <c r="BQ211" s="321"/>
      <c r="BR211" s="342"/>
      <c r="BS211" s="343"/>
      <c r="BT211" s="321"/>
      <c r="BU211" s="342"/>
      <c r="BV211" s="343"/>
      <c r="BW211" s="326"/>
      <c r="BX211" s="374"/>
      <c r="BZ211" s="342"/>
      <c r="CA211" s="343"/>
      <c r="CB211" s="321"/>
      <c r="CC211" s="342"/>
      <c r="CD211" s="343"/>
      <c r="CE211" s="321"/>
      <c r="CF211" s="342"/>
      <c r="CG211" s="343"/>
      <c r="CH211" s="321"/>
      <c r="CI211" s="342"/>
      <c r="CJ211" s="343"/>
      <c r="CK211" s="326"/>
      <c r="CL211" s="374"/>
    </row>
    <row r="212" spans="2:90" ht="54.95" customHeight="1" x14ac:dyDescent="0.25">
      <c r="B212" s="1394"/>
      <c r="C212" s="1415"/>
      <c r="D212" s="754" t="str">
        <f>+'Plan de Accion 2018'!G41</f>
        <v>Portafolio</v>
      </c>
      <c r="E212" s="1402"/>
      <c r="F212" s="344" t="str">
        <f>+'Plan de Accion 2018'!S41</f>
        <v># Boletines Realizados / # Boletines Proyectados del Periodo</v>
      </c>
      <c r="G212" s="328"/>
      <c r="H212" s="543">
        <f>+'Plan de Accion 2018'!AB41</f>
        <v>0.25</v>
      </c>
      <c r="I212" s="767">
        <f>+'Plan de Accion 2018'!BM41</f>
        <v>1</v>
      </c>
      <c r="J212" s="767">
        <f t="shared" si="78"/>
        <v>1</v>
      </c>
      <c r="K212" s="767">
        <f>+'Plan de Accion 2018'!AF41</f>
        <v>0.25</v>
      </c>
      <c r="L212" s="875">
        <f t="shared" si="82"/>
        <v>0.25</v>
      </c>
      <c r="M212" s="682">
        <f t="shared" si="79"/>
        <v>0.25</v>
      </c>
      <c r="N212" s="644"/>
      <c r="O212" s="543">
        <f>+'Plan de Accion 2018'!AL41</f>
        <v>0.25</v>
      </c>
      <c r="P212" s="767">
        <f>+'Plan de Accion 2018'!BO41</f>
        <v>1</v>
      </c>
      <c r="Q212" s="629">
        <f t="shared" si="76"/>
        <v>1</v>
      </c>
      <c r="R212" s="751">
        <f>+'Plan de Accion 2018'!AP41</f>
        <v>0.5</v>
      </c>
      <c r="S212" s="873">
        <f t="shared" si="83"/>
        <v>0.5</v>
      </c>
      <c r="T212" s="637">
        <f t="shared" si="80"/>
        <v>0.5</v>
      </c>
      <c r="U212" s="329"/>
      <c r="V212" s="543">
        <f>+'Plan de Accion 2018'!AV41</f>
        <v>0.25</v>
      </c>
      <c r="W212" s="767">
        <f>+'Plan de Accion 2018'!BQ41</f>
        <v>1</v>
      </c>
      <c r="X212" s="629">
        <f t="shared" si="77"/>
        <v>1</v>
      </c>
      <c r="Y212" s="882">
        <f>+'Plan de Accion 2018'!AZ41</f>
        <v>0.75</v>
      </c>
      <c r="Z212" s="882">
        <f t="shared" si="84"/>
        <v>0.75</v>
      </c>
      <c r="AA212" s="883">
        <f t="shared" si="81"/>
        <v>0.75</v>
      </c>
      <c r="AB212" s="644"/>
      <c r="AC212" s="543">
        <f>+'Plan de Accion 2018'!BF41</f>
        <v>0.25</v>
      </c>
      <c r="AD212" s="767">
        <f>+'Plan de Accion 2018'!BS41</f>
        <v>1</v>
      </c>
      <c r="AE212" s="629">
        <f t="shared" si="74"/>
        <v>1</v>
      </c>
      <c r="AF212" s="767">
        <f>+'Plan de Accion 2018'!BJ41</f>
        <v>1</v>
      </c>
      <c r="AG212" s="637">
        <f t="shared" si="75"/>
        <v>1</v>
      </c>
      <c r="AH212" s="376"/>
      <c r="AI212" s="1017"/>
      <c r="AJ212" s="377"/>
      <c r="AK212" s="378"/>
      <c r="AL212" s="321"/>
      <c r="AM212" s="342"/>
      <c r="AN212" s="343"/>
      <c r="AO212" s="321"/>
      <c r="AP212" s="342"/>
      <c r="AQ212" s="343"/>
      <c r="AR212" s="321"/>
      <c r="AS212" s="342"/>
      <c r="AT212" s="343"/>
      <c r="AU212" s="326"/>
      <c r="AV212" s="374"/>
      <c r="AW212" s="352"/>
      <c r="AX212" s="342"/>
      <c r="AY212" s="343"/>
      <c r="AZ212" s="321"/>
      <c r="BA212" s="342"/>
      <c r="BB212" s="343"/>
      <c r="BC212" s="321"/>
      <c r="BD212" s="342"/>
      <c r="BE212" s="343"/>
      <c r="BF212" s="321"/>
      <c r="BG212" s="342"/>
      <c r="BH212" s="343"/>
      <c r="BI212" s="326"/>
      <c r="BJ212" s="374"/>
      <c r="BL212" s="342"/>
      <c r="BM212" s="343"/>
      <c r="BN212" s="321"/>
      <c r="BO212" s="342"/>
      <c r="BP212" s="343"/>
      <c r="BQ212" s="321"/>
      <c r="BR212" s="342"/>
      <c r="BS212" s="343"/>
      <c r="BT212" s="321"/>
      <c r="BU212" s="342"/>
      <c r="BV212" s="343"/>
      <c r="BW212" s="326"/>
      <c r="BX212" s="374"/>
      <c r="BZ212" s="342"/>
      <c r="CA212" s="343"/>
      <c r="CB212" s="321"/>
      <c r="CC212" s="342"/>
      <c r="CD212" s="343"/>
      <c r="CE212" s="321"/>
      <c r="CF212" s="342"/>
      <c r="CG212" s="343"/>
      <c r="CH212" s="321"/>
      <c r="CI212" s="342"/>
      <c r="CJ212" s="343"/>
      <c r="CK212" s="326"/>
      <c r="CL212" s="374"/>
    </row>
    <row r="213" spans="2:90" ht="42.75" x14ac:dyDescent="0.25">
      <c r="B213" s="1394"/>
      <c r="C213" s="1415"/>
      <c r="D213" s="754" t="str">
        <f>+'Plan de Accion 2018'!G42</f>
        <v>Estados Financieros</v>
      </c>
      <c r="E213" s="1402"/>
      <c r="F213" s="344" t="str">
        <f>+'Plan de Accion 2018'!S42</f>
        <v># Estados Financieros Presentados / # Estados Financieros Programados</v>
      </c>
      <c r="G213" s="328"/>
      <c r="H213" s="543">
        <f>+'Plan de Accion 2018'!AB42</f>
        <v>1</v>
      </c>
      <c r="I213" s="767">
        <f>+'Plan de Accion 2018'!BM42</f>
        <v>1</v>
      </c>
      <c r="J213" s="767">
        <f t="shared" si="78"/>
        <v>1</v>
      </c>
      <c r="K213" s="767">
        <f>+'Plan de Accion 2018'!AF42</f>
        <v>0.25</v>
      </c>
      <c r="L213" s="875">
        <f t="shared" si="82"/>
        <v>0.25</v>
      </c>
      <c r="M213" s="682">
        <f t="shared" si="79"/>
        <v>0.25</v>
      </c>
      <c r="N213" s="644"/>
      <c r="O213" s="543">
        <f>+'Plan de Accion 2018'!AL42</f>
        <v>1</v>
      </c>
      <c r="P213" s="767">
        <f>+'Plan de Accion 2018'!BO42</f>
        <v>1</v>
      </c>
      <c r="Q213" s="629">
        <f t="shared" si="76"/>
        <v>1</v>
      </c>
      <c r="R213" s="751">
        <f>+'Plan de Accion 2018'!AP42</f>
        <v>0.5</v>
      </c>
      <c r="S213" s="873">
        <f t="shared" si="83"/>
        <v>0.5</v>
      </c>
      <c r="T213" s="637">
        <f t="shared" si="80"/>
        <v>0.5</v>
      </c>
      <c r="U213" s="329"/>
      <c r="V213" s="543">
        <f>+'Plan de Accion 2018'!AV42</f>
        <v>1</v>
      </c>
      <c r="W213" s="767">
        <f>+'Plan de Accion 2018'!BQ42</f>
        <v>1</v>
      </c>
      <c r="X213" s="629">
        <f t="shared" si="77"/>
        <v>1</v>
      </c>
      <c r="Y213" s="882">
        <f>+'Plan de Accion 2018'!AZ42</f>
        <v>0.75</v>
      </c>
      <c r="Z213" s="882">
        <f t="shared" si="84"/>
        <v>0.75</v>
      </c>
      <c r="AA213" s="883">
        <f t="shared" si="81"/>
        <v>0.75</v>
      </c>
      <c r="AB213" s="644"/>
      <c r="AC213" s="543">
        <f>+'Plan de Accion 2018'!BF42</f>
        <v>1</v>
      </c>
      <c r="AD213" s="767">
        <f>+'Plan de Accion 2018'!BS42</f>
        <v>1</v>
      </c>
      <c r="AE213" s="629">
        <f t="shared" si="74"/>
        <v>1</v>
      </c>
      <c r="AF213" s="767">
        <f>+'Plan de Accion 2018'!BJ42</f>
        <v>1</v>
      </c>
      <c r="AG213" s="637">
        <f t="shared" si="75"/>
        <v>1</v>
      </c>
      <c r="AH213" s="376"/>
      <c r="AI213" s="1017"/>
      <c r="AJ213" s="377"/>
      <c r="AK213" s="378"/>
      <c r="AL213" s="321"/>
      <c r="AM213" s="342"/>
      <c r="AN213" s="343"/>
      <c r="AO213" s="321"/>
      <c r="AP213" s="342"/>
      <c r="AQ213" s="343"/>
      <c r="AR213" s="321"/>
      <c r="AS213" s="342"/>
      <c r="AT213" s="343"/>
      <c r="AU213" s="326"/>
      <c r="AV213" s="374"/>
      <c r="AW213" s="352"/>
      <c r="AX213" s="342"/>
      <c r="AY213" s="343"/>
      <c r="AZ213" s="321"/>
      <c r="BA213" s="342"/>
      <c r="BB213" s="343"/>
      <c r="BC213" s="321"/>
      <c r="BD213" s="342"/>
      <c r="BE213" s="343"/>
      <c r="BF213" s="321"/>
      <c r="BG213" s="342"/>
      <c r="BH213" s="343"/>
      <c r="BI213" s="326"/>
      <c r="BJ213" s="374"/>
      <c r="BL213" s="342"/>
      <c r="BM213" s="343"/>
      <c r="BN213" s="321"/>
      <c r="BO213" s="342"/>
      <c r="BP213" s="343"/>
      <c r="BQ213" s="321"/>
      <c r="BR213" s="342"/>
      <c r="BS213" s="343"/>
      <c r="BT213" s="321"/>
      <c r="BU213" s="342"/>
      <c r="BV213" s="343"/>
      <c r="BW213" s="326"/>
      <c r="BX213" s="374"/>
      <c r="BZ213" s="342"/>
      <c r="CA213" s="343"/>
      <c r="CB213" s="321"/>
      <c r="CC213" s="342"/>
      <c r="CD213" s="343"/>
      <c r="CE213" s="321"/>
      <c r="CF213" s="342"/>
      <c r="CG213" s="343"/>
      <c r="CH213" s="321"/>
      <c r="CI213" s="342"/>
      <c r="CJ213" s="343"/>
      <c r="CK213" s="326"/>
      <c r="CL213" s="374"/>
    </row>
    <row r="214" spans="2:90" ht="43.5" thickBot="1" x14ac:dyDescent="0.3">
      <c r="B214" s="1394"/>
      <c r="C214" s="1416"/>
      <c r="D214" s="755" t="str">
        <f>+'Plan de Accion 2018'!G43</f>
        <v>Informe Operaciones Reciprocas CGN</v>
      </c>
      <c r="E214" s="1350"/>
      <c r="F214" s="773" t="str">
        <f>+'Plan de Accion 2018'!S43</f>
        <v># Informes Publicados / # Informes Proyectados a Publicar</v>
      </c>
      <c r="G214" s="328"/>
      <c r="H214" s="748">
        <f>+'Plan de Accion 2018'!AB43</f>
        <v>1</v>
      </c>
      <c r="I214" s="750">
        <f>+'Plan de Accion 2018'!BM43</f>
        <v>1</v>
      </c>
      <c r="J214" s="750">
        <f t="shared" si="78"/>
        <v>1</v>
      </c>
      <c r="K214" s="750">
        <f>+'Plan de Accion 2018'!AF43</f>
        <v>0.25</v>
      </c>
      <c r="L214" s="875">
        <f t="shared" si="82"/>
        <v>0.25</v>
      </c>
      <c r="M214" s="752">
        <f t="shared" si="79"/>
        <v>0.25</v>
      </c>
      <c r="N214" s="644"/>
      <c r="O214" s="748">
        <f>+'Plan de Accion 2018'!AL43</f>
        <v>1</v>
      </c>
      <c r="P214" s="750">
        <f>+'Plan de Accion 2018'!BO43</f>
        <v>1</v>
      </c>
      <c r="Q214" s="631">
        <f t="shared" si="76"/>
        <v>1</v>
      </c>
      <c r="R214" s="751">
        <f>+'Plan de Accion 2018'!AP43</f>
        <v>0.5</v>
      </c>
      <c r="S214" s="873">
        <f t="shared" si="83"/>
        <v>0.5</v>
      </c>
      <c r="T214" s="637">
        <f t="shared" si="80"/>
        <v>0.5</v>
      </c>
      <c r="U214" s="329"/>
      <c r="V214" s="748">
        <f>+'Plan de Accion 2018'!AV43</f>
        <v>1</v>
      </c>
      <c r="W214" s="750">
        <f>+'Plan de Accion 2018'!BQ43</f>
        <v>1</v>
      </c>
      <c r="X214" s="629">
        <f t="shared" si="77"/>
        <v>1</v>
      </c>
      <c r="Y214" s="882">
        <f>+'Plan de Accion 2018'!AZ43</f>
        <v>0.75</v>
      </c>
      <c r="Z214" s="882">
        <f t="shared" si="84"/>
        <v>0.75</v>
      </c>
      <c r="AA214" s="883">
        <f t="shared" si="81"/>
        <v>0.75</v>
      </c>
      <c r="AB214" s="644"/>
      <c r="AC214" s="748">
        <f>+'Plan de Accion 2018'!BF43</f>
        <v>1</v>
      </c>
      <c r="AD214" s="750">
        <f>+'Plan de Accion 2018'!BS43</f>
        <v>1</v>
      </c>
      <c r="AE214" s="629">
        <f t="shared" si="74"/>
        <v>1</v>
      </c>
      <c r="AF214" s="750">
        <f>+'Plan de Accion 2018'!BJ43</f>
        <v>1</v>
      </c>
      <c r="AG214" s="637">
        <f t="shared" si="75"/>
        <v>1</v>
      </c>
      <c r="AH214" s="376"/>
      <c r="AI214" s="1017"/>
      <c r="AJ214" s="377"/>
      <c r="AK214" s="378"/>
      <c r="AL214" s="321"/>
      <c r="AM214" s="342"/>
      <c r="AN214" s="343"/>
      <c r="AO214" s="321"/>
      <c r="AP214" s="342"/>
      <c r="AQ214" s="343"/>
      <c r="AR214" s="321"/>
      <c r="AS214" s="342"/>
      <c r="AT214" s="343"/>
      <c r="AU214" s="326"/>
      <c r="AV214" s="374"/>
      <c r="AW214" s="352"/>
      <c r="AX214" s="342"/>
      <c r="AY214" s="343"/>
      <c r="AZ214" s="321"/>
      <c r="BA214" s="342"/>
      <c r="BB214" s="343"/>
      <c r="BC214" s="321"/>
      <c r="BD214" s="342"/>
      <c r="BE214" s="343"/>
      <c r="BF214" s="321"/>
      <c r="BG214" s="342"/>
      <c r="BH214" s="343"/>
      <c r="BI214" s="326"/>
      <c r="BJ214" s="374"/>
      <c r="BL214" s="342"/>
      <c r="BM214" s="343"/>
      <c r="BN214" s="321"/>
      <c r="BO214" s="342"/>
      <c r="BP214" s="343"/>
      <c r="BQ214" s="321"/>
      <c r="BR214" s="342"/>
      <c r="BS214" s="343"/>
      <c r="BT214" s="321"/>
      <c r="BU214" s="342"/>
      <c r="BV214" s="343"/>
      <c r="BW214" s="326"/>
      <c r="BX214" s="374"/>
      <c r="BZ214" s="342"/>
      <c r="CA214" s="343"/>
      <c r="CB214" s="321"/>
      <c r="CC214" s="342"/>
      <c r="CD214" s="343"/>
      <c r="CE214" s="321"/>
      <c r="CF214" s="342"/>
      <c r="CG214" s="343"/>
      <c r="CH214" s="321"/>
      <c r="CI214" s="342"/>
      <c r="CJ214" s="343"/>
      <c r="CK214" s="326"/>
      <c r="CL214" s="374"/>
    </row>
    <row r="215" spans="2:90" ht="36.75" customHeight="1" thickBot="1" x14ac:dyDescent="0.3">
      <c r="B215" s="1393"/>
      <c r="C215" s="1399" t="s">
        <v>809</v>
      </c>
      <c r="D215" s="1400"/>
      <c r="E215" s="1400"/>
      <c r="F215" s="1401"/>
      <c r="G215" s="362"/>
      <c r="H215" s="346" t="s">
        <v>792</v>
      </c>
      <c r="I215" s="332">
        <f>SUM(I207:I214)/COUNT(I207:I214)</f>
        <v>0.97735018479643931</v>
      </c>
      <c r="J215" s="332">
        <f t="shared" si="78"/>
        <v>0.97735018479643931</v>
      </c>
      <c r="K215" s="332">
        <f>SUM(K207:K214)/COUNT(K207:K214)</f>
        <v>0.24433754619910983</v>
      </c>
      <c r="L215" s="332">
        <f>SUM(L207:L214)/COUNT(L207:L214)</f>
        <v>0.24433754619910983</v>
      </c>
      <c r="M215" s="334">
        <f>SUM(M207:M214)/COUNT(M207:M214)</f>
        <v>0.24433754619910983</v>
      </c>
      <c r="N215" s="692"/>
      <c r="O215" s="346" t="s">
        <v>792</v>
      </c>
      <c r="P215" s="635">
        <f>SUM(P207:P214)/COUNT(P207:P214)</f>
        <v>0.96989999999999998</v>
      </c>
      <c r="Q215" s="635">
        <f>SUM(Q207:Q214)/COUNT(Q207:Q214)</f>
        <v>0.96989999999999998</v>
      </c>
      <c r="R215" s="639">
        <f>SUM(R207:R214)/COUNT(R207:R214)</f>
        <v>0.48681254619910985</v>
      </c>
      <c r="S215" s="670">
        <f>SUM(S207:S214)/COUNT(S207:S214)</f>
        <v>0.48681254619910985</v>
      </c>
      <c r="T215" s="645">
        <f>SUM(T207:T214)/COUNT(T207:T214)</f>
        <v>0.48681254619910985</v>
      </c>
      <c r="U215" s="354"/>
      <c r="V215" s="346" t="s">
        <v>792</v>
      </c>
      <c r="W215" s="332">
        <f>SUM(W207:W214)/COUNT(W207:W214)</f>
        <v>0.99709999999999999</v>
      </c>
      <c r="X215" s="332">
        <f>SUM(X207:X214)/COUNT(X207:X214)</f>
        <v>0.99709999999999999</v>
      </c>
      <c r="Y215" s="651">
        <f>SUM(Y207:Y214)/COUNT(Y207:Y214)</f>
        <v>0.73608754619910988</v>
      </c>
      <c r="Z215" s="651">
        <f>SUM(Z207:Z214)/COUNT(Z207:Z214)</f>
        <v>0.73608754619910988</v>
      </c>
      <c r="AA215" s="617">
        <f>SUM(AA207:AA214)/COUNT(AA207:AA214)</f>
        <v>0.73608754619910988</v>
      </c>
      <c r="AB215" s="692"/>
      <c r="AC215" s="346" t="s">
        <v>792</v>
      </c>
      <c r="AD215" s="332">
        <f>SUM(AD207:AD214)/COUNT(AD207:AD214)</f>
        <v>0.99425000000000008</v>
      </c>
      <c r="AE215" s="332">
        <f>SUM(AE207:AE214)/COUNT(AE207:AE214)</f>
        <v>0.99425000000000008</v>
      </c>
      <c r="AF215" s="635">
        <f>SUM(AF207:AF214)/COUNT(AF207:AF214)</f>
        <v>0.9846500461991099</v>
      </c>
      <c r="AG215" s="334">
        <f>SUM(AG207:AG214)/COUNT(AG207:AG214)</f>
        <v>0.9846500461991099</v>
      </c>
      <c r="AH215" s="374"/>
      <c r="AI215" s="1016"/>
      <c r="AJ215" s="342"/>
      <c r="AK215" s="343"/>
      <c r="AL215" s="321"/>
      <c r="AM215" s="342"/>
      <c r="AN215" s="343"/>
      <c r="AO215" s="321"/>
      <c r="AP215" s="342"/>
      <c r="AQ215" s="343"/>
      <c r="AR215" s="321"/>
      <c r="AS215" s="342"/>
      <c r="AT215" s="343"/>
      <c r="AU215" s="326"/>
      <c r="AV215" s="374"/>
      <c r="AW215" s="352"/>
      <c r="AX215" s="342"/>
      <c r="AY215" s="343"/>
      <c r="AZ215" s="321"/>
      <c r="BA215" s="342"/>
      <c r="BB215" s="343"/>
      <c r="BC215" s="321"/>
      <c r="BD215" s="342"/>
      <c r="BE215" s="343"/>
      <c r="BF215" s="321"/>
      <c r="BG215" s="342"/>
      <c r="BH215" s="343"/>
      <c r="BI215" s="326"/>
      <c r="BJ215" s="374"/>
      <c r="BL215" s="342"/>
      <c r="BM215" s="343"/>
      <c r="BN215" s="321"/>
      <c r="BO215" s="342"/>
      <c r="BP215" s="343"/>
      <c r="BQ215" s="321"/>
      <c r="BR215" s="342"/>
      <c r="BS215" s="343"/>
      <c r="BT215" s="321"/>
      <c r="BU215" s="342"/>
      <c r="BV215" s="343"/>
      <c r="BW215" s="326"/>
      <c r="BX215" s="374"/>
      <c r="BZ215" s="342"/>
      <c r="CA215" s="343"/>
      <c r="CB215" s="321"/>
      <c r="CC215" s="342"/>
      <c r="CD215" s="343"/>
      <c r="CE215" s="321"/>
      <c r="CF215" s="342"/>
      <c r="CG215" s="343"/>
      <c r="CH215" s="321"/>
      <c r="CI215" s="342"/>
      <c r="CJ215" s="343"/>
      <c r="CK215" s="326"/>
      <c r="CL215" s="374"/>
    </row>
    <row r="216" spans="2:90" s="299" customFormat="1" ht="57" x14ac:dyDescent="0.25">
      <c r="B216" s="1394"/>
      <c r="C216" s="1417" t="s">
        <v>146</v>
      </c>
      <c r="D216" s="759" t="str">
        <f>+'Plan de Accion 2018'!G159</f>
        <v xml:space="preserve">Informes de respuestas a las acciones constitucionales  y de  tutelas </v>
      </c>
      <c r="E216" s="1353" t="str">
        <f>+'Plan de Accion 2018'!B159</f>
        <v>Oficina Asesora Jurídica</v>
      </c>
      <c r="F216" s="769" t="str">
        <f>+'Plan de Accion 2018'!S159</f>
        <v># Tutela Tramitadas Oportunamente / # Tutelas Radicadas que Requieren Trámite</v>
      </c>
      <c r="G216" s="328"/>
      <c r="H216" s="749">
        <f>+'Plan de Accion 2018'!AB159</f>
        <v>0.24933884297520661</v>
      </c>
      <c r="I216" s="751">
        <f>+'Plan de Accion 2018'!BM159</f>
        <v>0.99735537190082646</v>
      </c>
      <c r="J216" s="751">
        <f t="shared" si="78"/>
        <v>0.99735537190082646</v>
      </c>
      <c r="K216" s="751">
        <f>+'Plan de Accion 2018'!AF159</f>
        <v>0.24933884297520661</v>
      </c>
      <c r="L216" s="751">
        <f>+K216</f>
        <v>0.24933884297520661</v>
      </c>
      <c r="M216" s="753">
        <f t="shared" ref="M216:M225" si="85">+L216</f>
        <v>0.24933884297520661</v>
      </c>
      <c r="N216" s="644"/>
      <c r="O216" s="749">
        <f>+'Plan de Accion 2018'!AL159</f>
        <v>0.24910897765219625</v>
      </c>
      <c r="P216" s="751">
        <f>+'Plan de Accion 2018'!BO159</f>
        <v>0.996435910608785</v>
      </c>
      <c r="Q216" s="629">
        <f t="shared" si="76"/>
        <v>0.996435910608785</v>
      </c>
      <c r="R216" s="751">
        <f>+'Plan de Accion 2018'!AP159</f>
        <v>0.49844782062740289</v>
      </c>
      <c r="S216" s="751">
        <f>IF(R216&gt;100%,100%,R216)</f>
        <v>0.49844782062740289</v>
      </c>
      <c r="T216" s="637">
        <f t="shared" ref="T216:T225" si="86">+S216</f>
        <v>0.49844782062740289</v>
      </c>
      <c r="U216" s="329"/>
      <c r="V216" s="749">
        <f>+'Plan de Accion 2018'!AV159</f>
        <v>0.23365689381933438</v>
      </c>
      <c r="W216" s="751">
        <f>+'Plan de Accion 2018'!BQ159</f>
        <v>0.93462757527733753</v>
      </c>
      <c r="X216" s="629">
        <f t="shared" si="77"/>
        <v>0.93462757527733753</v>
      </c>
      <c r="Y216" s="882">
        <f>+'Plan de Accion 2018'!AZ159</f>
        <v>0.7321047144467373</v>
      </c>
      <c r="Z216" s="882">
        <f>IF(Y216&gt;100%,100%,Y216)</f>
        <v>0.7321047144467373</v>
      </c>
      <c r="AA216" s="883">
        <f t="shared" ref="AA216:AA226" si="87">+Z216</f>
        <v>0.7321047144467373</v>
      </c>
      <c r="AB216" s="644"/>
      <c r="AC216" s="749">
        <f>+'Plan de Accion 2018'!BF159</f>
        <v>0.24857286769644057</v>
      </c>
      <c r="AD216" s="751">
        <f>+'Plan de Accion 2018'!BS159</f>
        <v>0.9942914707857623</v>
      </c>
      <c r="AE216" s="629">
        <f t="shared" si="74"/>
        <v>0.9942914707857623</v>
      </c>
      <c r="AF216" s="751">
        <f>+'Plan de Accion 2018'!BJ159</f>
        <v>0.98067758214317791</v>
      </c>
      <c r="AG216" s="637">
        <f t="shared" si="75"/>
        <v>0.98067758214317791</v>
      </c>
      <c r="AH216" s="376"/>
      <c r="AI216" s="1017"/>
      <c r="AJ216" s="377"/>
      <c r="AK216" s="378"/>
      <c r="AL216" s="321"/>
      <c r="AM216" s="377"/>
      <c r="AN216" s="378"/>
      <c r="AO216" s="321"/>
      <c r="AP216" s="377"/>
      <c r="AQ216" s="378"/>
      <c r="AR216" s="321"/>
      <c r="AS216" s="377"/>
      <c r="AT216" s="378"/>
      <c r="AU216" s="379"/>
      <c r="AV216" s="376"/>
      <c r="AW216" s="360"/>
      <c r="AX216" s="377"/>
      <c r="AY216" s="378"/>
      <c r="AZ216" s="321"/>
      <c r="BA216" s="377"/>
      <c r="BB216" s="378"/>
      <c r="BC216" s="321"/>
      <c r="BD216" s="377"/>
      <c r="BE216" s="378"/>
      <c r="BF216" s="321"/>
      <c r="BG216" s="377"/>
      <c r="BH216" s="378"/>
      <c r="BI216" s="379"/>
      <c r="BJ216" s="376"/>
      <c r="BL216" s="377"/>
      <c r="BM216" s="378"/>
      <c r="BN216" s="321"/>
      <c r="BO216" s="377"/>
      <c r="BP216" s="378"/>
      <c r="BQ216" s="321"/>
      <c r="BR216" s="377"/>
      <c r="BS216" s="378"/>
      <c r="BT216" s="321"/>
      <c r="BU216" s="377"/>
      <c r="BV216" s="378"/>
      <c r="BW216" s="379"/>
      <c r="BX216" s="376"/>
      <c r="BZ216" s="377"/>
      <c r="CA216" s="378"/>
      <c r="CB216" s="321"/>
      <c r="CC216" s="377"/>
      <c r="CD216" s="378"/>
      <c r="CE216" s="321"/>
      <c r="CF216" s="377"/>
      <c r="CG216" s="378"/>
      <c r="CH216" s="321"/>
      <c r="CI216" s="377"/>
      <c r="CJ216" s="378"/>
      <c r="CK216" s="379"/>
      <c r="CL216" s="376"/>
    </row>
    <row r="217" spans="2:90" s="299" customFormat="1" ht="57" x14ac:dyDescent="0.25">
      <c r="B217" s="1394"/>
      <c r="C217" s="1417"/>
      <c r="D217" s="754" t="str">
        <f>+'Plan de Accion 2018'!G160</f>
        <v>Representación  judicial - Demandas Laborales</v>
      </c>
      <c r="E217" s="1353"/>
      <c r="F217" s="344" t="str">
        <f>+'Plan de Accion 2018'!S160</f>
        <v># Demandas Laborales Contestadas Oportunamente / # Demandas Laborales Notificadas a la Entidad</v>
      </c>
      <c r="G217" s="328"/>
      <c r="H217" s="543">
        <f>+'Plan de Accion 2018'!AB160</f>
        <v>0.25</v>
      </c>
      <c r="I217" s="767">
        <f>+'Plan de Accion 2018'!BM160</f>
        <v>1</v>
      </c>
      <c r="J217" s="767">
        <f t="shared" si="78"/>
        <v>1</v>
      </c>
      <c r="K217" s="767">
        <f>+'Plan de Accion 2018'!AF160</f>
        <v>0.25</v>
      </c>
      <c r="L217" s="767">
        <f>+K217</f>
        <v>0.25</v>
      </c>
      <c r="M217" s="682">
        <f t="shared" si="85"/>
        <v>0.25</v>
      </c>
      <c r="N217" s="644"/>
      <c r="O217" s="543">
        <f>+'Plan de Accion 2018'!AL160</f>
        <v>0.23749999999999999</v>
      </c>
      <c r="P217" s="767">
        <f>+'Plan de Accion 2018'!BO160</f>
        <v>0.95</v>
      </c>
      <c r="Q217" s="629">
        <f t="shared" si="76"/>
        <v>0.95</v>
      </c>
      <c r="R217" s="751">
        <f>+'Plan de Accion 2018'!AP160</f>
        <v>0.48749999999999999</v>
      </c>
      <c r="S217" s="751">
        <f>IF(R217&gt;100%,100%,R217)</f>
        <v>0.48749999999999999</v>
      </c>
      <c r="T217" s="637">
        <f t="shared" si="86"/>
        <v>0.48749999999999999</v>
      </c>
      <c r="U217" s="329"/>
      <c r="V217" s="543">
        <f>+'Plan de Accion 2018'!AV160</f>
        <v>0.23701298701298701</v>
      </c>
      <c r="W217" s="767">
        <f>+'Plan de Accion 2018'!BQ160</f>
        <v>0.94805194805194803</v>
      </c>
      <c r="X217" s="629">
        <f t="shared" si="77"/>
        <v>0.94805194805194803</v>
      </c>
      <c r="Y217" s="882">
        <f>+'Plan de Accion 2018'!AZ160</f>
        <v>0.72451298701298694</v>
      </c>
      <c r="Z217" s="882">
        <f>IF(Y217&gt;100%,100%,Y217)</f>
        <v>0.72451298701298694</v>
      </c>
      <c r="AA217" s="883">
        <f t="shared" si="87"/>
        <v>0.72451298701298694</v>
      </c>
      <c r="AB217" s="644"/>
      <c r="AC217" s="543">
        <f>+'Plan de Accion 2018'!BF160</f>
        <v>0.21739130434782608</v>
      </c>
      <c r="AD217" s="767">
        <f>+'Plan de Accion 2018'!BS160</f>
        <v>0.86956521739130432</v>
      </c>
      <c r="AE217" s="629">
        <f t="shared" si="74"/>
        <v>0.86956521739130432</v>
      </c>
      <c r="AF217" s="767">
        <f>+'Plan de Accion 2018'!BJ160</f>
        <v>0.941904291360813</v>
      </c>
      <c r="AG217" s="637">
        <f t="shared" si="75"/>
        <v>0.941904291360813</v>
      </c>
      <c r="AH217" s="376"/>
      <c r="AI217" s="1017"/>
      <c r="AJ217" s="377"/>
      <c r="AK217" s="378"/>
      <c r="AL217" s="321"/>
      <c r="AM217" s="377"/>
      <c r="AN217" s="378"/>
      <c r="AO217" s="321"/>
      <c r="AP217" s="377"/>
      <c r="AQ217" s="378"/>
      <c r="AR217" s="321"/>
      <c r="AS217" s="377"/>
      <c r="AT217" s="378"/>
      <c r="AU217" s="379"/>
      <c r="AV217" s="376"/>
      <c r="AW217" s="360"/>
      <c r="AX217" s="377"/>
      <c r="AY217" s="378"/>
      <c r="AZ217" s="321"/>
      <c r="BA217" s="377"/>
      <c r="BB217" s="378"/>
      <c r="BC217" s="321"/>
      <c r="BD217" s="377"/>
      <c r="BE217" s="378"/>
      <c r="BF217" s="321"/>
      <c r="BG217" s="377"/>
      <c r="BH217" s="378"/>
      <c r="BI217" s="379"/>
      <c r="BJ217" s="376"/>
      <c r="BL217" s="377"/>
      <c r="BM217" s="378"/>
      <c r="BN217" s="321"/>
      <c r="BO217" s="377"/>
      <c r="BP217" s="378"/>
      <c r="BQ217" s="321"/>
      <c r="BR217" s="377"/>
      <c r="BS217" s="378"/>
      <c r="BT217" s="321"/>
      <c r="BU217" s="377"/>
      <c r="BV217" s="378"/>
      <c r="BW217" s="379"/>
      <c r="BX217" s="376"/>
      <c r="BZ217" s="377"/>
      <c r="CA217" s="378"/>
      <c r="CB217" s="321"/>
      <c r="CC217" s="377"/>
      <c r="CD217" s="378"/>
      <c r="CE217" s="321"/>
      <c r="CF217" s="377"/>
      <c r="CG217" s="378"/>
      <c r="CH217" s="321"/>
      <c r="CI217" s="377"/>
      <c r="CJ217" s="378"/>
      <c r="CK217" s="379"/>
      <c r="CL217" s="376"/>
    </row>
    <row r="218" spans="2:90" s="299" customFormat="1" ht="71.25" x14ac:dyDescent="0.25">
      <c r="B218" s="1394"/>
      <c r="C218" s="1417"/>
      <c r="D218" s="754" t="str">
        <f>+'Plan de Accion 2018'!G161</f>
        <v>Representación  judicial - Procesos Administrativos</v>
      </c>
      <c r="E218" s="1353"/>
      <c r="F218" s="344" t="str">
        <f>+'Plan de Accion 2018'!S161</f>
        <v># Procesos contenciosos administrativos contestados oportunamente / # Procesos contenciosos administrativos notificados a la Entidad</v>
      </c>
      <c r="G218" s="328"/>
      <c r="H218" s="543">
        <f>+'Plan de Accion 2018'!AB161</f>
        <v>5.9523809523809521E-2</v>
      </c>
      <c r="I218" s="767">
        <f>+'Plan de Accion 2018'!BM161</f>
        <v>0.23809523809523808</v>
      </c>
      <c r="J218" s="767">
        <f t="shared" si="78"/>
        <v>0.23809523809523808</v>
      </c>
      <c r="K218" s="767">
        <f>+'Plan de Accion 2018'!AF161</f>
        <v>5.9523809523809521E-2</v>
      </c>
      <c r="L218" s="875">
        <f t="shared" ref="L218:L226" si="88">+K218</f>
        <v>5.9523809523809521E-2</v>
      </c>
      <c r="M218" s="682">
        <f t="shared" si="85"/>
        <v>5.9523809523809521E-2</v>
      </c>
      <c r="N218" s="644"/>
      <c r="O218" s="543">
        <f>+'Plan de Accion 2018'!AL161</f>
        <v>8.4375000000000006E-2</v>
      </c>
      <c r="P218" s="767">
        <f>+'Plan de Accion 2018'!BO161</f>
        <v>0.33750000000000002</v>
      </c>
      <c r="Q218" s="629">
        <f t="shared" si="76"/>
        <v>0.33750000000000002</v>
      </c>
      <c r="R218" s="751">
        <f>+'Plan de Accion 2018'!AP161</f>
        <v>0.14389880952380951</v>
      </c>
      <c r="S218" s="873">
        <f t="shared" ref="S218:S226" si="89">IF(R218&gt;100%,100%,R218)</f>
        <v>0.14389880952380951</v>
      </c>
      <c r="T218" s="637">
        <f t="shared" si="86"/>
        <v>0.14389880952380951</v>
      </c>
      <c r="U218" s="329"/>
      <c r="V218" s="543">
        <f>+'Plan de Accion 2018'!AV161</f>
        <v>0.21739130434782608</v>
      </c>
      <c r="W218" s="767">
        <f>+'Plan de Accion 2018'!BQ161</f>
        <v>0.86956521739130432</v>
      </c>
      <c r="X218" s="629">
        <f t="shared" si="77"/>
        <v>0.86956521739130432</v>
      </c>
      <c r="Y218" s="882">
        <f>+'Plan de Accion 2018'!AZ161</f>
        <v>0.36129011387163557</v>
      </c>
      <c r="Z218" s="882">
        <f t="shared" ref="Z218:Z226" si="90">IF(Y218&gt;100%,100%,Y218)</f>
        <v>0.36129011387163557</v>
      </c>
      <c r="AA218" s="883">
        <f t="shared" si="87"/>
        <v>0.36129011387163557</v>
      </c>
      <c r="AB218" s="644"/>
      <c r="AC218" s="543">
        <f>+'Plan de Accion 2018'!BF161</f>
        <v>0.17253521126760563</v>
      </c>
      <c r="AD218" s="767">
        <f>+'Plan de Accion 2018'!BS161</f>
        <v>0.6901408450704225</v>
      </c>
      <c r="AE218" s="629">
        <f t="shared" si="74"/>
        <v>0.6901408450704225</v>
      </c>
      <c r="AF218" s="767">
        <f>+'Plan de Accion 2018'!BJ161</f>
        <v>0.53382532513924119</v>
      </c>
      <c r="AG218" s="637">
        <f t="shared" si="75"/>
        <v>0.53382532513924119</v>
      </c>
      <c r="AH218" s="376"/>
      <c r="AI218" s="1017"/>
      <c r="AJ218" s="377"/>
      <c r="AK218" s="378"/>
      <c r="AL218" s="321"/>
      <c r="AM218" s="377"/>
      <c r="AN218" s="378"/>
      <c r="AO218" s="321"/>
      <c r="AP218" s="377"/>
      <c r="AQ218" s="378"/>
      <c r="AR218" s="321"/>
      <c r="AS218" s="377"/>
      <c r="AT218" s="378"/>
      <c r="AU218" s="379"/>
      <c r="AV218" s="376"/>
      <c r="AW218" s="360"/>
      <c r="AX218" s="377"/>
      <c r="AY218" s="378"/>
      <c r="AZ218" s="321"/>
      <c r="BA218" s="377"/>
      <c r="BB218" s="378"/>
      <c r="BC218" s="321"/>
      <c r="BD218" s="377"/>
      <c r="BE218" s="378"/>
      <c r="BF218" s="321"/>
      <c r="BG218" s="377"/>
      <c r="BH218" s="378"/>
      <c r="BI218" s="379"/>
      <c r="BJ218" s="376"/>
      <c r="BL218" s="377"/>
      <c r="BM218" s="378"/>
      <c r="BN218" s="321"/>
      <c r="BO218" s="377"/>
      <c r="BP218" s="378"/>
      <c r="BQ218" s="321"/>
      <c r="BR218" s="377"/>
      <c r="BS218" s="378"/>
      <c r="BT218" s="321"/>
      <c r="BU218" s="377"/>
      <c r="BV218" s="378"/>
      <c r="BW218" s="379"/>
      <c r="BX218" s="376"/>
      <c r="BZ218" s="377"/>
      <c r="CA218" s="378"/>
      <c r="CB218" s="321"/>
      <c r="CC218" s="377"/>
      <c r="CD218" s="378"/>
      <c r="CE218" s="321"/>
      <c r="CF218" s="377"/>
      <c r="CG218" s="378"/>
      <c r="CH218" s="321"/>
      <c r="CI218" s="377"/>
      <c r="CJ218" s="378"/>
      <c r="CK218" s="379"/>
      <c r="CL218" s="376"/>
    </row>
    <row r="219" spans="2:90" s="299" customFormat="1" ht="57" x14ac:dyDescent="0.25">
      <c r="B219" s="1394"/>
      <c r="C219" s="1417"/>
      <c r="D219" s="754" t="str">
        <f>+'Plan de Accion 2018'!G162</f>
        <v>Respuesta y trámite de pruebas atendidas</v>
      </c>
      <c r="E219" s="1353"/>
      <c r="F219" s="344" t="str">
        <f>+'Plan de Accion 2018'!S162</f>
        <v># Solicitudes de pruebas atendidas / # Solicitudes de pruebas radicadas en la Entidad</v>
      </c>
      <c r="G219" s="328"/>
      <c r="H219" s="543">
        <f>+'Plan de Accion 2018'!AB162</f>
        <v>0.2483108108108108</v>
      </c>
      <c r="I219" s="767">
        <f>+'Plan de Accion 2018'!BM162</f>
        <v>0.9932432432432432</v>
      </c>
      <c r="J219" s="767">
        <f t="shared" si="78"/>
        <v>0.9932432432432432</v>
      </c>
      <c r="K219" s="767">
        <f>+'Plan de Accion 2018'!AF162</f>
        <v>0.2483108108108108</v>
      </c>
      <c r="L219" s="875">
        <f t="shared" si="88"/>
        <v>0.2483108108108108</v>
      </c>
      <c r="M219" s="682">
        <f t="shared" si="85"/>
        <v>0.2483108108108108</v>
      </c>
      <c r="N219" s="644"/>
      <c r="O219" s="543">
        <f>+'Plan de Accion 2018'!AL162</f>
        <v>0.20967741935483872</v>
      </c>
      <c r="P219" s="767">
        <f>+'Plan de Accion 2018'!BO162</f>
        <v>0.83870967741935487</v>
      </c>
      <c r="Q219" s="629">
        <f t="shared" si="76"/>
        <v>0.83870967741935487</v>
      </c>
      <c r="R219" s="751">
        <f>+'Plan de Accion 2018'!AP162</f>
        <v>0.45798823016564949</v>
      </c>
      <c r="S219" s="873">
        <f t="shared" si="89"/>
        <v>0.45798823016564949</v>
      </c>
      <c r="T219" s="637">
        <f t="shared" si="86"/>
        <v>0.45798823016564949</v>
      </c>
      <c r="U219" s="329"/>
      <c r="V219" s="543">
        <f>+'Plan de Accion 2018'!AV162</f>
        <v>0.27272727272727271</v>
      </c>
      <c r="W219" s="767">
        <f>+'Plan de Accion 2018'!BQ162</f>
        <v>1.0909090909090908</v>
      </c>
      <c r="X219" s="629">
        <f t="shared" si="77"/>
        <v>1</v>
      </c>
      <c r="Y219" s="882">
        <f>+'Plan de Accion 2018'!AZ162</f>
        <v>0.7307155028929222</v>
      </c>
      <c r="Z219" s="882">
        <f t="shared" si="90"/>
        <v>0.7307155028929222</v>
      </c>
      <c r="AA219" s="883">
        <f t="shared" si="87"/>
        <v>0.7307155028929222</v>
      </c>
      <c r="AB219" s="644">
        <v>1</v>
      </c>
      <c r="AC219" s="543">
        <f>+'Plan de Accion 2018'!BF162</f>
        <v>0.2391304347826087</v>
      </c>
      <c r="AD219" s="767">
        <f>+'Plan de Accion 2018'!BS162</f>
        <v>0.95652173913043481</v>
      </c>
      <c r="AE219" s="629">
        <f t="shared" si="74"/>
        <v>0.95652173913043481</v>
      </c>
      <c r="AF219" s="767">
        <f>+'Plan de Accion 2018'!BJ162</f>
        <v>0.96984593767553084</v>
      </c>
      <c r="AG219" s="637">
        <f t="shared" si="75"/>
        <v>0.96984593767553084</v>
      </c>
      <c r="AH219" s="376"/>
      <c r="AI219" s="1017"/>
      <c r="AJ219" s="377"/>
      <c r="AK219" s="378"/>
      <c r="AL219" s="321"/>
      <c r="AM219" s="377"/>
      <c r="AN219" s="378"/>
      <c r="AO219" s="321"/>
      <c r="AP219" s="377"/>
      <c r="AQ219" s="378"/>
      <c r="AR219" s="321"/>
      <c r="AS219" s="377"/>
      <c r="AT219" s="378"/>
      <c r="AU219" s="379"/>
      <c r="AV219" s="376"/>
      <c r="AW219" s="360"/>
      <c r="AX219" s="377"/>
      <c r="AY219" s="378"/>
      <c r="AZ219" s="321"/>
      <c r="BA219" s="377"/>
      <c r="BB219" s="378"/>
      <c r="BC219" s="321"/>
      <c r="BD219" s="377"/>
      <c r="BE219" s="378"/>
      <c r="BF219" s="321"/>
      <c r="BG219" s="377"/>
      <c r="BH219" s="378"/>
      <c r="BI219" s="379"/>
      <c r="BJ219" s="376"/>
      <c r="BL219" s="377"/>
      <c r="BM219" s="378"/>
      <c r="BN219" s="321"/>
      <c r="BO219" s="377"/>
      <c r="BP219" s="378"/>
      <c r="BQ219" s="321"/>
      <c r="BR219" s="377"/>
      <c r="BS219" s="378"/>
      <c r="BT219" s="321"/>
      <c r="BU219" s="377"/>
      <c r="BV219" s="378"/>
      <c r="BW219" s="379"/>
      <c r="BX219" s="376"/>
      <c r="BZ219" s="377"/>
      <c r="CA219" s="378"/>
      <c r="CB219" s="321"/>
      <c r="CC219" s="377"/>
      <c r="CD219" s="378"/>
      <c r="CE219" s="321"/>
      <c r="CF219" s="377"/>
      <c r="CG219" s="378"/>
      <c r="CH219" s="321"/>
      <c r="CI219" s="377"/>
      <c r="CJ219" s="378"/>
      <c r="CK219" s="379"/>
      <c r="CL219" s="376"/>
    </row>
    <row r="220" spans="2:90" s="299" customFormat="1" ht="128.25" x14ac:dyDescent="0.25">
      <c r="B220" s="1394"/>
      <c r="C220" s="1417"/>
      <c r="D220" s="754" t="str">
        <f>+'Plan de Accion 2018'!G166</f>
        <v xml:space="preserve">Atender las reclamaciones administrativas </v>
      </c>
      <c r="E220" s="1353"/>
      <c r="F220" s="344" t="str">
        <f>+'Plan de Accion 2018'!S166</f>
        <v># Reclamaciones administrativas atendidas en el periodo de acuerdo con los plazos establecidos (1 mes) / # Reclamaciones administrativas radicadas en la Entidad con una antelación de un mes a la finalización del periodo</v>
      </c>
      <c r="G220" s="328"/>
      <c r="H220" s="543">
        <f>+'Plan de Accion 2018'!AB166</f>
        <v>0.24621212121212122</v>
      </c>
      <c r="I220" s="767">
        <f>+'Plan de Accion 2018'!BM166</f>
        <v>0.98484848484848486</v>
      </c>
      <c r="J220" s="767">
        <f t="shared" si="78"/>
        <v>0.98484848484848486</v>
      </c>
      <c r="K220" s="767">
        <f>+'Plan de Accion 2018'!AF166</f>
        <v>0.24621212121212122</v>
      </c>
      <c r="L220" s="875">
        <f t="shared" si="88"/>
        <v>0.24621212121212122</v>
      </c>
      <c r="M220" s="682">
        <f t="shared" si="85"/>
        <v>0.24621212121212122</v>
      </c>
      <c r="N220" s="644"/>
      <c r="O220" s="543">
        <f>+'Plan de Accion 2018'!AL166</f>
        <v>0.24390243902439024</v>
      </c>
      <c r="P220" s="767">
        <f>+'Plan de Accion 2018'!BO166</f>
        <v>0.97560975609756095</v>
      </c>
      <c r="Q220" s="629">
        <f t="shared" si="76"/>
        <v>0.97560975609756095</v>
      </c>
      <c r="R220" s="751">
        <f>+'Plan de Accion 2018'!AP166</f>
        <v>0.49011456023651145</v>
      </c>
      <c r="S220" s="873">
        <f t="shared" si="89"/>
        <v>0.49011456023651145</v>
      </c>
      <c r="T220" s="637">
        <f t="shared" si="86"/>
        <v>0.49011456023651145</v>
      </c>
      <c r="U220" s="329"/>
      <c r="V220" s="543">
        <f>+'Plan de Accion 2018'!AV166</f>
        <v>0.25</v>
      </c>
      <c r="W220" s="767">
        <f>+'Plan de Accion 2018'!BQ166</f>
        <v>1</v>
      </c>
      <c r="X220" s="629">
        <f t="shared" si="77"/>
        <v>1</v>
      </c>
      <c r="Y220" s="882">
        <f>+'Plan de Accion 2018'!AZ166</f>
        <v>0.74011456023651145</v>
      </c>
      <c r="Z220" s="882">
        <f t="shared" si="90"/>
        <v>0.74011456023651145</v>
      </c>
      <c r="AA220" s="883">
        <f t="shared" si="87"/>
        <v>0.74011456023651145</v>
      </c>
      <c r="AB220" s="644"/>
      <c r="AC220" s="543">
        <f>+'Plan de Accion 2018'!BF166</f>
        <v>0.65040370445026763</v>
      </c>
      <c r="AD220" s="767">
        <f>+'Plan de Accion 2018'!BS166</f>
        <v>2.6016148178010705</v>
      </c>
      <c r="AE220" s="629">
        <f t="shared" si="74"/>
        <v>1</v>
      </c>
      <c r="AF220" s="767">
        <f>+'Plan de Accion 2018'!BJ166</f>
        <v>1.3905182646867791</v>
      </c>
      <c r="AG220" s="637">
        <f t="shared" si="75"/>
        <v>1</v>
      </c>
      <c r="AH220" s="376"/>
      <c r="AI220" s="1017">
        <v>1</v>
      </c>
      <c r="AJ220" s="377"/>
      <c r="AK220" s="378"/>
      <c r="AL220" s="321"/>
      <c r="AM220" s="377"/>
      <c r="AN220" s="378"/>
      <c r="AO220" s="321"/>
      <c r="AP220" s="377"/>
      <c r="AQ220" s="378"/>
      <c r="AR220" s="321"/>
      <c r="AS220" s="377"/>
      <c r="AT220" s="378"/>
      <c r="AU220" s="379"/>
      <c r="AV220" s="376"/>
      <c r="AW220" s="360"/>
      <c r="AX220" s="377"/>
      <c r="AY220" s="378"/>
      <c r="AZ220" s="321"/>
      <c r="BA220" s="377"/>
      <c r="BB220" s="378"/>
      <c r="BC220" s="321"/>
      <c r="BD220" s="377"/>
      <c r="BE220" s="378"/>
      <c r="BF220" s="321"/>
      <c r="BG220" s="377"/>
      <c r="BH220" s="378"/>
      <c r="BI220" s="379"/>
      <c r="BJ220" s="376"/>
      <c r="BL220" s="377"/>
      <c r="BM220" s="378"/>
      <c r="BN220" s="321"/>
      <c r="BO220" s="377"/>
      <c r="BP220" s="378"/>
      <c r="BQ220" s="321"/>
      <c r="BR220" s="377"/>
      <c r="BS220" s="378"/>
      <c r="BT220" s="321"/>
      <c r="BU220" s="377"/>
      <c r="BV220" s="378"/>
      <c r="BW220" s="379"/>
      <c r="BX220" s="376"/>
      <c r="BZ220" s="377"/>
      <c r="CA220" s="378"/>
      <c r="CB220" s="321"/>
      <c r="CC220" s="377"/>
      <c r="CD220" s="378"/>
      <c r="CE220" s="321"/>
      <c r="CF220" s="377"/>
      <c r="CG220" s="378"/>
      <c r="CH220" s="321"/>
      <c r="CI220" s="377"/>
      <c r="CJ220" s="378"/>
      <c r="CK220" s="379"/>
      <c r="CL220" s="376"/>
    </row>
    <row r="221" spans="2:90" s="299" customFormat="1" ht="99.75" x14ac:dyDescent="0.25">
      <c r="B221" s="1394"/>
      <c r="C221" s="1417"/>
      <c r="D221" s="754" t="str">
        <f>+'Plan de Accion 2018'!G167</f>
        <v>Recurrir los Actos Administrativos interpuestos por COLPENSIONES</v>
      </c>
      <c r="E221" s="1353"/>
      <c r="F221" s="344" t="str">
        <f>+'Plan de Accion 2018'!S167</f>
        <v># Recursos interpuestos oportunamente contra actos administrativos expedidos por Colpensiones / # Actos administrativos expedidos por Colpensiones notificados por aviso a la Entidad</v>
      </c>
      <c r="G221" s="328"/>
      <c r="H221" s="543">
        <f>+'Plan de Accion 2018'!AB167</f>
        <v>0.24251497005988024</v>
      </c>
      <c r="I221" s="767">
        <f>+'Plan de Accion 2018'!BM167</f>
        <v>0.97005988023952094</v>
      </c>
      <c r="J221" s="767">
        <f t="shared" si="78"/>
        <v>0.97005988023952094</v>
      </c>
      <c r="K221" s="767">
        <f>+'Plan de Accion 2018'!AF167</f>
        <v>0.24251497005988024</v>
      </c>
      <c r="L221" s="875">
        <f t="shared" si="88"/>
        <v>0.24251497005988024</v>
      </c>
      <c r="M221" s="682">
        <f t="shared" si="85"/>
        <v>0.24251497005988024</v>
      </c>
      <c r="N221" s="644"/>
      <c r="O221" s="543">
        <f>+'Plan de Accion 2018'!AL167</f>
        <v>0.25</v>
      </c>
      <c r="P221" s="767">
        <f>+'Plan de Accion 2018'!BO167</f>
        <v>1</v>
      </c>
      <c r="Q221" s="629">
        <f t="shared" si="76"/>
        <v>1</v>
      </c>
      <c r="R221" s="751">
        <f>+'Plan de Accion 2018'!AP167</f>
        <v>0.49251497005988021</v>
      </c>
      <c r="S221" s="873">
        <f t="shared" si="89"/>
        <v>0.49251497005988021</v>
      </c>
      <c r="T221" s="637">
        <f t="shared" si="86"/>
        <v>0.49251497005988021</v>
      </c>
      <c r="U221" s="329"/>
      <c r="V221" s="543">
        <f>+'Plan de Accion 2018'!AV167</f>
        <v>0.25</v>
      </c>
      <c r="W221" s="767">
        <f>+'Plan de Accion 2018'!BQ167</f>
        <v>1</v>
      </c>
      <c r="X221" s="629">
        <f t="shared" si="77"/>
        <v>1</v>
      </c>
      <c r="Y221" s="882">
        <f>+'Plan de Accion 2018'!AZ167</f>
        <v>0.74251497005988021</v>
      </c>
      <c r="Z221" s="882">
        <f t="shared" si="90"/>
        <v>0.74251497005988021</v>
      </c>
      <c r="AA221" s="883">
        <f t="shared" si="87"/>
        <v>0.74251497005988021</v>
      </c>
      <c r="AB221" s="644"/>
      <c r="AC221" s="543">
        <f>+'Plan de Accion 2018'!BF167</f>
        <v>0.74251497005988021</v>
      </c>
      <c r="AD221" s="767">
        <f>+'Plan de Accion 2018'!BS167</f>
        <v>2.9700598802395208</v>
      </c>
      <c r="AE221" s="629">
        <f t="shared" si="74"/>
        <v>1</v>
      </c>
      <c r="AF221" s="767">
        <f>+'Plan de Accion 2018'!BJ167</f>
        <v>1.4850299401197604</v>
      </c>
      <c r="AG221" s="637">
        <f t="shared" si="75"/>
        <v>1</v>
      </c>
      <c r="AH221" s="376"/>
      <c r="AI221" s="1017">
        <v>1</v>
      </c>
      <c r="AJ221" s="377"/>
      <c r="AK221" s="378"/>
      <c r="AL221" s="321"/>
      <c r="AM221" s="377"/>
      <c r="AN221" s="378"/>
      <c r="AO221" s="321"/>
      <c r="AP221" s="377"/>
      <c r="AQ221" s="378"/>
      <c r="AR221" s="321"/>
      <c r="AS221" s="377"/>
      <c r="AT221" s="378"/>
      <c r="AU221" s="379"/>
      <c r="AV221" s="376"/>
      <c r="AW221" s="360"/>
      <c r="AX221" s="377"/>
      <c r="AY221" s="378"/>
      <c r="AZ221" s="321"/>
      <c r="BA221" s="377"/>
      <c r="BB221" s="378"/>
      <c r="BC221" s="321"/>
      <c r="BD221" s="377"/>
      <c r="BE221" s="378"/>
      <c r="BF221" s="321"/>
      <c r="BG221" s="377"/>
      <c r="BH221" s="378"/>
      <c r="BI221" s="379"/>
      <c r="BJ221" s="376"/>
      <c r="BL221" s="377"/>
      <c r="BM221" s="378"/>
      <c r="BN221" s="321"/>
      <c r="BO221" s="377"/>
      <c r="BP221" s="378"/>
      <c r="BQ221" s="321"/>
      <c r="BR221" s="377"/>
      <c r="BS221" s="378"/>
      <c r="BT221" s="321"/>
      <c r="BU221" s="377"/>
      <c r="BV221" s="378"/>
      <c r="BW221" s="379"/>
      <c r="BX221" s="376"/>
      <c r="BZ221" s="377"/>
      <c r="CA221" s="378"/>
      <c r="CB221" s="321"/>
      <c r="CC221" s="377"/>
      <c r="CD221" s="378"/>
      <c r="CE221" s="321"/>
      <c r="CF221" s="377"/>
      <c r="CG221" s="378"/>
      <c r="CH221" s="321"/>
      <c r="CI221" s="377"/>
      <c r="CJ221" s="378"/>
      <c r="CK221" s="379"/>
      <c r="CL221" s="376"/>
    </row>
    <row r="222" spans="2:90" s="299" customFormat="1" ht="71.25" x14ac:dyDescent="0.25">
      <c r="B222" s="1394"/>
      <c r="C222" s="1417"/>
      <c r="D222" s="754" t="str">
        <f>+'Plan de Accion 2018'!G168</f>
        <v>Trámites de Embargos</v>
      </c>
      <c r="E222" s="1353"/>
      <c r="F222" s="344" t="str">
        <f>+'Plan de Accion 2018'!S168</f>
        <v># Solicitudes de embargo tramitadas oportunamente / # Solicitudes de embargo radicadas en la Entidad dentro del periodo</v>
      </c>
      <c r="G222" s="328"/>
      <c r="H222" s="543">
        <f>+'Plan de Accion 2018'!AB168</f>
        <v>0.25</v>
      </c>
      <c r="I222" s="767">
        <f>+'Plan de Accion 2018'!BM168</f>
        <v>1</v>
      </c>
      <c r="J222" s="767">
        <f t="shared" si="78"/>
        <v>1</v>
      </c>
      <c r="K222" s="767">
        <f>+'Plan de Accion 2018'!AF168</f>
        <v>0.25</v>
      </c>
      <c r="L222" s="875">
        <f t="shared" si="88"/>
        <v>0.25</v>
      </c>
      <c r="M222" s="682">
        <f t="shared" si="85"/>
        <v>0.25</v>
      </c>
      <c r="N222" s="644"/>
      <c r="O222" s="543">
        <f>+'Plan de Accion 2018'!AL168</f>
        <v>0.25</v>
      </c>
      <c r="P222" s="767">
        <f>+'Plan de Accion 2018'!BO168</f>
        <v>1</v>
      </c>
      <c r="Q222" s="629">
        <f t="shared" si="76"/>
        <v>1</v>
      </c>
      <c r="R222" s="751">
        <f>+'Plan de Accion 2018'!AP168</f>
        <v>0.5</v>
      </c>
      <c r="S222" s="873">
        <f t="shared" si="89"/>
        <v>0.5</v>
      </c>
      <c r="T222" s="637">
        <f t="shared" si="86"/>
        <v>0.5</v>
      </c>
      <c r="U222" s="329"/>
      <c r="V222" s="543">
        <f>+'Plan de Accion 2018'!AV168</f>
        <v>0.25</v>
      </c>
      <c r="W222" s="767">
        <f>+'Plan de Accion 2018'!BQ168</f>
        <v>1</v>
      </c>
      <c r="X222" s="629">
        <f t="shared" si="77"/>
        <v>1</v>
      </c>
      <c r="Y222" s="882">
        <f>+'Plan de Accion 2018'!AZ168</f>
        <v>0.75</v>
      </c>
      <c r="Z222" s="882">
        <f t="shared" si="90"/>
        <v>0.75</v>
      </c>
      <c r="AA222" s="883">
        <f t="shared" si="87"/>
        <v>0.75</v>
      </c>
      <c r="AB222" s="644"/>
      <c r="AC222" s="543">
        <f>+'Plan de Accion 2018'!BF168</f>
        <v>0.79918032786885251</v>
      </c>
      <c r="AD222" s="767">
        <f>+'Plan de Accion 2018'!BS168</f>
        <v>3.1967213114754101</v>
      </c>
      <c r="AE222" s="629">
        <f t="shared" si="74"/>
        <v>1</v>
      </c>
      <c r="AF222" s="767">
        <f>+'Plan de Accion 2018'!BJ168</f>
        <v>1.5491803278688525</v>
      </c>
      <c r="AG222" s="637">
        <f t="shared" si="75"/>
        <v>1</v>
      </c>
      <c r="AH222" s="376"/>
      <c r="AI222" s="1017">
        <v>1</v>
      </c>
      <c r="AJ222" s="377"/>
      <c r="AK222" s="378"/>
      <c r="AL222" s="321"/>
      <c r="AM222" s="377"/>
      <c r="AN222" s="378"/>
      <c r="AO222" s="321"/>
      <c r="AP222" s="377"/>
      <c r="AQ222" s="378"/>
      <c r="AR222" s="321"/>
      <c r="AS222" s="377"/>
      <c r="AT222" s="378"/>
      <c r="AU222" s="379"/>
      <c r="AV222" s="376"/>
      <c r="AW222" s="360"/>
      <c r="AX222" s="377"/>
      <c r="AY222" s="378"/>
      <c r="AZ222" s="321"/>
      <c r="BA222" s="377"/>
      <c r="BB222" s="378"/>
      <c r="BC222" s="321"/>
      <c r="BD222" s="377"/>
      <c r="BE222" s="378"/>
      <c r="BF222" s="321"/>
      <c r="BG222" s="377"/>
      <c r="BH222" s="378"/>
      <c r="BI222" s="379"/>
      <c r="BJ222" s="376"/>
      <c r="BL222" s="377"/>
      <c r="BM222" s="378"/>
      <c r="BN222" s="321"/>
      <c r="BO222" s="377"/>
      <c r="BP222" s="378"/>
      <c r="BQ222" s="321"/>
      <c r="BR222" s="377"/>
      <c r="BS222" s="378"/>
      <c r="BT222" s="321"/>
      <c r="BU222" s="377"/>
      <c r="BV222" s="378"/>
      <c r="BW222" s="379"/>
      <c r="BX222" s="376"/>
      <c r="BZ222" s="377"/>
      <c r="CA222" s="378"/>
      <c r="CB222" s="321"/>
      <c r="CC222" s="377"/>
      <c r="CD222" s="378"/>
      <c r="CE222" s="321"/>
      <c r="CF222" s="377"/>
      <c r="CG222" s="378"/>
      <c r="CH222" s="321"/>
      <c r="CI222" s="377"/>
      <c r="CJ222" s="378"/>
      <c r="CK222" s="379"/>
      <c r="CL222" s="376"/>
    </row>
    <row r="223" spans="2:90" s="299" customFormat="1" ht="85.5" x14ac:dyDescent="0.25">
      <c r="B223" s="1394"/>
      <c r="C223" s="1417"/>
      <c r="D223" s="1430" t="str">
        <f>+'Plan de Accion 2018'!G171</f>
        <v>Depuración de Cartera FOSYGA y/o ADRES</v>
      </c>
      <c r="E223" s="1353"/>
      <c r="F223" s="344" t="str">
        <f>+'Plan de Accion 2018'!S171</f>
        <v xml:space="preserve"># Reclamaciones Vendidas con mora mayor a 180 días / Reclamaciones contenidas actos administrativos ejecutoriados con mora mayor a 180 días </v>
      </c>
      <c r="G223" s="328"/>
      <c r="H223" s="543">
        <f>+'Plan de Accion 2018'!AB171</f>
        <v>0</v>
      </c>
      <c r="I223" s="767">
        <f>+'Plan de Accion 2018'!BM171</f>
        <v>0</v>
      </c>
      <c r="J223" s="767">
        <f t="shared" si="78"/>
        <v>0</v>
      </c>
      <c r="K223" s="767">
        <f>+'Plan de Accion 2018'!AF171</f>
        <v>0</v>
      </c>
      <c r="L223" s="875">
        <f t="shared" si="88"/>
        <v>0</v>
      </c>
      <c r="M223" s="682">
        <f t="shared" si="85"/>
        <v>0</v>
      </c>
      <c r="N223" s="644"/>
      <c r="O223" s="543">
        <f>+'Plan de Accion 2018'!AL171</f>
        <v>0.47841409691629955</v>
      </c>
      <c r="P223" s="767">
        <f>+'Plan de Accion 2018'!BO171</f>
        <v>0.95682819383259909</v>
      </c>
      <c r="Q223" s="629">
        <f t="shared" si="76"/>
        <v>0.95682819383259909</v>
      </c>
      <c r="R223" s="751">
        <f>+'Plan de Accion 2018'!AP171</f>
        <v>0.47841409691629955</v>
      </c>
      <c r="S223" s="873">
        <f t="shared" si="89"/>
        <v>0.47841409691629955</v>
      </c>
      <c r="T223" s="637">
        <f t="shared" si="86"/>
        <v>0.47841409691629955</v>
      </c>
      <c r="U223" s="329"/>
      <c r="V223" s="543">
        <f>+'Plan de Accion 2018'!AV171</f>
        <v>0</v>
      </c>
      <c r="W223" s="767" t="str">
        <f>+'Plan de Accion 2018'!BQ171</f>
        <v>No Prog ni Ejec</v>
      </c>
      <c r="X223" s="629" t="s">
        <v>792</v>
      </c>
      <c r="Y223" s="882">
        <f>+'Plan de Accion 2018'!AZ171</f>
        <v>0.47841409691629955</v>
      </c>
      <c r="Z223" s="882">
        <f t="shared" si="90"/>
        <v>0.47841409691629955</v>
      </c>
      <c r="AA223" s="883">
        <f>+Z223</f>
        <v>0.47841409691629955</v>
      </c>
      <c r="AB223" s="644"/>
      <c r="AC223" s="543">
        <f>+'Plan de Accion 2018'!BF171</f>
        <v>0</v>
      </c>
      <c r="AD223" s="767" t="str">
        <f>+'Plan de Accion 2018'!BS171</f>
        <v>No Prog ni Ejec</v>
      </c>
      <c r="AE223" s="629" t="s">
        <v>792</v>
      </c>
      <c r="AF223" s="767">
        <f>+'Plan de Accion 2018'!BJ171</f>
        <v>0.47841409691629955</v>
      </c>
      <c r="AG223" s="637">
        <f t="shared" si="75"/>
        <v>0.47841409691629955</v>
      </c>
      <c r="AH223" s="376"/>
      <c r="AI223" s="1017"/>
      <c r="AJ223" s="377"/>
      <c r="AK223" s="378"/>
      <c r="AL223" s="321"/>
      <c r="AM223" s="377"/>
      <c r="AN223" s="378"/>
      <c r="AO223" s="321"/>
      <c r="AP223" s="377"/>
      <c r="AQ223" s="378"/>
      <c r="AR223" s="321"/>
      <c r="AS223" s="377"/>
      <c r="AT223" s="378"/>
      <c r="AU223" s="379"/>
      <c r="AV223" s="376"/>
      <c r="AW223" s="360"/>
      <c r="AX223" s="377"/>
      <c r="AY223" s="378"/>
      <c r="AZ223" s="321"/>
      <c r="BA223" s="377"/>
      <c r="BB223" s="378"/>
      <c r="BC223" s="321"/>
      <c r="BD223" s="377"/>
      <c r="BE223" s="378"/>
      <c r="BF223" s="321"/>
      <c r="BG223" s="377"/>
      <c r="BH223" s="378"/>
      <c r="BI223" s="379"/>
      <c r="BJ223" s="376"/>
      <c r="BL223" s="377"/>
      <c r="BM223" s="378"/>
      <c r="BN223" s="321"/>
      <c r="BO223" s="377"/>
      <c r="BP223" s="378"/>
      <c r="BQ223" s="321"/>
      <c r="BR223" s="377"/>
      <c r="BS223" s="378"/>
      <c r="BT223" s="321"/>
      <c r="BU223" s="377"/>
      <c r="BV223" s="378"/>
      <c r="BW223" s="379"/>
      <c r="BX223" s="376"/>
      <c r="BZ223" s="377"/>
      <c r="CA223" s="378"/>
      <c r="CB223" s="321"/>
      <c r="CC223" s="377"/>
      <c r="CD223" s="378"/>
      <c r="CE223" s="321"/>
      <c r="CF223" s="377"/>
      <c r="CG223" s="378"/>
      <c r="CH223" s="321"/>
      <c r="CI223" s="377"/>
      <c r="CJ223" s="378"/>
      <c r="CK223" s="379"/>
      <c r="CL223" s="376"/>
    </row>
    <row r="224" spans="2:90" s="299" customFormat="1" ht="71.25" x14ac:dyDescent="0.2">
      <c r="B224" s="1394"/>
      <c r="C224" s="1417"/>
      <c r="D224" s="1431"/>
      <c r="E224" s="1353"/>
      <c r="F224" s="344" t="str">
        <f>+'Plan de Accion 2018'!S173</f>
        <v># de actos administrativos proferidos / # fallecidos, incobrables, cancelados y revocados resultado del proceso de depuración</v>
      </c>
      <c r="G224" s="298"/>
      <c r="H224" s="543">
        <f>+'Plan de Accion 2018'!AB173</f>
        <v>0</v>
      </c>
      <c r="I224" s="767">
        <f>+'Plan de Accion 2018'!BM173</f>
        <v>0</v>
      </c>
      <c r="J224" s="767">
        <f t="shared" si="78"/>
        <v>0</v>
      </c>
      <c r="K224" s="767">
        <f>+'Plan de Accion 2018'!AF173</f>
        <v>0</v>
      </c>
      <c r="L224" s="875">
        <f t="shared" si="88"/>
        <v>0</v>
      </c>
      <c r="M224" s="682">
        <f t="shared" si="85"/>
        <v>0</v>
      </c>
      <c r="N224" s="644"/>
      <c r="O224" s="543">
        <f>+'Plan de Accion 2018'!AL173</f>
        <v>0.25</v>
      </c>
      <c r="P224" s="767">
        <f>+'Plan de Accion 2018'!BO173</f>
        <v>1</v>
      </c>
      <c r="Q224" s="629">
        <f t="shared" si="76"/>
        <v>1</v>
      </c>
      <c r="R224" s="751">
        <f>+'Plan de Accion 2018'!AP173</f>
        <v>0.25</v>
      </c>
      <c r="S224" s="873">
        <f t="shared" si="89"/>
        <v>0.25</v>
      </c>
      <c r="T224" s="637">
        <f t="shared" si="86"/>
        <v>0.25</v>
      </c>
      <c r="U224" s="329"/>
      <c r="V224" s="543">
        <f>+'Plan de Accion 2018'!AV173</f>
        <v>0</v>
      </c>
      <c r="W224" s="767">
        <f>+'Plan de Accion 2018'!BQ173</f>
        <v>0</v>
      </c>
      <c r="X224" s="629">
        <f t="shared" si="77"/>
        <v>0</v>
      </c>
      <c r="Y224" s="882">
        <f>+'Plan de Accion 2018'!AZ173</f>
        <v>0.25</v>
      </c>
      <c r="Z224" s="882">
        <f t="shared" si="90"/>
        <v>0.25</v>
      </c>
      <c r="AA224" s="883">
        <f t="shared" si="87"/>
        <v>0.25</v>
      </c>
      <c r="AB224" s="644"/>
      <c r="AC224" s="543">
        <f>+'Plan de Accion 2018'!BF173</f>
        <v>0.25</v>
      </c>
      <c r="AD224" s="767">
        <f>+'Plan de Accion 2018'!BS173</f>
        <v>1</v>
      </c>
      <c r="AE224" s="629">
        <f t="shared" si="74"/>
        <v>1</v>
      </c>
      <c r="AF224" s="767">
        <f>+'Plan de Accion 2018'!BJ173</f>
        <v>0.5</v>
      </c>
      <c r="AG224" s="637">
        <f t="shared" si="75"/>
        <v>0.5</v>
      </c>
      <c r="AH224" s="376"/>
      <c r="AI224" s="1017"/>
      <c r="AJ224" s="377"/>
      <c r="AK224" s="378"/>
      <c r="AL224" s="321"/>
      <c r="AM224" s="377"/>
      <c r="AN224" s="378"/>
      <c r="AO224" s="321"/>
      <c r="AP224" s="377"/>
      <c r="AQ224" s="378"/>
      <c r="AR224" s="321"/>
      <c r="AS224" s="377"/>
      <c r="AT224" s="378"/>
      <c r="AU224" s="379"/>
      <c r="AV224" s="376"/>
      <c r="AW224" s="360"/>
      <c r="AX224" s="377"/>
      <c r="AY224" s="378"/>
      <c r="AZ224" s="321"/>
      <c r="BA224" s="377"/>
      <c r="BB224" s="378"/>
      <c r="BC224" s="321"/>
      <c r="BD224" s="377"/>
      <c r="BE224" s="378"/>
      <c r="BF224" s="321"/>
      <c r="BG224" s="377"/>
      <c r="BH224" s="378"/>
      <c r="BI224" s="379"/>
      <c r="BJ224" s="376"/>
      <c r="BL224" s="377"/>
      <c r="BM224" s="378"/>
      <c r="BN224" s="321"/>
      <c r="BO224" s="377"/>
      <c r="BP224" s="378"/>
      <c r="BQ224" s="321"/>
      <c r="BR224" s="377"/>
      <c r="BS224" s="378"/>
      <c r="BT224" s="321"/>
      <c r="BU224" s="377"/>
      <c r="BV224" s="378"/>
      <c r="BW224" s="379"/>
      <c r="BX224" s="376"/>
      <c r="BZ224" s="377"/>
      <c r="CA224" s="378"/>
      <c r="CB224" s="321"/>
      <c r="CC224" s="377"/>
      <c r="CD224" s="378"/>
      <c r="CE224" s="321"/>
      <c r="CF224" s="377"/>
      <c r="CG224" s="378"/>
      <c r="CH224" s="321"/>
      <c r="CI224" s="377"/>
      <c r="CJ224" s="378"/>
      <c r="CK224" s="379"/>
      <c r="CL224" s="376"/>
    </row>
    <row r="225" spans="2:90" s="299" customFormat="1" ht="71.25" x14ac:dyDescent="0.2">
      <c r="B225" s="1394"/>
      <c r="C225" s="1417"/>
      <c r="D225" s="1431"/>
      <c r="E225" s="1353"/>
      <c r="F225" s="344" t="str">
        <f>+'Plan de Accion 2018'!S179</f>
        <v># Actos Administrativos Expedidos / # Reclamaciones Pagadas por concepto de accidentes de transito sin SOAT</v>
      </c>
      <c r="G225" s="298"/>
      <c r="H225" s="543">
        <f>+'Plan de Accion 2018'!AB179</f>
        <v>0.16825000000000001</v>
      </c>
      <c r="I225" s="767">
        <f>+'Plan de Accion 2018'!BM179</f>
        <v>1.6825000000000001</v>
      </c>
      <c r="J225" s="767">
        <f t="shared" si="78"/>
        <v>1</v>
      </c>
      <c r="K225" s="767">
        <f>+'Plan de Accion 2018'!AF179</f>
        <v>0.16825000000000001</v>
      </c>
      <c r="L225" s="875">
        <f t="shared" si="88"/>
        <v>0.16825000000000001</v>
      </c>
      <c r="M225" s="682">
        <f t="shared" si="85"/>
        <v>0.16825000000000001</v>
      </c>
      <c r="N225" s="644">
        <v>1</v>
      </c>
      <c r="O225" s="543">
        <f>+'Plan de Accion 2018'!AL179</f>
        <v>0.31524999999999997</v>
      </c>
      <c r="P225" s="767">
        <f>+'Plan de Accion 2018'!BO179</f>
        <v>1.0508333333333333</v>
      </c>
      <c r="Q225" s="629">
        <f t="shared" si="76"/>
        <v>1</v>
      </c>
      <c r="R225" s="751">
        <f>+'Plan de Accion 2018'!AP179</f>
        <v>0.48349999999999999</v>
      </c>
      <c r="S225" s="873">
        <f t="shared" si="89"/>
        <v>0.48349999999999999</v>
      </c>
      <c r="T225" s="637">
        <f t="shared" si="86"/>
        <v>0.48349999999999999</v>
      </c>
      <c r="U225" s="644">
        <v>1</v>
      </c>
      <c r="V225" s="543">
        <f>+'Plan de Accion 2018'!AV179</f>
        <v>0.30149999999999999</v>
      </c>
      <c r="W225" s="767">
        <f>+'Plan de Accion 2018'!BQ179</f>
        <v>1.0050000000000001</v>
      </c>
      <c r="X225" s="629">
        <f t="shared" si="77"/>
        <v>1</v>
      </c>
      <c r="Y225" s="882">
        <f>+'Plan de Accion 2018'!AZ179</f>
        <v>0.78499999999999992</v>
      </c>
      <c r="Z225" s="882">
        <f t="shared" si="90"/>
        <v>0.78499999999999992</v>
      </c>
      <c r="AA225" s="883">
        <f t="shared" si="87"/>
        <v>0.78499999999999992</v>
      </c>
      <c r="AB225" s="644">
        <v>1</v>
      </c>
      <c r="AC225" s="543">
        <f>+'Plan de Accion 2018'!BF179</f>
        <v>0.3785</v>
      </c>
      <c r="AD225" s="767">
        <f>+'Plan de Accion 2018'!BS179</f>
        <v>1.2616666666666667</v>
      </c>
      <c r="AE225" s="629">
        <f t="shared" si="74"/>
        <v>1</v>
      </c>
      <c r="AF225" s="767">
        <f>+'Plan de Accion 2018'!BJ179</f>
        <v>1.1635</v>
      </c>
      <c r="AG225" s="637">
        <f t="shared" si="75"/>
        <v>1</v>
      </c>
      <c r="AH225" s="376"/>
      <c r="AI225" s="1017">
        <v>1</v>
      </c>
      <c r="AJ225" s="377"/>
      <c r="AK225" s="378"/>
      <c r="AL225" s="321"/>
      <c r="AM225" s="377"/>
      <c r="AN225" s="378"/>
      <c r="AO225" s="321"/>
      <c r="AP225" s="377"/>
      <c r="AQ225" s="378"/>
      <c r="AR225" s="321"/>
      <c r="AS225" s="377"/>
      <c r="AT225" s="378"/>
      <c r="AU225" s="379"/>
      <c r="AV225" s="376"/>
      <c r="AW225" s="360"/>
      <c r="AX225" s="377"/>
      <c r="AY225" s="378"/>
      <c r="AZ225" s="321"/>
      <c r="BA225" s="377"/>
      <c r="BB225" s="378"/>
      <c r="BC225" s="321"/>
      <c r="BD225" s="377"/>
      <c r="BE225" s="378"/>
      <c r="BF225" s="321"/>
      <c r="BG225" s="377"/>
      <c r="BH225" s="378"/>
      <c r="BI225" s="379"/>
      <c r="BJ225" s="376"/>
      <c r="BL225" s="377"/>
      <c r="BM225" s="378"/>
      <c r="BN225" s="321"/>
      <c r="BO225" s="377"/>
      <c r="BP225" s="378"/>
      <c r="BQ225" s="321"/>
      <c r="BR225" s="377"/>
      <c r="BS225" s="378"/>
      <c r="BT225" s="321"/>
      <c r="BU225" s="377"/>
      <c r="BV225" s="378"/>
      <c r="BW225" s="379"/>
      <c r="BX225" s="376"/>
      <c r="BZ225" s="377"/>
      <c r="CA225" s="378"/>
      <c r="CB225" s="321"/>
      <c r="CC225" s="377"/>
      <c r="CD225" s="378"/>
      <c r="CE225" s="321"/>
      <c r="CF225" s="377"/>
      <c r="CG225" s="378"/>
      <c r="CH225" s="321"/>
      <c r="CI225" s="377"/>
      <c r="CJ225" s="378"/>
      <c r="CK225" s="379"/>
      <c r="CL225" s="376"/>
    </row>
    <row r="226" spans="2:90" s="299" customFormat="1" ht="43.5" thickBot="1" x14ac:dyDescent="0.25">
      <c r="B226" s="1394"/>
      <c r="C226" s="1417"/>
      <c r="D226" s="1432"/>
      <c r="E226" s="1353"/>
      <c r="F226" s="380" t="str">
        <f>+'Plan de Accion 2018'!S181</f>
        <v># Mandamientos de Pago / # de Actos Administrativos Ejecutoriados</v>
      </c>
      <c r="H226" s="748">
        <f>+'Plan de Accion 2018'!AB181</f>
        <v>0</v>
      </c>
      <c r="I226" s="750" t="str">
        <f>+'Plan de Accion 2018'!BM181</f>
        <v>No Prog ni Ejec</v>
      </c>
      <c r="J226" s="750" t="s">
        <v>792</v>
      </c>
      <c r="K226" s="750">
        <f>+'Plan de Accion 2018'!AF181</f>
        <v>0</v>
      </c>
      <c r="L226" s="875">
        <f t="shared" si="88"/>
        <v>0</v>
      </c>
      <c r="M226" s="752" t="s">
        <v>792</v>
      </c>
      <c r="N226" s="644"/>
      <c r="O226" s="748">
        <f>+'Plan de Accion 2018'!AL181</f>
        <v>0</v>
      </c>
      <c r="P226" s="750" t="str">
        <f>+'Plan de Accion 2018'!BO181</f>
        <v>No Prog ni Ejec</v>
      </c>
      <c r="Q226" s="631" t="s">
        <v>792</v>
      </c>
      <c r="R226" s="751">
        <f>+'Plan de Accion 2018'!AP181</f>
        <v>0</v>
      </c>
      <c r="S226" s="873">
        <f t="shared" si="89"/>
        <v>0</v>
      </c>
      <c r="T226" s="637" t="s">
        <v>792</v>
      </c>
      <c r="U226" s="329"/>
      <c r="V226" s="748">
        <f>+'Plan de Accion 2018'!AV181</f>
        <v>0</v>
      </c>
      <c r="W226" s="750">
        <f>+'Plan de Accion 2018'!BQ181</f>
        <v>0</v>
      </c>
      <c r="X226" s="629">
        <f t="shared" si="77"/>
        <v>0</v>
      </c>
      <c r="Y226" s="882">
        <f>+'Plan de Accion 2018'!AZ181</f>
        <v>0</v>
      </c>
      <c r="Z226" s="882">
        <f t="shared" si="90"/>
        <v>0</v>
      </c>
      <c r="AA226" s="883">
        <f t="shared" si="87"/>
        <v>0</v>
      </c>
      <c r="AB226" s="644"/>
      <c r="AC226" s="748">
        <f>+'Plan de Accion 2018'!BF181</f>
        <v>0</v>
      </c>
      <c r="AD226" s="750">
        <f>+'Plan de Accion 2018'!BS181</f>
        <v>0</v>
      </c>
      <c r="AE226" s="629">
        <f t="shared" si="74"/>
        <v>0</v>
      </c>
      <c r="AF226" s="750">
        <f>+'Plan de Accion 2018'!BJ181</f>
        <v>0</v>
      </c>
      <c r="AG226" s="637">
        <f t="shared" si="75"/>
        <v>0</v>
      </c>
      <c r="AH226" s="376"/>
      <c r="AI226" s="1017"/>
      <c r="AJ226" s="377"/>
      <c r="AK226" s="378"/>
      <c r="AL226" s="321"/>
      <c r="AM226" s="377"/>
      <c r="AN226" s="378"/>
      <c r="AO226" s="321"/>
      <c r="AP226" s="377"/>
      <c r="AQ226" s="378"/>
      <c r="AR226" s="321"/>
      <c r="AS226" s="377"/>
      <c r="AT226" s="378"/>
      <c r="AU226" s="379"/>
      <c r="AV226" s="376"/>
      <c r="AW226" s="360"/>
      <c r="AX226" s="377"/>
      <c r="AY226" s="378"/>
      <c r="AZ226" s="321"/>
      <c r="BA226" s="377"/>
      <c r="BB226" s="378"/>
      <c r="BC226" s="321"/>
      <c r="BD226" s="377"/>
      <c r="BE226" s="378"/>
      <c r="BF226" s="321"/>
      <c r="BG226" s="377"/>
      <c r="BH226" s="378"/>
      <c r="BI226" s="379"/>
      <c r="BJ226" s="376"/>
      <c r="BL226" s="377"/>
      <c r="BM226" s="378"/>
      <c r="BN226" s="321"/>
      <c r="BO226" s="377"/>
      <c r="BP226" s="378"/>
      <c r="BQ226" s="321"/>
      <c r="BR226" s="377"/>
      <c r="BS226" s="378"/>
      <c r="BT226" s="321"/>
      <c r="BU226" s="377"/>
      <c r="BV226" s="378"/>
      <c r="BW226" s="379"/>
      <c r="BX226" s="376"/>
      <c r="BZ226" s="377"/>
      <c r="CA226" s="378"/>
      <c r="CB226" s="321"/>
      <c r="CC226" s="377"/>
      <c r="CD226" s="378"/>
      <c r="CE226" s="321"/>
      <c r="CF226" s="377"/>
      <c r="CG226" s="378"/>
      <c r="CH226" s="321"/>
      <c r="CI226" s="377"/>
      <c r="CJ226" s="378"/>
      <c r="CK226" s="379"/>
      <c r="CL226" s="376"/>
    </row>
    <row r="227" spans="2:90" s="299" customFormat="1" ht="33" customHeight="1" thickBot="1" x14ac:dyDescent="0.25">
      <c r="B227" s="1393"/>
      <c r="C227" s="1418" t="s">
        <v>816</v>
      </c>
      <c r="D227" s="1419"/>
      <c r="E227" s="1419"/>
      <c r="F227" s="1420"/>
      <c r="H227" s="346" t="s">
        <v>792</v>
      </c>
      <c r="I227" s="332">
        <f>SUM(I216:I226)/COUNT(I216:I226)</f>
        <v>0.78661022183273144</v>
      </c>
      <c r="J227" s="332">
        <f t="shared" ref="J227:J239" si="91">IF(I227&gt;100%,100%,I227)</f>
        <v>0.78661022183273144</v>
      </c>
      <c r="K227" s="332">
        <f>SUM(K216:K226)/COUNT(K216:K226)</f>
        <v>0.15583186859834805</v>
      </c>
      <c r="L227" s="332">
        <f>SUM(L216:L226)/COUNT(L216:L226)</f>
        <v>0.15583186859834805</v>
      </c>
      <c r="M227" s="334">
        <f>SUM(M216:M226)/COUNT(M216:M226)</f>
        <v>0.17141505545818286</v>
      </c>
      <c r="N227" s="696"/>
      <c r="O227" s="346" t="s">
        <v>792</v>
      </c>
      <c r="P227" s="635">
        <f>SUM(P216:P226)/COUNT(P216:P226)</f>
        <v>0.91059168712916327</v>
      </c>
      <c r="Q227" s="635">
        <f>SUM(Q216:Q226)/COUNT(Q216:Q226)</f>
        <v>0.90550835379582995</v>
      </c>
      <c r="R227" s="639">
        <f>SUM(R216:R226)/COUNT(R216:R226)</f>
        <v>0.38930713522995936</v>
      </c>
      <c r="S227" s="670">
        <f>SUM(S216:S226)/COUNT(S216:S226)</f>
        <v>0.38930713522995936</v>
      </c>
      <c r="T227" s="645">
        <f>SUM(T216:T226)/COUNT(T216:T226)</f>
        <v>0.42823784875295534</v>
      </c>
      <c r="U227" s="381"/>
      <c r="V227" s="346" t="s">
        <v>792</v>
      </c>
      <c r="W227" s="332">
        <f>SUM(W216:W226)/COUNT(W216:W226)</f>
        <v>0.78481538316296806</v>
      </c>
      <c r="X227" s="332">
        <f>SUM(X216:X226)/COUNT(X216:X226)</f>
        <v>0.77522447407205897</v>
      </c>
      <c r="Y227" s="635">
        <f>SUM(Y216:Y226)/COUNT(Y216:Y226)</f>
        <v>0.57224244958517945</v>
      </c>
      <c r="Z227" s="332">
        <f>SUM(Z216:Z226)/COUNT(Z216:Z226)</f>
        <v>0.57224244958517945</v>
      </c>
      <c r="AA227" s="334">
        <f>SUM(AA216:AA226)/COUNT(AA216:AA226)</f>
        <v>0.57224244958517945</v>
      </c>
      <c r="AB227" s="696"/>
      <c r="AC227" s="346" t="s">
        <v>792</v>
      </c>
      <c r="AD227" s="332">
        <f>SUM(AD216:AD226)/COUNT(AD216:AD226)</f>
        <v>1.4540581948560594</v>
      </c>
      <c r="AE227" s="332">
        <f>SUM(AE216:AE226)/COUNT(AE216:AE226)</f>
        <v>0.85105192723779233</v>
      </c>
      <c r="AF227" s="635">
        <f>SUM(AF216:AF226)/COUNT(AF216:AF226)</f>
        <v>0.90844506962822313</v>
      </c>
      <c r="AG227" s="334">
        <f>SUM(AG216:AG226)/COUNT(AG216:AG226)</f>
        <v>0.76406065756682395</v>
      </c>
      <c r="AH227" s="376"/>
      <c r="AI227" s="1017"/>
      <c r="AJ227" s="377"/>
      <c r="AK227" s="378"/>
      <c r="AL227" s="321"/>
      <c r="AM227" s="377"/>
      <c r="AN227" s="378"/>
      <c r="AO227" s="321"/>
      <c r="AP227" s="377"/>
      <c r="AQ227" s="378"/>
      <c r="AR227" s="321"/>
      <c r="AS227" s="377"/>
      <c r="AT227" s="378"/>
      <c r="AU227" s="379"/>
      <c r="AV227" s="376"/>
      <c r="AW227" s="360"/>
      <c r="AX227" s="377"/>
      <c r="AY227" s="378"/>
      <c r="AZ227" s="321"/>
      <c r="BA227" s="377"/>
      <c r="BB227" s="378"/>
      <c r="BC227" s="321"/>
      <c r="BD227" s="377"/>
      <c r="BE227" s="378"/>
      <c r="BF227" s="321"/>
      <c r="BG227" s="377"/>
      <c r="BH227" s="378"/>
      <c r="BI227" s="379"/>
      <c r="BJ227" s="376"/>
      <c r="BL227" s="377"/>
      <c r="BM227" s="378"/>
      <c r="BN227" s="321"/>
      <c r="BO227" s="377"/>
      <c r="BP227" s="378"/>
      <c r="BQ227" s="321"/>
      <c r="BR227" s="377"/>
      <c r="BS227" s="378"/>
      <c r="BT227" s="321"/>
      <c r="BU227" s="377"/>
      <c r="BV227" s="378"/>
      <c r="BW227" s="379"/>
      <c r="BX227" s="376"/>
      <c r="BZ227" s="377"/>
      <c r="CA227" s="378"/>
      <c r="CB227" s="321"/>
      <c r="CC227" s="377"/>
      <c r="CD227" s="378"/>
      <c r="CE227" s="321"/>
      <c r="CF227" s="377"/>
      <c r="CG227" s="378"/>
      <c r="CH227" s="321"/>
      <c r="CI227" s="377"/>
      <c r="CJ227" s="378"/>
      <c r="CK227" s="379"/>
      <c r="CL227" s="376"/>
    </row>
    <row r="228" spans="2:90" s="299" customFormat="1" ht="19.5" x14ac:dyDescent="0.25">
      <c r="B228" s="1394"/>
      <c r="C228" s="1417" t="s">
        <v>153</v>
      </c>
      <c r="D228" s="1353" t="str">
        <f>+'Plan de Accion 2018'!G8</f>
        <v>Reporte Trimestral del Avance del PA</v>
      </c>
      <c r="E228" s="759" t="str">
        <f>+'Plan de Accion 2018'!B8</f>
        <v>Dirección General</v>
      </c>
      <c r="F228" s="382" t="str">
        <f>+'Plan de Accion 2018'!S8</f>
        <v># Informes reportados</v>
      </c>
      <c r="G228" s="328"/>
      <c r="H228" s="547">
        <f>+'Plan de Accion 2018'!AB8</f>
        <v>1</v>
      </c>
      <c r="I228" s="751">
        <f>+'Plan de Accion 2018'!BM8</f>
        <v>1</v>
      </c>
      <c r="J228" s="751">
        <f t="shared" si="91"/>
        <v>1</v>
      </c>
      <c r="K228" s="751">
        <f>+'Plan de Accion 2018'!AF8</f>
        <v>0.25</v>
      </c>
      <c r="L228" s="751">
        <f>+K228</f>
        <v>0.25</v>
      </c>
      <c r="M228" s="753">
        <f t="shared" ref="M228:M236" si="92">+L228</f>
        <v>0.25</v>
      </c>
      <c r="N228" s="644"/>
      <c r="O228" s="547">
        <f>+'Plan de Accion 2018'!AL8</f>
        <v>1</v>
      </c>
      <c r="P228" s="751">
        <f>+'Plan de Accion 2018'!BO8</f>
        <v>1</v>
      </c>
      <c r="Q228" s="629">
        <f t="shared" si="76"/>
        <v>1</v>
      </c>
      <c r="R228" s="751">
        <f>+'Plan de Accion 2018'!AP8</f>
        <v>0.5</v>
      </c>
      <c r="S228" s="751">
        <f>IF(R228&gt;100%,100%,R228)</f>
        <v>0.5</v>
      </c>
      <c r="T228" s="637">
        <f t="shared" ref="T228:T236" si="93">+S228</f>
        <v>0.5</v>
      </c>
      <c r="U228" s="329"/>
      <c r="V228" s="547">
        <f>+'Plan de Accion 2018'!AV8</f>
        <v>1</v>
      </c>
      <c r="W228" s="751">
        <f>+'Plan de Accion 2018'!BQ8</f>
        <v>1</v>
      </c>
      <c r="X228" s="629">
        <f t="shared" si="77"/>
        <v>1</v>
      </c>
      <c r="Y228" s="882">
        <f>+'Plan de Accion 2018'!AZ8</f>
        <v>0.75</v>
      </c>
      <c r="Z228" s="882">
        <f>IF(Y228&gt;100%,100%,Y228)</f>
        <v>0.75</v>
      </c>
      <c r="AA228" s="883">
        <f t="shared" ref="AA228:AA236" si="94">+Z228</f>
        <v>0.75</v>
      </c>
      <c r="AB228" s="644"/>
      <c r="AC228" s="547">
        <f>+'Plan de Accion 2018'!BF8</f>
        <v>1</v>
      </c>
      <c r="AD228" s="751">
        <f>+'Plan de Accion 2018'!BS8</f>
        <v>1</v>
      </c>
      <c r="AE228" s="629">
        <f t="shared" si="74"/>
        <v>1</v>
      </c>
      <c r="AF228" s="751">
        <f>+'Plan de Accion 2018'!BJ8</f>
        <v>1</v>
      </c>
      <c r="AG228" s="637">
        <f t="shared" si="75"/>
        <v>1</v>
      </c>
      <c r="AH228" s="376"/>
      <c r="AI228" s="1017"/>
      <c r="AJ228" s="377"/>
      <c r="AK228" s="378"/>
      <c r="AL228" s="321"/>
      <c r="AM228" s="377"/>
      <c r="AN228" s="378"/>
      <c r="AO228" s="321"/>
      <c r="AP228" s="377"/>
      <c r="AQ228" s="378"/>
      <c r="AR228" s="321"/>
      <c r="AS228" s="377"/>
      <c r="AT228" s="378"/>
      <c r="AU228" s="379"/>
      <c r="AV228" s="376"/>
      <c r="AW228" s="360"/>
      <c r="AX228" s="377"/>
      <c r="AY228" s="378"/>
      <c r="AZ228" s="321"/>
      <c r="BA228" s="377"/>
      <c r="BB228" s="378"/>
      <c r="BC228" s="321"/>
      <c r="BD228" s="377"/>
      <c r="BE228" s="378"/>
      <c r="BF228" s="321"/>
      <c r="BG228" s="377"/>
      <c r="BH228" s="378"/>
      <c r="BI228" s="379"/>
      <c r="BJ228" s="376"/>
      <c r="BL228" s="377"/>
      <c r="BM228" s="378"/>
      <c r="BN228" s="321"/>
      <c r="BO228" s="377"/>
      <c r="BP228" s="378"/>
      <c r="BQ228" s="321"/>
      <c r="BR228" s="377"/>
      <c r="BS228" s="378"/>
      <c r="BT228" s="321"/>
      <c r="BU228" s="377"/>
      <c r="BV228" s="378"/>
      <c r="BW228" s="379"/>
      <c r="BX228" s="376"/>
      <c r="BZ228" s="377"/>
      <c r="CA228" s="378"/>
      <c r="CB228" s="321"/>
      <c r="CC228" s="377"/>
      <c r="CD228" s="378"/>
      <c r="CE228" s="321"/>
      <c r="CF228" s="377"/>
      <c r="CG228" s="378"/>
      <c r="CH228" s="321"/>
      <c r="CI228" s="377"/>
      <c r="CJ228" s="378"/>
      <c r="CK228" s="379"/>
      <c r="CL228" s="376"/>
    </row>
    <row r="229" spans="2:90" s="299" customFormat="1" ht="42.75" x14ac:dyDescent="0.25">
      <c r="B229" s="1394"/>
      <c r="C229" s="1417"/>
      <c r="D229" s="1353"/>
      <c r="E229" s="754" t="str">
        <f>+'Plan de Accion 2018'!B12</f>
        <v>Dirección de Gestión de Recursos Financieros de Salud</v>
      </c>
      <c r="F229" s="544" t="str">
        <f>+'Plan de Accion 2018'!S12</f>
        <v># Informes reportados</v>
      </c>
      <c r="G229" s="328"/>
      <c r="H229" s="545">
        <f>+'Plan de Accion 2018'!AB12</f>
        <v>1</v>
      </c>
      <c r="I229" s="767">
        <f>+'Plan de Accion 2018'!BM12</f>
        <v>1</v>
      </c>
      <c r="J229" s="767">
        <f t="shared" si="91"/>
        <v>1</v>
      </c>
      <c r="K229" s="767">
        <f>+'Plan de Accion 2018'!AF12</f>
        <v>0.25</v>
      </c>
      <c r="L229" s="767">
        <f>+K229</f>
        <v>0.25</v>
      </c>
      <c r="M229" s="682">
        <f t="shared" si="92"/>
        <v>0.25</v>
      </c>
      <c r="N229" s="644"/>
      <c r="O229" s="545">
        <f>+'Plan de Accion 2018'!AL12</f>
        <v>1</v>
      </c>
      <c r="P229" s="767">
        <f>+'Plan de Accion 2018'!BO12</f>
        <v>1</v>
      </c>
      <c r="Q229" s="629">
        <f t="shared" si="76"/>
        <v>1</v>
      </c>
      <c r="R229" s="751">
        <f>+'Plan de Accion 2018'!AP12</f>
        <v>0.5</v>
      </c>
      <c r="S229" s="751">
        <f>IF(R229&gt;100%,100%,R229)</f>
        <v>0.5</v>
      </c>
      <c r="T229" s="637">
        <f t="shared" si="93"/>
        <v>0.5</v>
      </c>
      <c r="U229" s="329"/>
      <c r="V229" s="545">
        <f>+'Plan de Accion 2018'!AV12</f>
        <v>1</v>
      </c>
      <c r="W229" s="767">
        <f>+'Plan de Accion 2018'!BQ12</f>
        <v>1</v>
      </c>
      <c r="X229" s="629">
        <f t="shared" si="77"/>
        <v>1</v>
      </c>
      <c r="Y229" s="882">
        <f>+'Plan de Accion 2018'!AZ12</f>
        <v>0.75</v>
      </c>
      <c r="Z229" s="882">
        <f>IF(Y229&gt;100%,100%,Y229)</f>
        <v>0.75</v>
      </c>
      <c r="AA229" s="883">
        <f t="shared" si="94"/>
        <v>0.75</v>
      </c>
      <c r="AB229" s="644"/>
      <c r="AC229" s="545">
        <f>+'Plan de Accion 2018'!BF12</f>
        <v>1</v>
      </c>
      <c r="AD229" s="767">
        <f>+'Plan de Accion 2018'!BS12</f>
        <v>1</v>
      </c>
      <c r="AE229" s="629">
        <f t="shared" si="74"/>
        <v>1</v>
      </c>
      <c r="AF229" s="767">
        <f>+'Plan de Accion 2018'!BJ12</f>
        <v>1</v>
      </c>
      <c r="AG229" s="637">
        <f t="shared" si="75"/>
        <v>1</v>
      </c>
      <c r="AH229" s="376"/>
      <c r="AI229" s="1017"/>
      <c r="AJ229" s="377"/>
      <c r="AK229" s="378"/>
      <c r="AL229" s="321"/>
      <c r="AM229" s="377"/>
      <c r="AN229" s="378"/>
      <c r="AO229" s="321"/>
      <c r="AP229" s="377"/>
      <c r="AQ229" s="378"/>
      <c r="AR229" s="321"/>
      <c r="AS229" s="377"/>
      <c r="AT229" s="378"/>
      <c r="AU229" s="379"/>
      <c r="AV229" s="376"/>
      <c r="AW229" s="360"/>
      <c r="AX229" s="377"/>
      <c r="AY229" s="378"/>
      <c r="AZ229" s="321"/>
      <c r="BA229" s="377"/>
      <c r="BB229" s="378"/>
      <c r="BC229" s="321"/>
      <c r="BD229" s="377"/>
      <c r="BE229" s="378"/>
      <c r="BF229" s="321"/>
      <c r="BG229" s="377"/>
      <c r="BH229" s="378"/>
      <c r="BI229" s="379"/>
      <c r="BJ229" s="376"/>
      <c r="BL229" s="377"/>
      <c r="BM229" s="378"/>
      <c r="BN229" s="321"/>
      <c r="BO229" s="377"/>
      <c r="BP229" s="378"/>
      <c r="BQ229" s="321"/>
      <c r="BR229" s="377"/>
      <c r="BS229" s="378"/>
      <c r="BT229" s="321"/>
      <c r="BU229" s="377"/>
      <c r="BV229" s="378"/>
      <c r="BW229" s="379"/>
      <c r="BX229" s="376"/>
      <c r="BZ229" s="377"/>
      <c r="CA229" s="378"/>
      <c r="CB229" s="321"/>
      <c r="CC229" s="377"/>
      <c r="CD229" s="378"/>
      <c r="CE229" s="321"/>
      <c r="CF229" s="377"/>
      <c r="CG229" s="378"/>
      <c r="CH229" s="321"/>
      <c r="CI229" s="377"/>
      <c r="CJ229" s="378"/>
      <c r="CK229" s="379"/>
      <c r="CL229" s="376"/>
    </row>
    <row r="230" spans="2:90" s="299" customFormat="1" ht="28.5" x14ac:dyDescent="0.25">
      <c r="B230" s="1394"/>
      <c r="C230" s="1417"/>
      <c r="D230" s="1353"/>
      <c r="E230" s="754" t="str">
        <f>+'Plan de Accion 2018'!B44</f>
        <v>Dirección de Liquidaciones y Garantías</v>
      </c>
      <c r="F230" s="544" t="str">
        <f>+'Plan de Accion 2018'!S44</f>
        <v># Informes reportados</v>
      </c>
      <c r="G230" s="328"/>
      <c r="H230" s="545">
        <f>+'Plan de Accion 2018'!AB44</f>
        <v>1</v>
      </c>
      <c r="I230" s="767">
        <f>+'Plan de Accion 2018'!BM44</f>
        <v>1</v>
      </c>
      <c r="J230" s="767">
        <f t="shared" si="91"/>
        <v>1</v>
      </c>
      <c r="K230" s="767">
        <f>+'Plan de Accion 2018'!AF44</f>
        <v>0.25</v>
      </c>
      <c r="L230" s="875">
        <f t="shared" ref="L230:L236" si="95">+K230</f>
        <v>0.25</v>
      </c>
      <c r="M230" s="682">
        <f t="shared" si="92"/>
        <v>0.25</v>
      </c>
      <c r="N230" s="644"/>
      <c r="O230" s="545">
        <f>+'Plan de Accion 2018'!AL44</f>
        <v>1</v>
      </c>
      <c r="P230" s="767">
        <f>+'Plan de Accion 2018'!BO44</f>
        <v>1</v>
      </c>
      <c r="Q230" s="629">
        <f t="shared" si="76"/>
        <v>1</v>
      </c>
      <c r="R230" s="751">
        <f>+'Plan de Accion 2018'!AP44</f>
        <v>0.5</v>
      </c>
      <c r="S230" s="873">
        <f t="shared" ref="S230:S236" si="96">IF(R230&gt;100%,100%,R230)</f>
        <v>0.5</v>
      </c>
      <c r="T230" s="637">
        <f t="shared" si="93"/>
        <v>0.5</v>
      </c>
      <c r="U230" s="329"/>
      <c r="V230" s="545">
        <f>+'Plan de Accion 2018'!AV44</f>
        <v>1</v>
      </c>
      <c r="W230" s="767">
        <f>+'Plan de Accion 2018'!BQ44</f>
        <v>1</v>
      </c>
      <c r="X230" s="629">
        <f t="shared" si="77"/>
        <v>1</v>
      </c>
      <c r="Y230" s="882">
        <f>+'Plan de Accion 2018'!AZ44</f>
        <v>0.75</v>
      </c>
      <c r="Z230" s="882">
        <f t="shared" ref="Z230:Z236" si="97">IF(Y230&gt;100%,100%,Y230)</f>
        <v>0.75</v>
      </c>
      <c r="AA230" s="883">
        <f t="shared" si="94"/>
        <v>0.75</v>
      </c>
      <c r="AB230" s="644"/>
      <c r="AC230" s="545">
        <f>+'Plan de Accion 2018'!BF44</f>
        <v>1</v>
      </c>
      <c r="AD230" s="767">
        <f>+'Plan de Accion 2018'!BS44</f>
        <v>1</v>
      </c>
      <c r="AE230" s="629">
        <f t="shared" si="74"/>
        <v>1</v>
      </c>
      <c r="AF230" s="767">
        <f>+'Plan de Accion 2018'!BJ44</f>
        <v>1</v>
      </c>
      <c r="AG230" s="637">
        <f t="shared" si="75"/>
        <v>1</v>
      </c>
      <c r="AH230" s="376"/>
      <c r="AI230" s="1017"/>
      <c r="AJ230" s="377"/>
      <c r="AK230" s="378"/>
      <c r="AL230" s="321"/>
      <c r="AM230" s="377"/>
      <c r="AN230" s="378"/>
      <c r="AO230" s="321"/>
      <c r="AP230" s="377"/>
      <c r="AQ230" s="378"/>
      <c r="AR230" s="321"/>
      <c r="AS230" s="377"/>
      <c r="AT230" s="378"/>
      <c r="AU230" s="379"/>
      <c r="AV230" s="376"/>
      <c r="AW230" s="360"/>
      <c r="AX230" s="377"/>
      <c r="AY230" s="378"/>
      <c r="AZ230" s="321"/>
      <c r="BA230" s="377"/>
      <c r="BB230" s="378"/>
      <c r="BC230" s="321"/>
      <c r="BD230" s="377"/>
      <c r="BE230" s="378"/>
      <c r="BF230" s="321"/>
      <c r="BG230" s="377"/>
      <c r="BH230" s="378"/>
      <c r="BI230" s="379"/>
      <c r="BJ230" s="376"/>
      <c r="BL230" s="377"/>
      <c r="BM230" s="378"/>
      <c r="BN230" s="321"/>
      <c r="BO230" s="377"/>
      <c r="BP230" s="378"/>
      <c r="BQ230" s="321"/>
      <c r="BR230" s="377"/>
      <c r="BS230" s="378"/>
      <c r="BT230" s="321"/>
      <c r="BU230" s="377"/>
      <c r="BV230" s="378"/>
      <c r="BW230" s="379"/>
      <c r="BX230" s="376"/>
      <c r="BZ230" s="377"/>
      <c r="CA230" s="378"/>
      <c r="CB230" s="321"/>
      <c r="CC230" s="377"/>
      <c r="CD230" s="378"/>
      <c r="CE230" s="321"/>
      <c r="CF230" s="377"/>
      <c r="CG230" s="378"/>
      <c r="CH230" s="321"/>
      <c r="CI230" s="377"/>
      <c r="CJ230" s="378"/>
      <c r="CK230" s="379"/>
      <c r="CL230" s="376"/>
    </row>
    <row r="231" spans="2:90" s="299" customFormat="1" ht="28.5" x14ac:dyDescent="0.25">
      <c r="B231" s="1394"/>
      <c r="C231" s="1417"/>
      <c r="D231" s="1353"/>
      <c r="E231" s="754" t="str">
        <f>+'Plan de Accion 2018'!B63</f>
        <v xml:space="preserve">Dirección de Otras Prestaciones  </v>
      </c>
      <c r="F231" s="544" t="str">
        <f>+'Plan de Accion 2018'!S63</f>
        <v># Informes reportados</v>
      </c>
      <c r="G231" s="328"/>
      <c r="H231" s="545">
        <f>+'Plan de Accion 2018'!AB63</f>
        <v>1</v>
      </c>
      <c r="I231" s="767">
        <f>+'Plan de Accion 2018'!BM63</f>
        <v>1</v>
      </c>
      <c r="J231" s="767">
        <f t="shared" si="91"/>
        <v>1</v>
      </c>
      <c r="K231" s="767">
        <f>+'Plan de Accion 2018'!AF63</f>
        <v>0.25</v>
      </c>
      <c r="L231" s="875">
        <f t="shared" si="95"/>
        <v>0.25</v>
      </c>
      <c r="M231" s="682">
        <f t="shared" si="92"/>
        <v>0.25</v>
      </c>
      <c r="N231" s="644"/>
      <c r="O231" s="545">
        <f>+'Plan de Accion 2018'!AL63</f>
        <v>1</v>
      </c>
      <c r="P231" s="767">
        <f>+'Plan de Accion 2018'!BO63</f>
        <v>1</v>
      </c>
      <c r="Q231" s="629">
        <f t="shared" si="76"/>
        <v>1</v>
      </c>
      <c r="R231" s="751">
        <f>+'Plan de Accion 2018'!AP63</f>
        <v>0.5</v>
      </c>
      <c r="S231" s="873">
        <f t="shared" si="96"/>
        <v>0.5</v>
      </c>
      <c r="T231" s="637">
        <f t="shared" si="93"/>
        <v>0.5</v>
      </c>
      <c r="U231" s="329"/>
      <c r="V231" s="545">
        <f>+'Plan de Accion 2018'!AV63</f>
        <v>1</v>
      </c>
      <c r="W231" s="767">
        <f>+'Plan de Accion 2018'!BQ63</f>
        <v>1</v>
      </c>
      <c r="X231" s="629">
        <f t="shared" si="77"/>
        <v>1</v>
      </c>
      <c r="Y231" s="882">
        <f>+'Plan de Accion 2018'!AZ63</f>
        <v>0.75</v>
      </c>
      <c r="Z231" s="882">
        <f t="shared" si="97"/>
        <v>0.75</v>
      </c>
      <c r="AA231" s="883">
        <f t="shared" si="94"/>
        <v>0.75</v>
      </c>
      <c r="AB231" s="644"/>
      <c r="AC231" s="545">
        <f>+'Plan de Accion 2018'!BF63</f>
        <v>1</v>
      </c>
      <c r="AD231" s="767">
        <f>+'Plan de Accion 2018'!BS63</f>
        <v>1</v>
      </c>
      <c r="AE231" s="629">
        <f t="shared" si="74"/>
        <v>1</v>
      </c>
      <c r="AF231" s="767">
        <f>+'Plan de Accion 2018'!BJ63</f>
        <v>1</v>
      </c>
      <c r="AG231" s="637">
        <f t="shared" si="75"/>
        <v>1</v>
      </c>
      <c r="AH231" s="376"/>
      <c r="AI231" s="1017"/>
      <c r="AJ231" s="377"/>
      <c r="AK231" s="378"/>
      <c r="AL231" s="321"/>
      <c r="AM231" s="377"/>
      <c r="AN231" s="378"/>
      <c r="AO231" s="321"/>
      <c r="AP231" s="377"/>
      <c r="AQ231" s="378"/>
      <c r="AR231" s="321"/>
      <c r="AS231" s="377"/>
      <c r="AT231" s="378"/>
      <c r="AU231" s="379"/>
      <c r="AV231" s="376"/>
      <c r="AW231" s="360"/>
      <c r="AX231" s="377"/>
      <c r="AY231" s="378"/>
      <c r="AZ231" s="321"/>
      <c r="BA231" s="377"/>
      <c r="BB231" s="378"/>
      <c r="BC231" s="321"/>
      <c r="BD231" s="377"/>
      <c r="BE231" s="378"/>
      <c r="BF231" s="321"/>
      <c r="BG231" s="377"/>
      <c r="BH231" s="378"/>
      <c r="BI231" s="379"/>
      <c r="BJ231" s="376"/>
      <c r="BL231" s="377"/>
      <c r="BM231" s="378"/>
      <c r="BN231" s="321"/>
      <c r="BO231" s="377"/>
      <c r="BP231" s="378"/>
      <c r="BQ231" s="321"/>
      <c r="BR231" s="377"/>
      <c r="BS231" s="378"/>
      <c r="BT231" s="321"/>
      <c r="BU231" s="377"/>
      <c r="BV231" s="378"/>
      <c r="BW231" s="379"/>
      <c r="BX231" s="376"/>
      <c r="BZ231" s="377"/>
      <c r="CA231" s="378"/>
      <c r="CB231" s="321"/>
      <c r="CC231" s="377"/>
      <c r="CD231" s="378"/>
      <c r="CE231" s="321"/>
      <c r="CF231" s="377"/>
      <c r="CG231" s="378"/>
      <c r="CH231" s="321"/>
      <c r="CI231" s="377"/>
      <c r="CJ231" s="378"/>
      <c r="CK231" s="379"/>
      <c r="CL231" s="376"/>
    </row>
    <row r="232" spans="2:90" s="299" customFormat="1" ht="57" x14ac:dyDescent="0.25">
      <c r="B232" s="1394"/>
      <c r="C232" s="1417"/>
      <c r="D232" s="1353"/>
      <c r="E232" s="754" t="str">
        <f>+'Plan de Accion 2018'!B75</f>
        <v>Dirección de Gestión de Tecnología de la Información y la Comunicación</v>
      </c>
      <c r="F232" s="544" t="str">
        <f>+'Plan de Accion 2018'!S75</f>
        <v># Informes reportados</v>
      </c>
      <c r="G232" s="328"/>
      <c r="H232" s="545">
        <f>+'Plan de Accion 2018'!AB75</f>
        <v>1</v>
      </c>
      <c r="I232" s="767">
        <f>+'Plan de Accion 2018'!BM75</f>
        <v>1</v>
      </c>
      <c r="J232" s="767">
        <f t="shared" si="91"/>
        <v>1</v>
      </c>
      <c r="K232" s="767">
        <f>+'Plan de Accion 2018'!AF75</f>
        <v>0.25</v>
      </c>
      <c r="L232" s="875">
        <f t="shared" si="95"/>
        <v>0.25</v>
      </c>
      <c r="M232" s="682">
        <f t="shared" si="92"/>
        <v>0.25</v>
      </c>
      <c r="N232" s="644"/>
      <c r="O232" s="545">
        <f>+'Plan de Accion 2018'!AL75</f>
        <v>1</v>
      </c>
      <c r="P232" s="767">
        <f>+'Plan de Accion 2018'!BO75</f>
        <v>1</v>
      </c>
      <c r="Q232" s="629">
        <f t="shared" si="76"/>
        <v>1</v>
      </c>
      <c r="R232" s="751">
        <f>+'Plan de Accion 2018'!AP75</f>
        <v>0.5</v>
      </c>
      <c r="S232" s="873">
        <f t="shared" si="96"/>
        <v>0.5</v>
      </c>
      <c r="T232" s="637">
        <f t="shared" si="93"/>
        <v>0.5</v>
      </c>
      <c r="U232" s="329"/>
      <c r="V232" s="545">
        <f>+'Plan de Accion 2018'!AV75</f>
        <v>1</v>
      </c>
      <c r="W232" s="767">
        <f>+'Plan de Accion 2018'!BQ75</f>
        <v>1</v>
      </c>
      <c r="X232" s="629">
        <f t="shared" si="77"/>
        <v>1</v>
      </c>
      <c r="Y232" s="882">
        <f>+'Plan de Accion 2018'!AZ75</f>
        <v>0.75</v>
      </c>
      <c r="Z232" s="882">
        <f t="shared" si="97"/>
        <v>0.75</v>
      </c>
      <c r="AA232" s="883">
        <f t="shared" si="94"/>
        <v>0.75</v>
      </c>
      <c r="AB232" s="644"/>
      <c r="AC232" s="545">
        <f>+'Plan de Accion 2018'!BF75</f>
        <v>1</v>
      </c>
      <c r="AD232" s="767">
        <f>+'Plan de Accion 2018'!BS75</f>
        <v>1</v>
      </c>
      <c r="AE232" s="629">
        <f t="shared" si="74"/>
        <v>1</v>
      </c>
      <c r="AF232" s="767">
        <f>+'Plan de Accion 2018'!BJ75</f>
        <v>1</v>
      </c>
      <c r="AG232" s="637">
        <f t="shared" si="75"/>
        <v>1</v>
      </c>
      <c r="AH232" s="376"/>
      <c r="AI232" s="1017"/>
      <c r="AJ232" s="377"/>
      <c r="AK232" s="378"/>
      <c r="AL232" s="321"/>
      <c r="AM232" s="377"/>
      <c r="AN232" s="378"/>
      <c r="AO232" s="321"/>
      <c r="AP232" s="377"/>
      <c r="AQ232" s="378"/>
      <c r="AR232" s="321"/>
      <c r="AS232" s="377"/>
      <c r="AT232" s="378"/>
      <c r="AU232" s="379"/>
      <c r="AV232" s="376"/>
      <c r="AW232" s="360"/>
      <c r="AX232" s="377"/>
      <c r="AY232" s="378"/>
      <c r="AZ232" s="321"/>
      <c r="BA232" s="377"/>
      <c r="BB232" s="378"/>
      <c r="BC232" s="321"/>
      <c r="BD232" s="377"/>
      <c r="BE232" s="378"/>
      <c r="BF232" s="321"/>
      <c r="BG232" s="377"/>
      <c r="BH232" s="378"/>
      <c r="BI232" s="379"/>
      <c r="BJ232" s="376"/>
      <c r="BL232" s="377"/>
      <c r="BM232" s="378"/>
      <c r="BN232" s="321"/>
      <c r="BO232" s="377"/>
      <c r="BP232" s="378"/>
      <c r="BQ232" s="321"/>
      <c r="BR232" s="377"/>
      <c r="BS232" s="378"/>
      <c r="BT232" s="321"/>
      <c r="BU232" s="377"/>
      <c r="BV232" s="378"/>
      <c r="BW232" s="379"/>
      <c r="BX232" s="376"/>
      <c r="BZ232" s="377"/>
      <c r="CA232" s="378"/>
      <c r="CB232" s="321"/>
      <c r="CC232" s="377"/>
      <c r="CD232" s="378"/>
      <c r="CE232" s="321"/>
      <c r="CF232" s="377"/>
      <c r="CG232" s="378"/>
      <c r="CH232" s="321"/>
      <c r="CI232" s="377"/>
      <c r="CJ232" s="378"/>
      <c r="CK232" s="379"/>
      <c r="CL232" s="376"/>
    </row>
    <row r="233" spans="2:90" s="299" customFormat="1" ht="28.5" x14ac:dyDescent="0.25">
      <c r="B233" s="1394"/>
      <c r="C233" s="1417"/>
      <c r="D233" s="1353"/>
      <c r="E233" s="754" t="str">
        <f>+'Plan de Accion 2018'!B99</f>
        <v>Dirección Administrativa y Financiera</v>
      </c>
      <c r="F233" s="544" t="str">
        <f>+'Plan de Accion 2018'!S99</f>
        <v># Informes reportados</v>
      </c>
      <c r="G233" s="328"/>
      <c r="H233" s="545">
        <f>+'Plan de Accion 2018'!AB99</f>
        <v>1</v>
      </c>
      <c r="I233" s="767">
        <f>+'Plan de Accion 2018'!BM99</f>
        <v>1</v>
      </c>
      <c r="J233" s="767">
        <f t="shared" si="91"/>
        <v>1</v>
      </c>
      <c r="K233" s="767">
        <f>+'Plan de Accion 2018'!AF99</f>
        <v>0.25</v>
      </c>
      <c r="L233" s="875">
        <f t="shared" si="95"/>
        <v>0.25</v>
      </c>
      <c r="M233" s="682">
        <f t="shared" si="92"/>
        <v>0.25</v>
      </c>
      <c r="N233" s="644"/>
      <c r="O233" s="545">
        <f>+'Plan de Accion 2018'!AL99</f>
        <v>1</v>
      </c>
      <c r="P233" s="767">
        <f>+'Plan de Accion 2018'!BO99</f>
        <v>1</v>
      </c>
      <c r="Q233" s="629">
        <f t="shared" si="76"/>
        <v>1</v>
      </c>
      <c r="R233" s="751">
        <f>+'Plan de Accion 2018'!AP99</f>
        <v>0.5</v>
      </c>
      <c r="S233" s="873">
        <f t="shared" si="96"/>
        <v>0.5</v>
      </c>
      <c r="T233" s="637">
        <f t="shared" si="93"/>
        <v>0.5</v>
      </c>
      <c r="U233" s="329"/>
      <c r="V233" s="545">
        <f>+'Plan de Accion 2018'!AV99</f>
        <v>1</v>
      </c>
      <c r="W233" s="767">
        <f>+'Plan de Accion 2018'!BQ99</f>
        <v>1</v>
      </c>
      <c r="X233" s="629">
        <f t="shared" si="77"/>
        <v>1</v>
      </c>
      <c r="Y233" s="882">
        <f>+'Plan de Accion 2018'!AZ99</f>
        <v>0.75</v>
      </c>
      <c r="Z233" s="882">
        <f t="shared" si="97"/>
        <v>0.75</v>
      </c>
      <c r="AA233" s="883">
        <f t="shared" si="94"/>
        <v>0.75</v>
      </c>
      <c r="AB233" s="644"/>
      <c r="AC233" s="545">
        <f>+'Plan de Accion 2018'!BF99</f>
        <v>1</v>
      </c>
      <c r="AD233" s="767">
        <f>+'Plan de Accion 2018'!BS99</f>
        <v>1</v>
      </c>
      <c r="AE233" s="629">
        <f t="shared" si="74"/>
        <v>1</v>
      </c>
      <c r="AF233" s="767">
        <f>+'Plan de Accion 2018'!BJ99</f>
        <v>1</v>
      </c>
      <c r="AG233" s="637">
        <f t="shared" si="75"/>
        <v>1</v>
      </c>
      <c r="AH233" s="376"/>
      <c r="AI233" s="1017"/>
      <c r="AJ233" s="377"/>
      <c r="AK233" s="378"/>
      <c r="AL233" s="321"/>
      <c r="AM233" s="377"/>
      <c r="AN233" s="378"/>
      <c r="AO233" s="321"/>
      <c r="AP233" s="377"/>
      <c r="AQ233" s="378"/>
      <c r="AR233" s="321"/>
      <c r="AS233" s="377"/>
      <c r="AT233" s="378"/>
      <c r="AU233" s="379"/>
      <c r="AV233" s="376"/>
      <c r="AW233" s="360"/>
      <c r="AX233" s="377"/>
      <c r="AY233" s="378"/>
      <c r="AZ233" s="321"/>
      <c r="BA233" s="377"/>
      <c r="BB233" s="378"/>
      <c r="BC233" s="321"/>
      <c r="BD233" s="377"/>
      <c r="BE233" s="378"/>
      <c r="BF233" s="321"/>
      <c r="BG233" s="377"/>
      <c r="BH233" s="378"/>
      <c r="BI233" s="379"/>
      <c r="BJ233" s="376"/>
      <c r="BL233" s="377"/>
      <c r="BM233" s="378"/>
      <c r="BN233" s="321"/>
      <c r="BO233" s="377"/>
      <c r="BP233" s="378"/>
      <c r="BQ233" s="321"/>
      <c r="BR233" s="377"/>
      <c r="BS233" s="378"/>
      <c r="BT233" s="321"/>
      <c r="BU233" s="377"/>
      <c r="BV233" s="378"/>
      <c r="BW233" s="379"/>
      <c r="BX233" s="376"/>
      <c r="BZ233" s="377"/>
      <c r="CA233" s="378"/>
      <c r="CB233" s="321"/>
      <c r="CC233" s="377"/>
      <c r="CD233" s="378"/>
      <c r="CE233" s="321"/>
      <c r="CF233" s="377"/>
      <c r="CG233" s="378"/>
      <c r="CH233" s="321"/>
      <c r="CI233" s="377"/>
      <c r="CJ233" s="378"/>
      <c r="CK233" s="379"/>
      <c r="CL233" s="376"/>
    </row>
    <row r="234" spans="2:90" s="299" customFormat="1" ht="19.5" x14ac:dyDescent="0.25">
      <c r="B234" s="1394"/>
      <c r="C234" s="1417"/>
      <c r="D234" s="1353"/>
      <c r="E234" s="754" t="str">
        <f>+'Plan de Accion 2018'!B148</f>
        <v>Oficina de Control Interno</v>
      </c>
      <c r="F234" s="544" t="str">
        <f>+'Plan de Accion 2018'!S148</f>
        <v># Informes reportados</v>
      </c>
      <c r="G234" s="328"/>
      <c r="H234" s="545">
        <f>+'Plan de Accion 2018'!AB148</f>
        <v>1</v>
      </c>
      <c r="I234" s="767">
        <f>+'Plan de Accion 2018'!BM148</f>
        <v>1</v>
      </c>
      <c r="J234" s="767">
        <f t="shared" si="91"/>
        <v>1</v>
      </c>
      <c r="K234" s="767">
        <f>+'Plan de Accion 2018'!AF148</f>
        <v>0.25</v>
      </c>
      <c r="L234" s="875">
        <f t="shared" si="95"/>
        <v>0.25</v>
      </c>
      <c r="M234" s="682">
        <f t="shared" si="92"/>
        <v>0.25</v>
      </c>
      <c r="N234" s="644"/>
      <c r="O234" s="545">
        <f>+'Plan de Accion 2018'!AL148</f>
        <v>1</v>
      </c>
      <c r="P234" s="767">
        <f>+'Plan de Accion 2018'!BO148</f>
        <v>1</v>
      </c>
      <c r="Q234" s="629">
        <f t="shared" si="76"/>
        <v>1</v>
      </c>
      <c r="R234" s="751">
        <f>+'Plan de Accion 2018'!AP148</f>
        <v>0.5</v>
      </c>
      <c r="S234" s="873">
        <f t="shared" si="96"/>
        <v>0.5</v>
      </c>
      <c r="T234" s="637">
        <f t="shared" si="93"/>
        <v>0.5</v>
      </c>
      <c r="U234" s="329"/>
      <c r="V234" s="545">
        <f>+'Plan de Accion 2018'!AV148</f>
        <v>1</v>
      </c>
      <c r="W234" s="767">
        <f>+'Plan de Accion 2018'!BQ148</f>
        <v>1</v>
      </c>
      <c r="X234" s="629">
        <f t="shared" si="77"/>
        <v>1</v>
      </c>
      <c r="Y234" s="882">
        <f>+'Plan de Accion 2018'!AZ148</f>
        <v>0.75</v>
      </c>
      <c r="Z234" s="882">
        <f t="shared" si="97"/>
        <v>0.75</v>
      </c>
      <c r="AA234" s="883">
        <f t="shared" si="94"/>
        <v>0.75</v>
      </c>
      <c r="AB234" s="644"/>
      <c r="AC234" s="545">
        <f>+'Plan de Accion 2018'!BF148</f>
        <v>1</v>
      </c>
      <c r="AD234" s="767">
        <f>+'Plan de Accion 2018'!BS148</f>
        <v>1</v>
      </c>
      <c r="AE234" s="629">
        <f t="shared" si="74"/>
        <v>1</v>
      </c>
      <c r="AF234" s="767">
        <f>+'Plan de Accion 2018'!BJ148</f>
        <v>1</v>
      </c>
      <c r="AG234" s="637">
        <f t="shared" si="75"/>
        <v>1</v>
      </c>
      <c r="AH234" s="376"/>
      <c r="AI234" s="1017"/>
      <c r="AJ234" s="377"/>
      <c r="AK234" s="378"/>
      <c r="AL234" s="321"/>
      <c r="AM234" s="377"/>
      <c r="AN234" s="378"/>
      <c r="AO234" s="321"/>
      <c r="AP234" s="377"/>
      <c r="AQ234" s="378"/>
      <c r="AR234" s="321"/>
      <c r="AS234" s="377"/>
      <c r="AT234" s="378"/>
      <c r="AU234" s="379"/>
      <c r="AV234" s="376"/>
      <c r="AW234" s="360"/>
      <c r="AX234" s="377"/>
      <c r="AY234" s="378"/>
      <c r="AZ234" s="321"/>
      <c r="BA234" s="377"/>
      <c r="BB234" s="378"/>
      <c r="BC234" s="321"/>
      <c r="BD234" s="377"/>
      <c r="BE234" s="378"/>
      <c r="BF234" s="321"/>
      <c r="BG234" s="377"/>
      <c r="BH234" s="378"/>
      <c r="BI234" s="379"/>
      <c r="BJ234" s="376"/>
      <c r="BL234" s="377"/>
      <c r="BM234" s="378"/>
      <c r="BN234" s="321"/>
      <c r="BO234" s="377"/>
      <c r="BP234" s="378"/>
      <c r="BQ234" s="321"/>
      <c r="BR234" s="377"/>
      <c r="BS234" s="378"/>
      <c r="BT234" s="321"/>
      <c r="BU234" s="377"/>
      <c r="BV234" s="378"/>
      <c r="BW234" s="379"/>
      <c r="BX234" s="376"/>
      <c r="BZ234" s="377"/>
      <c r="CA234" s="378"/>
      <c r="CB234" s="321"/>
      <c r="CC234" s="377"/>
      <c r="CD234" s="378"/>
      <c r="CE234" s="321"/>
      <c r="CF234" s="377"/>
      <c r="CG234" s="378"/>
      <c r="CH234" s="321"/>
      <c r="CI234" s="377"/>
      <c r="CJ234" s="378"/>
      <c r="CK234" s="379"/>
      <c r="CL234" s="376"/>
    </row>
    <row r="235" spans="2:90" s="299" customFormat="1" ht="19.5" x14ac:dyDescent="0.25">
      <c r="B235" s="1394"/>
      <c r="C235" s="1417"/>
      <c r="D235" s="1353"/>
      <c r="E235" s="754" t="str">
        <f>+'Plan de Accion 2018'!B156</f>
        <v>Oficina Asesora Jurídica</v>
      </c>
      <c r="F235" s="544" t="str">
        <f>+'Plan de Accion 2018'!S156</f>
        <v># Informes reportados</v>
      </c>
      <c r="G235" s="328"/>
      <c r="H235" s="545">
        <f>+'Plan de Accion 2018'!AB156</f>
        <v>1</v>
      </c>
      <c r="I235" s="767">
        <f>+'Plan de Accion 2018'!BM156</f>
        <v>1</v>
      </c>
      <c r="J235" s="767">
        <f t="shared" si="91"/>
        <v>1</v>
      </c>
      <c r="K235" s="767">
        <f>+'Plan de Accion 2018'!AF156</f>
        <v>0.25</v>
      </c>
      <c r="L235" s="875">
        <f t="shared" si="95"/>
        <v>0.25</v>
      </c>
      <c r="M235" s="682">
        <f t="shared" si="92"/>
        <v>0.25</v>
      </c>
      <c r="N235" s="644"/>
      <c r="O235" s="545">
        <f>+'Plan de Accion 2018'!AL156</f>
        <v>1</v>
      </c>
      <c r="P235" s="767">
        <f>+'Plan de Accion 2018'!BO156</f>
        <v>1</v>
      </c>
      <c r="Q235" s="629">
        <f t="shared" si="76"/>
        <v>1</v>
      </c>
      <c r="R235" s="751">
        <f>+'Plan de Accion 2018'!AP156</f>
        <v>0.5</v>
      </c>
      <c r="S235" s="873">
        <f t="shared" si="96"/>
        <v>0.5</v>
      </c>
      <c r="T235" s="637">
        <f t="shared" si="93"/>
        <v>0.5</v>
      </c>
      <c r="U235" s="329"/>
      <c r="V235" s="545">
        <f>+'Plan de Accion 2018'!AV156</f>
        <v>1</v>
      </c>
      <c r="W235" s="767">
        <f>+'Plan de Accion 2018'!BQ156</f>
        <v>1</v>
      </c>
      <c r="X235" s="629">
        <f t="shared" si="77"/>
        <v>1</v>
      </c>
      <c r="Y235" s="882">
        <f>+'Plan de Accion 2018'!AZ156</f>
        <v>0.75</v>
      </c>
      <c r="Z235" s="882">
        <f t="shared" si="97"/>
        <v>0.75</v>
      </c>
      <c r="AA235" s="883">
        <f t="shared" si="94"/>
        <v>0.75</v>
      </c>
      <c r="AB235" s="644"/>
      <c r="AC235" s="545">
        <f>+'Plan de Accion 2018'!BF156</f>
        <v>1</v>
      </c>
      <c r="AD235" s="767">
        <f>+'Plan de Accion 2018'!BS156</f>
        <v>1</v>
      </c>
      <c r="AE235" s="629">
        <f t="shared" si="74"/>
        <v>1</v>
      </c>
      <c r="AF235" s="767">
        <f>+'Plan de Accion 2018'!BJ156</f>
        <v>1</v>
      </c>
      <c r="AG235" s="637">
        <f t="shared" si="75"/>
        <v>1</v>
      </c>
      <c r="AH235" s="376"/>
      <c r="AI235" s="1017"/>
      <c r="AJ235" s="377"/>
      <c r="AK235" s="378"/>
      <c r="AL235" s="321"/>
      <c r="AM235" s="377"/>
      <c r="AN235" s="378"/>
      <c r="AO235" s="321"/>
      <c r="AP235" s="377"/>
      <c r="AQ235" s="378"/>
      <c r="AR235" s="321"/>
      <c r="AS235" s="377"/>
      <c r="AT235" s="378"/>
      <c r="AU235" s="379"/>
      <c r="AV235" s="376"/>
      <c r="AW235" s="360"/>
      <c r="AX235" s="377"/>
      <c r="AY235" s="378"/>
      <c r="AZ235" s="321"/>
      <c r="BA235" s="377"/>
      <c r="BB235" s="378"/>
      <c r="BC235" s="321"/>
      <c r="BD235" s="377"/>
      <c r="BE235" s="378"/>
      <c r="BF235" s="321"/>
      <c r="BG235" s="377"/>
      <c r="BH235" s="378"/>
      <c r="BI235" s="379"/>
      <c r="BJ235" s="376"/>
      <c r="BL235" s="377"/>
      <c r="BM235" s="378"/>
      <c r="BN235" s="321"/>
      <c r="BO235" s="377"/>
      <c r="BP235" s="378"/>
      <c r="BQ235" s="321"/>
      <c r="BR235" s="377"/>
      <c r="BS235" s="378"/>
      <c r="BT235" s="321"/>
      <c r="BU235" s="377"/>
      <c r="BV235" s="378"/>
      <c r="BW235" s="379"/>
      <c r="BX235" s="376"/>
      <c r="BZ235" s="377"/>
      <c r="CA235" s="378"/>
      <c r="CB235" s="321"/>
      <c r="CC235" s="377"/>
      <c r="CD235" s="378"/>
      <c r="CE235" s="321"/>
      <c r="CF235" s="377"/>
      <c r="CG235" s="378"/>
      <c r="CH235" s="321"/>
      <c r="CI235" s="377"/>
      <c r="CJ235" s="378"/>
      <c r="CK235" s="379"/>
      <c r="CL235" s="376"/>
    </row>
    <row r="236" spans="2:90" s="299" customFormat="1" ht="43.5" thickBot="1" x14ac:dyDescent="0.3">
      <c r="B236" s="1394"/>
      <c r="C236" s="1417"/>
      <c r="D236" s="1353"/>
      <c r="E236" s="755" t="str">
        <f>+'Plan de Accion 2018'!B174</f>
        <v>Oficina Asesora de Planeación y Control de Riegos</v>
      </c>
      <c r="F236" s="535" t="str">
        <f>+'Plan de Accion 2018'!S174</f>
        <v># Informes reportados</v>
      </c>
      <c r="G236" s="328"/>
      <c r="H236" s="546">
        <f>+'Plan de Accion 2018'!AB174</f>
        <v>1</v>
      </c>
      <c r="I236" s="750">
        <f>+'Plan de Accion 2018'!BM174</f>
        <v>1</v>
      </c>
      <c r="J236" s="750">
        <f t="shared" si="91"/>
        <v>1</v>
      </c>
      <c r="K236" s="750">
        <f>+'Plan de Accion 2018'!AF174</f>
        <v>0.25</v>
      </c>
      <c r="L236" s="875">
        <f t="shared" si="95"/>
        <v>0.25</v>
      </c>
      <c r="M236" s="752">
        <f t="shared" si="92"/>
        <v>0.25</v>
      </c>
      <c r="N236" s="644"/>
      <c r="O236" s="546">
        <f>+'Plan de Accion 2018'!AL174</f>
        <v>1</v>
      </c>
      <c r="P236" s="750">
        <f>+'Plan de Accion 2018'!BO174</f>
        <v>1</v>
      </c>
      <c r="Q236" s="631">
        <f t="shared" si="76"/>
        <v>1</v>
      </c>
      <c r="R236" s="751">
        <f>+'Plan de Accion 2018'!AP174</f>
        <v>0.5</v>
      </c>
      <c r="S236" s="873">
        <f t="shared" si="96"/>
        <v>0.5</v>
      </c>
      <c r="T236" s="637">
        <f t="shared" si="93"/>
        <v>0.5</v>
      </c>
      <c r="U236" s="329"/>
      <c r="V236" s="546">
        <f>+'Plan de Accion 2018'!AV174</f>
        <v>1</v>
      </c>
      <c r="W236" s="750">
        <f>+'Plan de Accion 2018'!BQ174</f>
        <v>1</v>
      </c>
      <c r="X236" s="629">
        <f t="shared" si="77"/>
        <v>1</v>
      </c>
      <c r="Y236" s="882">
        <f>+'Plan de Accion 2018'!AZ174</f>
        <v>0.75</v>
      </c>
      <c r="Z236" s="882">
        <f t="shared" si="97"/>
        <v>0.75</v>
      </c>
      <c r="AA236" s="883">
        <f t="shared" si="94"/>
        <v>0.75</v>
      </c>
      <c r="AB236" s="644"/>
      <c r="AC236" s="546">
        <f>+'Plan de Accion 2018'!BF174</f>
        <v>1</v>
      </c>
      <c r="AD236" s="750">
        <f>+'Plan de Accion 2018'!BS174</f>
        <v>1</v>
      </c>
      <c r="AE236" s="629">
        <f t="shared" si="74"/>
        <v>1</v>
      </c>
      <c r="AF236" s="750">
        <f>+'Plan de Accion 2018'!BJ174</f>
        <v>1</v>
      </c>
      <c r="AG236" s="637">
        <f t="shared" si="75"/>
        <v>1</v>
      </c>
      <c r="AH236" s="376"/>
      <c r="AI236" s="1017"/>
      <c r="AJ236" s="377"/>
      <c r="AK236" s="378"/>
      <c r="AL236" s="321"/>
      <c r="AM236" s="377"/>
      <c r="AN236" s="378"/>
      <c r="AO236" s="321"/>
      <c r="AP236" s="377"/>
      <c r="AQ236" s="378"/>
      <c r="AR236" s="321"/>
      <c r="AS236" s="377"/>
      <c r="AT236" s="378"/>
      <c r="AU236" s="379"/>
      <c r="AV236" s="376"/>
      <c r="AW236" s="360"/>
      <c r="AX236" s="377"/>
      <c r="AY236" s="378"/>
      <c r="AZ236" s="321"/>
      <c r="BA236" s="377"/>
      <c r="BB236" s="378"/>
      <c r="BC236" s="321"/>
      <c r="BD236" s="377"/>
      <c r="BE236" s="378"/>
      <c r="BF236" s="321"/>
      <c r="BG236" s="377"/>
      <c r="BH236" s="378"/>
      <c r="BI236" s="379"/>
      <c r="BJ236" s="376"/>
      <c r="BL236" s="377"/>
      <c r="BM236" s="378"/>
      <c r="BN236" s="321"/>
      <c r="BO236" s="377"/>
      <c r="BP236" s="378"/>
      <c r="BQ236" s="321"/>
      <c r="BR236" s="377"/>
      <c r="BS236" s="378"/>
      <c r="BT236" s="321"/>
      <c r="BU236" s="377"/>
      <c r="BV236" s="378"/>
      <c r="BW236" s="379"/>
      <c r="BX236" s="376"/>
      <c r="BZ236" s="377"/>
      <c r="CA236" s="378"/>
      <c r="CB236" s="321"/>
      <c r="CC236" s="377"/>
      <c r="CD236" s="378"/>
      <c r="CE236" s="321"/>
      <c r="CF236" s="377"/>
      <c r="CG236" s="378"/>
      <c r="CH236" s="321"/>
      <c r="CI236" s="377"/>
      <c r="CJ236" s="378"/>
      <c r="CK236" s="379"/>
      <c r="CL236" s="376"/>
    </row>
    <row r="237" spans="2:90" s="299" customFormat="1" ht="34.5" customHeight="1" thickBot="1" x14ac:dyDescent="0.3">
      <c r="B237" s="1395"/>
      <c r="C237" s="1389" t="s">
        <v>816</v>
      </c>
      <c r="D237" s="1390"/>
      <c r="E237" s="1390"/>
      <c r="F237" s="1391"/>
      <c r="G237" s="328"/>
      <c r="H237" s="346" t="s">
        <v>792</v>
      </c>
      <c r="I237" s="332">
        <f>SUM(I228:I236)/COUNT(I228:I236)</f>
        <v>1</v>
      </c>
      <c r="J237" s="332">
        <f t="shared" si="91"/>
        <v>1</v>
      </c>
      <c r="K237" s="332">
        <f>SUM(K228:K236)/COUNT(K228:K236)</f>
        <v>0.25</v>
      </c>
      <c r="L237" s="332">
        <f>SUM(L228:L236)/COUNT(L228:L236)</f>
        <v>0.25</v>
      </c>
      <c r="M237" s="334">
        <f>SUM(M228:M236)/COUNT(M228:M236)</f>
        <v>0.25</v>
      </c>
      <c r="N237" s="692"/>
      <c r="O237" s="346" t="s">
        <v>792</v>
      </c>
      <c r="P237" s="635">
        <f>SUM(P228:P236)/COUNT(P228:P236)</f>
        <v>1</v>
      </c>
      <c r="Q237" s="635">
        <f>SUM(Q228:Q236)/COUNT(Q228:Q236)</f>
        <v>1</v>
      </c>
      <c r="R237" s="639">
        <f>SUM(R228:R236)/COUNT(R228:R236)</f>
        <v>0.5</v>
      </c>
      <c r="S237" s="670">
        <f>SUM(S228:S236)/COUNT(S228:S236)</f>
        <v>0.5</v>
      </c>
      <c r="T237" s="645">
        <f>SUM(T228:T236)/COUNT(T228:T236)</f>
        <v>0.5</v>
      </c>
      <c r="U237" s="354"/>
      <c r="V237" s="346" t="s">
        <v>792</v>
      </c>
      <c r="W237" s="332">
        <f>SUM(W228:W236)/COUNT(W228:W236)</f>
        <v>1</v>
      </c>
      <c r="X237" s="332">
        <f>SUM(X228:X236)/COUNT(X228:X236)</f>
        <v>1</v>
      </c>
      <c r="Y237" s="651">
        <f>SUM(Y228:Y236)/COUNT(Y228:Y236)</f>
        <v>0.75</v>
      </c>
      <c r="Z237" s="651">
        <f>SUM(Z228:Z236)/COUNT(Z228:Z236)</f>
        <v>0.75</v>
      </c>
      <c r="AA237" s="617">
        <f>SUM(AA228:AA236)/COUNT(AA228:AA236)</f>
        <v>0.75</v>
      </c>
      <c r="AB237" s="692"/>
      <c r="AC237" s="346" t="s">
        <v>792</v>
      </c>
      <c r="AD237" s="332">
        <f>SUM(AD228:AD236)/COUNT(AD228:AD236)</f>
        <v>1</v>
      </c>
      <c r="AE237" s="332">
        <f>SUM(AE228:AE236)/COUNT(AE228:AE236)</f>
        <v>1</v>
      </c>
      <c r="AF237" s="635">
        <f>SUM(AF228:AF236)/COUNT(AF228:AF236)</f>
        <v>1</v>
      </c>
      <c r="AG237" s="334">
        <f>SUM(AG228:AG236)/COUNT(AG228:AG236)</f>
        <v>1</v>
      </c>
      <c r="AH237" s="376"/>
      <c r="AI237" s="1017"/>
      <c r="AJ237" s="377"/>
      <c r="AK237" s="378"/>
      <c r="AL237" s="321"/>
      <c r="AM237" s="377"/>
      <c r="AN237" s="378"/>
      <c r="AO237" s="321"/>
      <c r="AP237" s="377"/>
      <c r="AQ237" s="378"/>
      <c r="AR237" s="321"/>
      <c r="AS237" s="377"/>
      <c r="AT237" s="378"/>
      <c r="AU237" s="379"/>
      <c r="AV237" s="376"/>
      <c r="AW237" s="360"/>
      <c r="AX237" s="377"/>
      <c r="AY237" s="378"/>
      <c r="AZ237" s="321"/>
      <c r="BA237" s="377"/>
      <c r="BB237" s="378"/>
      <c r="BC237" s="321"/>
      <c r="BD237" s="377"/>
      <c r="BE237" s="378"/>
      <c r="BF237" s="321"/>
      <c r="BG237" s="377"/>
      <c r="BH237" s="378"/>
      <c r="BI237" s="379"/>
      <c r="BJ237" s="376"/>
      <c r="BL237" s="377"/>
      <c r="BM237" s="378"/>
      <c r="BN237" s="321"/>
      <c r="BO237" s="377"/>
      <c r="BP237" s="378"/>
      <c r="BQ237" s="321"/>
      <c r="BR237" s="377"/>
      <c r="BS237" s="378"/>
      <c r="BT237" s="321"/>
      <c r="BU237" s="377"/>
      <c r="BV237" s="378"/>
      <c r="BW237" s="379"/>
      <c r="BX237" s="376"/>
      <c r="BZ237" s="377"/>
      <c r="CA237" s="378"/>
      <c r="CB237" s="321"/>
      <c r="CC237" s="377"/>
      <c r="CD237" s="378"/>
      <c r="CE237" s="321"/>
      <c r="CF237" s="377"/>
      <c r="CG237" s="378"/>
      <c r="CH237" s="321"/>
      <c r="CI237" s="377"/>
      <c r="CJ237" s="378"/>
      <c r="CK237" s="379"/>
      <c r="CL237" s="376"/>
    </row>
    <row r="238" spans="2:90" ht="20.25" thickBot="1" x14ac:dyDescent="0.3">
      <c r="B238" s="1378" t="s">
        <v>810</v>
      </c>
      <c r="C238" s="1388"/>
      <c r="D238" s="1379"/>
      <c r="E238" s="1379"/>
      <c r="F238" s="1380"/>
      <c r="H238" s="365" t="s">
        <v>792</v>
      </c>
      <c r="I238" s="366">
        <f>+(I183+I206+I215+I227+I237)/5</f>
        <v>0.94546754005675981</v>
      </c>
      <c r="J238" s="332">
        <f t="shared" si="91"/>
        <v>0.94546754005675981</v>
      </c>
      <c r="K238" s="366">
        <f>+(K183+K206+K215+K227+K237)/5</f>
        <v>0.19964050428740518</v>
      </c>
      <c r="L238" s="366">
        <f>+(L183+L206+L215+L227+L237)/5</f>
        <v>0.19964050428740518</v>
      </c>
      <c r="M238" s="367">
        <f>+(M183+M206+M215+M227+M237)/5</f>
        <v>0.27633455739403112</v>
      </c>
      <c r="N238" s="695"/>
      <c r="O238" s="365" t="s">
        <v>792</v>
      </c>
      <c r="P238" s="632">
        <f>(P183+P206+P215+P227+P237)/5</f>
        <v>0.96140708875276315</v>
      </c>
      <c r="Q238" s="632">
        <f>SUM(Q120:Q182,Q184:Q205,Q207:Q214,Q216:Q226,Q228:Q236)/COUNT(Q120:Q182,Q184:Q205,Q207:Q214,Q216:Q226,Q228:Q236)</f>
        <v>0.92511573259767288</v>
      </c>
      <c r="R238" s="648">
        <f>(R183+R206+R215+R227+R237)/5</f>
        <v>0.42780087682804036</v>
      </c>
      <c r="S238" s="366">
        <f>SUM(S120:S182,S184:S205,S207:S214,S216:S226,S228:S236)/COUNT(S120:S182,S184:S205,S207:S214,S216:S226,S228:S236)</f>
        <v>0.38178537791092709</v>
      </c>
      <c r="T238" s="367">
        <f>SUM(T120:T182,T184:T205,T207:T214,T216:T226,T228:T236)/COUNT(T120:T182,T184:T205,T207:T214,T216:T226,T228:T236)</f>
        <v>0.54609807220170581</v>
      </c>
      <c r="U238" s="364"/>
      <c r="V238" s="365" t="s">
        <v>792</v>
      </c>
      <c r="W238" s="632">
        <f>SUM(W120:W182,W207:W214,W216:W226,W228:W236)/COUNT(W120:W182,W184:W205,W207:W214,W216:W226,W228:W236)</f>
        <v>0.68567581612462136</v>
      </c>
      <c r="X238" s="632">
        <f>SUM(X120:X182,X184:X205,X207:X214,X216:X226,X228:X236)/COUNT(X120:X182,X184:X205,X207:X214,X216:X226,X228:X236)</f>
        <v>0.92519352213802131</v>
      </c>
      <c r="Y238" s="632">
        <f>SUM(Y120:Y182,Y184:Y205,Y207:Y214,Y216:Y226,Y228:Y236)/COUNT(Y120:Y182,Y184:Y205,Y207:Y214,Y216:Y226,Y228:Y236)</f>
        <v>0.61508004816432804</v>
      </c>
      <c r="Z238" s="366">
        <f>SUM(Z120:Z182,Z184:Z205,Z207:Z214,Z216:Z226,Z228:Z236)/COUNT(Z120:Z182,Z184:Z205,Z207:Z214,Z216:Z226,Z228:Z236)</f>
        <v>0.60234456284088667</v>
      </c>
      <c r="AA238" s="367">
        <f>SUM(AA120:AA182,AA184:AA205,AA207:AA214,AA216:AA226,AA228:AA236)/COUNT(AA120:AA182,AA184:AA205,AA207:AA214,AA216:AA226,AA228:AA236)</f>
        <v>0.75370512471788487</v>
      </c>
      <c r="AB238" s="695"/>
      <c r="AC238" s="365" t="s">
        <v>792</v>
      </c>
      <c r="AD238" s="632">
        <f>SUM(AD120:AD182,AD184:AD205,AD207:AD214,AD216:AD226,AD228:AD236)/COUNT(AD120:AD182,AD184:AD205,AD207:AD214,AD216:AD226,AD228:AD236)</f>
        <v>1.2476643956808318</v>
      </c>
      <c r="AE238" s="632">
        <f>SUM(AE120:AE182,AE184:AE205,AE207:AE214,AE216:AE226,AE228:AE236)/COUNT(AE120:AE182,AE184:AE205,AE207:AE214,AE216:AE226,AE228:AE236)</f>
        <v>0.88297329116766188</v>
      </c>
      <c r="AF238" s="632">
        <f>SUM(AF120:AF182,AF184:AF205,AF207:AF214,AF216:AF226,AF228:AF236)/COUNT(AF120:AF182,AF184:AF205,AF207:AF214,AF216:AF226,AF228:AF236)</f>
        <v>0.96329413171202971</v>
      </c>
      <c r="AG238" s="367">
        <f>SUM(AG120:AG182,AG184:AG205,AG207:AG214,AG216:AG226,AG228:AG236)/COUNT(AG120:AG182,AG184:AG205,AG207:AG214,AG216:AG226,AG228:AG236)</f>
        <v>0.91025901072380733</v>
      </c>
      <c r="AJ238" s="383"/>
      <c r="AK238" s="384" t="e">
        <f>SUM(AK120:AK195)/COUNT(AK120:AK195)</f>
        <v>#REF!</v>
      </c>
      <c r="AL238" s="385"/>
      <c r="AM238" s="383"/>
      <c r="AN238" s="384" t="e">
        <f>SUM(AN120:AN195)/COUNT(AN120:AN195)</f>
        <v>#REF!</v>
      </c>
      <c r="AO238" s="385"/>
      <c r="AP238" s="383"/>
      <c r="AQ238" s="384" t="e">
        <f>SUM(AQ120:AQ195)/COUNT(AQ120:AQ195)</f>
        <v>#REF!</v>
      </c>
      <c r="AR238" s="385"/>
      <c r="AS238" s="383"/>
      <c r="AT238" s="384" t="e">
        <f>SUM(AT120:AT195)/COUNT(AT120:AT195)</f>
        <v>#REF!</v>
      </c>
      <c r="AX238" s="383"/>
      <c r="AY238" s="384" t="e">
        <f>SUM(AY120:AY195)/COUNT(AY120:AY195)</f>
        <v>#REF!</v>
      </c>
      <c r="AZ238" s="385"/>
      <c r="BA238" s="383"/>
      <c r="BB238" s="384" t="e">
        <f>SUM(BB120:BB195)/COUNT(BB120:BB195)</f>
        <v>#REF!</v>
      </c>
      <c r="BC238" s="385"/>
      <c r="BD238" s="383"/>
      <c r="BE238" s="384" t="e">
        <f>SUM(BE120:BE195)/COUNT(BE120:BE195)</f>
        <v>#REF!</v>
      </c>
      <c r="BF238" s="385"/>
      <c r="BG238" s="383"/>
      <c r="BH238" s="384" t="e">
        <f>SUM(BH120:BH195)/COUNT(BH120:BH195)</f>
        <v>#REF!</v>
      </c>
      <c r="BL238" s="383"/>
      <c r="BM238" s="384" t="e">
        <f>SUM(BM120:BM195)/COUNT(BM120:BM195)</f>
        <v>#REF!</v>
      </c>
      <c r="BN238" s="385"/>
      <c r="BO238" s="383"/>
      <c r="BP238" s="384" t="e">
        <f>SUM(BP120:BP195)/COUNT(BP120:BP195)</f>
        <v>#REF!</v>
      </c>
      <c r="BQ238" s="385"/>
      <c r="BR238" s="383"/>
      <c r="BS238" s="384" t="e">
        <f>SUM(BS120:BS195)/COUNT(BS120:BS195)</f>
        <v>#REF!</v>
      </c>
      <c r="BT238" s="385"/>
      <c r="BU238" s="383"/>
      <c r="BV238" s="384" t="e">
        <f>SUM(BV120:BV195)/COUNT(BV120:BV195)</f>
        <v>#REF!</v>
      </c>
      <c r="BZ238" s="383"/>
      <c r="CA238" s="384" t="e">
        <f>SUM(CA120:CA195)/COUNT(CA120:CA195)</f>
        <v>#REF!</v>
      </c>
      <c r="CB238" s="385"/>
      <c r="CC238" s="383"/>
      <c r="CD238" s="384" t="e">
        <f>SUM(CD120:CD195)/COUNT(CD120:CD195)</f>
        <v>#REF!</v>
      </c>
      <c r="CE238" s="385"/>
      <c r="CF238" s="383"/>
      <c r="CG238" s="384" t="e">
        <f>SUM(CG120:CG195)/COUNT(CG120:CG195)</f>
        <v>#REF!</v>
      </c>
      <c r="CH238" s="385"/>
      <c r="CI238" s="383"/>
      <c r="CJ238" s="384" t="e">
        <f>SUM(CJ120:CJ195)/COUNT(CJ120:CJ195)</f>
        <v>#REF!</v>
      </c>
    </row>
    <row r="239" spans="2:90" ht="42.75" customHeight="1" x14ac:dyDescent="0.2">
      <c r="B239" s="1392" t="s">
        <v>793</v>
      </c>
      <c r="C239" s="1397" t="s">
        <v>256</v>
      </c>
      <c r="D239" s="758" t="str">
        <f>+'Plan de Accion 2018'!G13</f>
        <v>Procesos y Procedimientos</v>
      </c>
      <c r="E239" s="1348" t="str">
        <f>+'Plan de Accion 2018'!B13</f>
        <v>Dirección de Gestión de Recursos Financieros de Salud</v>
      </c>
      <c r="F239" s="382" t="str">
        <f>+'Plan de Accion 2018'!S13</f>
        <v># procedimientos Aprobados / # Procedimientos identificados</v>
      </c>
      <c r="H239" s="749">
        <f>+'Plan de Accion 2018'!AB13</f>
        <v>0.92682926829268297</v>
      </c>
      <c r="I239" s="751">
        <f>+'Plan de Accion 2018'!BM13</f>
        <v>3.7073170731707319</v>
      </c>
      <c r="J239" s="751">
        <f t="shared" si="91"/>
        <v>1</v>
      </c>
      <c r="K239" s="751">
        <f>+'Plan de Accion 2018'!AF13</f>
        <v>0.92682926829268297</v>
      </c>
      <c r="L239" s="751">
        <f>+K239</f>
        <v>0.92682926829268297</v>
      </c>
      <c r="M239" s="753">
        <f>+L239</f>
        <v>0.92682926829268297</v>
      </c>
      <c r="N239" s="644"/>
      <c r="O239" s="749">
        <f>+'Plan de Accion 2018'!AL13</f>
        <v>0</v>
      </c>
      <c r="P239" s="751">
        <f>+'Plan de Accion 2018'!BO13</f>
        <v>0</v>
      </c>
      <c r="Q239" s="629">
        <f t="shared" si="76"/>
        <v>0</v>
      </c>
      <c r="R239" s="751">
        <f>+'Plan de Accion 2018'!AP13</f>
        <v>0.92682926829268297</v>
      </c>
      <c r="S239" s="751">
        <f>IF(R239&gt;100%,100%,R239)</f>
        <v>0.92682926829268297</v>
      </c>
      <c r="T239" s="637">
        <f>+S239</f>
        <v>0.92682926829268297</v>
      </c>
      <c r="U239" s="329"/>
      <c r="V239" s="749">
        <f>+'Plan de Accion 2018'!AV13</f>
        <v>0</v>
      </c>
      <c r="W239" s="751">
        <f>+'Plan de Accion 2018'!BQ13</f>
        <v>0</v>
      </c>
      <c r="X239" s="629">
        <f t="shared" si="77"/>
        <v>0</v>
      </c>
      <c r="Y239" s="882">
        <f>+'Plan de Accion 2018'!AZ13</f>
        <v>0.92682926829268297</v>
      </c>
      <c r="Z239" s="882">
        <f>IF(Y239&gt;100%,100%,Y239)</f>
        <v>0.92682926829268297</v>
      </c>
      <c r="AA239" s="883">
        <f>+Z239</f>
        <v>0.92682926829268297</v>
      </c>
      <c r="AB239" s="644"/>
      <c r="AC239" s="749">
        <f>+'Plan de Accion 2018'!BF13</f>
        <v>0.20212765957446807</v>
      </c>
      <c r="AD239" s="751">
        <f>+'Plan de Accion 2018'!BS13</f>
        <v>0.80851063829787229</v>
      </c>
      <c r="AE239" s="629">
        <f t="shared" si="74"/>
        <v>0.80851063829787229</v>
      </c>
      <c r="AF239" s="751">
        <f>+'Plan de Accion 2018'!BJ13</f>
        <v>1.128956927867151</v>
      </c>
      <c r="AG239" s="637">
        <f t="shared" si="75"/>
        <v>1</v>
      </c>
      <c r="AH239" s="1457"/>
      <c r="AI239" s="1014">
        <v>1</v>
      </c>
      <c r="AJ239" s="1470"/>
      <c r="AK239" s="1445" t="e">
        <f>+AJ239/#REF!</f>
        <v>#REF!</v>
      </c>
      <c r="AL239" s="321"/>
      <c r="AM239" s="1467"/>
      <c r="AN239" s="1445" t="e">
        <f>+AM239/#REF!</f>
        <v>#REF!</v>
      </c>
      <c r="AO239" s="321"/>
      <c r="AP239" s="1445"/>
      <c r="AQ239" s="1445" t="e">
        <f>+AP239/#REF!</f>
        <v>#REF!</v>
      </c>
      <c r="AR239" s="321"/>
      <c r="AS239" s="1445"/>
      <c r="AT239" s="1445" t="e">
        <f>+AS239/#REF!</f>
        <v>#REF!</v>
      </c>
      <c r="AU239" s="326"/>
      <c r="AV239" s="1451"/>
      <c r="AX239" s="1470"/>
      <c r="AY239" s="1445" t="e">
        <f>+AX239/#REF!</f>
        <v>#REF!</v>
      </c>
      <c r="AZ239" s="321"/>
      <c r="BA239" s="1467"/>
      <c r="BB239" s="1445" t="e">
        <f>+BA239/#REF!</f>
        <v>#REF!</v>
      </c>
      <c r="BC239" s="321"/>
      <c r="BD239" s="1445"/>
      <c r="BE239" s="1445" t="e">
        <f>+BD239/#REF!</f>
        <v>#REF!</v>
      </c>
      <c r="BF239" s="321"/>
      <c r="BG239" s="1445"/>
      <c r="BH239" s="1445" t="e">
        <f>+BG239/#REF!</f>
        <v>#REF!</v>
      </c>
      <c r="BI239" s="326"/>
      <c r="BJ239" s="1451"/>
      <c r="BL239" s="1470"/>
      <c r="BM239" s="1445" t="e">
        <f>+BL239/#REF!</f>
        <v>#REF!</v>
      </c>
      <c r="BN239" s="321"/>
      <c r="BO239" s="1467"/>
      <c r="BP239" s="1445" t="e">
        <f>+BO239/#REF!</f>
        <v>#REF!</v>
      </c>
      <c r="BQ239" s="321"/>
      <c r="BR239" s="1445"/>
      <c r="BS239" s="1445" t="e">
        <f>+BR239/#REF!</f>
        <v>#REF!</v>
      </c>
      <c r="BT239" s="321"/>
      <c r="BU239" s="1445"/>
      <c r="BV239" s="1445" t="e">
        <f>+BU239/#REF!</f>
        <v>#REF!</v>
      </c>
      <c r="BW239" s="326"/>
      <c r="BX239" s="1451"/>
      <c r="BZ239" s="1470"/>
      <c r="CA239" s="1445" t="e">
        <f>+BZ239/#REF!</f>
        <v>#REF!</v>
      </c>
      <c r="CB239" s="321"/>
      <c r="CC239" s="1467"/>
      <c r="CD239" s="1445" t="e">
        <f>+CC239/#REF!</f>
        <v>#REF!</v>
      </c>
      <c r="CE239" s="321"/>
      <c r="CF239" s="1445"/>
      <c r="CG239" s="1445" t="e">
        <f>+CF239/#REF!</f>
        <v>#REF!</v>
      </c>
      <c r="CH239" s="321"/>
      <c r="CI239" s="1445"/>
      <c r="CJ239" s="1445" t="e">
        <f>+CI239/#REF!</f>
        <v>#REF!</v>
      </c>
      <c r="CK239" s="326"/>
      <c r="CL239" s="1451"/>
    </row>
    <row r="240" spans="2:90" ht="42.75" x14ac:dyDescent="0.2">
      <c r="B240" s="1393"/>
      <c r="C240" s="1397"/>
      <c r="D240" s="754" t="str">
        <f>+'Plan de Accion 2018'!G14</f>
        <v>Evaluar la gestión y resultados de los procesos de calidad de la Dependencia</v>
      </c>
      <c r="E240" s="1349"/>
      <c r="F240" s="544" t="str">
        <f>+'Plan de Accion 2018'!S14</f>
        <v># Indicadores Medidos / # Indicadores Sujetos de Medición</v>
      </c>
      <c r="H240" s="543">
        <f>+'Plan de Accion 2018'!AB14</f>
        <v>0</v>
      </c>
      <c r="I240" s="767" t="str">
        <f>+'Plan de Accion 2018'!BM14</f>
        <v>No Prog ni Ejec</v>
      </c>
      <c r="J240" s="767" t="s">
        <v>792</v>
      </c>
      <c r="K240" s="767">
        <f>+'Plan de Accion 2018'!AF14</f>
        <v>0</v>
      </c>
      <c r="L240" s="767">
        <f>+K240</f>
        <v>0</v>
      </c>
      <c r="M240" s="682" t="s">
        <v>792</v>
      </c>
      <c r="N240" s="644"/>
      <c r="O240" s="543">
        <f>+'Plan de Accion 2018'!AL14</f>
        <v>0</v>
      </c>
      <c r="P240" s="767" t="str">
        <f>+'Plan de Accion 2018'!BO14</f>
        <v>No Prog ni Ejec</v>
      </c>
      <c r="Q240" s="629" t="s">
        <v>792</v>
      </c>
      <c r="R240" s="751">
        <f>+'Plan de Accion 2018'!AP14</f>
        <v>0</v>
      </c>
      <c r="S240" s="751">
        <f>IF(R240&gt;100%,100%,R240)</f>
        <v>0</v>
      </c>
      <c r="T240" s="637" t="s">
        <v>792</v>
      </c>
      <c r="U240" s="329"/>
      <c r="V240" s="543">
        <f>+'Plan de Accion 2018'!AV14</f>
        <v>0</v>
      </c>
      <c r="W240" s="767" t="str">
        <f>+'Plan de Accion 2018'!BQ14</f>
        <v>No Prog ni Ejec</v>
      </c>
      <c r="X240" s="629" t="s">
        <v>792</v>
      </c>
      <c r="Y240" s="882">
        <f>+'Plan de Accion 2018'!AZ14</f>
        <v>0</v>
      </c>
      <c r="Z240" s="882">
        <f>IF(Y240&gt;100%,100%,Y240)</f>
        <v>0</v>
      </c>
      <c r="AA240" s="883" t="s">
        <v>792</v>
      </c>
      <c r="AB240" s="644"/>
      <c r="AC240" s="543">
        <f>+'Plan de Accion 2018'!BF14</f>
        <v>1</v>
      </c>
      <c r="AD240" s="767">
        <f>+'Plan de Accion 2018'!BS14</f>
        <v>1</v>
      </c>
      <c r="AE240" s="629">
        <f t="shared" si="74"/>
        <v>1</v>
      </c>
      <c r="AF240" s="767">
        <f>+'Plan de Accion 2018'!BJ14</f>
        <v>1</v>
      </c>
      <c r="AG240" s="637">
        <f t="shared" si="75"/>
        <v>1</v>
      </c>
      <c r="AH240" s="1458"/>
      <c r="AJ240" s="1471"/>
      <c r="AK240" s="1446"/>
      <c r="AL240" s="321"/>
      <c r="AM240" s="1468"/>
      <c r="AN240" s="1446"/>
      <c r="AO240" s="321"/>
      <c r="AP240" s="1446"/>
      <c r="AQ240" s="1446"/>
      <c r="AR240" s="321"/>
      <c r="AS240" s="1446"/>
      <c r="AT240" s="1446"/>
      <c r="AU240" s="326"/>
      <c r="AV240" s="1452"/>
      <c r="AX240" s="1471"/>
      <c r="AY240" s="1446"/>
      <c r="AZ240" s="321"/>
      <c r="BA240" s="1468"/>
      <c r="BB240" s="1446"/>
      <c r="BC240" s="321"/>
      <c r="BD240" s="1446"/>
      <c r="BE240" s="1446"/>
      <c r="BF240" s="321"/>
      <c r="BG240" s="1446"/>
      <c r="BH240" s="1446"/>
      <c r="BI240" s="326"/>
      <c r="BJ240" s="1452"/>
      <c r="BL240" s="1471"/>
      <c r="BM240" s="1446"/>
      <c r="BN240" s="321"/>
      <c r="BO240" s="1468"/>
      <c r="BP240" s="1446"/>
      <c r="BQ240" s="321"/>
      <c r="BR240" s="1446"/>
      <c r="BS240" s="1446"/>
      <c r="BT240" s="321"/>
      <c r="BU240" s="1446"/>
      <c r="BV240" s="1446"/>
      <c r="BW240" s="326"/>
      <c r="BX240" s="1452"/>
      <c r="BZ240" s="1471"/>
      <c r="CA240" s="1446"/>
      <c r="CB240" s="321"/>
      <c r="CC240" s="1468"/>
      <c r="CD240" s="1446"/>
      <c r="CE240" s="321"/>
      <c r="CF240" s="1446"/>
      <c r="CG240" s="1446"/>
      <c r="CH240" s="321"/>
      <c r="CI240" s="1446"/>
      <c r="CJ240" s="1446"/>
      <c r="CK240" s="326"/>
      <c r="CL240" s="1452"/>
    </row>
    <row r="241" spans="2:90" s="542" customFormat="1" ht="42.75" x14ac:dyDescent="0.2">
      <c r="B241" s="1393"/>
      <c r="C241" s="1397"/>
      <c r="D241" s="754" t="str">
        <f>+'Plan de Accion 2018'!G209</f>
        <v>Reuniones de Autocontrol que evidencie(n) monitoreo al mapa de riesgos de corrupción</v>
      </c>
      <c r="E241" s="1349"/>
      <c r="F241" s="544" t="str">
        <f>+'Plan de Accion 2018'!S209</f>
        <v># Reuniones de Autocontrol realizadas</v>
      </c>
      <c r="G241" s="298"/>
      <c r="H241" s="543">
        <f>+'Plan de Accion 2018'!AB209</f>
        <v>0</v>
      </c>
      <c r="I241" s="767" t="str">
        <f>+'Plan de Accion 2018'!BM209</f>
        <v>No Prog ni Ejec</v>
      </c>
      <c r="J241" s="767" t="s">
        <v>792</v>
      </c>
      <c r="K241" s="767">
        <f>+'Plan de Accion 2018'!AF209</f>
        <v>0</v>
      </c>
      <c r="L241" s="875">
        <f t="shared" ref="L241:L302" si="98">+K241</f>
        <v>0</v>
      </c>
      <c r="M241" s="682" t="s">
        <v>792</v>
      </c>
      <c r="N241" s="644"/>
      <c r="O241" s="543">
        <f>+'Plan de Accion 2018'!AL209</f>
        <v>0</v>
      </c>
      <c r="P241" s="767" t="str">
        <f>+'Plan de Accion 2018'!BO209</f>
        <v>No Prog ni Ejec</v>
      </c>
      <c r="Q241" s="629" t="s">
        <v>792</v>
      </c>
      <c r="R241" s="751">
        <f>+'Plan de Accion 2018'!AP209</f>
        <v>0</v>
      </c>
      <c r="S241" s="873">
        <f t="shared" ref="S241:S302" si="99">IF(R241&gt;100%,100%,R241)</f>
        <v>0</v>
      </c>
      <c r="T241" s="682" t="s">
        <v>792</v>
      </c>
      <c r="U241" s="329"/>
      <c r="V241" s="543">
        <f>+'Plan de Accion 2018'!AV209</f>
        <v>1</v>
      </c>
      <c r="W241" s="767">
        <f>+'Plan de Accion 2018'!BQ209</f>
        <v>1</v>
      </c>
      <c r="X241" s="629">
        <f t="shared" si="77"/>
        <v>1</v>
      </c>
      <c r="Y241" s="882">
        <f>+'Plan de Accion 2018'!AZ209</f>
        <v>0.5</v>
      </c>
      <c r="Z241" s="882">
        <f t="shared" ref="Z241:Z302" si="100">IF(Y241&gt;100%,100%,Y241)</f>
        <v>0.5</v>
      </c>
      <c r="AA241" s="883">
        <f>+Z241</f>
        <v>0.5</v>
      </c>
      <c r="AB241" s="644"/>
      <c r="AC241" s="543">
        <f>+'Plan de Accion 2018'!BF209</f>
        <v>1</v>
      </c>
      <c r="AD241" s="767">
        <f>+'Plan de Accion 2018'!BS209</f>
        <v>1</v>
      </c>
      <c r="AE241" s="629">
        <f>IF(AD241&gt;100%,100%,AD241)</f>
        <v>1</v>
      </c>
      <c r="AF241" s="767">
        <f>+'Plan de Accion 2018'!BJ209</f>
        <v>1</v>
      </c>
      <c r="AG241" s="637">
        <f>IF(AF241&gt;100%,100%,AF241)</f>
        <v>1</v>
      </c>
      <c r="AH241" s="1458"/>
      <c r="AI241" s="1014"/>
      <c r="AJ241" s="1471"/>
      <c r="AK241" s="1446"/>
      <c r="AL241" s="321"/>
      <c r="AM241" s="1468"/>
      <c r="AN241" s="1446"/>
      <c r="AO241" s="321"/>
      <c r="AP241" s="1446"/>
      <c r="AQ241" s="1446"/>
      <c r="AR241" s="321"/>
      <c r="AS241" s="1446"/>
      <c r="AT241" s="1446"/>
      <c r="AU241" s="326"/>
      <c r="AV241" s="1452"/>
      <c r="AX241" s="1471"/>
      <c r="AY241" s="1446"/>
      <c r="AZ241" s="321"/>
      <c r="BA241" s="1468"/>
      <c r="BB241" s="1446"/>
      <c r="BC241" s="321"/>
      <c r="BD241" s="1446"/>
      <c r="BE241" s="1446"/>
      <c r="BF241" s="321"/>
      <c r="BG241" s="1446"/>
      <c r="BH241" s="1446"/>
      <c r="BI241" s="326"/>
      <c r="BJ241" s="1452"/>
      <c r="BL241" s="1471"/>
      <c r="BM241" s="1446"/>
      <c r="BN241" s="321"/>
      <c r="BO241" s="1468"/>
      <c r="BP241" s="1446"/>
      <c r="BQ241" s="321"/>
      <c r="BR241" s="1446"/>
      <c r="BS241" s="1446"/>
      <c r="BT241" s="321"/>
      <c r="BU241" s="1446"/>
      <c r="BV241" s="1446"/>
      <c r="BW241" s="326"/>
      <c r="BX241" s="1452"/>
      <c r="BZ241" s="1471"/>
      <c r="CA241" s="1446"/>
      <c r="CB241" s="321"/>
      <c r="CC241" s="1468"/>
      <c r="CD241" s="1446"/>
      <c r="CE241" s="321"/>
      <c r="CF241" s="1446"/>
      <c r="CG241" s="1446"/>
      <c r="CH241" s="321"/>
      <c r="CI241" s="1446"/>
      <c r="CJ241" s="1446"/>
      <c r="CK241" s="326"/>
      <c r="CL241" s="1452"/>
    </row>
    <row r="242" spans="2:90" s="542" customFormat="1" ht="28.5" x14ac:dyDescent="0.2">
      <c r="B242" s="1393"/>
      <c r="C242" s="1397"/>
      <c r="D242" s="852" t="str">
        <f>+'Plan de Accion 2018'!G210</f>
        <v>Mapa de riesgos de corrupción (nueva versión) de ser necesario</v>
      </c>
      <c r="E242" s="1428"/>
      <c r="F242" s="544" t="str">
        <f>+'Plan de Accion 2018'!S210</f>
        <v># Mapas de riesgos de corrupción actualizados</v>
      </c>
      <c r="G242" s="298"/>
      <c r="H242" s="543">
        <f>+'Plan de Accion 2018'!AB210</f>
        <v>0</v>
      </c>
      <c r="I242" s="767" t="str">
        <f>+'Plan de Accion 2018'!BM210</f>
        <v>No Prog ni Ejec</v>
      </c>
      <c r="J242" s="767" t="s">
        <v>792</v>
      </c>
      <c r="K242" s="767">
        <f>+'Plan de Accion 2018'!AF210</f>
        <v>0</v>
      </c>
      <c r="L242" s="875">
        <f t="shared" si="98"/>
        <v>0</v>
      </c>
      <c r="M242" s="682" t="s">
        <v>792</v>
      </c>
      <c r="N242" s="644"/>
      <c r="O242" s="543">
        <f>+'Plan de Accion 2018'!AL210</f>
        <v>0</v>
      </c>
      <c r="P242" s="767" t="str">
        <f>+'Plan de Accion 2018'!BO210</f>
        <v>No Prog ni Ejec</v>
      </c>
      <c r="Q242" s="629" t="s">
        <v>792</v>
      </c>
      <c r="R242" s="751">
        <f>+'Plan de Accion 2018'!AP210</f>
        <v>0</v>
      </c>
      <c r="S242" s="873">
        <f t="shared" si="99"/>
        <v>0</v>
      </c>
      <c r="T242" s="682" t="s">
        <v>792</v>
      </c>
      <c r="U242" s="329"/>
      <c r="V242" s="543">
        <f>+'Plan de Accion 2018'!AV210</f>
        <v>0</v>
      </c>
      <c r="W242" s="767" t="s">
        <v>792</v>
      </c>
      <c r="X242" s="629" t="s">
        <v>792</v>
      </c>
      <c r="Y242" s="882">
        <f>+'Plan de Accion 2018'!AZ210</f>
        <v>0</v>
      </c>
      <c r="Z242" s="882">
        <f t="shared" si="100"/>
        <v>0</v>
      </c>
      <c r="AA242" s="883" t="s">
        <v>792</v>
      </c>
      <c r="AB242" s="644"/>
      <c r="AC242" s="543">
        <f>+'Plan de Accion 2018'!BF210</f>
        <v>2</v>
      </c>
      <c r="AD242" s="767">
        <f>+'Plan de Accion 2018'!BS210</f>
        <v>2</v>
      </c>
      <c r="AE242" s="629">
        <f>IF(AD242&gt;100%,100%,AD242)</f>
        <v>1</v>
      </c>
      <c r="AF242" s="767">
        <f>+'Plan de Accion 2018'!BJ210</f>
        <v>1</v>
      </c>
      <c r="AG242" s="637">
        <f>IF(AF242&gt;100%,100%,AF242)</f>
        <v>1</v>
      </c>
      <c r="AH242" s="1458"/>
      <c r="AI242" s="1014"/>
      <c r="AJ242" s="1471"/>
      <c r="AK242" s="1446"/>
      <c r="AL242" s="321"/>
      <c r="AM242" s="1468"/>
      <c r="AN242" s="1446"/>
      <c r="AO242" s="321"/>
      <c r="AP242" s="1446"/>
      <c r="AQ242" s="1446"/>
      <c r="AR242" s="321"/>
      <c r="AS242" s="1446"/>
      <c r="AT242" s="1446"/>
      <c r="AU242" s="326"/>
      <c r="AV242" s="1452"/>
      <c r="AX242" s="1471"/>
      <c r="AY242" s="1446"/>
      <c r="AZ242" s="321"/>
      <c r="BA242" s="1468"/>
      <c r="BB242" s="1446"/>
      <c r="BC242" s="321"/>
      <c r="BD242" s="1446"/>
      <c r="BE242" s="1446"/>
      <c r="BF242" s="321"/>
      <c r="BG242" s="1446"/>
      <c r="BH242" s="1446"/>
      <c r="BI242" s="326"/>
      <c r="BJ242" s="1452"/>
      <c r="BL242" s="1471"/>
      <c r="BM242" s="1446"/>
      <c r="BN242" s="321"/>
      <c r="BO242" s="1468"/>
      <c r="BP242" s="1446"/>
      <c r="BQ242" s="321"/>
      <c r="BR242" s="1446"/>
      <c r="BS242" s="1446"/>
      <c r="BT242" s="321"/>
      <c r="BU242" s="1446"/>
      <c r="BV242" s="1446"/>
      <c r="BW242" s="326"/>
      <c r="BX242" s="1452"/>
      <c r="BZ242" s="1471"/>
      <c r="CA242" s="1446"/>
      <c r="CB242" s="321"/>
      <c r="CC242" s="1468"/>
      <c r="CD242" s="1446"/>
      <c r="CE242" s="321"/>
      <c r="CF242" s="1446"/>
      <c r="CG242" s="1446"/>
      <c r="CH242" s="321"/>
      <c r="CI242" s="1446"/>
      <c r="CJ242" s="1446"/>
      <c r="CK242" s="326"/>
      <c r="CL242" s="1452"/>
    </row>
    <row r="243" spans="2:90" ht="42.75" x14ac:dyDescent="0.2">
      <c r="B243" s="1393"/>
      <c r="C243" s="1397"/>
      <c r="D243" s="768" t="str">
        <f>+'Plan de Accion 2018'!G45</f>
        <v>Procesos y Procedimientos</v>
      </c>
      <c r="E243" s="1424" t="str">
        <f>+'Plan de Accion 2018'!B45</f>
        <v>Dirección de Liquidaciones y Garantías</v>
      </c>
      <c r="F243" s="544" t="str">
        <f>+'Plan de Accion 2018'!S45</f>
        <v># procedimientos Aprobados / # Procedimientos identificados</v>
      </c>
      <c r="H243" s="543">
        <f>+'Plan de Accion 2018'!AB45</f>
        <v>0.94285714285714284</v>
      </c>
      <c r="I243" s="767">
        <f>+'Plan de Accion 2018'!AF45</f>
        <v>0.94285714285714284</v>
      </c>
      <c r="J243" s="767">
        <f>IF(I243&gt;100%,100%,I243)</f>
        <v>0.94285714285714284</v>
      </c>
      <c r="K243" s="767">
        <f>+'Plan de Accion 2018'!AF45</f>
        <v>0.94285714285714284</v>
      </c>
      <c r="L243" s="875">
        <f t="shared" si="98"/>
        <v>0.94285714285714284</v>
      </c>
      <c r="M243" s="682">
        <f>+L243</f>
        <v>0.94285714285714284</v>
      </c>
      <c r="N243" s="644">
        <v>1</v>
      </c>
      <c r="O243" s="543">
        <f>+'Plan de Accion 2018'!AL45</f>
        <v>6.0606060606060608E-2</v>
      </c>
      <c r="P243" s="767">
        <f>+'Plan de Accion 2018'!BO45</f>
        <v>0.24242424242424243</v>
      </c>
      <c r="Q243" s="629">
        <f t="shared" si="76"/>
        <v>0.24242424242424243</v>
      </c>
      <c r="R243" s="751">
        <f>+'Plan de Accion 2018'!AP45</f>
        <v>1.0034632034632034</v>
      </c>
      <c r="S243" s="873">
        <f t="shared" si="99"/>
        <v>1</v>
      </c>
      <c r="T243" s="637">
        <f>+S243</f>
        <v>1</v>
      </c>
      <c r="U243" s="329"/>
      <c r="V243" s="543">
        <f>+'Plan de Accion 2018'!AV45</f>
        <v>0</v>
      </c>
      <c r="W243" s="767">
        <f>+'Plan de Accion 2018'!BQ45</f>
        <v>0</v>
      </c>
      <c r="X243" s="629">
        <f t="shared" si="77"/>
        <v>0</v>
      </c>
      <c r="Y243" s="882">
        <f>+'Plan de Accion 2018'!AZ45</f>
        <v>1.0034632034632034</v>
      </c>
      <c r="Z243" s="882">
        <f t="shared" si="100"/>
        <v>1</v>
      </c>
      <c r="AA243" s="883">
        <f>+Z243</f>
        <v>1</v>
      </c>
      <c r="AB243" s="644"/>
      <c r="AC243" s="543">
        <f>+'Plan de Accion 2018'!BF45</f>
        <v>0</v>
      </c>
      <c r="AD243" s="767">
        <f>+'Plan de Accion 2018'!BS45</f>
        <v>0</v>
      </c>
      <c r="AE243" s="629">
        <f t="shared" si="74"/>
        <v>0</v>
      </c>
      <c r="AF243" s="767">
        <f>+'Plan de Accion 2018'!BJ45</f>
        <v>1.0034632034632034</v>
      </c>
      <c r="AG243" s="637">
        <f t="shared" si="75"/>
        <v>1</v>
      </c>
      <c r="AH243" s="1458"/>
      <c r="AJ243" s="1471"/>
      <c r="AK243" s="1446"/>
      <c r="AL243" s="321"/>
      <c r="AM243" s="1468"/>
      <c r="AN243" s="1446"/>
      <c r="AO243" s="321"/>
      <c r="AP243" s="1446"/>
      <c r="AQ243" s="1446"/>
      <c r="AR243" s="321"/>
      <c r="AS243" s="1446"/>
      <c r="AT243" s="1446"/>
      <c r="AU243" s="326"/>
      <c r="AV243" s="1452"/>
      <c r="AX243" s="1471"/>
      <c r="AY243" s="1446"/>
      <c r="AZ243" s="321"/>
      <c r="BA243" s="1468"/>
      <c r="BB243" s="1446"/>
      <c r="BC243" s="321"/>
      <c r="BD243" s="1446"/>
      <c r="BE243" s="1446"/>
      <c r="BF243" s="321"/>
      <c r="BG243" s="1446"/>
      <c r="BH243" s="1446"/>
      <c r="BI243" s="326"/>
      <c r="BJ243" s="1452"/>
      <c r="BL243" s="1471"/>
      <c r="BM243" s="1446"/>
      <c r="BN243" s="321"/>
      <c r="BO243" s="1468"/>
      <c r="BP243" s="1446"/>
      <c r="BQ243" s="321"/>
      <c r="BR243" s="1446"/>
      <c r="BS243" s="1446"/>
      <c r="BT243" s="321"/>
      <c r="BU243" s="1446"/>
      <c r="BV243" s="1446"/>
      <c r="BW243" s="326"/>
      <c r="BX243" s="1452"/>
      <c r="BZ243" s="1471"/>
      <c r="CA243" s="1446"/>
      <c r="CB243" s="321"/>
      <c r="CC243" s="1468"/>
      <c r="CD243" s="1446"/>
      <c r="CE243" s="321"/>
      <c r="CF243" s="1446"/>
      <c r="CG243" s="1446"/>
      <c r="CH243" s="321"/>
      <c r="CI243" s="1446"/>
      <c r="CJ243" s="1446"/>
      <c r="CK243" s="326"/>
      <c r="CL243" s="1452"/>
    </row>
    <row r="244" spans="2:90" ht="42.75" x14ac:dyDescent="0.2">
      <c r="B244" s="1393"/>
      <c r="C244" s="1397"/>
      <c r="D244" s="754" t="str">
        <f>+'Plan de Accion 2018'!G46</f>
        <v>Evaluar la gestión y resultados de los procesos de calidad de la Dependencia</v>
      </c>
      <c r="E244" s="1349"/>
      <c r="F244" s="544" t="str">
        <f>+'Plan de Accion 2018'!S46</f>
        <v># Indicadores Medidos / # Indicadores Sujetos de Medición</v>
      </c>
      <c r="H244" s="543">
        <f>+'Plan de Accion 2018'!AB46</f>
        <v>0</v>
      </c>
      <c r="I244" s="767" t="str">
        <f>+'Plan de Accion 2018'!BM46</f>
        <v>No Prog ni Ejec</v>
      </c>
      <c r="J244" s="767" t="s">
        <v>792</v>
      </c>
      <c r="K244" s="767" t="s">
        <v>792</v>
      </c>
      <c r="L244" s="875" t="s">
        <v>792</v>
      </c>
      <c r="M244" s="682" t="s">
        <v>792</v>
      </c>
      <c r="N244" s="644"/>
      <c r="O244" s="543">
        <f>+'Plan de Accion 2018'!AL46</f>
        <v>0</v>
      </c>
      <c r="P244" s="767" t="str">
        <f>+'Plan de Accion 2018'!BO46</f>
        <v>No Prog ni Ejec</v>
      </c>
      <c r="Q244" s="629" t="s">
        <v>792</v>
      </c>
      <c r="R244" s="751" t="s">
        <v>792</v>
      </c>
      <c r="S244" s="873" t="s">
        <v>792</v>
      </c>
      <c r="T244" s="637" t="s">
        <v>792</v>
      </c>
      <c r="U244" s="329"/>
      <c r="V244" s="543">
        <f>+'Plan de Accion 2018'!AV46</f>
        <v>0</v>
      </c>
      <c r="W244" s="767" t="str">
        <f>+'Plan de Accion 2018'!BQ46</f>
        <v>No Prog ni Ejec</v>
      </c>
      <c r="X244" s="629" t="s">
        <v>792</v>
      </c>
      <c r="Y244" s="882" t="s">
        <v>792</v>
      </c>
      <c r="Z244" s="882" t="s">
        <v>792</v>
      </c>
      <c r="AA244" s="883" t="s">
        <v>792</v>
      </c>
      <c r="AB244" s="644"/>
      <c r="AC244" s="543">
        <f>+'Plan de Accion 2018'!BF46</f>
        <v>0</v>
      </c>
      <c r="AD244" s="767" t="str">
        <f>+'Plan de Accion 2018'!BS46</f>
        <v>No Prog ni Ejec</v>
      </c>
      <c r="AE244" s="629" t="s">
        <v>792</v>
      </c>
      <c r="AF244" s="767" t="s">
        <v>792</v>
      </c>
      <c r="AG244" s="637" t="s">
        <v>792</v>
      </c>
      <c r="AH244" s="1458"/>
      <c r="AJ244" s="1471"/>
      <c r="AK244" s="1446"/>
      <c r="AL244" s="321"/>
      <c r="AM244" s="1468"/>
      <c r="AN244" s="1446"/>
      <c r="AO244" s="321"/>
      <c r="AP244" s="1446"/>
      <c r="AQ244" s="1446"/>
      <c r="AR244" s="321"/>
      <c r="AS244" s="1446"/>
      <c r="AT244" s="1446"/>
      <c r="AU244" s="326"/>
      <c r="AV244" s="1452"/>
      <c r="AX244" s="1471"/>
      <c r="AY244" s="1446"/>
      <c r="AZ244" s="321"/>
      <c r="BA244" s="1468"/>
      <c r="BB244" s="1446"/>
      <c r="BC244" s="321"/>
      <c r="BD244" s="1446"/>
      <c r="BE244" s="1446"/>
      <c r="BF244" s="321"/>
      <c r="BG244" s="1446"/>
      <c r="BH244" s="1446"/>
      <c r="BI244" s="326"/>
      <c r="BJ244" s="1452"/>
      <c r="BL244" s="1471"/>
      <c r="BM244" s="1446"/>
      <c r="BN244" s="321"/>
      <c r="BO244" s="1468"/>
      <c r="BP244" s="1446"/>
      <c r="BQ244" s="321"/>
      <c r="BR244" s="1446"/>
      <c r="BS244" s="1446"/>
      <c r="BT244" s="321"/>
      <c r="BU244" s="1446"/>
      <c r="BV244" s="1446"/>
      <c r="BW244" s="326"/>
      <c r="BX244" s="1452"/>
      <c r="BZ244" s="1471"/>
      <c r="CA244" s="1446"/>
      <c r="CB244" s="321"/>
      <c r="CC244" s="1468"/>
      <c r="CD244" s="1446"/>
      <c r="CE244" s="321"/>
      <c r="CF244" s="1446"/>
      <c r="CG244" s="1446"/>
      <c r="CH244" s="321"/>
      <c r="CI244" s="1446"/>
      <c r="CJ244" s="1446"/>
      <c r="CK244" s="326"/>
      <c r="CL244" s="1452"/>
    </row>
    <row r="245" spans="2:90" s="542" customFormat="1" ht="42.75" x14ac:dyDescent="0.2">
      <c r="B245" s="1393"/>
      <c r="C245" s="1397"/>
      <c r="D245" s="754" t="str">
        <f>+'Plan de Accion 2018'!G213</f>
        <v>Reuniones de Autocontrol que evidencie(n) monitoreo al mapa de riesgos de corrupción</v>
      </c>
      <c r="E245" s="1349"/>
      <c r="F245" s="544" t="str">
        <f>+'Plan de Accion 2018'!S213</f>
        <v># Reuniones de Autocontrol realizadas</v>
      </c>
      <c r="G245" s="298"/>
      <c r="H245" s="543">
        <f>+'Plan de Accion 2018'!AB213</f>
        <v>0</v>
      </c>
      <c r="I245" s="767" t="str">
        <f>+'Plan de Accion 2018'!BM213</f>
        <v>No Prog ni Ejec</v>
      </c>
      <c r="J245" s="767" t="s">
        <v>792</v>
      </c>
      <c r="K245" s="767">
        <f>+'Plan de Accion 2018'!AF213</f>
        <v>0</v>
      </c>
      <c r="L245" s="875">
        <f t="shared" si="98"/>
        <v>0</v>
      </c>
      <c r="M245" s="682" t="s">
        <v>792</v>
      </c>
      <c r="N245" s="644"/>
      <c r="O245" s="543">
        <f>+'Plan de Accion 2018'!AL213</f>
        <v>0</v>
      </c>
      <c r="P245" s="767" t="str">
        <f>+'Plan de Accion 2018'!BO213</f>
        <v>No Prog ni Ejec</v>
      </c>
      <c r="Q245" s="629" t="s">
        <v>792</v>
      </c>
      <c r="R245" s="751">
        <f>+'Plan de Accion 2018'!AP213</f>
        <v>0</v>
      </c>
      <c r="S245" s="873">
        <f t="shared" si="99"/>
        <v>0</v>
      </c>
      <c r="T245" s="682" t="s">
        <v>792</v>
      </c>
      <c r="U245" s="329"/>
      <c r="V245" s="543">
        <f>+'Plan de Accion 2018'!AV213</f>
        <v>0</v>
      </c>
      <c r="W245" s="767">
        <f>+'Plan de Accion 2018'!BQ213</f>
        <v>0</v>
      </c>
      <c r="X245" s="629">
        <f t="shared" si="77"/>
        <v>0</v>
      </c>
      <c r="Y245" s="882">
        <f>+'Plan de Accion 2018'!AZ213</f>
        <v>0</v>
      </c>
      <c r="Z245" s="882">
        <f t="shared" si="100"/>
        <v>0</v>
      </c>
      <c r="AA245" s="883">
        <f>+Z245</f>
        <v>0</v>
      </c>
      <c r="AB245" s="644"/>
      <c r="AC245" s="543">
        <f>+'Plan de Accion 2018'!BF213</f>
        <v>1</v>
      </c>
      <c r="AD245" s="767">
        <f>+'Plan de Accion 2018'!BS213</f>
        <v>1</v>
      </c>
      <c r="AE245" s="629">
        <f>IF(AD245&gt;100%,100%,AD245)</f>
        <v>1</v>
      </c>
      <c r="AF245" s="767">
        <f>+'Plan de Accion 2018'!BJ213</f>
        <v>0.5</v>
      </c>
      <c r="AG245" s="637">
        <f>IF(AF245&gt;100%,100%,AF245)</f>
        <v>0.5</v>
      </c>
      <c r="AH245" s="1458"/>
      <c r="AI245" s="1014"/>
      <c r="AJ245" s="1471"/>
      <c r="AK245" s="1446"/>
      <c r="AL245" s="321"/>
      <c r="AM245" s="1468"/>
      <c r="AN245" s="1446"/>
      <c r="AO245" s="321"/>
      <c r="AP245" s="1446"/>
      <c r="AQ245" s="1446"/>
      <c r="AR245" s="321"/>
      <c r="AS245" s="1446"/>
      <c r="AT245" s="1446"/>
      <c r="AU245" s="326"/>
      <c r="AV245" s="1452"/>
      <c r="AX245" s="1471"/>
      <c r="AY245" s="1446"/>
      <c r="AZ245" s="321"/>
      <c r="BA245" s="1468"/>
      <c r="BB245" s="1446"/>
      <c r="BC245" s="321"/>
      <c r="BD245" s="1446"/>
      <c r="BE245" s="1446"/>
      <c r="BF245" s="321"/>
      <c r="BG245" s="1446"/>
      <c r="BH245" s="1446"/>
      <c r="BI245" s="326"/>
      <c r="BJ245" s="1452"/>
      <c r="BL245" s="1471"/>
      <c r="BM245" s="1446"/>
      <c r="BN245" s="321"/>
      <c r="BO245" s="1468"/>
      <c r="BP245" s="1446"/>
      <c r="BQ245" s="321"/>
      <c r="BR245" s="1446"/>
      <c r="BS245" s="1446"/>
      <c r="BT245" s="321"/>
      <c r="BU245" s="1446"/>
      <c r="BV245" s="1446"/>
      <c r="BW245" s="326"/>
      <c r="BX245" s="1452"/>
      <c r="BZ245" s="1471"/>
      <c r="CA245" s="1446"/>
      <c r="CB245" s="321"/>
      <c r="CC245" s="1468"/>
      <c r="CD245" s="1446"/>
      <c r="CE245" s="321"/>
      <c r="CF245" s="1446"/>
      <c r="CG245" s="1446"/>
      <c r="CH245" s="321"/>
      <c r="CI245" s="1446"/>
      <c r="CJ245" s="1446"/>
      <c r="CK245" s="326"/>
      <c r="CL245" s="1452"/>
    </row>
    <row r="246" spans="2:90" s="542" customFormat="1" ht="28.5" x14ac:dyDescent="0.2">
      <c r="B246" s="1393"/>
      <c r="C246" s="1397"/>
      <c r="D246" s="852" t="str">
        <f>+'Plan de Accion 2018'!G214</f>
        <v>Mapa de riesgos de corrupción (nueva versión) de ser necesario</v>
      </c>
      <c r="E246" s="1428"/>
      <c r="F246" s="544" t="str">
        <f>+'Plan de Accion 2018'!S214</f>
        <v># Mapas de riesgos de corrupción actualizados</v>
      </c>
      <c r="G246" s="298"/>
      <c r="H246" s="543">
        <f>+'Plan de Accion 2018'!AB214</f>
        <v>0</v>
      </c>
      <c r="I246" s="767" t="str">
        <f>+'Plan de Accion 2018'!BM214</f>
        <v>No Prog ni Ejec</v>
      </c>
      <c r="J246" s="767" t="s">
        <v>792</v>
      </c>
      <c r="K246" s="767">
        <f>+'Plan de Accion 2018'!AF214</f>
        <v>0</v>
      </c>
      <c r="L246" s="875">
        <f t="shared" si="98"/>
        <v>0</v>
      </c>
      <c r="M246" s="682" t="s">
        <v>792</v>
      </c>
      <c r="N246" s="644"/>
      <c r="O246" s="543">
        <f>+'Plan de Accion 2018'!AL214</f>
        <v>0</v>
      </c>
      <c r="P246" s="767" t="str">
        <f>+'Plan de Accion 2018'!BO214</f>
        <v>No Prog ni Ejec</v>
      </c>
      <c r="Q246" s="629" t="s">
        <v>792</v>
      </c>
      <c r="R246" s="751">
        <f>+'Plan de Accion 2018'!AP214</f>
        <v>0</v>
      </c>
      <c r="S246" s="873">
        <f t="shared" si="99"/>
        <v>0</v>
      </c>
      <c r="T246" s="682" t="s">
        <v>792</v>
      </c>
      <c r="U246" s="329"/>
      <c r="V246" s="543">
        <f>+'Plan de Accion 2018'!AV214</f>
        <v>0</v>
      </c>
      <c r="W246" s="629" t="s">
        <v>792</v>
      </c>
      <c r="X246" s="629" t="s">
        <v>792</v>
      </c>
      <c r="Y246" s="882">
        <f>+'Plan de Accion 2018'!AZ214</f>
        <v>0</v>
      </c>
      <c r="Z246" s="882">
        <f t="shared" si="100"/>
        <v>0</v>
      </c>
      <c r="AA246" s="883" t="s">
        <v>792</v>
      </c>
      <c r="AB246" s="644"/>
      <c r="AC246" s="543">
        <f>+'Plan de Accion 2018'!BF214</f>
        <v>1</v>
      </c>
      <c r="AD246" s="767">
        <f>+'Plan de Accion 2018'!BS214</f>
        <v>1</v>
      </c>
      <c r="AE246" s="629">
        <f>IF(AD246&gt;100%,100%,AD246)</f>
        <v>1</v>
      </c>
      <c r="AF246" s="767">
        <v>1</v>
      </c>
      <c r="AG246" s="637">
        <f>IF(AF246&gt;100%,100%,AF246)</f>
        <v>1</v>
      </c>
      <c r="AH246" s="1458"/>
      <c r="AI246" s="1014"/>
      <c r="AJ246" s="1471"/>
      <c r="AK246" s="1446"/>
      <c r="AL246" s="321"/>
      <c r="AM246" s="1468"/>
      <c r="AN246" s="1446"/>
      <c r="AO246" s="321"/>
      <c r="AP246" s="1446"/>
      <c r="AQ246" s="1446"/>
      <c r="AR246" s="321"/>
      <c r="AS246" s="1446"/>
      <c r="AT246" s="1446"/>
      <c r="AU246" s="326"/>
      <c r="AV246" s="1452"/>
      <c r="AX246" s="1471"/>
      <c r="AY246" s="1446"/>
      <c r="AZ246" s="321"/>
      <c r="BA246" s="1468"/>
      <c r="BB246" s="1446"/>
      <c r="BC246" s="321"/>
      <c r="BD246" s="1446"/>
      <c r="BE246" s="1446"/>
      <c r="BF246" s="321"/>
      <c r="BG246" s="1446"/>
      <c r="BH246" s="1446"/>
      <c r="BI246" s="326"/>
      <c r="BJ246" s="1452"/>
      <c r="BL246" s="1471"/>
      <c r="BM246" s="1446"/>
      <c r="BN246" s="321"/>
      <c r="BO246" s="1468"/>
      <c r="BP246" s="1446"/>
      <c r="BQ246" s="321"/>
      <c r="BR246" s="1446"/>
      <c r="BS246" s="1446"/>
      <c r="BT246" s="321"/>
      <c r="BU246" s="1446"/>
      <c r="BV246" s="1446"/>
      <c r="BW246" s="326"/>
      <c r="BX246" s="1452"/>
      <c r="BZ246" s="1471"/>
      <c r="CA246" s="1446"/>
      <c r="CB246" s="321"/>
      <c r="CC246" s="1468"/>
      <c r="CD246" s="1446"/>
      <c r="CE246" s="321"/>
      <c r="CF246" s="1446"/>
      <c r="CG246" s="1446"/>
      <c r="CH246" s="321"/>
      <c r="CI246" s="1446"/>
      <c r="CJ246" s="1446"/>
      <c r="CK246" s="326"/>
      <c r="CL246" s="1452"/>
    </row>
    <row r="247" spans="2:90" ht="43.5" thickBot="1" x14ac:dyDescent="0.25">
      <c r="B247" s="1393"/>
      <c r="C247" s="1397"/>
      <c r="D247" s="768" t="str">
        <f>+'Plan de Accion 2018'!G64</f>
        <v>Procesos y Procedimientos</v>
      </c>
      <c r="E247" s="1424" t="str">
        <f>+'Plan de Accion 2018'!B64</f>
        <v xml:space="preserve">Dirección de Otras Prestaciones  </v>
      </c>
      <c r="F247" s="544" t="str">
        <f>+'Plan de Accion 2018'!S64</f>
        <v># procedimientos Aprobados / # Procedimientos identificados</v>
      </c>
      <c r="H247" s="543">
        <f>+'Plan de Accion 2018'!AB64</f>
        <v>1</v>
      </c>
      <c r="I247" s="767">
        <f>+'Plan de Accion 2018'!BM64</f>
        <v>4</v>
      </c>
      <c r="J247" s="767">
        <f>IF(I247&gt;100%,100%,I247)</f>
        <v>1</v>
      </c>
      <c r="K247" s="767">
        <f>+'Plan de Accion 2018'!AF64</f>
        <v>1</v>
      </c>
      <c r="L247" s="875">
        <f t="shared" si="98"/>
        <v>1</v>
      </c>
      <c r="M247" s="682">
        <f>+L247</f>
        <v>1</v>
      </c>
      <c r="N247" s="644">
        <v>1</v>
      </c>
      <c r="O247" s="543">
        <f>+'Plan de Accion 2018'!AL64</f>
        <v>0</v>
      </c>
      <c r="P247" s="767">
        <f>+'Plan de Accion 2018'!BO64</f>
        <v>0</v>
      </c>
      <c r="Q247" s="629">
        <f t="shared" si="76"/>
        <v>0</v>
      </c>
      <c r="R247" s="751">
        <f>+'Plan de Accion 2018'!AP64</f>
        <v>1</v>
      </c>
      <c r="S247" s="873">
        <f t="shared" si="99"/>
        <v>1</v>
      </c>
      <c r="T247" s="637">
        <f>+S247</f>
        <v>1</v>
      </c>
      <c r="U247" s="329"/>
      <c r="V247" s="543">
        <f>+'Plan de Accion 2018'!AV64</f>
        <v>0</v>
      </c>
      <c r="W247" s="767">
        <f>+'Plan de Accion 2018'!BQ64</f>
        <v>0</v>
      </c>
      <c r="X247" s="629">
        <f t="shared" si="77"/>
        <v>0</v>
      </c>
      <c r="Y247" s="882">
        <f>+'Plan de Accion 2018'!AZ64</f>
        <v>1</v>
      </c>
      <c r="Z247" s="882">
        <f t="shared" si="100"/>
        <v>1</v>
      </c>
      <c r="AA247" s="883">
        <f>+Z247</f>
        <v>1</v>
      </c>
      <c r="AB247" s="644"/>
      <c r="AC247" s="543">
        <f>+'Plan de Accion 2018'!BF64</f>
        <v>0</v>
      </c>
      <c r="AD247" s="767">
        <f>+'Plan de Accion 2018'!BS64</f>
        <v>0</v>
      </c>
      <c r="AE247" s="629">
        <f t="shared" si="74"/>
        <v>0</v>
      </c>
      <c r="AF247" s="767">
        <f>+'Plan de Accion 2018'!BJ64</f>
        <v>1</v>
      </c>
      <c r="AG247" s="637">
        <f t="shared" si="75"/>
        <v>1</v>
      </c>
      <c r="AH247" s="1459"/>
      <c r="AJ247" s="1472"/>
      <c r="AK247" s="1447"/>
      <c r="AL247" s="321"/>
      <c r="AM247" s="1469"/>
      <c r="AN247" s="1447"/>
      <c r="AO247" s="321"/>
      <c r="AP247" s="1447"/>
      <c r="AQ247" s="1447"/>
      <c r="AR247" s="321"/>
      <c r="AS247" s="1447"/>
      <c r="AT247" s="1447"/>
      <c r="AU247" s="326"/>
      <c r="AV247" s="1453"/>
      <c r="AX247" s="1472"/>
      <c r="AY247" s="1447"/>
      <c r="AZ247" s="321"/>
      <c r="BA247" s="1469"/>
      <c r="BB247" s="1447"/>
      <c r="BC247" s="321"/>
      <c r="BD247" s="1447"/>
      <c r="BE247" s="1447"/>
      <c r="BF247" s="321"/>
      <c r="BG247" s="1447"/>
      <c r="BH247" s="1447"/>
      <c r="BI247" s="326"/>
      <c r="BJ247" s="1453"/>
      <c r="BL247" s="1472"/>
      <c r="BM247" s="1447"/>
      <c r="BN247" s="321"/>
      <c r="BO247" s="1469"/>
      <c r="BP247" s="1447"/>
      <c r="BQ247" s="321"/>
      <c r="BR247" s="1447"/>
      <c r="BS247" s="1447"/>
      <c r="BT247" s="321"/>
      <c r="BU247" s="1447"/>
      <c r="BV247" s="1447"/>
      <c r="BW247" s="326"/>
      <c r="BX247" s="1453"/>
      <c r="BZ247" s="1472"/>
      <c r="CA247" s="1447"/>
      <c r="CB247" s="321"/>
      <c r="CC247" s="1469"/>
      <c r="CD247" s="1447"/>
      <c r="CE247" s="321"/>
      <c r="CF247" s="1447"/>
      <c r="CG247" s="1447"/>
      <c r="CH247" s="321"/>
      <c r="CI247" s="1447"/>
      <c r="CJ247" s="1447"/>
      <c r="CK247" s="326"/>
      <c r="CL247" s="1453"/>
    </row>
    <row r="248" spans="2:90" ht="42.75" x14ac:dyDescent="0.2">
      <c r="B248" s="1393"/>
      <c r="C248" s="1397"/>
      <c r="D248" s="754" t="str">
        <f>+'Plan de Accion 2018'!G65</f>
        <v>Evaluar la gestión y resultados de los procesos de calidad de la Dependencia</v>
      </c>
      <c r="E248" s="1349"/>
      <c r="F248" s="544" t="str">
        <f>+'Plan de Accion 2018'!S65</f>
        <v># Indicadores Medidos / # Indicadores Sujetos de Medición</v>
      </c>
      <c r="H248" s="543">
        <f>+'Plan de Accion 2018'!AB65</f>
        <v>0</v>
      </c>
      <c r="I248" s="767" t="str">
        <f>+'Plan de Accion 2018'!BM65</f>
        <v>No Prog ni Ejec</v>
      </c>
      <c r="J248" s="767" t="s">
        <v>792</v>
      </c>
      <c r="K248" s="767">
        <f>+'Plan de Accion 2018'!AF65</f>
        <v>0</v>
      </c>
      <c r="L248" s="875">
        <f t="shared" si="98"/>
        <v>0</v>
      </c>
      <c r="M248" s="682" t="s">
        <v>792</v>
      </c>
      <c r="N248" s="644"/>
      <c r="O248" s="543">
        <f>+'Plan de Accion 2018'!AL65</f>
        <v>0</v>
      </c>
      <c r="P248" s="767" t="str">
        <f>+'Plan de Accion 2018'!BO65</f>
        <v>No Prog ni Ejec</v>
      </c>
      <c r="Q248" s="629" t="s">
        <v>792</v>
      </c>
      <c r="R248" s="751">
        <f>+'Plan de Accion 2018'!AP65</f>
        <v>0</v>
      </c>
      <c r="S248" s="873">
        <f t="shared" si="99"/>
        <v>0</v>
      </c>
      <c r="T248" s="637" t="s">
        <v>792</v>
      </c>
      <c r="U248" s="329"/>
      <c r="V248" s="543">
        <f>+'Plan de Accion 2018'!AV65</f>
        <v>0</v>
      </c>
      <c r="W248" s="767" t="str">
        <f>+'Plan de Accion 2018'!BQ65</f>
        <v>No Prog ni Ejec</v>
      </c>
      <c r="X248" s="629" t="s">
        <v>792</v>
      </c>
      <c r="Y248" s="882">
        <f>+'Plan de Accion 2018'!AZ65</f>
        <v>0</v>
      </c>
      <c r="Z248" s="882">
        <f t="shared" si="100"/>
        <v>0</v>
      </c>
      <c r="AA248" s="883" t="s">
        <v>792</v>
      </c>
      <c r="AB248" s="644"/>
      <c r="AC248" s="543">
        <f>+'Plan de Accion 2018'!BF65</f>
        <v>1</v>
      </c>
      <c r="AD248" s="767">
        <f>+'Plan de Accion 2018'!BS65</f>
        <v>1</v>
      </c>
      <c r="AE248" s="629">
        <f t="shared" si="74"/>
        <v>1</v>
      </c>
      <c r="AF248" s="767">
        <f>+'Plan de Accion 2018'!BJ65</f>
        <v>1</v>
      </c>
      <c r="AG248" s="637">
        <f t="shared" si="75"/>
        <v>1</v>
      </c>
      <c r="AH248" s="1457"/>
      <c r="AJ248" s="1445"/>
      <c r="AK248" s="1445"/>
      <c r="AL248" s="321"/>
      <c r="AM248" s="1467"/>
      <c r="AN248" s="1445"/>
      <c r="AO248" s="321"/>
      <c r="AP248" s="1445"/>
      <c r="AQ248" s="1445"/>
      <c r="AR248" s="321"/>
      <c r="AS248" s="1445"/>
      <c r="AT248" s="1445"/>
      <c r="AU248" s="326"/>
      <c r="AV248" s="1451"/>
      <c r="AX248" s="1445"/>
      <c r="AY248" s="1445"/>
      <c r="AZ248" s="321"/>
      <c r="BA248" s="1467"/>
      <c r="BB248" s="1445"/>
      <c r="BC248" s="321"/>
      <c r="BD248" s="1445"/>
      <c r="BE248" s="1445"/>
      <c r="BF248" s="321"/>
      <c r="BG248" s="1445"/>
      <c r="BH248" s="1445"/>
      <c r="BI248" s="326"/>
      <c r="BJ248" s="1451"/>
      <c r="BL248" s="1445"/>
      <c r="BM248" s="1445"/>
      <c r="BN248" s="321"/>
      <c r="BO248" s="1467"/>
      <c r="BP248" s="1445"/>
      <c r="BQ248" s="321"/>
      <c r="BR248" s="1445"/>
      <c r="BS248" s="1445"/>
      <c r="BT248" s="321"/>
      <c r="BU248" s="1445"/>
      <c r="BV248" s="1445"/>
      <c r="BW248" s="326"/>
      <c r="BX248" s="1451"/>
      <c r="BZ248" s="1445"/>
      <c r="CA248" s="1445"/>
      <c r="CB248" s="321"/>
      <c r="CC248" s="1467"/>
      <c r="CD248" s="1445"/>
      <c r="CE248" s="321"/>
      <c r="CF248" s="1445"/>
      <c r="CG248" s="1445"/>
      <c r="CH248" s="321"/>
      <c r="CI248" s="1445"/>
      <c r="CJ248" s="1445"/>
      <c r="CK248" s="326"/>
      <c r="CL248" s="1451"/>
    </row>
    <row r="249" spans="2:90" s="542" customFormat="1" ht="42.75" x14ac:dyDescent="0.2">
      <c r="B249" s="1393"/>
      <c r="C249" s="1397"/>
      <c r="D249" s="754" t="str">
        <f>+'Plan de Accion 2018'!G215</f>
        <v>Reuniones de Autocontrol que evidencie(n) monitoreo al mapa de riesgos de corrupción</v>
      </c>
      <c r="E249" s="1349"/>
      <c r="F249" s="544" t="str">
        <f>+'Plan de Accion 2018'!S215</f>
        <v># Reuniones de Autocontrol realizadas</v>
      </c>
      <c r="G249" s="298"/>
      <c r="H249" s="543">
        <f>+'Plan de Accion 2018'!AB215</f>
        <v>0</v>
      </c>
      <c r="I249" s="767" t="str">
        <f>+'Plan de Accion 2018'!BM215</f>
        <v>No Prog ni Ejec</v>
      </c>
      <c r="J249" s="767" t="s">
        <v>792</v>
      </c>
      <c r="K249" s="767">
        <f>+'Plan de Accion 2018'!AF215</f>
        <v>0</v>
      </c>
      <c r="L249" s="875">
        <f t="shared" si="98"/>
        <v>0</v>
      </c>
      <c r="M249" s="682" t="s">
        <v>792</v>
      </c>
      <c r="N249" s="644"/>
      <c r="O249" s="543">
        <f>+'Plan de Accion 2018'!AL215</f>
        <v>0</v>
      </c>
      <c r="P249" s="767" t="str">
        <f>+'Plan de Accion 2018'!BO215</f>
        <v>No Prog ni Ejec</v>
      </c>
      <c r="Q249" s="629" t="s">
        <v>792</v>
      </c>
      <c r="R249" s="751">
        <f>+'Plan de Accion 2018'!AP125</f>
        <v>0</v>
      </c>
      <c r="S249" s="873">
        <f t="shared" si="99"/>
        <v>0</v>
      </c>
      <c r="T249" s="682" t="s">
        <v>792</v>
      </c>
      <c r="U249" s="329"/>
      <c r="V249" s="543">
        <f>+'Plan de Accion 2018'!AV215</f>
        <v>1</v>
      </c>
      <c r="W249" s="767">
        <f>+'Plan de Accion 2018'!BQ215</f>
        <v>1</v>
      </c>
      <c r="X249" s="629">
        <f t="shared" si="77"/>
        <v>1</v>
      </c>
      <c r="Y249" s="882">
        <f>+'Plan de Accion 2018'!AZ215</f>
        <v>0.5</v>
      </c>
      <c r="Z249" s="882">
        <f t="shared" si="100"/>
        <v>0.5</v>
      </c>
      <c r="AA249" s="883">
        <f>+Z249</f>
        <v>0.5</v>
      </c>
      <c r="AB249" s="644"/>
      <c r="AC249" s="543">
        <f>+'Plan de Accion 2018'!BF215</f>
        <v>1</v>
      </c>
      <c r="AD249" s="767">
        <f>+'Plan de Accion 2018'!BS215</f>
        <v>1</v>
      </c>
      <c r="AE249" s="629">
        <f>IF(AD249&gt;100%,100%,AD249)</f>
        <v>1</v>
      </c>
      <c r="AF249" s="767">
        <f>+'Plan de Accion 2018'!BJ215</f>
        <v>1</v>
      </c>
      <c r="AG249" s="637">
        <f>IF(AF249&gt;100%,100%,AF249)</f>
        <v>1</v>
      </c>
      <c r="AH249" s="1458"/>
      <c r="AI249" s="1014"/>
      <c r="AJ249" s="1446"/>
      <c r="AK249" s="1446"/>
      <c r="AL249" s="321"/>
      <c r="AM249" s="1468"/>
      <c r="AN249" s="1446"/>
      <c r="AO249" s="321"/>
      <c r="AP249" s="1446"/>
      <c r="AQ249" s="1446"/>
      <c r="AR249" s="321"/>
      <c r="AS249" s="1446"/>
      <c r="AT249" s="1446"/>
      <c r="AU249" s="326"/>
      <c r="AV249" s="1452"/>
      <c r="AX249" s="1446"/>
      <c r="AY249" s="1446"/>
      <c r="AZ249" s="321"/>
      <c r="BA249" s="1468"/>
      <c r="BB249" s="1446"/>
      <c r="BC249" s="321"/>
      <c r="BD249" s="1446"/>
      <c r="BE249" s="1446"/>
      <c r="BF249" s="321"/>
      <c r="BG249" s="1446"/>
      <c r="BH249" s="1446"/>
      <c r="BI249" s="326"/>
      <c r="BJ249" s="1452"/>
      <c r="BL249" s="1446"/>
      <c r="BM249" s="1446"/>
      <c r="BN249" s="321"/>
      <c r="BO249" s="1468"/>
      <c r="BP249" s="1446"/>
      <c r="BQ249" s="321"/>
      <c r="BR249" s="1446"/>
      <c r="BS249" s="1446"/>
      <c r="BT249" s="321"/>
      <c r="BU249" s="1446"/>
      <c r="BV249" s="1446"/>
      <c r="BW249" s="326"/>
      <c r="BX249" s="1452"/>
      <c r="BZ249" s="1446"/>
      <c r="CA249" s="1446"/>
      <c r="CB249" s="321"/>
      <c r="CC249" s="1468"/>
      <c r="CD249" s="1446"/>
      <c r="CE249" s="321"/>
      <c r="CF249" s="1446"/>
      <c r="CG249" s="1446"/>
      <c r="CH249" s="321"/>
      <c r="CI249" s="1446"/>
      <c r="CJ249" s="1446"/>
      <c r="CK249" s="326"/>
      <c r="CL249" s="1452"/>
    </row>
    <row r="250" spans="2:90" s="542" customFormat="1" ht="71.25" x14ac:dyDescent="0.2">
      <c r="B250" s="1393"/>
      <c r="C250" s="1397"/>
      <c r="D250" s="852" t="str">
        <f>+'Plan de Accion 2018'!G216</f>
        <v>Mapa de riesgos de corrupción (nueva versión) de ser necesario</v>
      </c>
      <c r="E250" s="1428"/>
      <c r="F250" s="544" t="str">
        <f>+'Plan de Accion 2018'!K216</f>
        <v>Ajustar mapa de riesgos de corrupción de ser necesario y solicitar cambios (remitir a Oficina Asesora de Planeación)</v>
      </c>
      <c r="G250" s="298"/>
      <c r="H250" s="543">
        <f>+'Plan de Accion 2018'!AB216</f>
        <v>0</v>
      </c>
      <c r="I250" s="767" t="str">
        <f>+'Plan de Accion 2018'!BM216</f>
        <v>No Prog ni Ejec</v>
      </c>
      <c r="J250" s="767" t="s">
        <v>792</v>
      </c>
      <c r="K250" s="767">
        <f>+'Plan de Accion 2018'!AF216</f>
        <v>0</v>
      </c>
      <c r="L250" s="875">
        <f t="shared" si="98"/>
        <v>0</v>
      </c>
      <c r="M250" s="682" t="s">
        <v>792</v>
      </c>
      <c r="N250" s="644"/>
      <c r="O250" s="543">
        <f>+'Plan de Accion 2018'!AL216</f>
        <v>0</v>
      </c>
      <c r="P250" s="767" t="str">
        <f>+'Plan de Accion 2018'!BO216</f>
        <v>No Prog ni Ejec</v>
      </c>
      <c r="Q250" s="629" t="s">
        <v>792</v>
      </c>
      <c r="R250" s="751">
        <f>+'Plan de Accion 2018'!AP126</f>
        <v>0</v>
      </c>
      <c r="S250" s="873">
        <f t="shared" si="99"/>
        <v>0</v>
      </c>
      <c r="T250" s="682" t="s">
        <v>792</v>
      </c>
      <c r="U250" s="329"/>
      <c r="V250" s="543">
        <f>+'Plan de Accion 2018'!AV216</f>
        <v>0</v>
      </c>
      <c r="W250" s="629" t="s">
        <v>792</v>
      </c>
      <c r="X250" s="629" t="s">
        <v>792</v>
      </c>
      <c r="Y250" s="882">
        <f>+'Plan de Accion 2018'!AZ216</f>
        <v>0</v>
      </c>
      <c r="Z250" s="882">
        <f t="shared" si="100"/>
        <v>0</v>
      </c>
      <c r="AA250" s="883" t="s">
        <v>792</v>
      </c>
      <c r="AB250" s="644"/>
      <c r="AC250" s="543">
        <f>+'Plan de Accion 2018'!BF216</f>
        <v>1</v>
      </c>
      <c r="AD250" s="767">
        <f>+'Plan de Accion 2018'!BS216</f>
        <v>1</v>
      </c>
      <c r="AE250" s="629">
        <f>IF(AD250&gt;100%,100%,AD250)</f>
        <v>1</v>
      </c>
      <c r="AF250" s="767">
        <v>1</v>
      </c>
      <c r="AG250" s="637">
        <f>IF(AF250&gt;100%,100%,AF250)</f>
        <v>1</v>
      </c>
      <c r="AH250" s="1458"/>
      <c r="AI250" s="1014"/>
      <c r="AJ250" s="1446"/>
      <c r="AK250" s="1446"/>
      <c r="AL250" s="321"/>
      <c r="AM250" s="1468"/>
      <c r="AN250" s="1446"/>
      <c r="AO250" s="321"/>
      <c r="AP250" s="1446"/>
      <c r="AQ250" s="1446"/>
      <c r="AR250" s="321"/>
      <c r="AS250" s="1446"/>
      <c r="AT250" s="1446"/>
      <c r="AU250" s="326"/>
      <c r="AV250" s="1452"/>
      <c r="AX250" s="1446"/>
      <c r="AY250" s="1446"/>
      <c r="AZ250" s="321"/>
      <c r="BA250" s="1468"/>
      <c r="BB250" s="1446"/>
      <c r="BC250" s="321"/>
      <c r="BD250" s="1446"/>
      <c r="BE250" s="1446"/>
      <c r="BF250" s="321"/>
      <c r="BG250" s="1446"/>
      <c r="BH250" s="1446"/>
      <c r="BI250" s="326"/>
      <c r="BJ250" s="1452"/>
      <c r="BL250" s="1446"/>
      <c r="BM250" s="1446"/>
      <c r="BN250" s="321"/>
      <c r="BO250" s="1468"/>
      <c r="BP250" s="1446"/>
      <c r="BQ250" s="321"/>
      <c r="BR250" s="1446"/>
      <c r="BS250" s="1446"/>
      <c r="BT250" s="321"/>
      <c r="BU250" s="1446"/>
      <c r="BV250" s="1446"/>
      <c r="BW250" s="326"/>
      <c r="BX250" s="1452"/>
      <c r="BZ250" s="1446"/>
      <c r="CA250" s="1446"/>
      <c r="CB250" s="321"/>
      <c r="CC250" s="1468"/>
      <c r="CD250" s="1446"/>
      <c r="CE250" s="321"/>
      <c r="CF250" s="1446"/>
      <c r="CG250" s="1446"/>
      <c r="CH250" s="321"/>
      <c r="CI250" s="1446"/>
      <c r="CJ250" s="1446"/>
      <c r="CK250" s="326"/>
      <c r="CL250" s="1452"/>
    </row>
    <row r="251" spans="2:90" ht="42.75" customHeight="1" x14ac:dyDescent="0.2">
      <c r="B251" s="1393"/>
      <c r="C251" s="1397"/>
      <c r="D251" s="754" t="str">
        <f>+'Plan de Accion 2018'!G76</f>
        <v>Procesos y Procedimientos</v>
      </c>
      <c r="E251" s="1424" t="str">
        <f>+'Plan de Accion 2018'!B76</f>
        <v>Dirección de Gestión de Tecnología de la Información y la Comunicación</v>
      </c>
      <c r="F251" s="544" t="str">
        <f>+'Plan de Accion 2018'!S76</f>
        <v># Procedimientos Aprobados / # Procedimientos identificados</v>
      </c>
      <c r="H251" s="543">
        <f>+'Plan de Accion 2018'!AB76</f>
        <v>0.46150000000000002</v>
      </c>
      <c r="I251" s="767">
        <f>+'Plan de Accion 2018'!BM76</f>
        <v>1.8460000000000001</v>
      </c>
      <c r="J251" s="767">
        <f>IF(I251&gt;100%,100%,I251)</f>
        <v>1</v>
      </c>
      <c r="K251" s="767">
        <f>+'Plan de Accion 2018'!AF76</f>
        <v>0.46150000000000002</v>
      </c>
      <c r="L251" s="875">
        <f t="shared" si="98"/>
        <v>0.46150000000000002</v>
      </c>
      <c r="M251" s="682">
        <f>+L251</f>
        <v>0.46150000000000002</v>
      </c>
      <c r="N251" s="644">
        <v>1</v>
      </c>
      <c r="O251" s="543">
        <f>+'Plan de Accion 2018'!AL76</f>
        <v>0.53846153846153844</v>
      </c>
      <c r="P251" s="767">
        <f>+'Plan de Accion 2018'!BO76</f>
        <v>2.1538461538461537</v>
      </c>
      <c r="Q251" s="629">
        <f t="shared" si="76"/>
        <v>1</v>
      </c>
      <c r="R251" s="751">
        <f>+'Plan de Accion 2018'!AP76</f>
        <v>0.99996153846153846</v>
      </c>
      <c r="S251" s="873">
        <f t="shared" si="99"/>
        <v>0.99996153846153846</v>
      </c>
      <c r="T251" s="637">
        <f>+S251</f>
        <v>0.99996153846153846</v>
      </c>
      <c r="U251" s="644">
        <v>1</v>
      </c>
      <c r="V251" s="543">
        <f>+'Plan de Accion 2018'!AV76</f>
        <v>0</v>
      </c>
      <c r="W251" s="767">
        <f>+'Plan de Accion 2018'!BQ76</f>
        <v>0</v>
      </c>
      <c r="X251" s="629">
        <f t="shared" si="77"/>
        <v>0</v>
      </c>
      <c r="Y251" s="882">
        <f>+'Plan de Accion 2018'!AZ76</f>
        <v>0.99996153846153846</v>
      </c>
      <c r="Z251" s="882">
        <f t="shared" si="100"/>
        <v>0.99996153846153846</v>
      </c>
      <c r="AA251" s="883">
        <f>+Z251</f>
        <v>0.99996153846153846</v>
      </c>
      <c r="AB251" s="644"/>
      <c r="AC251" s="543">
        <f>+'Plan de Accion 2018'!BF76</f>
        <v>0</v>
      </c>
      <c r="AD251" s="767">
        <f>+'Plan de Accion 2018'!BS76</f>
        <v>0</v>
      </c>
      <c r="AE251" s="629">
        <f t="shared" si="74"/>
        <v>0</v>
      </c>
      <c r="AF251" s="767">
        <f>+'Plan de Accion 2018'!BJ76</f>
        <v>0.99996153846153846</v>
      </c>
      <c r="AG251" s="637">
        <f t="shared" si="75"/>
        <v>0.99996153846153846</v>
      </c>
      <c r="AH251" s="1458"/>
      <c r="AJ251" s="1446"/>
      <c r="AK251" s="1446"/>
      <c r="AL251" s="321"/>
      <c r="AM251" s="1468"/>
      <c r="AN251" s="1446"/>
      <c r="AO251" s="321"/>
      <c r="AP251" s="1446"/>
      <c r="AQ251" s="1446"/>
      <c r="AR251" s="321"/>
      <c r="AS251" s="1446"/>
      <c r="AT251" s="1446"/>
      <c r="AU251" s="326"/>
      <c r="AV251" s="1452"/>
      <c r="AX251" s="1446"/>
      <c r="AY251" s="1446"/>
      <c r="AZ251" s="321"/>
      <c r="BA251" s="1468"/>
      <c r="BB251" s="1446"/>
      <c r="BC251" s="321"/>
      <c r="BD251" s="1446"/>
      <c r="BE251" s="1446"/>
      <c r="BF251" s="321"/>
      <c r="BG251" s="1446"/>
      <c r="BH251" s="1446"/>
      <c r="BI251" s="326"/>
      <c r="BJ251" s="1452"/>
      <c r="BL251" s="1446"/>
      <c r="BM251" s="1446"/>
      <c r="BN251" s="321"/>
      <c r="BO251" s="1468"/>
      <c r="BP251" s="1446"/>
      <c r="BQ251" s="321"/>
      <c r="BR251" s="1446"/>
      <c r="BS251" s="1446"/>
      <c r="BT251" s="321"/>
      <c r="BU251" s="1446"/>
      <c r="BV251" s="1446"/>
      <c r="BW251" s="326"/>
      <c r="BX251" s="1452"/>
      <c r="BZ251" s="1446"/>
      <c r="CA251" s="1446"/>
      <c r="CB251" s="321"/>
      <c r="CC251" s="1468"/>
      <c r="CD251" s="1446"/>
      <c r="CE251" s="321"/>
      <c r="CF251" s="1446"/>
      <c r="CG251" s="1446"/>
      <c r="CH251" s="321"/>
      <c r="CI251" s="1446"/>
      <c r="CJ251" s="1446"/>
      <c r="CK251" s="326"/>
      <c r="CL251" s="1452"/>
    </row>
    <row r="252" spans="2:90" ht="43.5" thickBot="1" x14ac:dyDescent="0.25">
      <c r="B252" s="1393"/>
      <c r="C252" s="1397"/>
      <c r="D252" s="754" t="str">
        <f>+'Plan de Accion 2018'!G77</f>
        <v>Evaluar la gestión y resultados de los procesos de calidad de la Dependencia</v>
      </c>
      <c r="E252" s="1349"/>
      <c r="F252" s="544" t="str">
        <f>+'Plan de Accion 2018'!S77</f>
        <v># Informes Publicados / # Informes Proyectados a Publicar</v>
      </c>
      <c r="H252" s="543">
        <f>+'Plan de Accion 2018'!AB77</f>
        <v>0</v>
      </c>
      <c r="I252" s="767" t="str">
        <f>+'Plan de Accion 2018'!BM77</f>
        <v>No Prog ni Ejec</v>
      </c>
      <c r="J252" s="767" t="s">
        <v>792</v>
      </c>
      <c r="K252" s="767">
        <f>+'Plan de Accion 2018'!AF77</f>
        <v>0</v>
      </c>
      <c r="L252" s="875">
        <f t="shared" si="98"/>
        <v>0</v>
      </c>
      <c r="M252" s="682" t="s">
        <v>792</v>
      </c>
      <c r="N252" s="644"/>
      <c r="O252" s="543">
        <f>+'Plan de Accion 2018'!AL77</f>
        <v>0</v>
      </c>
      <c r="P252" s="767" t="str">
        <f>+'Plan de Accion 2018'!BO77</f>
        <v>No Prog ni Ejec</v>
      </c>
      <c r="Q252" s="629" t="s">
        <v>792</v>
      </c>
      <c r="R252" s="751">
        <f>+'Plan de Accion 2018'!AP77</f>
        <v>0</v>
      </c>
      <c r="S252" s="873">
        <f t="shared" si="99"/>
        <v>0</v>
      </c>
      <c r="T252" s="637" t="s">
        <v>792</v>
      </c>
      <c r="U252" s="329"/>
      <c r="V252" s="543">
        <f>+'Plan de Accion 2018'!AV77</f>
        <v>0</v>
      </c>
      <c r="W252" s="767" t="str">
        <f>+'Plan de Accion 2018'!BQ77</f>
        <v>No Prog ni Ejec</v>
      </c>
      <c r="X252" s="629" t="s">
        <v>792</v>
      </c>
      <c r="Y252" s="882">
        <f>+'Plan de Accion 2018'!AZ77</f>
        <v>0</v>
      </c>
      <c r="Z252" s="882">
        <f t="shared" si="100"/>
        <v>0</v>
      </c>
      <c r="AA252" s="883" t="s">
        <v>792</v>
      </c>
      <c r="AB252" s="644"/>
      <c r="AC252" s="543">
        <f>+'Plan de Accion 2018'!BF77</f>
        <v>0.66</v>
      </c>
      <c r="AD252" s="767">
        <f>+'Plan de Accion 2018'!BS77</f>
        <v>0.66</v>
      </c>
      <c r="AE252" s="629">
        <f t="shared" si="74"/>
        <v>0.66</v>
      </c>
      <c r="AF252" s="767">
        <f>+'Plan de Accion 2018'!BJ77</f>
        <v>0.16500000000000001</v>
      </c>
      <c r="AG252" s="637">
        <f t="shared" si="75"/>
        <v>0.16500000000000001</v>
      </c>
      <c r="AH252" s="1459"/>
      <c r="AJ252" s="1447"/>
      <c r="AK252" s="1447"/>
      <c r="AL252" s="321"/>
      <c r="AM252" s="1469"/>
      <c r="AN252" s="1447"/>
      <c r="AO252" s="321"/>
      <c r="AP252" s="1447"/>
      <c r="AQ252" s="1447"/>
      <c r="AR252" s="321"/>
      <c r="AS252" s="1447"/>
      <c r="AT252" s="1447"/>
      <c r="AU252" s="326"/>
      <c r="AV252" s="1453"/>
      <c r="AX252" s="1447"/>
      <c r="AY252" s="1447"/>
      <c r="AZ252" s="321"/>
      <c r="BA252" s="1469"/>
      <c r="BB252" s="1447"/>
      <c r="BC252" s="321"/>
      <c r="BD252" s="1447"/>
      <c r="BE252" s="1447"/>
      <c r="BF252" s="321"/>
      <c r="BG252" s="1447"/>
      <c r="BH252" s="1447"/>
      <c r="BI252" s="326"/>
      <c r="BJ252" s="1453"/>
      <c r="BL252" s="1447"/>
      <c r="BM252" s="1447"/>
      <c r="BN252" s="321"/>
      <c r="BO252" s="1469"/>
      <c r="BP252" s="1447"/>
      <c r="BQ252" s="321"/>
      <c r="BR252" s="1447"/>
      <c r="BS252" s="1447"/>
      <c r="BT252" s="321"/>
      <c r="BU252" s="1447"/>
      <c r="BV252" s="1447"/>
      <c r="BW252" s="326"/>
      <c r="BX252" s="1453"/>
      <c r="BZ252" s="1447"/>
      <c r="CA252" s="1447"/>
      <c r="CB252" s="321"/>
      <c r="CC252" s="1469"/>
      <c r="CD252" s="1447"/>
      <c r="CE252" s="321"/>
      <c r="CF252" s="1447"/>
      <c r="CG252" s="1447"/>
      <c r="CH252" s="321"/>
      <c r="CI252" s="1447"/>
      <c r="CJ252" s="1447"/>
      <c r="CK252" s="326"/>
      <c r="CL252" s="1453"/>
    </row>
    <row r="253" spans="2:90" s="542" customFormat="1" ht="42.75" x14ac:dyDescent="0.2">
      <c r="B253" s="1393"/>
      <c r="C253" s="1397"/>
      <c r="D253" s="754" t="str">
        <f>+'Plan de Accion 2018'!G211</f>
        <v>Reuniones de Autocontrol que evidencie(n) monitoreo al mapa de riesgos de corrupción</v>
      </c>
      <c r="E253" s="1349"/>
      <c r="F253" s="544" t="str">
        <f>+'Plan de Accion 2018'!S211</f>
        <v># Reuniones de Autocontrol realizadas</v>
      </c>
      <c r="G253" s="298"/>
      <c r="H253" s="543">
        <f>+'Plan de Accion 2018'!AB211</f>
        <v>0</v>
      </c>
      <c r="I253" s="767" t="str">
        <f>+'Plan de Accion 2018'!BM211</f>
        <v>No Prog ni Ejec</v>
      </c>
      <c r="J253" s="767" t="s">
        <v>792</v>
      </c>
      <c r="K253" s="767">
        <f>+'Plan de Accion 2018'!AF211</f>
        <v>0</v>
      </c>
      <c r="L253" s="875">
        <f t="shared" si="98"/>
        <v>0</v>
      </c>
      <c r="M253" s="682" t="s">
        <v>792</v>
      </c>
      <c r="N253" s="644"/>
      <c r="O253" s="543">
        <f>+'Plan de Accion 2018'!AL211</f>
        <v>0</v>
      </c>
      <c r="P253" s="767" t="str">
        <f>+'Plan de Accion 2018'!BO211</f>
        <v>No Prog ni Ejec</v>
      </c>
      <c r="Q253" s="629" t="s">
        <v>792</v>
      </c>
      <c r="R253" s="751">
        <f>+'Plan de Accion 2018'!AP211</f>
        <v>0</v>
      </c>
      <c r="S253" s="873">
        <f t="shared" si="99"/>
        <v>0</v>
      </c>
      <c r="T253" s="637" t="s">
        <v>792</v>
      </c>
      <c r="U253" s="329"/>
      <c r="V253" s="543">
        <f>+'Plan de Accion 2018'!AV211</f>
        <v>0</v>
      </c>
      <c r="W253" s="767">
        <f>+'Plan de Accion 2018'!BQ211</f>
        <v>0</v>
      </c>
      <c r="X253" s="629">
        <f t="shared" si="77"/>
        <v>0</v>
      </c>
      <c r="Y253" s="882">
        <f>+'Plan de Accion 2018'!AZ211</f>
        <v>0</v>
      </c>
      <c r="Z253" s="882">
        <f t="shared" si="100"/>
        <v>0</v>
      </c>
      <c r="AA253" s="883">
        <f>+Z253</f>
        <v>0</v>
      </c>
      <c r="AB253" s="644"/>
      <c r="AC253" s="543">
        <f>+'Plan de Accion 2018'!BF211</f>
        <v>1</v>
      </c>
      <c r="AD253" s="767">
        <f>+'Plan de Accion 2018'!BS211</f>
        <v>1</v>
      </c>
      <c r="AE253" s="629">
        <f>IF(AD253&gt;100%,100%,AD253)</f>
        <v>1</v>
      </c>
      <c r="AF253" s="767">
        <f>+'Plan de Accion 2018'!BJ211</f>
        <v>0.5</v>
      </c>
      <c r="AG253" s="637">
        <f>IF(AF253&gt;100%,100%,AF253)</f>
        <v>0.5</v>
      </c>
      <c r="AH253" s="730"/>
      <c r="AI253" s="1014"/>
      <c r="AJ253" s="728"/>
      <c r="AK253" s="728"/>
      <c r="AL253" s="321"/>
      <c r="AM253" s="731"/>
      <c r="AN253" s="728"/>
      <c r="AO253" s="321"/>
      <c r="AP253" s="728"/>
      <c r="AQ253" s="728"/>
      <c r="AR253" s="321"/>
      <c r="AS253" s="728"/>
      <c r="AT253" s="728"/>
      <c r="AU253" s="326"/>
      <c r="AV253" s="729"/>
      <c r="AX253" s="728"/>
      <c r="AY253" s="728"/>
      <c r="AZ253" s="321"/>
      <c r="BA253" s="731"/>
      <c r="BB253" s="728"/>
      <c r="BC253" s="321"/>
      <c r="BD253" s="728"/>
      <c r="BE253" s="728"/>
      <c r="BF253" s="321"/>
      <c r="BG253" s="728"/>
      <c r="BH253" s="728"/>
      <c r="BI253" s="326"/>
      <c r="BJ253" s="729"/>
      <c r="BL253" s="728"/>
      <c r="BM253" s="728"/>
      <c r="BN253" s="321"/>
      <c r="BO253" s="731"/>
      <c r="BP253" s="728"/>
      <c r="BQ253" s="321"/>
      <c r="BR253" s="728"/>
      <c r="BS253" s="728"/>
      <c r="BT253" s="321"/>
      <c r="BU253" s="728"/>
      <c r="BV253" s="728"/>
      <c r="BW253" s="326"/>
      <c r="BX253" s="729"/>
      <c r="BZ253" s="728"/>
      <c r="CA253" s="728"/>
      <c r="CB253" s="321"/>
      <c r="CC253" s="731"/>
      <c r="CD253" s="728"/>
      <c r="CE253" s="321"/>
      <c r="CF253" s="728"/>
      <c r="CG253" s="728"/>
      <c r="CH253" s="321"/>
      <c r="CI253" s="728"/>
      <c r="CJ253" s="728"/>
      <c r="CK253" s="326"/>
      <c r="CL253" s="729"/>
    </row>
    <row r="254" spans="2:90" s="542" customFormat="1" ht="43.5" customHeight="1" x14ac:dyDescent="0.2">
      <c r="B254" s="1393"/>
      <c r="C254" s="1397"/>
      <c r="D254" s="852" t="str">
        <f>+'Plan de Accion 2018'!G212</f>
        <v>Mapa de riesgos de corrupción (nueva versión) de ser necesario</v>
      </c>
      <c r="E254" s="1349"/>
      <c r="F254" s="544" t="str">
        <f>+'Plan de Accion 2018'!S212</f>
        <v># Mapas de riesgos de corrupción actualizados</v>
      </c>
      <c r="G254" s="298"/>
      <c r="H254" s="543">
        <f>+'Plan de Accion 2018'!AB212</f>
        <v>0</v>
      </c>
      <c r="I254" s="767" t="str">
        <f>+'Plan de Accion 2018'!BM212</f>
        <v>No Prog ni Ejec</v>
      </c>
      <c r="J254" s="767" t="s">
        <v>792</v>
      </c>
      <c r="K254" s="767">
        <f>+'Plan de Accion 2018'!AF212</f>
        <v>0</v>
      </c>
      <c r="L254" s="875">
        <f t="shared" si="98"/>
        <v>0</v>
      </c>
      <c r="M254" s="682" t="s">
        <v>792</v>
      </c>
      <c r="N254" s="644"/>
      <c r="O254" s="543">
        <f>+'Plan de Accion 2018'!AL212</f>
        <v>0</v>
      </c>
      <c r="P254" s="767" t="str">
        <f>+'Plan de Accion 2018'!BO212</f>
        <v>No Prog ni Ejec</v>
      </c>
      <c r="Q254" s="629" t="s">
        <v>792</v>
      </c>
      <c r="R254" s="751">
        <f>+'Plan de Accion 2018'!AP212</f>
        <v>0</v>
      </c>
      <c r="S254" s="873">
        <f t="shared" si="99"/>
        <v>0</v>
      </c>
      <c r="T254" s="637" t="s">
        <v>792</v>
      </c>
      <c r="U254" s="329"/>
      <c r="V254" s="543">
        <f>+'Plan de Accion 2018'!AV212</f>
        <v>0</v>
      </c>
      <c r="W254" s="767" t="s">
        <v>792</v>
      </c>
      <c r="X254" s="629" t="s">
        <v>792</v>
      </c>
      <c r="Y254" s="882">
        <f>+'Plan de Accion 2018'!AZ212</f>
        <v>0</v>
      </c>
      <c r="Z254" s="882">
        <f t="shared" si="100"/>
        <v>0</v>
      </c>
      <c r="AA254" s="883" t="s">
        <v>792</v>
      </c>
      <c r="AB254" s="644"/>
      <c r="AC254" s="543">
        <f>+'Plan de Accion 2018'!BF212</f>
        <v>1</v>
      </c>
      <c r="AD254" s="767">
        <f>+'Plan de Accion 2018'!BS212</f>
        <v>1</v>
      </c>
      <c r="AE254" s="629">
        <f>IF(AD254&gt;100%,100%,AD254)</f>
        <v>1</v>
      </c>
      <c r="AF254" s="767">
        <v>1</v>
      </c>
      <c r="AG254" s="637">
        <f>IF(AF254&gt;100%,100%,AF254)</f>
        <v>1</v>
      </c>
      <c r="AH254" s="730"/>
      <c r="AI254" s="1014"/>
      <c r="AJ254" s="728"/>
      <c r="AK254" s="728"/>
      <c r="AL254" s="321"/>
      <c r="AM254" s="731"/>
      <c r="AN254" s="728"/>
      <c r="AO254" s="321"/>
      <c r="AP254" s="728"/>
      <c r="AQ254" s="728"/>
      <c r="AR254" s="321"/>
      <c r="AS254" s="728"/>
      <c r="AT254" s="728"/>
      <c r="AU254" s="326"/>
      <c r="AV254" s="729"/>
      <c r="AX254" s="728"/>
      <c r="AY254" s="728"/>
      <c r="AZ254" s="321"/>
      <c r="BA254" s="731"/>
      <c r="BB254" s="728"/>
      <c r="BC254" s="321"/>
      <c r="BD254" s="728"/>
      <c r="BE254" s="728"/>
      <c r="BF254" s="321"/>
      <c r="BG254" s="728"/>
      <c r="BH254" s="728"/>
      <c r="BI254" s="326"/>
      <c r="BJ254" s="729"/>
      <c r="BL254" s="728"/>
      <c r="BM254" s="728"/>
      <c r="BN254" s="321"/>
      <c r="BO254" s="731"/>
      <c r="BP254" s="728"/>
      <c r="BQ254" s="321"/>
      <c r="BR254" s="728"/>
      <c r="BS254" s="728"/>
      <c r="BT254" s="321"/>
      <c r="BU254" s="728"/>
      <c r="BV254" s="728"/>
      <c r="BW254" s="326"/>
      <c r="BX254" s="729"/>
      <c r="BZ254" s="728"/>
      <c r="CA254" s="728"/>
      <c r="CB254" s="321"/>
      <c r="CC254" s="731"/>
      <c r="CD254" s="728"/>
      <c r="CE254" s="321"/>
      <c r="CF254" s="728"/>
      <c r="CG254" s="728"/>
      <c r="CH254" s="321"/>
      <c r="CI254" s="728"/>
      <c r="CJ254" s="728"/>
      <c r="CK254" s="326"/>
      <c r="CL254" s="729"/>
    </row>
    <row r="255" spans="2:90" s="542" customFormat="1" ht="43.5" customHeight="1" x14ac:dyDescent="0.2">
      <c r="B255" s="1393"/>
      <c r="C255" s="1397"/>
      <c r="D255" s="755" t="str">
        <f>+'Plan de Accion 2018'!G262</f>
        <v>Inventario Activos de la información de tipo "información y datos"</v>
      </c>
      <c r="E255" s="1349"/>
      <c r="F255" s="344" t="str">
        <f>+'Plan de Accion 2018'!S262</f>
        <v># Inventario de Activos de la información de tipo "información y datos" elaborados</v>
      </c>
      <c r="G255" s="298"/>
      <c r="H255" s="543">
        <f>+'Plan de Accion 2018'!AB262</f>
        <v>0</v>
      </c>
      <c r="I255" s="767" t="str">
        <f>+'Plan de Accion 2018'!BM262</f>
        <v>No Prog ni Ejec</v>
      </c>
      <c r="J255" s="767" t="s">
        <v>792</v>
      </c>
      <c r="K255" s="767">
        <f>+'Plan de Accion 2018'!AF262</f>
        <v>0</v>
      </c>
      <c r="L255" s="875">
        <f t="shared" si="98"/>
        <v>0</v>
      </c>
      <c r="M255" s="682" t="s">
        <v>792</v>
      </c>
      <c r="N255" s="644"/>
      <c r="O255" s="543">
        <f>+'Plan de Accion 2018'!AL262</f>
        <v>0</v>
      </c>
      <c r="P255" s="767" t="str">
        <f>+'Plan de Accion 2018'!BO262</f>
        <v>No Prog ni Ejec</v>
      </c>
      <c r="Q255" s="767" t="s">
        <v>792</v>
      </c>
      <c r="R255" s="751">
        <f>+'Plan de Accion 2018'!AP262</f>
        <v>0</v>
      </c>
      <c r="S255" s="873">
        <f t="shared" si="99"/>
        <v>0</v>
      </c>
      <c r="T255" s="682" t="s">
        <v>792</v>
      </c>
      <c r="U255" s="329"/>
      <c r="V255" s="543">
        <f>+'Plan de Accion 2018'!AV262</f>
        <v>1</v>
      </c>
      <c r="W255" s="767">
        <f>+'Plan de Accion 2018'!BQ262</f>
        <v>1</v>
      </c>
      <c r="X255" s="629">
        <f>IF(W255&gt;100%,100%,W255)</f>
        <v>1</v>
      </c>
      <c r="Y255" s="882">
        <f>+'Plan de Accion 2018'!AZ262</f>
        <v>1</v>
      </c>
      <c r="Z255" s="882">
        <f t="shared" si="100"/>
        <v>1</v>
      </c>
      <c r="AA255" s="883">
        <f>+Z255</f>
        <v>1</v>
      </c>
      <c r="AB255" s="644"/>
      <c r="AC255" s="543">
        <f>+'Plan de Accion 2018'!BF262</f>
        <v>0</v>
      </c>
      <c r="AD255" s="767" t="str">
        <f>+'Plan de Accion 2018'!BS262</f>
        <v>No Prog ni Ejec</v>
      </c>
      <c r="AE255" s="629" t="s">
        <v>792</v>
      </c>
      <c r="AF255" s="767">
        <f>+'Plan de Accion 2018'!BJ262</f>
        <v>1</v>
      </c>
      <c r="AG255" s="637">
        <f>IF(AF255&gt;100%,100%,AF255)</f>
        <v>1</v>
      </c>
      <c r="AH255" s="765"/>
      <c r="AI255" s="1014"/>
      <c r="AJ255" s="761"/>
      <c r="AK255" s="761"/>
      <c r="AL255" s="321"/>
      <c r="AM255" s="762"/>
      <c r="AN255" s="761"/>
      <c r="AO255" s="321"/>
      <c r="AP255" s="761"/>
      <c r="AQ255" s="761"/>
      <c r="AR255" s="321"/>
      <c r="AS255" s="761"/>
      <c r="AT255" s="761"/>
      <c r="AU255" s="326"/>
      <c r="AV255" s="764"/>
      <c r="AX255" s="761"/>
      <c r="AY255" s="761"/>
      <c r="AZ255" s="321"/>
      <c r="BA255" s="762"/>
      <c r="BB255" s="761"/>
      <c r="BC255" s="321"/>
      <c r="BD255" s="761"/>
      <c r="BE255" s="761"/>
      <c r="BF255" s="321"/>
      <c r="BG255" s="761"/>
      <c r="BH255" s="761"/>
      <c r="BI255" s="326"/>
      <c r="BJ255" s="764"/>
      <c r="BL255" s="761"/>
      <c r="BM255" s="761"/>
      <c r="BN255" s="321"/>
      <c r="BO255" s="762"/>
      <c r="BP255" s="761"/>
      <c r="BQ255" s="321"/>
      <c r="BR255" s="761"/>
      <c r="BS255" s="761"/>
      <c r="BT255" s="321"/>
      <c r="BU255" s="761"/>
      <c r="BV255" s="761"/>
      <c r="BW255" s="326"/>
      <c r="BX255" s="764"/>
      <c r="BZ255" s="761"/>
      <c r="CA255" s="761"/>
      <c r="CB255" s="321"/>
      <c r="CC255" s="762"/>
      <c r="CD255" s="761"/>
      <c r="CE255" s="321"/>
      <c r="CF255" s="761"/>
      <c r="CG255" s="761"/>
      <c r="CH255" s="321"/>
      <c r="CI255" s="761"/>
      <c r="CJ255" s="761"/>
      <c r="CK255" s="326"/>
      <c r="CL255" s="764"/>
    </row>
    <row r="256" spans="2:90" s="542" customFormat="1" ht="43.5" customHeight="1" thickBot="1" x14ac:dyDescent="0.25">
      <c r="B256" s="1393"/>
      <c r="C256" s="1397"/>
      <c r="D256" s="754" t="str">
        <f>+'Plan de Accion 2018'!G222</f>
        <v>Documento técnico de soporte de la estrategia de Interoperabilidad</v>
      </c>
      <c r="E256" s="1428"/>
      <c r="F256" s="544" t="str">
        <f>+'Plan de Accion 2018'!S222</f>
        <v># Documentos técnicos de soporte de la estrategia de Interoperabilidad elaborados</v>
      </c>
      <c r="G256" s="298"/>
      <c r="H256" s="543">
        <f>+'Plan de Accion 2018'!AB222</f>
        <v>0</v>
      </c>
      <c r="I256" s="767" t="str">
        <f>+'Plan de Accion 2018'!BM222</f>
        <v>No Prog ni Ejec</v>
      </c>
      <c r="J256" s="767" t="s">
        <v>792</v>
      </c>
      <c r="K256" s="767">
        <f>+'Plan de Accion 2018'!AF222</f>
        <v>0</v>
      </c>
      <c r="L256" s="875">
        <f t="shared" si="98"/>
        <v>0</v>
      </c>
      <c r="M256" s="682" t="s">
        <v>792</v>
      </c>
      <c r="N256" s="644"/>
      <c r="O256" s="543">
        <f>+'Plan de Accion 2018'!AL222</f>
        <v>0</v>
      </c>
      <c r="P256" s="767" t="str">
        <f>+'Plan de Accion 2018'!BO222</f>
        <v>No Prog ni Ejec</v>
      </c>
      <c r="Q256" s="629" t="s">
        <v>792</v>
      </c>
      <c r="R256" s="751">
        <f>+'Plan de Accion 2018'!AP222</f>
        <v>0</v>
      </c>
      <c r="S256" s="873">
        <f t="shared" si="99"/>
        <v>0</v>
      </c>
      <c r="T256" s="637" t="s">
        <v>792</v>
      </c>
      <c r="U256" s="329"/>
      <c r="V256" s="543">
        <f>+'Plan de Accion 2018'!AV222</f>
        <v>0</v>
      </c>
      <c r="W256" s="767" t="str">
        <f>+'Plan de Accion 2018'!BQ222</f>
        <v>No Prog ni Ejec</v>
      </c>
      <c r="X256" s="629" t="s">
        <v>792</v>
      </c>
      <c r="Y256" s="882">
        <f>+'Plan de Accion 2018'!AZ222</f>
        <v>0</v>
      </c>
      <c r="Z256" s="882">
        <f t="shared" si="100"/>
        <v>0</v>
      </c>
      <c r="AA256" s="883" t="s">
        <v>792</v>
      </c>
      <c r="AB256" s="644"/>
      <c r="AC256" s="543">
        <f>+'Plan de Accion 2018'!BF222</f>
        <v>1</v>
      </c>
      <c r="AD256" s="767">
        <f>+'Plan de Accion 2018'!BS222</f>
        <v>1</v>
      </c>
      <c r="AE256" s="629">
        <f>IF(AD256&gt;100%,100%,AD256)</f>
        <v>1</v>
      </c>
      <c r="AF256" s="767">
        <f>+'Plan de Accion 2018'!BJ222</f>
        <v>1</v>
      </c>
      <c r="AG256" s="637">
        <f>IF(AF256&gt;100%,100%,AF256)</f>
        <v>1</v>
      </c>
      <c r="AH256" s="730"/>
      <c r="AI256" s="1014"/>
      <c r="AJ256" s="728"/>
      <c r="AK256" s="728"/>
      <c r="AL256" s="321"/>
      <c r="AM256" s="731"/>
      <c r="AN256" s="728"/>
      <c r="AO256" s="321"/>
      <c r="AP256" s="728"/>
      <c r="AQ256" s="728"/>
      <c r="AR256" s="321"/>
      <c r="AS256" s="728"/>
      <c r="AT256" s="728"/>
      <c r="AU256" s="326"/>
      <c r="AV256" s="729"/>
      <c r="AX256" s="728"/>
      <c r="AY256" s="728"/>
      <c r="AZ256" s="321"/>
      <c r="BA256" s="731"/>
      <c r="BB256" s="728"/>
      <c r="BC256" s="321"/>
      <c r="BD256" s="728"/>
      <c r="BE256" s="728"/>
      <c r="BF256" s="321"/>
      <c r="BG256" s="728"/>
      <c r="BH256" s="728"/>
      <c r="BI256" s="326"/>
      <c r="BJ256" s="729"/>
      <c r="BL256" s="728"/>
      <c r="BM256" s="728"/>
      <c r="BN256" s="321"/>
      <c r="BO256" s="731"/>
      <c r="BP256" s="728"/>
      <c r="BQ256" s="321"/>
      <c r="BR256" s="728"/>
      <c r="BS256" s="728"/>
      <c r="BT256" s="321"/>
      <c r="BU256" s="728"/>
      <c r="BV256" s="728"/>
      <c r="BW256" s="326"/>
      <c r="BX256" s="729"/>
      <c r="BZ256" s="728"/>
      <c r="CA256" s="728"/>
      <c r="CB256" s="321"/>
      <c r="CC256" s="731"/>
      <c r="CD256" s="728"/>
      <c r="CE256" s="321"/>
      <c r="CF256" s="728"/>
      <c r="CG256" s="728"/>
      <c r="CH256" s="321"/>
      <c r="CI256" s="728"/>
      <c r="CJ256" s="728"/>
      <c r="CK256" s="326"/>
      <c r="CL256" s="729"/>
    </row>
    <row r="257" spans="2:90" ht="42.75" x14ac:dyDescent="0.2">
      <c r="B257" s="1393"/>
      <c r="C257" s="1397"/>
      <c r="D257" s="768" t="str">
        <f>+'Plan de Accion 2018'!G100</f>
        <v>Procesos y Procedimientos</v>
      </c>
      <c r="E257" s="1423" t="str">
        <f>+'Plan de Accion 2018'!B100</f>
        <v>Dirección Administrativa y Financiera</v>
      </c>
      <c r="F257" s="544" t="str">
        <f>+'Plan de Accion 2018'!S100</f>
        <v># procedimientos Aprobados / # Procedimientos identificados</v>
      </c>
      <c r="H257" s="543">
        <f>+'Plan de Accion 2018'!AB100</f>
        <v>0.15</v>
      </c>
      <c r="I257" s="767">
        <f>+'Plan de Accion 2018'!BM100</f>
        <v>1</v>
      </c>
      <c r="J257" s="767">
        <f>IF(I257&gt;100%,100%,I257)</f>
        <v>1</v>
      </c>
      <c r="K257" s="767">
        <f>+'Plan de Accion 2018'!AF100</f>
        <v>0.15</v>
      </c>
      <c r="L257" s="875">
        <f t="shared" si="98"/>
        <v>0.15</v>
      </c>
      <c r="M257" s="682">
        <f>+L257</f>
        <v>0.15</v>
      </c>
      <c r="N257" s="644"/>
      <c r="O257" s="543">
        <f>+'Plan de Accion 2018'!AL100</f>
        <v>0.7068965517241379</v>
      </c>
      <c r="P257" s="767">
        <f>+'Plan de Accion 2018'!BO100</f>
        <v>0.83164300202839758</v>
      </c>
      <c r="Q257" s="629">
        <f t="shared" si="76"/>
        <v>0.83164300202839758</v>
      </c>
      <c r="R257" s="751">
        <f>+'Plan de Accion 2018'!AP100</f>
        <v>0.85689655172413792</v>
      </c>
      <c r="S257" s="873">
        <f t="shared" si="99"/>
        <v>0.85689655172413792</v>
      </c>
      <c r="T257" s="637">
        <f>+S257</f>
        <v>0.85689655172413792</v>
      </c>
      <c r="U257" s="329"/>
      <c r="V257" s="543">
        <f>+'Plan de Accion 2018'!AV100</f>
        <v>0.29032258064516131</v>
      </c>
      <c r="W257" s="767">
        <f>+'Plan de Accion 2018'!AZ100</f>
        <v>1.1472191323692993</v>
      </c>
      <c r="X257" s="629">
        <f>IF(W257&gt;100%,100%,W257)</f>
        <v>1</v>
      </c>
      <c r="Y257" s="882">
        <f>+'Plan de Accion 2018'!AZ100</f>
        <v>1.1472191323692993</v>
      </c>
      <c r="Z257" s="882">
        <f t="shared" si="100"/>
        <v>1</v>
      </c>
      <c r="AA257" s="883">
        <f>+Z257</f>
        <v>1</v>
      </c>
      <c r="AB257" s="644">
        <v>1</v>
      </c>
      <c r="AC257" s="543">
        <f>+'Plan de Accion 2018'!BF100</f>
        <v>0</v>
      </c>
      <c r="AD257" s="767" t="str">
        <f>+'Plan de Accion 2018'!BS100</f>
        <v>No Prog ni Ejec</v>
      </c>
      <c r="AE257" s="629" t="s">
        <v>792</v>
      </c>
      <c r="AF257" s="767">
        <f>+'Plan de Accion 2018'!BJ100</f>
        <v>1.1472191323692993</v>
      </c>
      <c r="AG257" s="637">
        <f t="shared" si="75"/>
        <v>1</v>
      </c>
      <c r="AH257" s="335"/>
      <c r="AI257" s="1014">
        <v>1</v>
      </c>
      <c r="AJ257" s="1445"/>
      <c r="AK257" s="1445"/>
      <c r="AL257" s="321"/>
      <c r="AM257" s="1467"/>
      <c r="AN257" s="1445"/>
      <c r="AO257" s="321"/>
      <c r="AP257" s="1445"/>
      <c r="AQ257" s="1445"/>
      <c r="AR257" s="321"/>
      <c r="AS257" s="1445"/>
      <c r="AT257" s="1445"/>
      <c r="AU257" s="326"/>
      <c r="AV257" s="336"/>
      <c r="AX257" s="1445"/>
      <c r="AY257" s="1445"/>
      <c r="AZ257" s="321"/>
      <c r="BA257" s="1467"/>
      <c r="BB257" s="1445"/>
      <c r="BC257" s="321"/>
      <c r="BD257" s="1445"/>
      <c r="BE257" s="1445"/>
      <c r="BF257" s="321"/>
      <c r="BG257" s="1445"/>
      <c r="BH257" s="1445"/>
      <c r="BI257" s="326"/>
      <c r="BJ257" s="336"/>
      <c r="BL257" s="1445"/>
      <c r="BM257" s="1445"/>
      <c r="BN257" s="321"/>
      <c r="BO257" s="1467"/>
      <c r="BP257" s="1445"/>
      <c r="BQ257" s="321"/>
      <c r="BR257" s="1445"/>
      <c r="BS257" s="1445"/>
      <c r="BT257" s="321"/>
      <c r="BU257" s="1445"/>
      <c r="BV257" s="1445"/>
      <c r="BW257" s="326"/>
      <c r="BX257" s="336"/>
      <c r="BZ257" s="1445"/>
      <c r="CA257" s="1445"/>
      <c r="CB257" s="321"/>
      <c r="CC257" s="1467"/>
      <c r="CD257" s="1445"/>
      <c r="CE257" s="321"/>
      <c r="CF257" s="1445"/>
      <c r="CG257" s="1445"/>
      <c r="CH257" s="321"/>
      <c r="CI257" s="1445"/>
      <c r="CJ257" s="1445"/>
      <c r="CK257" s="326"/>
      <c r="CL257" s="336"/>
    </row>
    <row r="258" spans="2:90" ht="42.75" x14ac:dyDescent="0.2">
      <c r="B258" s="1393"/>
      <c r="C258" s="1397"/>
      <c r="D258" s="754" t="str">
        <f>+'Plan de Accion 2018'!G101</f>
        <v>Evaluar la gestión y resultados de los procesos de calidad de la Dependencia</v>
      </c>
      <c r="E258" s="1423"/>
      <c r="F258" s="544" t="str">
        <f>+'Plan de Accion 2018'!S101</f>
        <v># Indicadores Medidos / # Indicadores Sujetos de Medición</v>
      </c>
      <c r="H258" s="543">
        <f>+'Plan de Accion 2018'!AB101</f>
        <v>0</v>
      </c>
      <c r="I258" s="767" t="str">
        <f>+'Plan de Accion 2018'!BM101</f>
        <v>No Prog ni Ejec</v>
      </c>
      <c r="J258" s="767" t="s">
        <v>792</v>
      </c>
      <c r="K258" s="767">
        <f>+'Plan de Accion 2018'!AF101</f>
        <v>0</v>
      </c>
      <c r="L258" s="875">
        <f t="shared" si="98"/>
        <v>0</v>
      </c>
      <c r="M258" s="682" t="s">
        <v>792</v>
      </c>
      <c r="N258" s="644"/>
      <c r="O258" s="543">
        <f>+'Plan de Accion 2018'!AL101</f>
        <v>0</v>
      </c>
      <c r="P258" s="767" t="str">
        <f>+'Plan de Accion 2018'!BO101</f>
        <v>No Prog ni Ejec</v>
      </c>
      <c r="Q258" s="629" t="s">
        <v>792</v>
      </c>
      <c r="R258" s="751">
        <f>+'Plan de Accion 2018'!AP101</f>
        <v>0</v>
      </c>
      <c r="S258" s="873">
        <f t="shared" si="99"/>
        <v>0</v>
      </c>
      <c r="T258" s="637" t="s">
        <v>792</v>
      </c>
      <c r="U258" s="329"/>
      <c r="V258" s="543">
        <f>+'Plan de Accion 2018'!AV101</f>
        <v>0</v>
      </c>
      <c r="W258" s="767" t="str">
        <f>+'Plan de Accion 2018'!BQ101</f>
        <v>No Prog ni Ejec</v>
      </c>
      <c r="X258" s="629" t="s">
        <v>792</v>
      </c>
      <c r="Y258" s="882">
        <f>+'Plan de Accion 2018'!AZ101</f>
        <v>0</v>
      </c>
      <c r="Z258" s="882">
        <f t="shared" si="100"/>
        <v>0</v>
      </c>
      <c r="AA258" s="883" t="s">
        <v>792</v>
      </c>
      <c r="AB258" s="644"/>
      <c r="AC258" s="543">
        <f>+'Plan de Accion 2018'!BF101</f>
        <v>0</v>
      </c>
      <c r="AD258" s="767">
        <f>+'Plan de Accion 2018'!BS101</f>
        <v>0</v>
      </c>
      <c r="AE258" s="629">
        <f t="shared" si="74"/>
        <v>0</v>
      </c>
      <c r="AF258" s="767">
        <f>+'Plan de Accion 2018'!BJ101</f>
        <v>0</v>
      </c>
      <c r="AG258" s="637">
        <f t="shared" si="75"/>
        <v>0</v>
      </c>
      <c r="AH258" s="337"/>
      <c r="AJ258" s="1446"/>
      <c r="AK258" s="1446"/>
      <c r="AL258" s="321"/>
      <c r="AM258" s="1468"/>
      <c r="AN258" s="1446"/>
      <c r="AO258" s="321"/>
      <c r="AP258" s="1446"/>
      <c r="AQ258" s="1446"/>
      <c r="AR258" s="321"/>
      <c r="AS258" s="1446"/>
      <c r="AT258" s="1446"/>
      <c r="AU258" s="326"/>
      <c r="AV258" s="338"/>
      <c r="AX258" s="1446"/>
      <c r="AY258" s="1446"/>
      <c r="AZ258" s="321"/>
      <c r="BA258" s="1468"/>
      <c r="BB258" s="1446"/>
      <c r="BC258" s="321"/>
      <c r="BD258" s="1446"/>
      <c r="BE258" s="1446"/>
      <c r="BF258" s="321"/>
      <c r="BG258" s="1446"/>
      <c r="BH258" s="1446"/>
      <c r="BI258" s="326"/>
      <c r="BJ258" s="338"/>
      <c r="BL258" s="1446"/>
      <c r="BM258" s="1446"/>
      <c r="BN258" s="321"/>
      <c r="BO258" s="1468"/>
      <c r="BP258" s="1446"/>
      <c r="BQ258" s="321"/>
      <c r="BR258" s="1446"/>
      <c r="BS258" s="1446"/>
      <c r="BT258" s="321"/>
      <c r="BU258" s="1446"/>
      <c r="BV258" s="1446"/>
      <c r="BW258" s="326"/>
      <c r="BX258" s="338"/>
      <c r="BZ258" s="1446"/>
      <c r="CA258" s="1446"/>
      <c r="CB258" s="321"/>
      <c r="CC258" s="1468"/>
      <c r="CD258" s="1446"/>
      <c r="CE258" s="321"/>
      <c r="CF258" s="1446"/>
      <c r="CG258" s="1446"/>
      <c r="CH258" s="321"/>
      <c r="CI258" s="1446"/>
      <c r="CJ258" s="1446"/>
      <c r="CK258" s="326"/>
      <c r="CL258" s="338"/>
    </row>
    <row r="259" spans="2:90" ht="27.75" customHeight="1" thickBot="1" x14ac:dyDescent="0.25">
      <c r="B259" s="1393"/>
      <c r="C259" s="1397"/>
      <c r="D259" s="768" t="str">
        <f>+'Plan de Accion 2018'!G109</f>
        <v>Trámite los Procesos  Precontractuales y Contractuales para la adquisición de Bienes y Servicios de conformidad con lo establecido en el Plan de Adquisiciones de la Dirección Administrativa y Financiera</v>
      </c>
      <c r="E259" s="1423"/>
      <c r="F259" s="544" t="str">
        <f>+'Plan de Accion 2018'!S109</f>
        <v># Procesos contractuales tramitados / # Procesos contractuales incluidos en el Plan Anual de Adquisiciones y requeridos por las dependencias de la ADRES</v>
      </c>
      <c r="H259" s="543">
        <f>+'Plan de Accion 2018'!AB109</f>
        <v>0.24642857142857144</v>
      </c>
      <c r="I259" s="767">
        <f>+'Plan de Accion 2018'!BM109</f>
        <v>0.98571428571428577</v>
      </c>
      <c r="J259" s="767">
        <f t="shared" ref="J259:J264" si="101">IF(I259&gt;100%,100%,I259)</f>
        <v>0.98571428571428577</v>
      </c>
      <c r="K259" s="767">
        <f>+'Plan de Accion 2018'!AF109</f>
        <v>0.24642857142857144</v>
      </c>
      <c r="L259" s="875">
        <f t="shared" si="98"/>
        <v>0.24642857142857144</v>
      </c>
      <c r="M259" s="682">
        <f t="shared" ref="M259:M264" si="102">+L259</f>
        <v>0.24642857142857144</v>
      </c>
      <c r="N259" s="644"/>
      <c r="O259" s="543">
        <f>+'Plan de Accion 2018'!AL109</f>
        <v>0.25</v>
      </c>
      <c r="P259" s="767">
        <f>+'Plan de Accion 2018'!BO109</f>
        <v>1</v>
      </c>
      <c r="Q259" s="629">
        <f t="shared" si="76"/>
        <v>1</v>
      </c>
      <c r="R259" s="751">
        <f>+'Plan de Accion 2018'!AP109</f>
        <v>0.49642857142857144</v>
      </c>
      <c r="S259" s="873">
        <f t="shared" si="99"/>
        <v>0.49642857142857144</v>
      </c>
      <c r="T259" s="637">
        <f t="shared" ref="T259:T264" si="103">+S259</f>
        <v>0.49642857142857144</v>
      </c>
      <c r="U259" s="329"/>
      <c r="V259" s="543">
        <f>+'Plan de Accion 2018'!AV109</f>
        <v>0.25</v>
      </c>
      <c r="W259" s="767">
        <f>+'Plan de Accion 2018'!BQ109</f>
        <v>1</v>
      </c>
      <c r="X259" s="629">
        <f t="shared" si="77"/>
        <v>1</v>
      </c>
      <c r="Y259" s="882">
        <f>+'Plan de Accion 2018'!AZ109</f>
        <v>0.74642857142857144</v>
      </c>
      <c r="Z259" s="882">
        <f t="shared" si="100"/>
        <v>0.74642857142857144</v>
      </c>
      <c r="AA259" s="883">
        <f t="shared" ref="AA259:AA266" si="104">+Z259</f>
        <v>0.74642857142857144</v>
      </c>
      <c r="AB259" s="644"/>
      <c r="AC259" s="543">
        <f>+'Plan de Accion 2018'!BF109</f>
        <v>0.25</v>
      </c>
      <c r="AD259" s="767">
        <f>+'Plan de Accion 2018'!BS109</f>
        <v>1</v>
      </c>
      <c r="AE259" s="629">
        <f t="shared" si="74"/>
        <v>1</v>
      </c>
      <c r="AF259" s="767">
        <f>+'Plan de Accion 2018'!BJ109</f>
        <v>0.99642857142857144</v>
      </c>
      <c r="AG259" s="637">
        <f t="shared" si="75"/>
        <v>0.99642857142857144</v>
      </c>
      <c r="AH259" s="339"/>
      <c r="AJ259" s="1447"/>
      <c r="AK259" s="1447"/>
      <c r="AL259" s="321"/>
      <c r="AM259" s="1469"/>
      <c r="AN259" s="1447"/>
      <c r="AO259" s="321"/>
      <c r="AP259" s="1447"/>
      <c r="AQ259" s="1447"/>
      <c r="AR259" s="321"/>
      <c r="AS259" s="1447"/>
      <c r="AT259" s="1447"/>
      <c r="AU259" s="326"/>
      <c r="AV259" s="340"/>
      <c r="AX259" s="1447"/>
      <c r="AY259" s="1447"/>
      <c r="AZ259" s="321"/>
      <c r="BA259" s="1469"/>
      <c r="BB259" s="1447"/>
      <c r="BC259" s="321"/>
      <c r="BD259" s="1447"/>
      <c r="BE259" s="1447"/>
      <c r="BF259" s="321"/>
      <c r="BG259" s="1447"/>
      <c r="BH259" s="1447"/>
      <c r="BI259" s="326"/>
      <c r="BJ259" s="340"/>
      <c r="BL259" s="1447"/>
      <c r="BM259" s="1447"/>
      <c r="BN259" s="321"/>
      <c r="BO259" s="1469"/>
      <c r="BP259" s="1447"/>
      <c r="BQ259" s="321"/>
      <c r="BR259" s="1447"/>
      <c r="BS259" s="1447"/>
      <c r="BT259" s="321"/>
      <c r="BU259" s="1447"/>
      <c r="BV259" s="1447"/>
      <c r="BW259" s="326"/>
      <c r="BX259" s="340"/>
      <c r="BZ259" s="1447"/>
      <c r="CA259" s="1447"/>
      <c r="CB259" s="321"/>
      <c r="CC259" s="1469"/>
      <c r="CD259" s="1447"/>
      <c r="CE259" s="321"/>
      <c r="CF259" s="1447"/>
      <c r="CG259" s="1447"/>
      <c r="CH259" s="321"/>
      <c r="CI259" s="1447"/>
      <c r="CJ259" s="1447"/>
      <c r="CK259" s="326"/>
      <c r="CL259" s="340"/>
    </row>
    <row r="260" spans="2:90" ht="57" x14ac:dyDescent="0.2">
      <c r="B260" s="1393"/>
      <c r="C260" s="1397"/>
      <c r="D260" s="768" t="str">
        <f>+'Plan de Accion 2018'!G110</f>
        <v>Elaborar las constancias de Archivos  y/o actas de liquidaciones de los procesos contractuales</v>
      </c>
      <c r="E260" s="1423"/>
      <c r="F260" s="544" t="str">
        <f>+'Plan de Accion 2018'!S110</f>
        <v># Autos de cierre o actas de liquidación elaboradas / # contratos con ejecución finalizada</v>
      </c>
      <c r="H260" s="543">
        <f>+'Plan de Accion 2018'!AB110</f>
        <v>0.20689655172413793</v>
      </c>
      <c r="I260" s="767">
        <f>+'Plan de Accion 2018'!BM110</f>
        <v>0.82758620689655171</v>
      </c>
      <c r="J260" s="767">
        <f t="shared" si="101"/>
        <v>0.82758620689655171</v>
      </c>
      <c r="K260" s="767">
        <f>+'Plan de Accion 2018'!AF110</f>
        <v>0.20689655172413793</v>
      </c>
      <c r="L260" s="875">
        <f t="shared" si="98"/>
        <v>0.20689655172413793</v>
      </c>
      <c r="M260" s="682">
        <f t="shared" si="102"/>
        <v>0.20689655172413793</v>
      </c>
      <c r="N260" s="644"/>
      <c r="O260" s="543">
        <f>+'Plan de Accion 2018'!AL110</f>
        <v>0.23360655737704919</v>
      </c>
      <c r="P260" s="767">
        <f>+'Plan de Accion 2018'!BO110</f>
        <v>0.93442622950819676</v>
      </c>
      <c r="Q260" s="629">
        <f t="shared" si="76"/>
        <v>0.93442622950819676</v>
      </c>
      <c r="R260" s="751">
        <f>+'Plan de Accion 2018'!AP110</f>
        <v>0.44050310910118712</v>
      </c>
      <c r="S260" s="873">
        <f t="shared" si="99"/>
        <v>0.44050310910118712</v>
      </c>
      <c r="T260" s="637">
        <f t="shared" si="103"/>
        <v>0.44050310910118712</v>
      </c>
      <c r="U260" s="329"/>
      <c r="V260" s="543">
        <f>+'Plan de Accion 2018'!AV110</f>
        <v>0.2048611111111111</v>
      </c>
      <c r="W260" s="767">
        <f>+'Plan de Accion 2018'!BQ110</f>
        <v>0.81944444444444442</v>
      </c>
      <c r="X260" s="629">
        <f t="shared" si="77"/>
        <v>0.81944444444444442</v>
      </c>
      <c r="Y260" s="882">
        <f>+'Plan de Accion 2018'!AZ110</f>
        <v>0.64536422021229822</v>
      </c>
      <c r="Z260" s="882">
        <f t="shared" si="100"/>
        <v>0.64536422021229822</v>
      </c>
      <c r="AA260" s="883">
        <f t="shared" si="104"/>
        <v>0.64536422021229822</v>
      </c>
      <c r="AB260" s="644"/>
      <c r="AC260" s="543">
        <f>+'Plan de Accion 2018'!BF110</f>
        <v>0.2225</v>
      </c>
      <c r="AD260" s="767">
        <f>+'Plan de Accion 2018'!BS110</f>
        <v>0.89</v>
      </c>
      <c r="AE260" s="629">
        <f t="shared" si="74"/>
        <v>0.89</v>
      </c>
      <c r="AF260" s="767">
        <f>+'Plan de Accion 2018'!BJ110</f>
        <v>0.86786422021229825</v>
      </c>
      <c r="AG260" s="637">
        <f t="shared" si="75"/>
        <v>0.86786422021229825</v>
      </c>
      <c r="AH260" s="368"/>
      <c r="AJ260" s="1446"/>
      <c r="AK260" s="1445"/>
      <c r="AL260" s="321"/>
      <c r="AM260" s="1468"/>
      <c r="AN260" s="1445"/>
      <c r="AO260" s="321"/>
      <c r="AP260" s="1446"/>
      <c r="AQ260" s="1445"/>
      <c r="AR260" s="321"/>
      <c r="AS260" s="1446"/>
      <c r="AT260" s="1445"/>
      <c r="AU260" s="326"/>
      <c r="AV260" s="371"/>
      <c r="AX260" s="1446"/>
      <c r="AY260" s="1445"/>
      <c r="AZ260" s="321"/>
      <c r="BA260" s="1468"/>
      <c r="BB260" s="1445"/>
      <c r="BC260" s="321"/>
      <c r="BD260" s="1446"/>
      <c r="BE260" s="1445"/>
      <c r="BF260" s="321"/>
      <c r="BG260" s="1446"/>
      <c r="BH260" s="1445"/>
      <c r="BI260" s="326"/>
      <c r="BJ260" s="371"/>
      <c r="BL260" s="1446"/>
      <c r="BM260" s="1445"/>
      <c r="BN260" s="321"/>
      <c r="BO260" s="1468"/>
      <c r="BP260" s="1445"/>
      <c r="BQ260" s="321"/>
      <c r="BR260" s="1446"/>
      <c r="BS260" s="1445"/>
      <c r="BT260" s="321"/>
      <c r="BU260" s="1446"/>
      <c r="BV260" s="1445"/>
      <c r="BW260" s="326"/>
      <c r="BX260" s="371"/>
      <c r="BZ260" s="1446"/>
      <c r="CA260" s="1445"/>
      <c r="CB260" s="321"/>
      <c r="CC260" s="1468"/>
      <c r="CD260" s="1445"/>
      <c r="CE260" s="321"/>
      <c r="CF260" s="1446"/>
      <c r="CG260" s="1445"/>
      <c r="CH260" s="321"/>
      <c r="CI260" s="1446"/>
      <c r="CJ260" s="1445"/>
      <c r="CK260" s="326"/>
      <c r="CL260" s="371"/>
    </row>
    <row r="261" spans="2:90" ht="15" x14ac:dyDescent="0.2">
      <c r="B261" s="1393"/>
      <c r="C261" s="1397"/>
      <c r="D261" s="768" t="str">
        <f>+'Plan de Accion 2018'!G137</f>
        <v>Sistema de nómina ( Solredes)</v>
      </c>
      <c r="E261" s="1423"/>
      <c r="F261" s="544" t="str">
        <f>+'Plan de Accion 2018'!S137</f>
        <v># de nóminas generadas</v>
      </c>
      <c r="H261" s="545">
        <f>+'Plan de Accion 2018'!AB137</f>
        <v>4</v>
      </c>
      <c r="I261" s="767">
        <f>+'Plan de Accion 2018'!BM137</f>
        <v>1.3333333333333333</v>
      </c>
      <c r="J261" s="767">
        <f t="shared" si="101"/>
        <v>1</v>
      </c>
      <c r="K261" s="767">
        <f>+'Plan de Accion 2018'!AF137</f>
        <v>0.33333333333333331</v>
      </c>
      <c r="L261" s="875">
        <f t="shared" si="98"/>
        <v>0.33333333333333331</v>
      </c>
      <c r="M261" s="682">
        <f t="shared" si="102"/>
        <v>0.33333333333333331</v>
      </c>
      <c r="N261" s="644">
        <v>1</v>
      </c>
      <c r="O261" s="545">
        <f>+'Plan de Accion 2018'!AL137</f>
        <v>3</v>
      </c>
      <c r="P261" s="767">
        <f>+'Plan de Accion 2018'!BO137</f>
        <v>1</v>
      </c>
      <c r="Q261" s="629">
        <f t="shared" si="76"/>
        <v>1</v>
      </c>
      <c r="R261" s="751">
        <f>+'Plan de Accion 2018'!AP137</f>
        <v>0.58333333333333337</v>
      </c>
      <c r="S261" s="873">
        <f t="shared" si="99"/>
        <v>0.58333333333333337</v>
      </c>
      <c r="T261" s="637">
        <f t="shared" si="103"/>
        <v>0.58333333333333337</v>
      </c>
      <c r="U261" s="329"/>
      <c r="V261" s="545">
        <f>+'Plan de Accion 2018'!AV137</f>
        <v>3</v>
      </c>
      <c r="W261" s="767">
        <f>+'Plan de Accion 2018'!BQ137</f>
        <v>1</v>
      </c>
      <c r="X261" s="629">
        <f t="shared" si="77"/>
        <v>1</v>
      </c>
      <c r="Y261" s="882">
        <f>+'Plan de Accion 2018'!AZ137</f>
        <v>0.83333333333333337</v>
      </c>
      <c r="Z261" s="882">
        <f t="shared" si="100"/>
        <v>0.83333333333333337</v>
      </c>
      <c r="AA261" s="883">
        <f t="shared" si="104"/>
        <v>0.83333333333333337</v>
      </c>
      <c r="AB261" s="644"/>
      <c r="AC261" s="545">
        <f>+'Plan de Accion 2018'!BF137</f>
        <v>3</v>
      </c>
      <c r="AD261" s="767">
        <f>+'Plan de Accion 2018'!BS137</f>
        <v>1</v>
      </c>
      <c r="AE261" s="629">
        <f t="shared" si="74"/>
        <v>1</v>
      </c>
      <c r="AF261" s="767">
        <f>+'Plan de Accion 2018'!BJ137</f>
        <v>1.0833333333333333</v>
      </c>
      <c r="AG261" s="637">
        <f t="shared" si="75"/>
        <v>1</v>
      </c>
      <c r="AH261" s="368"/>
      <c r="AI261" s="1014">
        <v>1</v>
      </c>
      <c r="AJ261" s="1446"/>
      <c r="AK261" s="1446"/>
      <c r="AL261" s="321"/>
      <c r="AM261" s="1468"/>
      <c r="AN261" s="1446"/>
      <c r="AO261" s="321"/>
      <c r="AP261" s="1446"/>
      <c r="AQ261" s="1446"/>
      <c r="AR261" s="321"/>
      <c r="AS261" s="1446"/>
      <c r="AT261" s="1446"/>
      <c r="AU261" s="326"/>
      <c r="AV261" s="371"/>
      <c r="AX261" s="1446"/>
      <c r="AY261" s="1446"/>
      <c r="AZ261" s="321"/>
      <c r="BA261" s="1468"/>
      <c r="BB261" s="1446"/>
      <c r="BC261" s="321"/>
      <c r="BD261" s="1446"/>
      <c r="BE261" s="1446"/>
      <c r="BF261" s="321"/>
      <c r="BG261" s="1446"/>
      <c r="BH261" s="1446"/>
      <c r="BI261" s="326"/>
      <c r="BJ261" s="371"/>
      <c r="BL261" s="1446"/>
      <c r="BM261" s="1446"/>
      <c r="BN261" s="321"/>
      <c r="BO261" s="1468"/>
      <c r="BP261" s="1446"/>
      <c r="BQ261" s="321"/>
      <c r="BR261" s="1446"/>
      <c r="BS261" s="1446"/>
      <c r="BT261" s="321"/>
      <c r="BU261" s="1446"/>
      <c r="BV261" s="1446"/>
      <c r="BW261" s="326"/>
      <c r="BX261" s="371"/>
      <c r="BZ261" s="1446"/>
      <c r="CA261" s="1446"/>
      <c r="CB261" s="321"/>
      <c r="CC261" s="1468"/>
      <c r="CD261" s="1446"/>
      <c r="CE261" s="321"/>
      <c r="CF261" s="1446"/>
      <c r="CG261" s="1446"/>
      <c r="CH261" s="321"/>
      <c r="CI261" s="1446"/>
      <c r="CJ261" s="1446"/>
      <c r="CK261" s="326"/>
      <c r="CL261" s="371"/>
    </row>
    <row r="262" spans="2:90" ht="43.5" thickBot="1" x14ac:dyDescent="0.25">
      <c r="B262" s="1393"/>
      <c r="C262" s="1397"/>
      <c r="D262" s="768" t="str">
        <f>+'Plan de Accion 2018'!G143</f>
        <v>Gestión de Correspondencia</v>
      </c>
      <c r="E262" s="1423"/>
      <c r="F262" s="544" t="str">
        <f>+'Plan de Accion 2018'!S143</f>
        <v>No. De documentos radicados y gestionados/No. De documentos recibidos</v>
      </c>
      <c r="H262" s="543">
        <f>+'Plan de Accion 2018'!AB143</f>
        <v>0.25</v>
      </c>
      <c r="I262" s="767">
        <f>+'Plan de Accion 2018'!BM143</f>
        <v>1</v>
      </c>
      <c r="J262" s="767">
        <f t="shared" si="101"/>
        <v>1</v>
      </c>
      <c r="K262" s="767">
        <f>+'Plan de Accion 2018'!AF143</f>
        <v>0.25</v>
      </c>
      <c r="L262" s="875">
        <f t="shared" si="98"/>
        <v>0.25</v>
      </c>
      <c r="M262" s="682">
        <f t="shared" si="102"/>
        <v>0.25</v>
      </c>
      <c r="N262" s="644"/>
      <c r="O262" s="543">
        <f>+'Plan de Accion 2018'!AL143</f>
        <v>0.25</v>
      </c>
      <c r="P262" s="767">
        <f>+'Plan de Accion 2018'!BO143</f>
        <v>1</v>
      </c>
      <c r="Q262" s="629">
        <f t="shared" si="76"/>
        <v>1</v>
      </c>
      <c r="R262" s="751">
        <f>+'Plan de Accion 2018'!AP143</f>
        <v>0.5</v>
      </c>
      <c r="S262" s="873">
        <f t="shared" si="99"/>
        <v>0.5</v>
      </c>
      <c r="T262" s="637">
        <f t="shared" si="103"/>
        <v>0.5</v>
      </c>
      <c r="U262" s="329"/>
      <c r="V262" s="543">
        <f>+'Plan de Accion 2018'!AV143</f>
        <v>0.25</v>
      </c>
      <c r="W262" s="767">
        <f>+'Plan de Accion 2018'!BQ143</f>
        <v>1</v>
      </c>
      <c r="X262" s="629">
        <f t="shared" si="77"/>
        <v>1</v>
      </c>
      <c r="Y262" s="882">
        <f>+'Plan de Accion 2018'!AZ143</f>
        <v>0.75</v>
      </c>
      <c r="Z262" s="882">
        <f t="shared" si="100"/>
        <v>0.75</v>
      </c>
      <c r="AA262" s="883">
        <f t="shared" si="104"/>
        <v>0.75</v>
      </c>
      <c r="AB262" s="644"/>
      <c r="AC262" s="543">
        <f>+'Plan de Accion 2018'!BF143</f>
        <v>0.25</v>
      </c>
      <c r="AD262" s="767">
        <f>+'Plan de Accion 2018'!BS143</f>
        <v>1</v>
      </c>
      <c r="AE262" s="629">
        <f t="shared" si="74"/>
        <v>1</v>
      </c>
      <c r="AF262" s="767">
        <f>+'Plan de Accion 2018'!BJ143</f>
        <v>1</v>
      </c>
      <c r="AG262" s="637">
        <f t="shared" si="75"/>
        <v>1</v>
      </c>
      <c r="AH262" s="386"/>
      <c r="AJ262" s="1447"/>
      <c r="AK262" s="1447"/>
      <c r="AL262" s="321"/>
      <c r="AM262" s="1469"/>
      <c r="AN262" s="1447"/>
      <c r="AO262" s="321"/>
      <c r="AP262" s="1447"/>
      <c r="AQ262" s="1447"/>
      <c r="AR262" s="321"/>
      <c r="AS262" s="1447"/>
      <c r="AT262" s="1447"/>
      <c r="AU262" s="326"/>
      <c r="AV262" s="387"/>
      <c r="AX262" s="1447"/>
      <c r="AY262" s="1447"/>
      <c r="AZ262" s="321"/>
      <c r="BA262" s="1469"/>
      <c r="BB262" s="1447"/>
      <c r="BC262" s="321"/>
      <c r="BD262" s="1447"/>
      <c r="BE262" s="1447"/>
      <c r="BF262" s="321"/>
      <c r="BG262" s="1447"/>
      <c r="BH262" s="1447"/>
      <c r="BI262" s="326"/>
      <c r="BJ262" s="387"/>
      <c r="BL262" s="1447"/>
      <c r="BM262" s="1447"/>
      <c r="BN262" s="321"/>
      <c r="BO262" s="1469"/>
      <c r="BP262" s="1447"/>
      <c r="BQ262" s="321"/>
      <c r="BR262" s="1447"/>
      <c r="BS262" s="1447"/>
      <c r="BT262" s="321"/>
      <c r="BU262" s="1447"/>
      <c r="BV262" s="1447"/>
      <c r="BW262" s="326"/>
      <c r="BX262" s="387"/>
      <c r="BZ262" s="1447"/>
      <c r="CA262" s="1447"/>
      <c r="CB262" s="321"/>
      <c r="CC262" s="1469"/>
      <c r="CD262" s="1447"/>
      <c r="CE262" s="321"/>
      <c r="CF262" s="1447"/>
      <c r="CG262" s="1447"/>
      <c r="CH262" s="321"/>
      <c r="CI262" s="1447"/>
      <c r="CJ262" s="1447"/>
      <c r="CK262" s="326"/>
      <c r="CL262" s="387"/>
    </row>
    <row r="263" spans="2:90" s="542" customFormat="1" ht="72" thickBot="1" x14ac:dyDescent="0.25">
      <c r="B263" s="1393"/>
      <c r="C263" s="1397"/>
      <c r="D263" s="768" t="str">
        <f>+'Plan de Accion 2018'!G138</f>
        <v>Expedientes de hojas de vida consolidados, organizados y actualizados</v>
      </c>
      <c r="E263" s="1423"/>
      <c r="F263" s="544" t="str">
        <f>+'Plan de Accion 2018'!S138</f>
        <v># Expedientes de hojas de vida consolidados, organizados y actualizados / # Funcionarios activos en el periodo</v>
      </c>
      <c r="G263" s="298"/>
      <c r="H263" s="543">
        <f>+'Plan de Accion 2018'!AB138</f>
        <v>0.25</v>
      </c>
      <c r="I263" s="767">
        <f>+'Plan de Accion 2018'!BM138</f>
        <v>1</v>
      </c>
      <c r="J263" s="767">
        <f t="shared" si="101"/>
        <v>1</v>
      </c>
      <c r="K263" s="767">
        <f>+'Plan de Accion 2018'!AF138</f>
        <v>0.25</v>
      </c>
      <c r="L263" s="875">
        <f t="shared" si="98"/>
        <v>0.25</v>
      </c>
      <c r="M263" s="682">
        <f t="shared" si="102"/>
        <v>0.25</v>
      </c>
      <c r="N263" s="644"/>
      <c r="O263" s="543">
        <f>+'Plan de Accion 2018'!AL138</f>
        <v>0.25</v>
      </c>
      <c r="P263" s="767">
        <f>+'Plan de Accion 2018'!BO138</f>
        <v>1</v>
      </c>
      <c r="Q263" s="629">
        <f t="shared" si="76"/>
        <v>1</v>
      </c>
      <c r="R263" s="751">
        <f>+'Plan de Accion 2018'!AP138</f>
        <v>0.5</v>
      </c>
      <c r="S263" s="873">
        <f t="shared" si="99"/>
        <v>0.5</v>
      </c>
      <c r="T263" s="637">
        <f t="shared" si="103"/>
        <v>0.5</v>
      </c>
      <c r="U263" s="329"/>
      <c r="V263" s="543">
        <f>+'Plan de Accion 2018'!AV138</f>
        <v>0.17045454545454544</v>
      </c>
      <c r="W263" s="767">
        <f>+'Plan de Accion 2018'!BQ138</f>
        <v>0.68181818181818177</v>
      </c>
      <c r="X263" s="629">
        <f t="shared" si="77"/>
        <v>0.68181818181818177</v>
      </c>
      <c r="Y263" s="882">
        <f>+'Plan de Accion 2018'!AZ138</f>
        <v>0.67045454545454541</v>
      </c>
      <c r="Z263" s="882">
        <f t="shared" si="100"/>
        <v>0.67045454545454541</v>
      </c>
      <c r="AA263" s="883">
        <f t="shared" si="104"/>
        <v>0.67045454545454541</v>
      </c>
      <c r="AB263" s="644"/>
      <c r="AC263" s="543">
        <f>+'Plan de Accion 2018'!BF138</f>
        <v>0.36269430051813473</v>
      </c>
      <c r="AD263" s="767">
        <f>+'Plan de Accion 2018'!BS138</f>
        <v>1.4507772020725389</v>
      </c>
      <c r="AE263" s="629">
        <f t="shared" si="74"/>
        <v>1</v>
      </c>
      <c r="AF263" s="767">
        <f>+'Plan de Accion 2018'!BJ138</f>
        <v>1.0331488459726801</v>
      </c>
      <c r="AG263" s="637">
        <f t="shared" si="75"/>
        <v>1</v>
      </c>
      <c r="AH263" s="388"/>
      <c r="AI263" s="1014">
        <v>1</v>
      </c>
      <c r="AJ263" s="548"/>
      <c r="AK263" s="549"/>
      <c r="AL263" s="321"/>
      <c r="AM263" s="548"/>
      <c r="AN263" s="549"/>
      <c r="AO263" s="321"/>
      <c r="AP263" s="548"/>
      <c r="AQ263" s="549"/>
      <c r="AR263" s="321"/>
      <c r="AS263" s="548"/>
      <c r="AT263" s="549"/>
      <c r="AU263" s="326"/>
      <c r="AV263" s="388"/>
      <c r="AX263" s="548"/>
      <c r="AY263" s="549"/>
      <c r="AZ263" s="321"/>
      <c r="BA263" s="548"/>
      <c r="BB263" s="549"/>
      <c r="BC263" s="321"/>
      <c r="BD263" s="548"/>
      <c r="BE263" s="549"/>
      <c r="BF263" s="321"/>
      <c r="BG263" s="548"/>
      <c r="BH263" s="549"/>
      <c r="BI263" s="326"/>
      <c r="BJ263" s="388"/>
      <c r="BL263" s="548"/>
      <c r="BM263" s="549"/>
      <c r="BN263" s="321"/>
      <c r="BO263" s="548"/>
      <c r="BP263" s="549"/>
      <c r="BQ263" s="321"/>
      <c r="BR263" s="548"/>
      <c r="BS263" s="549"/>
      <c r="BT263" s="321"/>
      <c r="BU263" s="548"/>
      <c r="BV263" s="549"/>
      <c r="BW263" s="326"/>
      <c r="BX263" s="388"/>
      <c r="BZ263" s="548"/>
      <c r="CA263" s="549"/>
      <c r="CB263" s="321"/>
      <c r="CC263" s="548"/>
      <c r="CD263" s="549"/>
      <c r="CE263" s="321"/>
      <c r="CF263" s="548"/>
      <c r="CG263" s="549"/>
      <c r="CH263" s="321"/>
      <c r="CI263" s="548"/>
      <c r="CJ263" s="549"/>
      <c r="CK263" s="326"/>
      <c r="CL263" s="388"/>
    </row>
    <row r="264" spans="2:90" s="542" customFormat="1" ht="29.25" thickBot="1" x14ac:dyDescent="0.25">
      <c r="B264" s="1393"/>
      <c r="C264" s="1397"/>
      <c r="D264" s="768" t="str">
        <f>+'Plan de Accion 2018'!G139</f>
        <v>Archivo de Gestión Consolidado</v>
      </c>
      <c r="E264" s="1423"/>
      <c r="F264" s="544" t="str">
        <f>+'Plan de Accion 2018'!S139</f>
        <v># Certificaciones realizadas  / # certificaciones solicitadas</v>
      </c>
      <c r="G264" s="298"/>
      <c r="H264" s="543">
        <f>+'Plan de Accion 2018'!AB139</f>
        <v>0.22500000000000001</v>
      </c>
      <c r="I264" s="767">
        <f>+'Plan de Accion 2018'!BM139</f>
        <v>0.9</v>
      </c>
      <c r="J264" s="767">
        <f t="shared" si="101"/>
        <v>0.9</v>
      </c>
      <c r="K264" s="767">
        <f>+'Plan de Accion 2018'!AF139</f>
        <v>0.22500000000000001</v>
      </c>
      <c r="L264" s="875">
        <f t="shared" si="98"/>
        <v>0.22500000000000001</v>
      </c>
      <c r="M264" s="682">
        <f t="shared" si="102"/>
        <v>0.22500000000000001</v>
      </c>
      <c r="N264" s="644"/>
      <c r="O264" s="543">
        <f>+'Plan de Accion 2018'!AL139</f>
        <v>0.25</v>
      </c>
      <c r="P264" s="767">
        <f>+'Plan de Accion 2018'!BO139</f>
        <v>1</v>
      </c>
      <c r="Q264" s="629">
        <f t="shared" si="76"/>
        <v>1</v>
      </c>
      <c r="R264" s="751">
        <f>+'Plan de Accion 2018'!AP139</f>
        <v>0.47499999999999998</v>
      </c>
      <c r="S264" s="873">
        <f t="shared" si="99"/>
        <v>0.47499999999999998</v>
      </c>
      <c r="T264" s="637">
        <f t="shared" si="103"/>
        <v>0.47499999999999998</v>
      </c>
      <c r="U264" s="329"/>
      <c r="V264" s="543">
        <f>+'Plan de Accion 2018'!AV139</f>
        <v>0.25</v>
      </c>
      <c r="W264" s="767">
        <f>+'Plan de Accion 2018'!BQ139</f>
        <v>1</v>
      </c>
      <c r="X264" s="629">
        <f t="shared" si="77"/>
        <v>1</v>
      </c>
      <c r="Y264" s="882">
        <f>+'Plan de Accion 2018'!AZ139</f>
        <v>0.72499999999999998</v>
      </c>
      <c r="Z264" s="882">
        <f t="shared" si="100"/>
        <v>0.72499999999999998</v>
      </c>
      <c r="AA264" s="883">
        <f t="shared" si="104"/>
        <v>0.72499999999999998</v>
      </c>
      <c r="AB264" s="644"/>
      <c r="AC264" s="543">
        <f>+'Plan de Accion 2018'!BF139</f>
        <v>0.25</v>
      </c>
      <c r="AD264" s="767">
        <f>+'Plan de Accion 2018'!BS139</f>
        <v>1</v>
      </c>
      <c r="AE264" s="629">
        <f t="shared" si="74"/>
        <v>1</v>
      </c>
      <c r="AF264" s="767">
        <f>+'Plan de Accion 2018'!BJ139</f>
        <v>0.97499999999999998</v>
      </c>
      <c r="AG264" s="637">
        <f t="shared" si="75"/>
        <v>0.97499999999999998</v>
      </c>
      <c r="AH264" s="388"/>
      <c r="AI264" s="1014"/>
      <c r="AJ264" s="548"/>
      <c r="AK264" s="549"/>
      <c r="AL264" s="321"/>
      <c r="AM264" s="548"/>
      <c r="AN264" s="549"/>
      <c r="AO264" s="321"/>
      <c r="AP264" s="548"/>
      <c r="AQ264" s="549"/>
      <c r="AR264" s="321"/>
      <c r="AS264" s="548"/>
      <c r="AT264" s="549"/>
      <c r="AU264" s="326"/>
      <c r="AV264" s="388"/>
      <c r="AX264" s="548"/>
      <c r="AY264" s="549"/>
      <c r="AZ264" s="321"/>
      <c r="BA264" s="548"/>
      <c r="BB264" s="549"/>
      <c r="BC264" s="321"/>
      <c r="BD264" s="548"/>
      <c r="BE264" s="549"/>
      <c r="BF264" s="321"/>
      <c r="BG264" s="548"/>
      <c r="BH264" s="549"/>
      <c r="BI264" s="326"/>
      <c r="BJ264" s="388"/>
      <c r="BL264" s="548"/>
      <c r="BM264" s="549"/>
      <c r="BN264" s="321"/>
      <c r="BO264" s="548"/>
      <c r="BP264" s="549"/>
      <c r="BQ264" s="321"/>
      <c r="BR264" s="548"/>
      <c r="BS264" s="549"/>
      <c r="BT264" s="321"/>
      <c r="BU264" s="548"/>
      <c r="BV264" s="549"/>
      <c r="BW264" s="326"/>
      <c r="BX264" s="388"/>
      <c r="BZ264" s="548"/>
      <c r="CA264" s="549"/>
      <c r="CB264" s="321"/>
      <c r="CC264" s="548"/>
      <c r="CD264" s="549"/>
      <c r="CE264" s="321"/>
      <c r="CF264" s="548"/>
      <c r="CG264" s="549"/>
      <c r="CH264" s="321"/>
      <c r="CI264" s="548"/>
      <c r="CJ264" s="549"/>
      <c r="CK264" s="326"/>
      <c r="CL264" s="388"/>
    </row>
    <row r="265" spans="2:90" s="542" customFormat="1" ht="66" customHeight="1" thickBot="1" x14ac:dyDescent="0.25">
      <c r="B265" s="1393"/>
      <c r="C265" s="1397"/>
      <c r="D265" s="768" t="str">
        <f>+'Plan de Accion 2018'!G207</f>
        <v>Reuniones de Autocontrol que evidencie(n) monitoreo al mapa de riesgos de corrupción</v>
      </c>
      <c r="E265" s="1423"/>
      <c r="F265" s="544" t="str">
        <f>+'Plan de Accion 2018'!S207</f>
        <v># Reuniones de Autocontrol realizadas</v>
      </c>
      <c r="G265" s="298"/>
      <c r="H265" s="543">
        <f>+'Plan de Accion 2018'!AB207</f>
        <v>0</v>
      </c>
      <c r="I265" s="767" t="str">
        <f>+'Plan de Accion 2018'!BM207</f>
        <v>No Prog ni Ejec</v>
      </c>
      <c r="J265" s="767" t="s">
        <v>792</v>
      </c>
      <c r="K265" s="767">
        <f>+'Plan de Accion 2018'!AF207</f>
        <v>0</v>
      </c>
      <c r="L265" s="875">
        <f t="shared" si="98"/>
        <v>0</v>
      </c>
      <c r="M265" s="682" t="s">
        <v>792</v>
      </c>
      <c r="N265" s="644"/>
      <c r="O265" s="543">
        <f>+'Plan de Accion 2018'!AL207</f>
        <v>0</v>
      </c>
      <c r="P265" s="767" t="str">
        <f>+'Plan de Accion 2018'!BO207</f>
        <v>No Prog ni Ejec</v>
      </c>
      <c r="Q265" s="629" t="s">
        <v>792</v>
      </c>
      <c r="R265" s="751">
        <f>+'Plan de Accion 2018'!AP207</f>
        <v>0</v>
      </c>
      <c r="S265" s="873">
        <f t="shared" si="99"/>
        <v>0</v>
      </c>
      <c r="T265" s="637" t="s">
        <v>792</v>
      </c>
      <c r="U265" s="329"/>
      <c r="V265" s="543">
        <f>+'Plan de Accion 2018'!AV207</f>
        <v>0</v>
      </c>
      <c r="W265" s="767">
        <f>+'Plan de Accion 2018'!BQ207</f>
        <v>0</v>
      </c>
      <c r="X265" s="629">
        <f>IF(W265&gt;100%,100%,W265)</f>
        <v>0</v>
      </c>
      <c r="Y265" s="882">
        <f>+'Plan de Accion 2018'!AZ207</f>
        <v>0</v>
      </c>
      <c r="Z265" s="882">
        <f t="shared" si="100"/>
        <v>0</v>
      </c>
      <c r="AA265" s="883">
        <f t="shared" si="104"/>
        <v>0</v>
      </c>
      <c r="AB265" s="644"/>
      <c r="AC265" s="543">
        <f>+'Plan de Accion 2018'!BF207</f>
        <v>1</v>
      </c>
      <c r="AD265" s="767">
        <f>+'Plan de Accion 2018'!BS207</f>
        <v>1</v>
      </c>
      <c r="AE265" s="629">
        <f>IF(AD265&gt;100%,100%,AD265)</f>
        <v>1</v>
      </c>
      <c r="AF265" s="767">
        <f>+'Plan de Accion 2018'!BJ207</f>
        <v>0.5</v>
      </c>
      <c r="AG265" s="637">
        <f t="shared" ref="AG265:AG275" si="105">IF(AF265&gt;100%,100%,AF265)</f>
        <v>0.5</v>
      </c>
      <c r="AH265" s="388"/>
      <c r="AI265" s="1014"/>
      <c r="AJ265" s="732"/>
      <c r="AK265" s="549"/>
      <c r="AL265" s="321"/>
      <c r="AM265" s="732"/>
      <c r="AN265" s="549"/>
      <c r="AO265" s="321"/>
      <c r="AP265" s="732"/>
      <c r="AQ265" s="549"/>
      <c r="AR265" s="321"/>
      <c r="AS265" s="732"/>
      <c r="AT265" s="549"/>
      <c r="AU265" s="326"/>
      <c r="AV265" s="388"/>
      <c r="AX265" s="732"/>
      <c r="AY265" s="549"/>
      <c r="AZ265" s="321"/>
      <c r="BA265" s="732"/>
      <c r="BB265" s="549"/>
      <c r="BC265" s="321"/>
      <c r="BD265" s="732"/>
      <c r="BE265" s="549"/>
      <c r="BF265" s="321"/>
      <c r="BG265" s="732"/>
      <c r="BH265" s="549"/>
      <c r="BI265" s="326"/>
      <c r="BJ265" s="388"/>
      <c r="BL265" s="732"/>
      <c r="BM265" s="549"/>
      <c r="BN265" s="321"/>
      <c r="BO265" s="732"/>
      <c r="BP265" s="549"/>
      <c r="BQ265" s="321"/>
      <c r="BR265" s="732"/>
      <c r="BS265" s="549"/>
      <c r="BT265" s="321"/>
      <c r="BU265" s="732"/>
      <c r="BV265" s="549"/>
      <c r="BW265" s="326"/>
      <c r="BX265" s="388"/>
      <c r="BZ265" s="732"/>
      <c r="CA265" s="549"/>
      <c r="CB265" s="321"/>
      <c r="CC265" s="732"/>
      <c r="CD265" s="549"/>
      <c r="CE265" s="321"/>
      <c r="CF265" s="732"/>
      <c r="CG265" s="549"/>
      <c r="CH265" s="321"/>
      <c r="CI265" s="732"/>
      <c r="CJ265" s="549"/>
      <c r="CK265" s="326"/>
      <c r="CL265" s="388"/>
    </row>
    <row r="266" spans="2:90" s="542" customFormat="1" ht="66" customHeight="1" thickBot="1" x14ac:dyDescent="0.25">
      <c r="B266" s="1393"/>
      <c r="C266" s="1397"/>
      <c r="D266" s="852" t="str">
        <f>+'Plan de Accion 2018'!G208</f>
        <v>Mapa de riesgos de corrupción (nueva versión) de ser necesario</v>
      </c>
      <c r="E266" s="1423"/>
      <c r="F266" s="544" t="str">
        <f>+'Plan de Accion 2018'!S208</f>
        <v># Mapas de riesgos de corrupción actualizados</v>
      </c>
      <c r="G266" s="298"/>
      <c r="H266" s="543">
        <f>+'Plan de Accion 2018'!AB208</f>
        <v>0</v>
      </c>
      <c r="I266" s="767" t="str">
        <f>+'Plan de Accion 2018'!BM208</f>
        <v>No Prog ni Ejec</v>
      </c>
      <c r="J266" s="767" t="s">
        <v>792</v>
      </c>
      <c r="K266" s="767">
        <f>+'Plan de Accion 2018'!AF208</f>
        <v>0</v>
      </c>
      <c r="L266" s="875">
        <f t="shared" si="98"/>
        <v>0</v>
      </c>
      <c r="M266" s="682" t="s">
        <v>792</v>
      </c>
      <c r="N266" s="644"/>
      <c r="O266" s="543">
        <f>+'Plan de Accion 2018'!AL208</f>
        <v>0</v>
      </c>
      <c r="P266" s="767" t="str">
        <f>+'Plan de Accion 2018'!BO208</f>
        <v>No Prog ni Ejec</v>
      </c>
      <c r="Q266" s="629" t="s">
        <v>792</v>
      </c>
      <c r="R266" s="751">
        <f>+'Plan de Accion 2018'!AP208</f>
        <v>0</v>
      </c>
      <c r="S266" s="873">
        <f t="shared" si="99"/>
        <v>0</v>
      </c>
      <c r="T266" s="637" t="s">
        <v>792</v>
      </c>
      <c r="U266" s="329"/>
      <c r="V266" s="543">
        <f>+'Plan de Accion 2018'!AV208</f>
        <v>0</v>
      </c>
      <c r="W266" s="767">
        <f>+'Plan de Accion 2018'!BQ208</f>
        <v>0</v>
      </c>
      <c r="X266" s="629">
        <f>IF(W266&gt;100%,100%,W266)</f>
        <v>0</v>
      </c>
      <c r="Y266" s="882">
        <f>+'Plan de Accion 2018'!AZ208</f>
        <v>0</v>
      </c>
      <c r="Z266" s="882">
        <f t="shared" si="100"/>
        <v>0</v>
      </c>
      <c r="AA266" s="883">
        <f t="shared" si="104"/>
        <v>0</v>
      </c>
      <c r="AB266" s="644"/>
      <c r="AC266" s="543" t="s">
        <v>792</v>
      </c>
      <c r="AD266" s="767" t="s">
        <v>792</v>
      </c>
      <c r="AE266" s="629" t="s">
        <v>792</v>
      </c>
      <c r="AF266" s="767" t="s">
        <v>792</v>
      </c>
      <c r="AG266" s="637" t="s">
        <v>792</v>
      </c>
      <c r="AH266" s="388"/>
      <c r="AI266" s="1014"/>
      <c r="AJ266" s="732"/>
      <c r="AK266" s="549"/>
      <c r="AL266" s="321"/>
      <c r="AM266" s="732"/>
      <c r="AN266" s="549"/>
      <c r="AO266" s="321"/>
      <c r="AP266" s="732"/>
      <c r="AQ266" s="549"/>
      <c r="AR266" s="321"/>
      <c r="AS266" s="732"/>
      <c r="AT266" s="549"/>
      <c r="AU266" s="326"/>
      <c r="AV266" s="388"/>
      <c r="AX266" s="732"/>
      <c r="AY266" s="549"/>
      <c r="AZ266" s="321"/>
      <c r="BA266" s="732"/>
      <c r="BB266" s="549"/>
      <c r="BC266" s="321"/>
      <c r="BD266" s="732"/>
      <c r="BE266" s="549"/>
      <c r="BF266" s="321"/>
      <c r="BG266" s="732"/>
      <c r="BH266" s="549"/>
      <c r="BI266" s="326"/>
      <c r="BJ266" s="388"/>
      <c r="BL266" s="732"/>
      <c r="BM266" s="549"/>
      <c r="BN266" s="321"/>
      <c r="BO266" s="732"/>
      <c r="BP266" s="549"/>
      <c r="BQ266" s="321"/>
      <c r="BR266" s="732"/>
      <c r="BS266" s="549"/>
      <c r="BT266" s="321"/>
      <c r="BU266" s="732"/>
      <c r="BV266" s="549"/>
      <c r="BW266" s="326"/>
      <c r="BX266" s="388"/>
      <c r="BZ266" s="732"/>
      <c r="CA266" s="549"/>
      <c r="CB266" s="321"/>
      <c r="CC266" s="732"/>
      <c r="CD266" s="549"/>
      <c r="CE266" s="321"/>
      <c r="CF266" s="732"/>
      <c r="CG266" s="549"/>
      <c r="CH266" s="321"/>
      <c r="CI266" s="732"/>
      <c r="CJ266" s="549"/>
      <c r="CK266" s="326"/>
      <c r="CL266" s="388"/>
    </row>
    <row r="267" spans="2:90" s="542" customFormat="1" ht="66" customHeight="1" thickBot="1" x14ac:dyDescent="0.25">
      <c r="B267" s="1393"/>
      <c r="C267" s="1397"/>
      <c r="D267" s="768" t="str">
        <f>+'Plan de Accion 2018'!G236</f>
        <v>Pliegos de condiciones de los procesos contractuales y actas de audiencias públicas</v>
      </c>
      <c r="E267" s="1423"/>
      <c r="F267" s="544" t="str">
        <f>+'Plan de Accion 2018'!S236</f>
        <v># de audiencias públicas convocadas en los pliegos de condiciones de procesos licitatorios adelantados durante el periodo / # procesos licitatorios adelantados durante el periodo</v>
      </c>
      <c r="G267" s="298"/>
      <c r="H267" s="543">
        <f>+'Plan de Accion 2018'!AB236</f>
        <v>0</v>
      </c>
      <c r="I267" s="767" t="str">
        <f>+'Plan de Accion 2018'!BM236</f>
        <v>No Prog ni Ejec</v>
      </c>
      <c r="J267" s="767" t="s">
        <v>792</v>
      </c>
      <c r="K267" s="767">
        <f>+'Plan de Accion 2018'!AF236</f>
        <v>0</v>
      </c>
      <c r="L267" s="875">
        <f t="shared" si="98"/>
        <v>0</v>
      </c>
      <c r="M267" s="682" t="s">
        <v>792</v>
      </c>
      <c r="N267" s="644"/>
      <c r="O267" s="543">
        <f>+'Plan de Accion 2018'!AL236</f>
        <v>0</v>
      </c>
      <c r="P267" s="767" t="str">
        <f>+'Plan de Accion 2018'!BO236</f>
        <v>No Prog ni Ejec</v>
      </c>
      <c r="Q267" s="629" t="s">
        <v>792</v>
      </c>
      <c r="R267" s="751">
        <f>+'Plan de Accion 2018'!AP236</f>
        <v>0</v>
      </c>
      <c r="S267" s="873">
        <f t="shared" si="99"/>
        <v>0</v>
      </c>
      <c r="T267" s="637" t="s">
        <v>792</v>
      </c>
      <c r="U267" s="329"/>
      <c r="V267" s="543">
        <f>+'Plan de Accion 2018'!AV236</f>
        <v>0</v>
      </c>
      <c r="W267" s="767" t="str">
        <f>+'Plan de Accion 2018'!BQ236</f>
        <v>No Prog ni Ejec</v>
      </c>
      <c r="X267" s="629" t="s">
        <v>792</v>
      </c>
      <c r="Y267" s="882">
        <f>+'Plan de Accion 2018'!AZ236</f>
        <v>0</v>
      </c>
      <c r="Z267" s="882">
        <f t="shared" si="100"/>
        <v>0</v>
      </c>
      <c r="AA267" s="883" t="s">
        <v>792</v>
      </c>
      <c r="AB267" s="644"/>
      <c r="AC267" s="543">
        <f>+'Plan de Accion 2018'!BF236</f>
        <v>1</v>
      </c>
      <c r="AD267" s="767">
        <f>+'Plan de Accion 2018'!BS236</f>
        <v>1</v>
      </c>
      <c r="AE267" s="629">
        <f>IF(AD267&gt;100%,100%,AD267)</f>
        <v>1</v>
      </c>
      <c r="AF267" s="767">
        <f>+'Plan de Accion 2018'!BJ236</f>
        <v>1</v>
      </c>
      <c r="AG267" s="637">
        <f t="shared" si="105"/>
        <v>1</v>
      </c>
      <c r="AH267" s="388"/>
      <c r="AI267" s="1014"/>
      <c r="AJ267" s="763"/>
      <c r="AK267" s="549"/>
      <c r="AL267" s="321"/>
      <c r="AM267" s="763"/>
      <c r="AN267" s="549"/>
      <c r="AO267" s="321"/>
      <c r="AP267" s="763"/>
      <c r="AQ267" s="549"/>
      <c r="AR267" s="321"/>
      <c r="AS267" s="763"/>
      <c r="AT267" s="549"/>
      <c r="AU267" s="326"/>
      <c r="AV267" s="388"/>
      <c r="AX267" s="763"/>
      <c r="AY267" s="549"/>
      <c r="AZ267" s="321"/>
      <c r="BA267" s="763"/>
      <c r="BB267" s="549"/>
      <c r="BC267" s="321"/>
      <c r="BD267" s="763"/>
      <c r="BE267" s="549"/>
      <c r="BF267" s="321"/>
      <c r="BG267" s="763"/>
      <c r="BH267" s="549"/>
      <c r="BI267" s="326"/>
      <c r="BJ267" s="388"/>
      <c r="BL267" s="763"/>
      <c r="BM267" s="549"/>
      <c r="BN267" s="321"/>
      <c r="BO267" s="763"/>
      <c r="BP267" s="549"/>
      <c r="BQ267" s="321"/>
      <c r="BR267" s="763"/>
      <c r="BS267" s="549"/>
      <c r="BT267" s="321"/>
      <c r="BU267" s="763"/>
      <c r="BV267" s="549"/>
      <c r="BW267" s="326"/>
      <c r="BX267" s="388"/>
      <c r="BZ267" s="763"/>
      <c r="CA267" s="549"/>
      <c r="CB267" s="321"/>
      <c r="CC267" s="763"/>
      <c r="CD267" s="549"/>
      <c r="CE267" s="321"/>
      <c r="CF267" s="763"/>
      <c r="CG267" s="549"/>
      <c r="CH267" s="321"/>
      <c r="CI267" s="763"/>
      <c r="CJ267" s="549"/>
      <c r="CK267" s="326"/>
      <c r="CL267" s="388"/>
    </row>
    <row r="268" spans="2:90" s="542" customFormat="1" ht="66" customHeight="1" thickBot="1" x14ac:dyDescent="0.25">
      <c r="B268" s="1393"/>
      <c r="C268" s="1397"/>
      <c r="D268" s="768" t="str">
        <f>+'Plan de Accion 2018'!G246</f>
        <v>Matriz con riesgos de corrupción identificados para el proceso de Atención al Ciudadano</v>
      </c>
      <c r="E268" s="1423"/>
      <c r="F268" s="544" t="str">
        <f>+'Plan de Accion 2018'!S246</f>
        <v># Matrices de riesgos de corrupción de Atención al Ciudadano aprobadas</v>
      </c>
      <c r="G268" s="298"/>
      <c r="H268" s="543">
        <f>+'Plan de Accion 2018'!AB246</f>
        <v>0</v>
      </c>
      <c r="I268" s="767" t="str">
        <f>+'Plan de Accion 2018'!BM246</f>
        <v>No Prog ni Ejec</v>
      </c>
      <c r="J268" s="767" t="s">
        <v>792</v>
      </c>
      <c r="K268" s="767">
        <f>+'Plan de Accion 2018'!AF246</f>
        <v>0</v>
      </c>
      <c r="L268" s="875">
        <f t="shared" si="98"/>
        <v>0</v>
      </c>
      <c r="M268" s="682" t="s">
        <v>792</v>
      </c>
      <c r="N268" s="644"/>
      <c r="O268" s="543">
        <f>+'Plan de Accion 2018'!AL246</f>
        <v>1</v>
      </c>
      <c r="P268" s="767">
        <f>+'Plan de Accion 2018'!BO246</f>
        <v>1</v>
      </c>
      <c r="Q268" s="629">
        <f t="shared" si="76"/>
        <v>1</v>
      </c>
      <c r="R268" s="751">
        <f>+'Plan de Accion 2018'!AP246</f>
        <v>1</v>
      </c>
      <c r="S268" s="873">
        <f t="shared" si="99"/>
        <v>1</v>
      </c>
      <c r="T268" s="637">
        <f t="shared" ref="T268" si="106">+S268</f>
        <v>1</v>
      </c>
      <c r="U268" s="329"/>
      <c r="V268" s="543">
        <f>+'Plan de Accion 2018'!AV246</f>
        <v>0</v>
      </c>
      <c r="W268" s="767" t="str">
        <f>+'Plan de Accion 2018'!BQ246</f>
        <v>No Prog ni Ejec</v>
      </c>
      <c r="X268" s="629" t="s">
        <v>792</v>
      </c>
      <c r="Y268" s="882">
        <f>+'Plan de Accion 2018'!AZ246</f>
        <v>1</v>
      </c>
      <c r="Z268" s="882">
        <f t="shared" si="100"/>
        <v>1</v>
      </c>
      <c r="AA268" s="883">
        <f t="shared" ref="AA268:AA273" si="107">+Z268</f>
        <v>1</v>
      </c>
      <c r="AB268" s="644"/>
      <c r="AC268" s="543">
        <f>+'Plan de Accion 2018'!BF246</f>
        <v>0</v>
      </c>
      <c r="AD268" s="767" t="str">
        <f>+'Plan de Accion 2018'!BS246</f>
        <v>No Prog ni Ejec</v>
      </c>
      <c r="AE268" s="629" t="s">
        <v>792</v>
      </c>
      <c r="AF268" s="767">
        <f>+'Plan de Accion 2018'!BJ246</f>
        <v>1</v>
      </c>
      <c r="AG268" s="637">
        <f t="shared" si="105"/>
        <v>1</v>
      </c>
      <c r="AH268" s="388"/>
      <c r="AI268" s="1014"/>
      <c r="AJ268" s="763"/>
      <c r="AK268" s="549"/>
      <c r="AL268" s="321"/>
      <c r="AM268" s="763"/>
      <c r="AN268" s="549"/>
      <c r="AO268" s="321"/>
      <c r="AP268" s="763"/>
      <c r="AQ268" s="549"/>
      <c r="AR268" s="321"/>
      <c r="AS268" s="763"/>
      <c r="AT268" s="549"/>
      <c r="AU268" s="326"/>
      <c r="AV268" s="388"/>
      <c r="AX268" s="763"/>
      <c r="AY268" s="549"/>
      <c r="AZ268" s="321"/>
      <c r="BA268" s="763"/>
      <c r="BB268" s="549"/>
      <c r="BC268" s="321"/>
      <c r="BD268" s="763"/>
      <c r="BE268" s="549"/>
      <c r="BF268" s="321"/>
      <c r="BG268" s="763"/>
      <c r="BH268" s="549"/>
      <c r="BI268" s="326"/>
      <c r="BJ268" s="388"/>
      <c r="BL268" s="763"/>
      <c r="BM268" s="549"/>
      <c r="BN268" s="321"/>
      <c r="BO268" s="763"/>
      <c r="BP268" s="549"/>
      <c r="BQ268" s="321"/>
      <c r="BR268" s="763"/>
      <c r="BS268" s="549"/>
      <c r="BT268" s="321"/>
      <c r="BU268" s="763"/>
      <c r="BV268" s="549"/>
      <c r="BW268" s="326"/>
      <c r="BX268" s="388"/>
      <c r="BZ268" s="763"/>
      <c r="CA268" s="549"/>
      <c r="CB268" s="321"/>
      <c r="CC268" s="763"/>
      <c r="CD268" s="549"/>
      <c r="CE268" s="321"/>
      <c r="CF268" s="763"/>
      <c r="CG268" s="549"/>
      <c r="CH268" s="321"/>
      <c r="CI268" s="763"/>
      <c r="CJ268" s="549"/>
      <c r="CK268" s="326"/>
      <c r="CL268" s="388"/>
    </row>
    <row r="269" spans="2:90" s="542" customFormat="1" ht="66" customHeight="1" thickBot="1" x14ac:dyDescent="0.25">
      <c r="B269" s="1393"/>
      <c r="C269" s="1397"/>
      <c r="D269" s="768" t="str">
        <f>+'Plan de Accion 2018'!G247</f>
        <v>Proceso y/o procedimientos actualizados</v>
      </c>
      <c r="E269" s="1423"/>
      <c r="F269" s="544" t="str">
        <f>+'Plan de Accion 2018'!S247</f>
        <v># procedimientos relacionados con la administración de Quejas, Reclamos y Sugerencias caracterizados y/o actualizados / # procedimientos requeridos para caracterizar y/o actualizar</v>
      </c>
      <c r="G269" s="298"/>
      <c r="H269" s="543">
        <f>+'Plan de Accion 2018'!AB247</f>
        <v>1</v>
      </c>
      <c r="I269" s="767">
        <f>+'Plan de Accion 2018'!BM247</f>
        <v>1</v>
      </c>
      <c r="J269" s="767">
        <f>IF(I269&gt;100%,100%,I269)</f>
        <v>1</v>
      </c>
      <c r="K269" s="767">
        <f>+'Plan de Accion 2018'!AF247</f>
        <v>1</v>
      </c>
      <c r="L269" s="875">
        <f t="shared" si="98"/>
        <v>1</v>
      </c>
      <c r="M269" s="682">
        <f>+L269</f>
        <v>1</v>
      </c>
      <c r="N269" s="644"/>
      <c r="O269" s="543">
        <f>+'Plan de Accion 2018'!AL247</f>
        <v>0</v>
      </c>
      <c r="P269" s="767" t="str">
        <f>+'Plan de Accion 2018'!BO247</f>
        <v>No Prog ni Ejec</v>
      </c>
      <c r="Q269" s="629" t="s">
        <v>792</v>
      </c>
      <c r="R269" s="751">
        <f>+'Plan de Accion 2018'!AP247</f>
        <v>1</v>
      </c>
      <c r="S269" s="873">
        <f t="shared" si="99"/>
        <v>1</v>
      </c>
      <c r="T269" s="637">
        <f>+S269</f>
        <v>1</v>
      </c>
      <c r="U269" s="329"/>
      <c r="V269" s="543">
        <f>+'Plan de Accion 2018'!AV247</f>
        <v>0</v>
      </c>
      <c r="W269" s="767" t="str">
        <f>+'Plan de Accion 2018'!BQ247</f>
        <v>No Prog ni Ejec</v>
      </c>
      <c r="X269" s="629" t="s">
        <v>792</v>
      </c>
      <c r="Y269" s="882">
        <f>+'Plan de Accion 2018'!AZ247</f>
        <v>1</v>
      </c>
      <c r="Z269" s="882">
        <f t="shared" si="100"/>
        <v>1</v>
      </c>
      <c r="AA269" s="883">
        <f t="shared" si="107"/>
        <v>1</v>
      </c>
      <c r="AB269" s="644"/>
      <c r="AC269" s="543">
        <f>+'Plan de Accion 2018'!BF247</f>
        <v>0</v>
      </c>
      <c r="AD269" s="767" t="str">
        <f>+'Plan de Accion 2018'!BS247</f>
        <v>No Prog ni Ejec</v>
      </c>
      <c r="AE269" s="629" t="s">
        <v>792</v>
      </c>
      <c r="AF269" s="767">
        <f>+'Plan de Accion 2018'!BJ247</f>
        <v>1</v>
      </c>
      <c r="AG269" s="637">
        <f t="shared" si="105"/>
        <v>1</v>
      </c>
      <c r="AH269" s="388"/>
      <c r="AI269" s="1014"/>
      <c r="AJ269" s="763"/>
      <c r="AK269" s="549"/>
      <c r="AL269" s="321"/>
      <c r="AM269" s="763"/>
      <c r="AN269" s="549"/>
      <c r="AO269" s="321"/>
      <c r="AP269" s="763"/>
      <c r="AQ269" s="549"/>
      <c r="AR269" s="321"/>
      <c r="AS269" s="763"/>
      <c r="AT269" s="549"/>
      <c r="AU269" s="326"/>
      <c r="AV269" s="388"/>
      <c r="AX269" s="763"/>
      <c r="AY269" s="549"/>
      <c r="AZ269" s="321"/>
      <c r="BA269" s="763"/>
      <c r="BB269" s="549"/>
      <c r="BC269" s="321"/>
      <c r="BD269" s="763"/>
      <c r="BE269" s="549"/>
      <c r="BF269" s="321"/>
      <c r="BG269" s="763"/>
      <c r="BH269" s="549"/>
      <c r="BI269" s="326"/>
      <c r="BJ269" s="388"/>
      <c r="BL269" s="763"/>
      <c r="BM269" s="549"/>
      <c r="BN269" s="321"/>
      <c r="BO269" s="763"/>
      <c r="BP269" s="549"/>
      <c r="BQ269" s="321"/>
      <c r="BR269" s="763"/>
      <c r="BS269" s="549"/>
      <c r="BT269" s="321"/>
      <c r="BU269" s="763"/>
      <c r="BV269" s="549"/>
      <c r="BW269" s="326"/>
      <c r="BX269" s="388"/>
      <c r="BZ269" s="763"/>
      <c r="CA269" s="549"/>
      <c r="CB269" s="321"/>
      <c r="CC269" s="763"/>
      <c r="CD269" s="549"/>
      <c r="CE269" s="321"/>
      <c r="CF269" s="763"/>
      <c r="CG269" s="549"/>
      <c r="CH269" s="321"/>
      <c r="CI269" s="763"/>
      <c r="CJ269" s="549"/>
      <c r="CK269" s="326"/>
      <c r="CL269" s="388"/>
    </row>
    <row r="270" spans="2:90" s="542" customFormat="1" ht="66" customHeight="1" thickBot="1" x14ac:dyDescent="0.25">
      <c r="B270" s="1393"/>
      <c r="C270" s="1397"/>
      <c r="D270" s="768" t="str">
        <f>+'Plan de Accion 2018'!G254</f>
        <v>Formatos estandarizados y aprobados</v>
      </c>
      <c r="E270" s="1423"/>
      <c r="F270" s="544" t="str">
        <f>+'Plan de Accion 2018'!S254</f>
        <v># Formatos estandarizados y aprobados / # total de formatos para recepción de peticiones verbales y atención personalizada</v>
      </c>
      <c r="G270" s="298"/>
      <c r="H270" s="543">
        <f>+'Plan de Accion 2018'!AB254</f>
        <v>1</v>
      </c>
      <c r="I270" s="767">
        <f>+'Plan de Accion 2018'!BM254</f>
        <v>2</v>
      </c>
      <c r="J270" s="767">
        <f>IF(I270&gt;100%,100%,I270)</f>
        <v>1</v>
      </c>
      <c r="K270" s="767">
        <f>+'Plan de Accion 2018'!AF254</f>
        <v>1</v>
      </c>
      <c r="L270" s="875">
        <f t="shared" si="98"/>
        <v>1</v>
      </c>
      <c r="M270" s="682">
        <f>+L270</f>
        <v>1</v>
      </c>
      <c r="N270" s="644"/>
      <c r="O270" s="543">
        <f>+'Plan de Accion 2018'!AL254</f>
        <v>0</v>
      </c>
      <c r="P270" s="767">
        <f>+'Plan de Accion 2018'!BO254</f>
        <v>0</v>
      </c>
      <c r="Q270" s="629">
        <f>IF(P270&gt;100%,100%,P270)</f>
        <v>0</v>
      </c>
      <c r="R270" s="751">
        <f>+'Plan de Accion 2018'!AP254</f>
        <v>1</v>
      </c>
      <c r="S270" s="873">
        <f t="shared" si="99"/>
        <v>1</v>
      </c>
      <c r="T270" s="637">
        <f t="shared" ref="T270" si="108">+S270</f>
        <v>1</v>
      </c>
      <c r="U270" s="329"/>
      <c r="V270" s="543">
        <f>+'Plan de Accion 2018'!AV254</f>
        <v>0</v>
      </c>
      <c r="W270" s="767" t="str">
        <f>+'Plan de Accion 2018'!BQ254</f>
        <v>No Prog ni Ejec</v>
      </c>
      <c r="X270" s="629" t="s">
        <v>792</v>
      </c>
      <c r="Y270" s="882">
        <f>+'Plan de Accion 2018'!AZ254</f>
        <v>1</v>
      </c>
      <c r="Z270" s="882">
        <f t="shared" si="100"/>
        <v>1</v>
      </c>
      <c r="AA270" s="883">
        <f t="shared" si="107"/>
        <v>1</v>
      </c>
      <c r="AB270" s="644"/>
      <c r="AC270" s="543">
        <f>+'Plan de Accion 2018'!BF254</f>
        <v>0</v>
      </c>
      <c r="AD270" s="767" t="str">
        <f>+'Plan de Accion 2018'!BS254</f>
        <v>No Prog ni Ejec</v>
      </c>
      <c r="AE270" s="629" t="s">
        <v>792</v>
      </c>
      <c r="AF270" s="767">
        <f>+'Plan de Accion 2018'!BJ254</f>
        <v>1</v>
      </c>
      <c r="AG270" s="637">
        <f t="shared" si="105"/>
        <v>1</v>
      </c>
      <c r="AH270" s="388"/>
      <c r="AI270" s="1014"/>
      <c r="AJ270" s="763"/>
      <c r="AK270" s="549"/>
      <c r="AL270" s="321"/>
      <c r="AM270" s="763"/>
      <c r="AN270" s="549"/>
      <c r="AO270" s="321"/>
      <c r="AP270" s="763"/>
      <c r="AQ270" s="549"/>
      <c r="AR270" s="321"/>
      <c r="AS270" s="763"/>
      <c r="AT270" s="549"/>
      <c r="AU270" s="326"/>
      <c r="AV270" s="388"/>
      <c r="AX270" s="763"/>
      <c r="AY270" s="549"/>
      <c r="AZ270" s="321"/>
      <c r="BA270" s="763"/>
      <c r="BB270" s="549"/>
      <c r="BC270" s="321"/>
      <c r="BD270" s="763"/>
      <c r="BE270" s="549"/>
      <c r="BF270" s="321"/>
      <c r="BG270" s="763"/>
      <c r="BH270" s="549"/>
      <c r="BI270" s="326"/>
      <c r="BJ270" s="388"/>
      <c r="BL270" s="763"/>
      <c r="BM270" s="549"/>
      <c r="BN270" s="321"/>
      <c r="BO270" s="763"/>
      <c r="BP270" s="549"/>
      <c r="BQ270" s="321"/>
      <c r="BR270" s="763"/>
      <c r="BS270" s="549"/>
      <c r="BT270" s="321"/>
      <c r="BU270" s="763"/>
      <c r="BV270" s="549"/>
      <c r="BW270" s="326"/>
      <c r="BX270" s="388"/>
      <c r="BZ270" s="763"/>
      <c r="CA270" s="549"/>
      <c r="CB270" s="321"/>
      <c r="CC270" s="763"/>
      <c r="CD270" s="549"/>
      <c r="CE270" s="321"/>
      <c r="CF270" s="763"/>
      <c r="CG270" s="549"/>
      <c r="CH270" s="321"/>
      <c r="CI270" s="763"/>
      <c r="CJ270" s="549"/>
      <c r="CK270" s="326"/>
      <c r="CL270" s="388"/>
    </row>
    <row r="271" spans="2:90" s="542" customFormat="1" ht="66" customHeight="1" thickBot="1" x14ac:dyDescent="0.25">
      <c r="B271" s="1393"/>
      <c r="C271" s="1397"/>
      <c r="D271" s="768" t="str">
        <f>+'Plan de Accion 2018'!G285</f>
        <v>Tablas de Retención Documental - TRD aprobadas</v>
      </c>
      <c r="E271" s="1423"/>
      <c r="F271" s="544" t="str">
        <f>+'Plan de Accion 2018'!S285</f>
        <v># TRD de las Dependencias de la ADRES aprobadas / # de Dependencias de la ADRES</v>
      </c>
      <c r="G271" s="298"/>
      <c r="H271" s="543">
        <f>+'Plan de Accion 2018'!AB285</f>
        <v>0</v>
      </c>
      <c r="I271" s="767" t="str">
        <f>+'Plan de Accion 2018'!BM285</f>
        <v>No Prog ni Ejec</v>
      </c>
      <c r="J271" s="767" t="s">
        <v>792</v>
      </c>
      <c r="K271" s="767">
        <f>+'Plan de Accion 2018'!AF285</f>
        <v>0</v>
      </c>
      <c r="L271" s="875">
        <f t="shared" si="98"/>
        <v>0</v>
      </c>
      <c r="M271" s="682" t="s">
        <v>792</v>
      </c>
      <c r="N271" s="644"/>
      <c r="O271" s="543">
        <f>+'Plan de Accion 2018'!AL285</f>
        <v>0</v>
      </c>
      <c r="P271" s="767" t="str">
        <f>+'Plan de Accion 2018'!BO285</f>
        <v>No Prog ni Ejec</v>
      </c>
      <c r="Q271" s="629" t="s">
        <v>792</v>
      </c>
      <c r="R271" s="751">
        <f>+'Plan de Accion 2018'!AP285</f>
        <v>0</v>
      </c>
      <c r="S271" s="873">
        <f t="shared" si="99"/>
        <v>0</v>
      </c>
      <c r="T271" s="637" t="s">
        <v>792</v>
      </c>
      <c r="U271" s="329"/>
      <c r="V271" s="543">
        <f>+'Plan de Accion 2018'!AV285</f>
        <v>1</v>
      </c>
      <c r="W271" s="767">
        <f>+'Plan de Accion 2018'!AZ285</f>
        <v>1</v>
      </c>
      <c r="X271" s="629">
        <f>IF(W271&gt;100%,100%,W271)</f>
        <v>1</v>
      </c>
      <c r="Y271" s="882">
        <f>+'Plan de Accion 2018'!AZ285</f>
        <v>1</v>
      </c>
      <c r="Z271" s="882">
        <f t="shared" si="100"/>
        <v>1</v>
      </c>
      <c r="AA271" s="883">
        <f t="shared" si="107"/>
        <v>1</v>
      </c>
      <c r="AB271" s="644"/>
      <c r="AC271" s="543">
        <f>+'Plan de Accion 2018'!BF285</f>
        <v>0</v>
      </c>
      <c r="AD271" s="767">
        <f>+'Plan de Accion 2018'!BS285</f>
        <v>0</v>
      </c>
      <c r="AE271" s="629">
        <f>IF(AD271&gt;100%,100%,AD271)</f>
        <v>0</v>
      </c>
      <c r="AF271" s="767">
        <f>+'Plan de Accion 2018'!BJ285</f>
        <v>1</v>
      </c>
      <c r="AG271" s="637">
        <f t="shared" si="105"/>
        <v>1</v>
      </c>
      <c r="AH271" s="388"/>
      <c r="AI271" s="1014"/>
      <c r="AJ271" s="763"/>
      <c r="AK271" s="549"/>
      <c r="AL271" s="321"/>
      <c r="AM271" s="763"/>
      <c r="AN271" s="549"/>
      <c r="AO271" s="321"/>
      <c r="AP271" s="763"/>
      <c r="AQ271" s="549"/>
      <c r="AR271" s="321"/>
      <c r="AS271" s="763"/>
      <c r="AT271" s="549"/>
      <c r="AU271" s="326"/>
      <c r="AV271" s="388"/>
      <c r="AX271" s="763"/>
      <c r="AY271" s="549"/>
      <c r="AZ271" s="321"/>
      <c r="BA271" s="763"/>
      <c r="BB271" s="549"/>
      <c r="BC271" s="321"/>
      <c r="BD271" s="763"/>
      <c r="BE271" s="549"/>
      <c r="BF271" s="321"/>
      <c r="BG271" s="763"/>
      <c r="BH271" s="549"/>
      <c r="BI271" s="326"/>
      <c r="BJ271" s="388"/>
      <c r="BL271" s="763"/>
      <c r="BM271" s="549"/>
      <c r="BN271" s="321"/>
      <c r="BO271" s="763"/>
      <c r="BP271" s="549"/>
      <c r="BQ271" s="321"/>
      <c r="BR271" s="763"/>
      <c r="BS271" s="549"/>
      <c r="BT271" s="321"/>
      <c r="BU271" s="763"/>
      <c r="BV271" s="549"/>
      <c r="BW271" s="326"/>
      <c r="BX271" s="388"/>
      <c r="BZ271" s="763"/>
      <c r="CA271" s="549"/>
      <c r="CB271" s="321"/>
      <c r="CC271" s="763"/>
      <c r="CD271" s="549"/>
      <c r="CE271" s="321"/>
      <c r="CF271" s="763"/>
      <c r="CG271" s="549"/>
      <c r="CH271" s="321"/>
      <c r="CI271" s="763"/>
      <c r="CJ271" s="549"/>
      <c r="CK271" s="326"/>
      <c r="CL271" s="388"/>
    </row>
    <row r="272" spans="2:90" s="542" customFormat="1" ht="66" customHeight="1" thickBot="1" x14ac:dyDescent="0.25">
      <c r="B272" s="1393"/>
      <c r="C272" s="1397"/>
      <c r="D272" s="768" t="str">
        <f>+'Plan de Accion 2018'!G286</f>
        <v xml:space="preserve">Las unidades documentales transferidas al custodio final </v>
      </c>
      <c r="E272" s="1423"/>
      <c r="F272" s="544" t="str">
        <f>+'Plan de Accion 2018'!S286</f>
        <v># Unidades Documentales transferidas / Unidades Documentales recibidas para alistamiento</v>
      </c>
      <c r="G272" s="298"/>
      <c r="H272" s="543">
        <f>+'Plan de Accion 2018'!AB286</f>
        <v>0</v>
      </c>
      <c r="I272" s="767" t="str">
        <f>+'Plan de Accion 2018'!BM286</f>
        <v>No Prog ni Ejec</v>
      </c>
      <c r="J272" s="767" t="s">
        <v>792</v>
      </c>
      <c r="K272" s="767">
        <f>+'Plan de Accion 2018'!AF286</f>
        <v>0</v>
      </c>
      <c r="L272" s="875">
        <f t="shared" si="98"/>
        <v>0</v>
      </c>
      <c r="M272" s="682" t="s">
        <v>792</v>
      </c>
      <c r="N272" s="644"/>
      <c r="O272" s="543">
        <f>+'Plan de Accion 2018'!AL286</f>
        <v>0</v>
      </c>
      <c r="P272" s="767" t="str">
        <f>+'Plan de Accion 2018'!BO286</f>
        <v>No Prog ni Ejec</v>
      </c>
      <c r="Q272" s="629" t="s">
        <v>792</v>
      </c>
      <c r="R272" s="751">
        <f>+'Plan de Accion 2018'!AP286</f>
        <v>0</v>
      </c>
      <c r="S272" s="873">
        <f t="shared" si="99"/>
        <v>0</v>
      </c>
      <c r="T272" s="637" t="s">
        <v>792</v>
      </c>
      <c r="U272" s="329"/>
      <c r="V272" s="543">
        <f>+'Plan de Accion 2018'!AV286</f>
        <v>0.25227932870743908</v>
      </c>
      <c r="W272" s="767">
        <f>+'Plan de Accion 2018'!BQ286</f>
        <v>0.50455865741487815</v>
      </c>
      <c r="X272" s="629">
        <f>IF(W272&gt;100%,100%,W272)</f>
        <v>0.50455865741487815</v>
      </c>
      <c r="Y272" s="882">
        <f>+'Plan de Accion 2018'!AZ286</f>
        <v>0.25227932870743908</v>
      </c>
      <c r="Z272" s="882">
        <f t="shared" si="100"/>
        <v>0.25227932870743908</v>
      </c>
      <c r="AA272" s="883">
        <f t="shared" si="107"/>
        <v>0.25227932870743908</v>
      </c>
      <c r="AB272" s="644"/>
      <c r="AC272" s="543">
        <f>+'Plan de Accion 2018'!BF286</f>
        <v>0.24356543488784896</v>
      </c>
      <c r="AD272" s="767">
        <f>+'Plan de Accion 2018'!BS286</f>
        <v>0.48713086977569792</v>
      </c>
      <c r="AE272" s="629">
        <f>IF(AD272&gt;100%,100%,AD272)</f>
        <v>0.48713086977569792</v>
      </c>
      <c r="AF272" s="767">
        <f>+'Plan de Accion 2018'!BJ286</f>
        <v>0.49584476359528806</v>
      </c>
      <c r="AG272" s="637">
        <f t="shared" si="105"/>
        <v>0.49584476359528806</v>
      </c>
      <c r="AH272" s="388"/>
      <c r="AI272" s="1014"/>
      <c r="AJ272" s="763"/>
      <c r="AK272" s="549"/>
      <c r="AL272" s="321"/>
      <c r="AM272" s="763"/>
      <c r="AN272" s="549"/>
      <c r="AO272" s="321"/>
      <c r="AP272" s="763"/>
      <c r="AQ272" s="549"/>
      <c r="AR272" s="321"/>
      <c r="AS272" s="763"/>
      <c r="AT272" s="549"/>
      <c r="AU272" s="326"/>
      <c r="AV272" s="388"/>
      <c r="AX272" s="763"/>
      <c r="AY272" s="549"/>
      <c r="AZ272" s="321"/>
      <c r="BA272" s="763"/>
      <c r="BB272" s="549"/>
      <c r="BC272" s="321"/>
      <c r="BD272" s="763"/>
      <c r="BE272" s="549"/>
      <c r="BF272" s="321"/>
      <c r="BG272" s="763"/>
      <c r="BH272" s="549"/>
      <c r="BI272" s="326"/>
      <c r="BJ272" s="388"/>
      <c r="BL272" s="763"/>
      <c r="BM272" s="549"/>
      <c r="BN272" s="321"/>
      <c r="BO272" s="763"/>
      <c r="BP272" s="549"/>
      <c r="BQ272" s="321"/>
      <c r="BR272" s="763"/>
      <c r="BS272" s="549"/>
      <c r="BT272" s="321"/>
      <c r="BU272" s="763"/>
      <c r="BV272" s="549"/>
      <c r="BW272" s="326"/>
      <c r="BX272" s="388"/>
      <c r="BZ272" s="763"/>
      <c r="CA272" s="549"/>
      <c r="CB272" s="321"/>
      <c r="CC272" s="763"/>
      <c r="CD272" s="549"/>
      <c r="CE272" s="321"/>
      <c r="CF272" s="763"/>
      <c r="CG272" s="549"/>
      <c r="CH272" s="321"/>
      <c r="CI272" s="763"/>
      <c r="CJ272" s="549"/>
      <c r="CK272" s="326"/>
      <c r="CL272" s="388"/>
    </row>
    <row r="273" spans="2:90" s="542" customFormat="1" ht="66" customHeight="1" thickBot="1" x14ac:dyDescent="0.25">
      <c r="B273" s="1393"/>
      <c r="C273" s="1397"/>
      <c r="D273" s="768" t="str">
        <f>+'Plan de Accion 2018'!G287</f>
        <v>Propuesta de mejoras al Sistemas de Gestión documental - SGD aprobadas.</v>
      </c>
      <c r="E273" s="1423"/>
      <c r="F273" s="544" t="str">
        <f>+'Plan de Accion 2018'!S287</f>
        <v>Numero de propuestas presentadas y aprobadas sobre las mejoras de SGD</v>
      </c>
      <c r="G273" s="298"/>
      <c r="H273" s="543">
        <f>+'Plan de Accion 2018'!AB287</f>
        <v>0</v>
      </c>
      <c r="I273" s="767" t="str">
        <f>+'Plan de Accion 2018'!BM287</f>
        <v>No Prog ni Ejec</v>
      </c>
      <c r="J273" s="767" t="s">
        <v>792</v>
      </c>
      <c r="K273" s="767">
        <f>+'Plan de Accion 2018'!AF287</f>
        <v>0</v>
      </c>
      <c r="L273" s="875">
        <f t="shared" si="98"/>
        <v>0</v>
      </c>
      <c r="M273" s="682" t="s">
        <v>792</v>
      </c>
      <c r="N273" s="644"/>
      <c r="O273" s="543">
        <f>+'Plan de Accion 2018'!AL287</f>
        <v>0</v>
      </c>
      <c r="P273" s="767" t="str">
        <f>+'Plan de Accion 2018'!BO287</f>
        <v>No Prog ni Ejec</v>
      </c>
      <c r="Q273" s="629" t="s">
        <v>792</v>
      </c>
      <c r="R273" s="751">
        <f>+'Plan de Accion 2018'!AP287</f>
        <v>0</v>
      </c>
      <c r="S273" s="873">
        <f t="shared" si="99"/>
        <v>0</v>
      </c>
      <c r="T273" s="637" t="s">
        <v>792</v>
      </c>
      <c r="U273" s="329"/>
      <c r="V273" s="543">
        <f>+'Plan de Accion 2018'!AV287</f>
        <v>1</v>
      </c>
      <c r="W273" s="767">
        <f>+'Plan de Accion 2018'!BQ287</f>
        <v>1</v>
      </c>
      <c r="X273" s="629">
        <f>IF(W273&gt;100%,100%,W273)</f>
        <v>1</v>
      </c>
      <c r="Y273" s="882">
        <f>+'Plan de Accion 2018'!AZ287</f>
        <v>1</v>
      </c>
      <c r="Z273" s="882">
        <f t="shared" si="100"/>
        <v>1</v>
      </c>
      <c r="AA273" s="883">
        <f t="shared" si="107"/>
        <v>1</v>
      </c>
      <c r="AB273" s="644"/>
      <c r="AC273" s="543">
        <f>+'Plan de Accion 2018'!BF287</f>
        <v>0</v>
      </c>
      <c r="AD273" s="767" t="str">
        <f>+'Plan de Accion 2018'!BS287</f>
        <v>No Prog ni Ejec</v>
      </c>
      <c r="AE273" s="629" t="s">
        <v>792</v>
      </c>
      <c r="AF273" s="767">
        <f>+'Plan de Accion 2018'!BJ287</f>
        <v>1</v>
      </c>
      <c r="AG273" s="637">
        <f t="shared" si="105"/>
        <v>1</v>
      </c>
      <c r="AH273" s="388"/>
      <c r="AI273" s="1014"/>
      <c r="AJ273" s="763"/>
      <c r="AK273" s="549"/>
      <c r="AL273" s="321"/>
      <c r="AM273" s="763"/>
      <c r="AN273" s="549"/>
      <c r="AO273" s="321"/>
      <c r="AP273" s="763"/>
      <c r="AQ273" s="549"/>
      <c r="AR273" s="321"/>
      <c r="AS273" s="763"/>
      <c r="AT273" s="549"/>
      <c r="AU273" s="326"/>
      <c r="AV273" s="388"/>
      <c r="AX273" s="763"/>
      <c r="AY273" s="549"/>
      <c r="AZ273" s="321"/>
      <c r="BA273" s="763"/>
      <c r="BB273" s="549"/>
      <c r="BC273" s="321"/>
      <c r="BD273" s="763"/>
      <c r="BE273" s="549"/>
      <c r="BF273" s="321"/>
      <c r="BG273" s="763"/>
      <c r="BH273" s="549"/>
      <c r="BI273" s="326"/>
      <c r="BJ273" s="388"/>
      <c r="BL273" s="763"/>
      <c r="BM273" s="549"/>
      <c r="BN273" s="321"/>
      <c r="BO273" s="763"/>
      <c r="BP273" s="549"/>
      <c r="BQ273" s="321"/>
      <c r="BR273" s="763"/>
      <c r="BS273" s="549"/>
      <c r="BT273" s="321"/>
      <c r="BU273" s="763"/>
      <c r="BV273" s="549"/>
      <c r="BW273" s="326"/>
      <c r="BX273" s="388"/>
      <c r="BZ273" s="763"/>
      <c r="CA273" s="549"/>
      <c r="CB273" s="321"/>
      <c r="CC273" s="763"/>
      <c r="CD273" s="549"/>
      <c r="CE273" s="321"/>
      <c r="CF273" s="763"/>
      <c r="CG273" s="549"/>
      <c r="CH273" s="321"/>
      <c r="CI273" s="763"/>
      <c r="CJ273" s="549"/>
      <c r="CK273" s="326"/>
      <c r="CL273" s="388"/>
    </row>
    <row r="274" spans="2:90" s="542" customFormat="1" ht="66" customHeight="1" thickBot="1" x14ac:dyDescent="0.25">
      <c r="B274" s="1393"/>
      <c r="C274" s="1397"/>
      <c r="D274" s="768" t="str">
        <f>+'Plan de Accion 2018'!G298</f>
        <v>Programa de mantenimiento</v>
      </c>
      <c r="E274" s="1423"/>
      <c r="F274" s="544" t="str">
        <f>+'Plan de Accion 2018'!S298</f>
        <v># Programas de mantenimiento elaborados</v>
      </c>
      <c r="G274" s="298"/>
      <c r="H274" s="543">
        <f>+'Plan de Accion 2018'!AB298</f>
        <v>0</v>
      </c>
      <c r="I274" s="767" t="str">
        <f>+'Plan de Accion 2018'!BM298</f>
        <v>No Prog ni Ejec</v>
      </c>
      <c r="J274" s="767" t="s">
        <v>792</v>
      </c>
      <c r="K274" s="767">
        <f>+'Plan de Accion 2018'!AF298</f>
        <v>0</v>
      </c>
      <c r="L274" s="875">
        <f t="shared" si="98"/>
        <v>0</v>
      </c>
      <c r="M274" s="682" t="s">
        <v>792</v>
      </c>
      <c r="N274" s="644"/>
      <c r="O274" s="543">
        <f>+'Plan de Accion 2018'!AL298</f>
        <v>0</v>
      </c>
      <c r="P274" s="767" t="str">
        <f>+'Plan de Accion 2018'!BO298</f>
        <v>No Prog ni Ejec</v>
      </c>
      <c r="Q274" s="629" t="s">
        <v>792</v>
      </c>
      <c r="R274" s="751">
        <f>+'Plan de Accion 2018'!AP298</f>
        <v>0</v>
      </c>
      <c r="S274" s="873">
        <f t="shared" si="99"/>
        <v>0</v>
      </c>
      <c r="T274" s="637" t="s">
        <v>792</v>
      </c>
      <c r="U274" s="329"/>
      <c r="V274" s="543">
        <f>+'Plan de Accion 2018'!AV298</f>
        <v>0</v>
      </c>
      <c r="W274" s="767" t="str">
        <f>+'Plan de Accion 2018'!BQ298</f>
        <v>No Prog ni Ejec</v>
      </c>
      <c r="X274" s="629" t="s">
        <v>792</v>
      </c>
      <c r="Y274" s="882">
        <f>+'Plan de Accion 2018'!AZ298</f>
        <v>0</v>
      </c>
      <c r="Z274" s="882">
        <f t="shared" si="100"/>
        <v>0</v>
      </c>
      <c r="AA274" s="883" t="s">
        <v>792</v>
      </c>
      <c r="AB274" s="644"/>
      <c r="AC274" s="543">
        <f>+'Plan de Accion 2018'!BF298</f>
        <v>1</v>
      </c>
      <c r="AD274" s="767">
        <f>+'Plan de Accion 2018'!BS298</f>
        <v>1</v>
      </c>
      <c r="AE274" s="629">
        <f>IF(AD274&gt;100%,100%,AD274)</f>
        <v>1</v>
      </c>
      <c r="AF274" s="767">
        <f>+'Plan de Accion 2018'!BJ298</f>
        <v>1</v>
      </c>
      <c r="AG274" s="637">
        <f t="shared" si="105"/>
        <v>1</v>
      </c>
      <c r="AH274" s="388"/>
      <c r="AI274" s="1014"/>
      <c r="AJ274" s="763"/>
      <c r="AK274" s="549"/>
      <c r="AL274" s="321"/>
      <c r="AM274" s="763"/>
      <c r="AN274" s="549"/>
      <c r="AO274" s="321"/>
      <c r="AP274" s="763"/>
      <c r="AQ274" s="549"/>
      <c r="AR274" s="321"/>
      <c r="AS274" s="763"/>
      <c r="AT274" s="549"/>
      <c r="AU274" s="326"/>
      <c r="AV274" s="388"/>
      <c r="AX274" s="763"/>
      <c r="AY274" s="549"/>
      <c r="AZ274" s="321"/>
      <c r="BA274" s="763"/>
      <c r="BB274" s="549"/>
      <c r="BC274" s="321"/>
      <c r="BD274" s="763"/>
      <c r="BE274" s="549"/>
      <c r="BF274" s="321"/>
      <c r="BG274" s="763"/>
      <c r="BH274" s="549"/>
      <c r="BI274" s="326"/>
      <c r="BJ274" s="388"/>
      <c r="BL274" s="763"/>
      <c r="BM274" s="549"/>
      <c r="BN274" s="321"/>
      <c r="BO274" s="763"/>
      <c r="BP274" s="549"/>
      <c r="BQ274" s="321"/>
      <c r="BR274" s="763"/>
      <c r="BS274" s="549"/>
      <c r="BT274" s="321"/>
      <c r="BU274" s="763"/>
      <c r="BV274" s="549"/>
      <c r="BW274" s="326"/>
      <c r="BX274" s="388"/>
      <c r="BZ274" s="763"/>
      <c r="CA274" s="549"/>
      <c r="CB274" s="321"/>
      <c r="CC274" s="763"/>
      <c r="CD274" s="549"/>
      <c r="CE274" s="321"/>
      <c r="CF274" s="763"/>
      <c r="CG274" s="549"/>
      <c r="CH274" s="321"/>
      <c r="CI274" s="763"/>
      <c r="CJ274" s="549"/>
      <c r="CK274" s="326"/>
      <c r="CL274" s="388"/>
    </row>
    <row r="275" spans="2:90" s="542" customFormat="1" ht="66" customHeight="1" thickBot="1" x14ac:dyDescent="0.25">
      <c r="B275" s="1393"/>
      <c r="C275" s="1397"/>
      <c r="D275" s="768" t="str">
        <f>+'Plan de Accion 2018'!G302</f>
        <v xml:space="preserve">Acto Administrativo aprobado y publicado </v>
      </c>
      <c r="E275" s="1423"/>
      <c r="F275" s="544" t="str">
        <f>+'Plan de Accion 2018'!S302</f>
        <v># Actos Administrativos que contienen la reglamentación Interna del manejo de las PQRS en la ADRES publicados</v>
      </c>
      <c r="G275" s="298"/>
      <c r="H275" s="543">
        <f>+'Plan de Accion 2018'!AB302</f>
        <v>1</v>
      </c>
      <c r="I275" s="767">
        <f>+'Plan de Accion 2018'!BM302</f>
        <v>1</v>
      </c>
      <c r="J275" s="767">
        <f>IF(I275&gt;100%,100%,I275)</f>
        <v>1</v>
      </c>
      <c r="K275" s="767">
        <f>+'Plan de Accion 2018'!AF302</f>
        <v>1</v>
      </c>
      <c r="L275" s="875">
        <f t="shared" si="98"/>
        <v>1</v>
      </c>
      <c r="M275" s="682">
        <f>+L275</f>
        <v>1</v>
      </c>
      <c r="N275" s="644"/>
      <c r="O275" s="543">
        <f>+'Plan de Accion 2018'!AL302</f>
        <v>0</v>
      </c>
      <c r="P275" s="767" t="str">
        <f>+'Plan de Accion 2018'!BO302</f>
        <v>No Prog ni Ejec</v>
      </c>
      <c r="Q275" s="629" t="s">
        <v>792</v>
      </c>
      <c r="R275" s="751">
        <f>+'Plan de Accion 2018'!AP302</f>
        <v>1</v>
      </c>
      <c r="S275" s="873">
        <f t="shared" si="99"/>
        <v>1</v>
      </c>
      <c r="T275" s="637">
        <f>+S275</f>
        <v>1</v>
      </c>
      <c r="U275" s="329"/>
      <c r="V275" s="543">
        <f>+'Plan de Accion 2018'!AV302</f>
        <v>0</v>
      </c>
      <c r="W275" s="767" t="str">
        <f>+'Plan de Accion 2018'!BQ302</f>
        <v>No Prog ni Ejec</v>
      </c>
      <c r="X275" s="629" t="s">
        <v>792</v>
      </c>
      <c r="Y275" s="882">
        <f>+'Plan de Accion 2018'!AZ302</f>
        <v>1</v>
      </c>
      <c r="Z275" s="882">
        <f t="shared" si="100"/>
        <v>1</v>
      </c>
      <c r="AA275" s="883">
        <f>+Z275</f>
        <v>1</v>
      </c>
      <c r="AB275" s="644"/>
      <c r="AC275" s="543">
        <f>+'Plan de Accion 2018'!BF302</f>
        <v>0</v>
      </c>
      <c r="AD275" s="767" t="str">
        <f>+'Plan de Accion 2018'!BS302</f>
        <v>No Prog ni Ejec</v>
      </c>
      <c r="AE275" s="629" t="s">
        <v>792</v>
      </c>
      <c r="AF275" s="767">
        <f>+'Plan de Accion 2018'!BJ302</f>
        <v>1</v>
      </c>
      <c r="AG275" s="637">
        <f t="shared" si="105"/>
        <v>1</v>
      </c>
      <c r="AH275" s="388"/>
      <c r="AI275" s="1014"/>
      <c r="AJ275" s="763"/>
      <c r="AK275" s="549"/>
      <c r="AL275" s="321"/>
      <c r="AM275" s="763"/>
      <c r="AN275" s="549"/>
      <c r="AO275" s="321"/>
      <c r="AP275" s="763"/>
      <c r="AQ275" s="549"/>
      <c r="AR275" s="321"/>
      <c r="AS275" s="763"/>
      <c r="AT275" s="549"/>
      <c r="AU275" s="326"/>
      <c r="AV275" s="388"/>
      <c r="AX275" s="763"/>
      <c r="AY275" s="549"/>
      <c r="AZ275" s="321"/>
      <c r="BA275" s="763"/>
      <c r="BB275" s="549"/>
      <c r="BC275" s="321"/>
      <c r="BD275" s="763"/>
      <c r="BE275" s="549"/>
      <c r="BF275" s="321"/>
      <c r="BG275" s="763"/>
      <c r="BH275" s="549"/>
      <c r="BI275" s="326"/>
      <c r="BJ275" s="388"/>
      <c r="BL275" s="763"/>
      <c r="BM275" s="549"/>
      <c r="BN275" s="321"/>
      <c r="BO275" s="763"/>
      <c r="BP275" s="549"/>
      <c r="BQ275" s="321"/>
      <c r="BR275" s="763"/>
      <c r="BS275" s="549"/>
      <c r="BT275" s="321"/>
      <c r="BU275" s="763"/>
      <c r="BV275" s="549"/>
      <c r="BW275" s="326"/>
      <c r="BX275" s="388"/>
      <c r="BZ275" s="763"/>
      <c r="CA275" s="549"/>
      <c r="CB275" s="321"/>
      <c r="CC275" s="763"/>
      <c r="CD275" s="549"/>
      <c r="CE275" s="321"/>
      <c r="CF275" s="763"/>
      <c r="CG275" s="549"/>
      <c r="CH275" s="321"/>
      <c r="CI275" s="763"/>
      <c r="CJ275" s="549"/>
      <c r="CK275" s="326"/>
      <c r="CL275" s="388"/>
    </row>
    <row r="276" spans="2:90" s="542" customFormat="1" ht="66" customHeight="1" thickBot="1" x14ac:dyDescent="0.25">
      <c r="B276" s="1393"/>
      <c r="C276" s="1397"/>
      <c r="D276" s="988" t="str">
        <f>+'Plan de Accion 2018'!G311</f>
        <v>Estructuración e implementación del Sistema de Seguridad y Salud en el Trabajo - Decreto 1072 de 2015</v>
      </c>
      <c r="E276" s="1423"/>
      <c r="F276" s="544" t="str">
        <f>+'Plan de Accion 2018'!S311</f>
        <v>Contratos 111 y 113 del 2018 ejecutados</v>
      </c>
      <c r="G276" s="298"/>
      <c r="H276" s="543">
        <f>+'Plan de Accion 2018'!AB311</f>
        <v>0</v>
      </c>
      <c r="I276" s="991" t="str">
        <f>+'Plan de Accion 2018'!BM311</f>
        <v>No Prog ni Ejec</v>
      </c>
      <c r="J276" s="991" t="s">
        <v>792</v>
      </c>
      <c r="K276" s="991">
        <f>+'Plan de Accion 2018'!AF311</f>
        <v>0</v>
      </c>
      <c r="L276" s="991">
        <f>+K276</f>
        <v>0</v>
      </c>
      <c r="M276" s="682" t="s">
        <v>792</v>
      </c>
      <c r="N276" s="644"/>
      <c r="O276" s="543">
        <f>+'Plan de Accion 2018'!AL311</f>
        <v>0</v>
      </c>
      <c r="P276" s="991" t="str">
        <f>+'Plan de Accion 2018'!BO311</f>
        <v>No Prog ni Ejec</v>
      </c>
      <c r="Q276" s="629" t="s">
        <v>792</v>
      </c>
      <c r="R276" s="987">
        <f>+'Plan de Accion 2018'!AP311</f>
        <v>0</v>
      </c>
      <c r="S276" s="987">
        <f>IF(R276&gt;100%,100%,R276)</f>
        <v>0</v>
      </c>
      <c r="T276" s="637" t="s">
        <v>792</v>
      </c>
      <c r="U276" s="329"/>
      <c r="V276" s="543">
        <f>+'Plan de Accion 2018'!AV311</f>
        <v>0</v>
      </c>
      <c r="W276" s="991" t="str">
        <f>+'Plan de Accion 2018'!BQ311</f>
        <v>No Prog ni Ejec</v>
      </c>
      <c r="X276" s="629" t="s">
        <v>792</v>
      </c>
      <c r="Y276" s="882">
        <f>+'Plan de Accion 2018'!AZ311</f>
        <v>0</v>
      </c>
      <c r="Z276" s="882">
        <f t="shared" ref="Z276" si="109">IF(Y276&gt;100%,100%,Y276)</f>
        <v>0</v>
      </c>
      <c r="AA276" s="883" t="s">
        <v>792</v>
      </c>
      <c r="AB276" s="644"/>
      <c r="AC276" s="543">
        <f>+'Plan de Accion 2018'!BF311</f>
        <v>2</v>
      </c>
      <c r="AD276" s="991">
        <f>+'Plan de Accion 2018'!BS311</f>
        <v>1</v>
      </c>
      <c r="AE276" s="629">
        <f>IF(AD276&gt;100%,100%,AD276)</f>
        <v>1</v>
      </c>
      <c r="AF276" s="991">
        <f>+'Plan de Accion 2018'!BJ311</f>
        <v>1</v>
      </c>
      <c r="AG276" s="637">
        <f t="shared" ref="AG276" si="110">IF(AF276&gt;100%,100%,AF276)</f>
        <v>1</v>
      </c>
      <c r="AH276" s="388"/>
      <c r="AI276" s="1014"/>
      <c r="AJ276" s="990"/>
      <c r="AK276" s="549"/>
      <c r="AL276" s="321"/>
      <c r="AM276" s="990"/>
      <c r="AN276" s="549"/>
      <c r="AO276" s="321"/>
      <c r="AP276" s="990"/>
      <c r="AQ276" s="549"/>
      <c r="AR276" s="321"/>
      <c r="AS276" s="990"/>
      <c r="AT276" s="549"/>
      <c r="AU276" s="326"/>
      <c r="AV276" s="388"/>
      <c r="AX276" s="990"/>
      <c r="AY276" s="549"/>
      <c r="AZ276" s="321"/>
      <c r="BA276" s="990"/>
      <c r="BB276" s="549"/>
      <c r="BC276" s="321"/>
      <c r="BD276" s="990"/>
      <c r="BE276" s="549"/>
      <c r="BF276" s="321"/>
      <c r="BG276" s="990"/>
      <c r="BH276" s="549"/>
      <c r="BI276" s="326"/>
      <c r="BJ276" s="388"/>
      <c r="BL276" s="990"/>
      <c r="BM276" s="549"/>
      <c r="BN276" s="321"/>
      <c r="BO276" s="990"/>
      <c r="BP276" s="549"/>
      <c r="BQ276" s="321"/>
      <c r="BR276" s="990"/>
      <c r="BS276" s="549"/>
      <c r="BT276" s="321"/>
      <c r="BU276" s="990"/>
      <c r="BV276" s="549"/>
      <c r="BW276" s="326"/>
      <c r="BX276" s="388"/>
      <c r="BZ276" s="990"/>
      <c r="CA276" s="549"/>
      <c r="CB276" s="321"/>
      <c r="CC276" s="990"/>
      <c r="CD276" s="549"/>
      <c r="CE276" s="321"/>
      <c r="CF276" s="990"/>
      <c r="CG276" s="549"/>
      <c r="CH276" s="321"/>
      <c r="CI276" s="990"/>
      <c r="CJ276" s="549"/>
      <c r="CK276" s="326"/>
      <c r="CL276" s="388"/>
    </row>
    <row r="277" spans="2:90" ht="43.5" thickBot="1" x14ac:dyDescent="0.25">
      <c r="B277" s="1393"/>
      <c r="C277" s="1397"/>
      <c r="D277" s="768" t="str">
        <f>+'Plan de Accion 2018'!G147</f>
        <v>Custodia documental y atención de consultas</v>
      </c>
      <c r="E277" s="1423"/>
      <c r="F277" s="544" t="str">
        <f>+'Plan de Accion 2018'!S147</f>
        <v>No. De consultas gestionadas/No. De consultas realizadas</v>
      </c>
      <c r="H277" s="543">
        <f>+'Plan de Accion 2018'!AB147</f>
        <v>0.22429906542056074</v>
      </c>
      <c r="I277" s="767">
        <f>+'Plan de Accion 2018'!BM147</f>
        <v>0.89719626168224298</v>
      </c>
      <c r="J277" s="767">
        <f>IF(I277&gt;100%,100%,I277)</f>
        <v>0.89719626168224298</v>
      </c>
      <c r="K277" s="767">
        <f>+'Plan de Accion 2018'!AF147</f>
        <v>0.22429906542056074</v>
      </c>
      <c r="L277" s="875">
        <f t="shared" si="98"/>
        <v>0.22429906542056074</v>
      </c>
      <c r="M277" s="682">
        <f>+L277</f>
        <v>0.22429906542056074</v>
      </c>
      <c r="N277" s="644"/>
      <c r="O277" s="543">
        <f>+'Plan de Accion 2018'!AL147</f>
        <v>0.25</v>
      </c>
      <c r="P277" s="767">
        <f>+'Plan de Accion 2018'!BO147</f>
        <v>1</v>
      </c>
      <c r="Q277" s="629">
        <f t="shared" si="76"/>
        <v>1</v>
      </c>
      <c r="R277" s="751">
        <f>+'Plan de Accion 2018'!AP147</f>
        <v>0.47429906542056077</v>
      </c>
      <c r="S277" s="873">
        <f t="shared" si="99"/>
        <v>0.47429906542056077</v>
      </c>
      <c r="T277" s="637">
        <f>+S277</f>
        <v>0.47429906542056077</v>
      </c>
      <c r="U277" s="329"/>
      <c r="V277" s="543">
        <f>+'Plan de Accion 2018'!AV147</f>
        <v>0.25</v>
      </c>
      <c r="W277" s="767">
        <f>+'Plan de Accion 2018'!BQ147</f>
        <v>1</v>
      </c>
      <c r="X277" s="629">
        <f t="shared" si="77"/>
        <v>1</v>
      </c>
      <c r="Y277" s="882">
        <f>+'Plan de Accion 2018'!AZ147</f>
        <v>0.72429906542056077</v>
      </c>
      <c r="Z277" s="882">
        <f t="shared" si="100"/>
        <v>0.72429906542056077</v>
      </c>
      <c r="AA277" s="883">
        <f>+Z277</f>
        <v>0.72429906542056077</v>
      </c>
      <c r="AB277" s="644"/>
      <c r="AC277" s="543">
        <f>+'Plan de Accion 2018'!BF147</f>
        <v>0.25</v>
      </c>
      <c r="AD277" s="767">
        <f>+'Plan de Accion 2018'!BS147</f>
        <v>1</v>
      </c>
      <c r="AE277" s="629">
        <f t="shared" si="74"/>
        <v>1</v>
      </c>
      <c r="AF277" s="767">
        <f>+'Plan de Accion 2018'!BJ147</f>
        <v>0.97429906542056077</v>
      </c>
      <c r="AG277" s="637">
        <f t="shared" si="75"/>
        <v>0.97429906542056077</v>
      </c>
      <c r="AH277" s="388"/>
      <c r="AJ277" s="389"/>
      <c r="AK277" s="390"/>
      <c r="AL277" s="321"/>
      <c r="AM277" s="389"/>
      <c r="AN277" s="390"/>
      <c r="AO277" s="321"/>
      <c r="AP277" s="389"/>
      <c r="AQ277" s="390"/>
      <c r="AR277" s="321"/>
      <c r="AS277" s="389"/>
      <c r="AT277" s="390"/>
      <c r="AU277" s="326"/>
      <c r="AV277" s="388"/>
      <c r="AX277" s="389"/>
      <c r="AY277" s="390"/>
      <c r="AZ277" s="321"/>
      <c r="BA277" s="389"/>
      <c r="BB277" s="390"/>
      <c r="BC277" s="321"/>
      <c r="BD277" s="389"/>
      <c r="BE277" s="390"/>
      <c r="BF277" s="321"/>
      <c r="BG277" s="389"/>
      <c r="BH277" s="390"/>
      <c r="BI277" s="326"/>
      <c r="BJ277" s="388"/>
      <c r="BL277" s="389"/>
      <c r="BM277" s="390"/>
      <c r="BN277" s="321"/>
      <c r="BO277" s="389"/>
      <c r="BP277" s="390"/>
      <c r="BQ277" s="321"/>
      <c r="BR277" s="389"/>
      <c r="BS277" s="390"/>
      <c r="BT277" s="321"/>
      <c r="BU277" s="389"/>
      <c r="BV277" s="390"/>
      <c r="BW277" s="326"/>
      <c r="BX277" s="388"/>
      <c r="BZ277" s="389"/>
      <c r="CA277" s="390"/>
      <c r="CB277" s="321"/>
      <c r="CC277" s="389"/>
      <c r="CD277" s="390"/>
      <c r="CE277" s="321"/>
      <c r="CF277" s="389"/>
      <c r="CG277" s="390"/>
      <c r="CH277" s="321"/>
      <c r="CI277" s="389"/>
      <c r="CJ277" s="390"/>
      <c r="CK277" s="326"/>
      <c r="CL277" s="388"/>
    </row>
    <row r="278" spans="2:90" ht="43.5" thickBot="1" x14ac:dyDescent="0.25">
      <c r="B278" s="1393"/>
      <c r="C278" s="1397"/>
      <c r="D278" s="768" t="str">
        <f>+'Plan de Accion 2018'!G149</f>
        <v>Procesos y Procedimientos</v>
      </c>
      <c r="E278" s="1424" t="str">
        <f>+'Plan de Accion 2018'!B149</f>
        <v>Oficina de Control Interno</v>
      </c>
      <c r="F278" s="544" t="str">
        <f>+'Plan de Accion 2018'!S149</f>
        <v># procedimientos Aprobados / # Procedimientos identificados</v>
      </c>
      <c r="H278" s="543">
        <f>+'Plan de Accion 2018'!AB149</f>
        <v>0</v>
      </c>
      <c r="I278" s="767" t="str">
        <f>+'Plan de Accion 2018'!BM149</f>
        <v>No Prog ni Ejec</v>
      </c>
      <c r="J278" s="767" t="s">
        <v>792</v>
      </c>
      <c r="K278" s="767">
        <f>+'Plan de Accion 2018'!AF149</f>
        <v>0</v>
      </c>
      <c r="L278" s="875">
        <f t="shared" si="98"/>
        <v>0</v>
      </c>
      <c r="M278" s="682" t="s">
        <v>792</v>
      </c>
      <c r="N278" s="644"/>
      <c r="O278" s="543">
        <f>+'Plan de Accion 2018'!AL149</f>
        <v>1</v>
      </c>
      <c r="P278" s="767">
        <f>+'Plan de Accion 2018'!BO149</f>
        <v>1</v>
      </c>
      <c r="Q278" s="629">
        <f t="shared" si="76"/>
        <v>1</v>
      </c>
      <c r="R278" s="751">
        <f>+'Plan de Accion 2018'!AP149</f>
        <v>1</v>
      </c>
      <c r="S278" s="873">
        <f t="shared" si="99"/>
        <v>1</v>
      </c>
      <c r="T278" s="637">
        <f>+S278</f>
        <v>1</v>
      </c>
      <c r="U278" s="329"/>
      <c r="V278" s="543">
        <f>+'Plan de Accion 2018'!AV149</f>
        <v>0</v>
      </c>
      <c r="W278" s="767" t="str">
        <f>+'Plan de Accion 2018'!BQ149</f>
        <v>No Prog ni Ejec</v>
      </c>
      <c r="X278" s="629" t="s">
        <v>792</v>
      </c>
      <c r="Y278" s="882">
        <f>+'Plan de Accion 2018'!AZ149</f>
        <v>1</v>
      </c>
      <c r="Z278" s="882">
        <f t="shared" si="100"/>
        <v>1</v>
      </c>
      <c r="AA278" s="883">
        <f>+Z278</f>
        <v>1</v>
      </c>
      <c r="AB278" s="644"/>
      <c r="AC278" s="543">
        <f>+'Plan de Accion 2018'!BF149</f>
        <v>0</v>
      </c>
      <c r="AD278" s="767" t="str">
        <f>+'Plan de Accion 2018'!BS149</f>
        <v>No Prog ni Ejec</v>
      </c>
      <c r="AE278" s="629" t="s">
        <v>792</v>
      </c>
      <c r="AF278" s="767">
        <f>+'Plan de Accion 2018'!BJ149</f>
        <v>1</v>
      </c>
      <c r="AG278" s="637">
        <f t="shared" si="75"/>
        <v>1</v>
      </c>
      <c r="AH278" s="388"/>
      <c r="AJ278" s="389"/>
      <c r="AK278" s="390"/>
      <c r="AL278" s="321"/>
      <c r="AM278" s="389"/>
      <c r="AN278" s="390"/>
      <c r="AO278" s="321"/>
      <c r="AP278" s="389"/>
      <c r="AQ278" s="390"/>
      <c r="AR278" s="321"/>
      <c r="AS278" s="389"/>
      <c r="AT278" s="390"/>
      <c r="AU278" s="326"/>
      <c r="AV278" s="388"/>
      <c r="AX278" s="389"/>
      <c r="AY278" s="390"/>
      <c r="AZ278" s="321"/>
      <c r="BA278" s="389"/>
      <c r="BB278" s="390"/>
      <c r="BC278" s="321"/>
      <c r="BD278" s="389"/>
      <c r="BE278" s="390"/>
      <c r="BF278" s="321"/>
      <c r="BG278" s="389"/>
      <c r="BH278" s="390"/>
      <c r="BI278" s="326"/>
      <c r="BJ278" s="388"/>
      <c r="BL278" s="389"/>
      <c r="BM278" s="390"/>
      <c r="BN278" s="321"/>
      <c r="BO278" s="389"/>
      <c r="BP278" s="390"/>
      <c r="BQ278" s="321"/>
      <c r="BR278" s="389"/>
      <c r="BS278" s="390"/>
      <c r="BT278" s="321"/>
      <c r="BU278" s="389"/>
      <c r="BV278" s="390"/>
      <c r="BW278" s="326"/>
      <c r="BX278" s="388"/>
      <c r="BZ278" s="389"/>
      <c r="CA278" s="390"/>
      <c r="CB278" s="321"/>
      <c r="CC278" s="389"/>
      <c r="CD278" s="390"/>
      <c r="CE278" s="321"/>
      <c r="CF278" s="389"/>
      <c r="CG278" s="390"/>
      <c r="CH278" s="321"/>
      <c r="CI278" s="389"/>
      <c r="CJ278" s="390"/>
      <c r="CK278" s="326"/>
      <c r="CL278" s="388"/>
    </row>
    <row r="279" spans="2:90" ht="43.5" thickBot="1" x14ac:dyDescent="0.25">
      <c r="B279" s="1393"/>
      <c r="C279" s="1397"/>
      <c r="D279" s="754" t="str">
        <f>+'Plan de Accion 2018'!G150</f>
        <v>Evaluar la gestión y resultados de los procesos de calidad de la Dependencia</v>
      </c>
      <c r="E279" s="1349"/>
      <c r="F279" s="544" t="str">
        <f>+'Plan de Accion 2018'!S150</f>
        <v># Indicadores Medidos / # Indicadores Sujetos de Medición</v>
      </c>
      <c r="H279" s="543">
        <f>+'Plan de Accion 2018'!AB150</f>
        <v>0</v>
      </c>
      <c r="I279" s="767" t="str">
        <f>+'Plan de Accion 2018'!BM150</f>
        <v>No Prog ni Ejec</v>
      </c>
      <c r="J279" s="767" t="s">
        <v>792</v>
      </c>
      <c r="K279" s="767">
        <f>+'Plan de Accion 2018'!AF150</f>
        <v>0</v>
      </c>
      <c r="L279" s="875">
        <f t="shared" si="98"/>
        <v>0</v>
      </c>
      <c r="M279" s="682" t="s">
        <v>792</v>
      </c>
      <c r="N279" s="644"/>
      <c r="O279" s="543">
        <f>+'Plan de Accion 2018'!AL150</f>
        <v>0</v>
      </c>
      <c r="P279" s="767" t="str">
        <f>+'Plan de Accion 2018'!BO150</f>
        <v>No Prog ni Ejec</v>
      </c>
      <c r="Q279" s="629" t="s">
        <v>792</v>
      </c>
      <c r="R279" s="751">
        <f>+'Plan de Accion 2018'!AP150</f>
        <v>0</v>
      </c>
      <c r="S279" s="873">
        <f t="shared" si="99"/>
        <v>0</v>
      </c>
      <c r="T279" s="637" t="s">
        <v>792</v>
      </c>
      <c r="U279" s="329"/>
      <c r="V279" s="543">
        <f>+'Plan de Accion 2018'!AV150</f>
        <v>0.5</v>
      </c>
      <c r="W279" s="767">
        <f>+'Plan de Accion 2018'!BQ150</f>
        <v>1</v>
      </c>
      <c r="X279" s="629">
        <f t="shared" si="77"/>
        <v>1</v>
      </c>
      <c r="Y279" s="882">
        <f>+'Plan de Accion 2018'!AZ150</f>
        <v>0.5</v>
      </c>
      <c r="Z279" s="882">
        <f t="shared" si="100"/>
        <v>0.5</v>
      </c>
      <c r="AA279" s="883">
        <f>IF(Z279&gt;75%,75%,Z279)</f>
        <v>0.5</v>
      </c>
      <c r="AB279" s="644"/>
      <c r="AC279" s="543">
        <f>+'Plan de Accion 2018'!BF150</f>
        <v>0.5</v>
      </c>
      <c r="AD279" s="767">
        <f>+'Plan de Accion 2018'!BS150</f>
        <v>1</v>
      </c>
      <c r="AE279" s="629">
        <f t="shared" si="74"/>
        <v>1</v>
      </c>
      <c r="AF279" s="767">
        <f>+'Plan de Accion 2018'!BJ150</f>
        <v>1</v>
      </c>
      <c r="AG279" s="637">
        <f t="shared" si="75"/>
        <v>1</v>
      </c>
      <c r="AH279" s="388"/>
      <c r="AJ279" s="389"/>
      <c r="AK279" s="390"/>
      <c r="AL279" s="321"/>
      <c r="AM279" s="389"/>
      <c r="AN279" s="390"/>
      <c r="AO279" s="321"/>
      <c r="AP279" s="389"/>
      <c r="AQ279" s="390"/>
      <c r="AR279" s="321"/>
      <c r="AS279" s="389"/>
      <c r="AT279" s="390"/>
      <c r="AU279" s="326"/>
      <c r="AV279" s="388"/>
      <c r="AX279" s="389"/>
      <c r="AY279" s="390"/>
      <c r="AZ279" s="321"/>
      <c r="BA279" s="389"/>
      <c r="BB279" s="390"/>
      <c r="BC279" s="321"/>
      <c r="BD279" s="389"/>
      <c r="BE279" s="390"/>
      <c r="BF279" s="321"/>
      <c r="BG279" s="389"/>
      <c r="BH279" s="390"/>
      <c r="BI279" s="326"/>
      <c r="BJ279" s="388"/>
      <c r="BL279" s="389"/>
      <c r="BM279" s="390"/>
      <c r="BN279" s="321"/>
      <c r="BO279" s="389"/>
      <c r="BP279" s="390"/>
      <c r="BQ279" s="321"/>
      <c r="BR279" s="389"/>
      <c r="BS279" s="390"/>
      <c r="BT279" s="321"/>
      <c r="BU279" s="389"/>
      <c r="BV279" s="390"/>
      <c r="BW279" s="326"/>
      <c r="BX279" s="388"/>
      <c r="BZ279" s="389"/>
      <c r="CA279" s="390"/>
      <c r="CB279" s="321"/>
      <c r="CC279" s="389"/>
      <c r="CD279" s="390"/>
      <c r="CE279" s="321"/>
      <c r="CF279" s="389"/>
      <c r="CG279" s="390"/>
      <c r="CH279" s="321"/>
      <c r="CI279" s="389"/>
      <c r="CJ279" s="390"/>
      <c r="CK279" s="326"/>
      <c r="CL279" s="388"/>
    </row>
    <row r="280" spans="2:90" ht="100.5" thickBot="1" x14ac:dyDescent="0.25">
      <c r="B280" s="1393"/>
      <c r="C280" s="1397"/>
      <c r="D280" s="768" t="str">
        <f>+'Plan de Accion 2018'!G151</f>
        <v>Programa de auditorías internas, al Control Interno y otros informes  de la OCI</v>
      </c>
      <c r="E280" s="1349"/>
      <c r="F280" s="544" t="str">
        <f>+'Plan de Accion 2018'!S151</f>
        <v>(Número de auditorías internas al Control Interno y otros informes realizadas / Número de auditorías internas, al Control Interno y otros informes programadas)*100</v>
      </c>
      <c r="H280" s="543">
        <f>+'Plan de Accion 2018'!AB151</f>
        <v>0</v>
      </c>
      <c r="I280" s="767" t="str">
        <f>+'Plan de Accion 2018'!BM151</f>
        <v>No Prog ni Ejec</v>
      </c>
      <c r="J280" s="767" t="s">
        <v>792</v>
      </c>
      <c r="K280" s="767">
        <f>+'Plan de Accion 2018'!AF151</f>
        <v>0</v>
      </c>
      <c r="L280" s="875">
        <f t="shared" si="98"/>
        <v>0</v>
      </c>
      <c r="M280" s="682" t="s">
        <v>792</v>
      </c>
      <c r="N280" s="644"/>
      <c r="O280" s="543">
        <f>+'Plan de Accion 2018'!AL151</f>
        <v>0.25</v>
      </c>
      <c r="P280" s="767">
        <f>+'Plan de Accion 2018'!BO151</f>
        <v>1</v>
      </c>
      <c r="Q280" s="629">
        <f t="shared" si="76"/>
        <v>1</v>
      </c>
      <c r="R280" s="751">
        <f>+'Plan de Accion 2018'!AP151</f>
        <v>0.25</v>
      </c>
      <c r="S280" s="873">
        <f t="shared" si="99"/>
        <v>0.25</v>
      </c>
      <c r="T280" s="637">
        <f>+S280</f>
        <v>0.25</v>
      </c>
      <c r="U280" s="329"/>
      <c r="V280" s="543">
        <f>+'Plan de Accion 2018'!AV151</f>
        <v>0.25</v>
      </c>
      <c r="W280" s="767">
        <f>+'Plan de Accion 2018'!BQ151</f>
        <v>1</v>
      </c>
      <c r="X280" s="629">
        <f t="shared" si="77"/>
        <v>1</v>
      </c>
      <c r="Y280" s="882">
        <f>+'Plan de Accion 2018'!AZ151</f>
        <v>0.5</v>
      </c>
      <c r="Z280" s="882">
        <f t="shared" si="100"/>
        <v>0.5</v>
      </c>
      <c r="AA280" s="883">
        <f t="shared" ref="AA280:AA286" si="111">+Z280</f>
        <v>0.5</v>
      </c>
      <c r="AB280" s="644"/>
      <c r="AC280" s="543">
        <f>+'Plan de Accion 2018'!BF151</f>
        <v>0.5</v>
      </c>
      <c r="AD280" s="767">
        <f>+'Plan de Accion 2018'!BS151</f>
        <v>1</v>
      </c>
      <c r="AE280" s="629">
        <f t="shared" si="74"/>
        <v>1</v>
      </c>
      <c r="AF280" s="767">
        <f>+'Plan de Accion 2018'!BJ151</f>
        <v>1</v>
      </c>
      <c r="AG280" s="637">
        <f t="shared" si="75"/>
        <v>1</v>
      </c>
      <c r="AH280" s="388"/>
      <c r="AJ280" s="389"/>
      <c r="AK280" s="390"/>
      <c r="AL280" s="321"/>
      <c r="AM280" s="389"/>
      <c r="AN280" s="390"/>
      <c r="AO280" s="321"/>
      <c r="AP280" s="389"/>
      <c r="AQ280" s="390"/>
      <c r="AR280" s="321"/>
      <c r="AS280" s="389"/>
      <c r="AT280" s="390"/>
      <c r="AU280" s="326"/>
      <c r="AV280" s="388"/>
      <c r="AX280" s="389"/>
      <c r="AY280" s="390"/>
      <c r="AZ280" s="321"/>
      <c r="BA280" s="389"/>
      <c r="BB280" s="390"/>
      <c r="BC280" s="321"/>
      <c r="BD280" s="389"/>
      <c r="BE280" s="390"/>
      <c r="BF280" s="321"/>
      <c r="BG280" s="389"/>
      <c r="BH280" s="390"/>
      <c r="BI280" s="326"/>
      <c r="BJ280" s="388"/>
      <c r="BL280" s="389"/>
      <c r="BM280" s="390"/>
      <c r="BN280" s="321"/>
      <c r="BO280" s="389"/>
      <c r="BP280" s="390"/>
      <c r="BQ280" s="321"/>
      <c r="BR280" s="389"/>
      <c r="BS280" s="390"/>
      <c r="BT280" s="321"/>
      <c r="BU280" s="389"/>
      <c r="BV280" s="390"/>
      <c r="BW280" s="326"/>
      <c r="BX280" s="388"/>
      <c r="BZ280" s="389"/>
      <c r="CA280" s="390"/>
      <c r="CB280" s="321"/>
      <c r="CC280" s="389"/>
      <c r="CD280" s="390"/>
      <c r="CE280" s="321"/>
      <c r="CF280" s="389"/>
      <c r="CG280" s="390"/>
      <c r="CH280" s="321"/>
      <c r="CI280" s="389"/>
      <c r="CJ280" s="390"/>
      <c r="CK280" s="326"/>
      <c r="CL280" s="388"/>
    </row>
    <row r="281" spans="2:90" ht="72" thickBot="1" x14ac:dyDescent="0.25">
      <c r="B281" s="1393"/>
      <c r="C281" s="1397"/>
      <c r="D281" s="768" t="str">
        <f>+'Plan de Accion 2018'!G152</f>
        <v>Entrega de informes de seguimiento de carácter interno en el marco de la normatividad vigente</v>
      </c>
      <c r="E281" s="1349"/>
      <c r="F281" s="544" t="str">
        <f>+'Plan de Accion 2018'!S152</f>
        <v>(Número de informes presentados  / Número de informes programados en el marco de la normatividad vigente)*100</v>
      </c>
      <c r="H281" s="543">
        <f>+'Plan de Accion 2018'!AB152</f>
        <v>0.28000000000000003</v>
      </c>
      <c r="I281" s="767">
        <f>+'Plan de Accion 2018'!BM152</f>
        <v>1</v>
      </c>
      <c r="J281" s="767">
        <f>IF(I281&gt;100%,100%,I281)</f>
        <v>1</v>
      </c>
      <c r="K281" s="767">
        <f>+'Plan de Accion 2018'!AF152</f>
        <v>0.28000000000000003</v>
      </c>
      <c r="L281" s="875">
        <f t="shared" si="98"/>
        <v>0.28000000000000003</v>
      </c>
      <c r="M281" s="682">
        <f>+L281</f>
        <v>0.28000000000000003</v>
      </c>
      <c r="N281" s="644"/>
      <c r="O281" s="543">
        <f>+'Plan de Accion 2018'!AL152</f>
        <v>0.27777777777777779</v>
      </c>
      <c r="P281" s="767">
        <f>+'Plan de Accion 2018'!BO152</f>
        <v>0.99206349206349198</v>
      </c>
      <c r="Q281" s="629">
        <f t="shared" si="76"/>
        <v>0.99206349206349198</v>
      </c>
      <c r="R281" s="751">
        <f>+'Plan de Accion 2018'!AP152</f>
        <v>0.55777777777777782</v>
      </c>
      <c r="S281" s="873">
        <f t="shared" si="99"/>
        <v>0.55777777777777782</v>
      </c>
      <c r="T281" s="637">
        <f>+S281</f>
        <v>0.55777777777777782</v>
      </c>
      <c r="U281" s="329"/>
      <c r="V281" s="543">
        <f>+'Plan de Accion 2018'!AV152</f>
        <v>0.16666666666666666</v>
      </c>
      <c r="W281" s="767">
        <f>+'Plan de Accion 2018'!BQ152</f>
        <v>0.98039215686274495</v>
      </c>
      <c r="X281" s="629">
        <f t="shared" si="77"/>
        <v>0.98039215686274495</v>
      </c>
      <c r="Y281" s="882">
        <f>+'Plan de Accion 2018'!AZ152</f>
        <v>0.72444444444444445</v>
      </c>
      <c r="Z281" s="882">
        <f t="shared" si="100"/>
        <v>0.72444444444444445</v>
      </c>
      <c r="AA281" s="883">
        <f t="shared" si="111"/>
        <v>0.72444444444444445</v>
      </c>
      <c r="AB281" s="644"/>
      <c r="AC281" s="543">
        <f>+'Plan de Accion 2018'!BF152</f>
        <v>0.28000000000000003</v>
      </c>
      <c r="AD281" s="767">
        <f>+'Plan de Accion 2018'!BS152</f>
        <v>1</v>
      </c>
      <c r="AE281" s="629">
        <f t="shared" si="74"/>
        <v>1</v>
      </c>
      <c r="AF281" s="767">
        <f>+'Plan de Accion 2018'!BJ152</f>
        <v>1.0044444444444445</v>
      </c>
      <c r="AG281" s="637">
        <f t="shared" si="75"/>
        <v>1</v>
      </c>
      <c r="AH281" s="388"/>
      <c r="AJ281" s="389"/>
      <c r="AK281" s="390"/>
      <c r="AL281" s="321"/>
      <c r="AM281" s="389"/>
      <c r="AN281" s="390"/>
      <c r="AO281" s="321"/>
      <c r="AP281" s="389"/>
      <c r="AQ281" s="390"/>
      <c r="AR281" s="321"/>
      <c r="AS281" s="389"/>
      <c r="AT281" s="390"/>
      <c r="AU281" s="326"/>
      <c r="AV281" s="388"/>
      <c r="AX281" s="389"/>
      <c r="AY281" s="390"/>
      <c r="AZ281" s="321"/>
      <c r="BA281" s="389"/>
      <c r="BB281" s="390"/>
      <c r="BC281" s="321"/>
      <c r="BD281" s="389"/>
      <c r="BE281" s="390"/>
      <c r="BF281" s="321"/>
      <c r="BG281" s="389"/>
      <c r="BH281" s="390"/>
      <c r="BI281" s="326"/>
      <c r="BJ281" s="388"/>
      <c r="BL281" s="389"/>
      <c r="BM281" s="390"/>
      <c r="BN281" s="321"/>
      <c r="BO281" s="389"/>
      <c r="BP281" s="390"/>
      <c r="BQ281" s="321"/>
      <c r="BR281" s="389"/>
      <c r="BS281" s="390"/>
      <c r="BT281" s="321"/>
      <c r="BU281" s="389"/>
      <c r="BV281" s="390"/>
      <c r="BW281" s="326"/>
      <c r="BX281" s="388"/>
      <c r="BZ281" s="389"/>
      <c r="CA281" s="390"/>
      <c r="CB281" s="321"/>
      <c r="CC281" s="389"/>
      <c r="CD281" s="390"/>
      <c r="CE281" s="321"/>
      <c r="CF281" s="389"/>
      <c r="CG281" s="390"/>
      <c r="CH281" s="321"/>
      <c r="CI281" s="389"/>
      <c r="CJ281" s="390"/>
      <c r="CK281" s="326"/>
      <c r="CL281" s="388"/>
    </row>
    <row r="282" spans="2:90" ht="57.75" thickBot="1" x14ac:dyDescent="0.25">
      <c r="B282" s="1393"/>
      <c r="C282" s="1397"/>
      <c r="D282" s="768" t="str">
        <f>+'Plan de Accion 2018'!G154</f>
        <v>Seguimiento al Plan de Mejoramiento suscrito con la CGR-</v>
      </c>
      <c r="E282" s="1349"/>
      <c r="F282" s="544" t="str">
        <f>+'Plan de Accion 2018'!S154</f>
        <v xml:space="preserve">(Número de actividades cumplidas / Número de actividades suscritas con la CGR)*100 </v>
      </c>
      <c r="H282" s="543">
        <f>+'Plan de Accion 2018'!AB154</f>
        <v>0.5</v>
      </c>
      <c r="I282" s="767">
        <f>+'Plan de Accion 2018'!BM154</f>
        <v>1</v>
      </c>
      <c r="J282" s="767">
        <f>IF(I282&gt;100%,100%,I282)</f>
        <v>1</v>
      </c>
      <c r="K282" s="767">
        <f>+'Plan de Accion 2018'!AF154</f>
        <v>0.5</v>
      </c>
      <c r="L282" s="875">
        <f t="shared" si="98"/>
        <v>0.5</v>
      </c>
      <c r="M282" s="682">
        <f>+L282</f>
        <v>0.5</v>
      </c>
      <c r="N282" s="644"/>
      <c r="O282" s="543">
        <f>+'Plan de Accion 2018'!AL154</f>
        <v>0</v>
      </c>
      <c r="P282" s="767" t="str">
        <f>+'Plan de Accion 2018'!BO154</f>
        <v>No Prog ni Ejec</v>
      </c>
      <c r="Q282" s="629" t="s">
        <v>792</v>
      </c>
      <c r="R282" s="751">
        <f>+'Plan de Accion 2018'!AP154</f>
        <v>0.5</v>
      </c>
      <c r="S282" s="873">
        <f t="shared" si="99"/>
        <v>0.5</v>
      </c>
      <c r="T282" s="637">
        <f>+S282</f>
        <v>0.5</v>
      </c>
      <c r="U282" s="329"/>
      <c r="V282" s="543">
        <f>+'Plan de Accion 2018'!AV154</f>
        <v>0.5</v>
      </c>
      <c r="W282" s="767">
        <f>+'Plan de Accion 2018'!BQ154</f>
        <v>1</v>
      </c>
      <c r="X282" s="629">
        <f t="shared" si="77"/>
        <v>1</v>
      </c>
      <c r="Y282" s="882">
        <f>+'Plan de Accion 2018'!AZ154</f>
        <v>1</v>
      </c>
      <c r="Z282" s="882">
        <f t="shared" si="100"/>
        <v>1</v>
      </c>
      <c r="AA282" s="883">
        <f t="shared" si="111"/>
        <v>1</v>
      </c>
      <c r="AB282" s="644"/>
      <c r="AC282" s="543">
        <f>+'Plan de Accion 2018'!BF154</f>
        <v>0</v>
      </c>
      <c r="AD282" s="767" t="str">
        <f>+'Plan de Accion 2018'!BS154</f>
        <v>No Prog ni Ejec</v>
      </c>
      <c r="AE282" s="629" t="s">
        <v>792</v>
      </c>
      <c r="AF282" s="767">
        <f>+'Plan de Accion 2018'!BJ154</f>
        <v>1</v>
      </c>
      <c r="AG282" s="637">
        <f t="shared" si="75"/>
        <v>1</v>
      </c>
      <c r="AH282" s="388"/>
      <c r="AJ282" s="389"/>
      <c r="AK282" s="390"/>
      <c r="AL282" s="321"/>
      <c r="AM282" s="389"/>
      <c r="AN282" s="390"/>
      <c r="AO282" s="321"/>
      <c r="AP282" s="389"/>
      <c r="AQ282" s="390"/>
      <c r="AR282" s="321"/>
      <c r="AS282" s="389"/>
      <c r="AT282" s="390"/>
      <c r="AU282" s="326"/>
      <c r="AV282" s="388"/>
      <c r="AX282" s="389"/>
      <c r="AY282" s="390"/>
      <c r="AZ282" s="321"/>
      <c r="BA282" s="389"/>
      <c r="BB282" s="390"/>
      <c r="BC282" s="321"/>
      <c r="BD282" s="389"/>
      <c r="BE282" s="390"/>
      <c r="BF282" s="321"/>
      <c r="BG282" s="389"/>
      <c r="BH282" s="390"/>
      <c r="BI282" s="326"/>
      <c r="BJ282" s="388"/>
      <c r="BL282" s="389"/>
      <c r="BM282" s="390"/>
      <c r="BN282" s="321"/>
      <c r="BO282" s="389"/>
      <c r="BP282" s="390"/>
      <c r="BQ282" s="321"/>
      <c r="BR282" s="389"/>
      <c r="BS282" s="390"/>
      <c r="BT282" s="321"/>
      <c r="BU282" s="389"/>
      <c r="BV282" s="390"/>
      <c r="BW282" s="326"/>
      <c r="BX282" s="388"/>
      <c r="BZ282" s="389"/>
      <c r="CA282" s="390"/>
      <c r="CB282" s="321"/>
      <c r="CC282" s="389"/>
      <c r="CD282" s="390"/>
      <c r="CE282" s="321"/>
      <c r="CF282" s="389"/>
      <c r="CG282" s="390"/>
      <c r="CH282" s="321"/>
      <c r="CI282" s="389"/>
      <c r="CJ282" s="390"/>
      <c r="CK282" s="326"/>
      <c r="CL282" s="388"/>
    </row>
    <row r="283" spans="2:90" s="542" customFormat="1" ht="43.5" thickBot="1" x14ac:dyDescent="0.25">
      <c r="B283" s="1393"/>
      <c r="C283" s="1397"/>
      <c r="D283" s="768" t="str">
        <f>+'Plan de Accion 2018'!G219</f>
        <v>Reuniones de Autocontrol que evidencie(n) monitoreo al mapa de riesgos de corrupción</v>
      </c>
      <c r="E283" s="1349"/>
      <c r="F283" s="544" t="str">
        <f>+'Plan de Accion 2018'!S219</f>
        <v># Reuniones de Autocontrol realizadas</v>
      </c>
      <c r="G283" s="298"/>
      <c r="H283" s="543">
        <f>+'Plan de Accion 2018'!AB219</f>
        <v>0</v>
      </c>
      <c r="I283" s="767" t="str">
        <f>+'Plan de Accion 2018'!BM219</f>
        <v>No Prog ni Ejec</v>
      </c>
      <c r="J283" s="767" t="s">
        <v>792</v>
      </c>
      <c r="K283" s="767">
        <f>+'Plan de Accion 2018'!AF219</f>
        <v>0</v>
      </c>
      <c r="L283" s="875">
        <f t="shared" si="98"/>
        <v>0</v>
      </c>
      <c r="M283" s="682" t="s">
        <v>792</v>
      </c>
      <c r="N283" s="644"/>
      <c r="O283" s="543">
        <f>+'Plan de Accion 2018'!AL219</f>
        <v>0</v>
      </c>
      <c r="P283" s="767" t="str">
        <f>+'Plan de Accion 2018'!BO219</f>
        <v>No Prog ni Ejec</v>
      </c>
      <c r="Q283" s="629" t="s">
        <v>792</v>
      </c>
      <c r="R283" s="751">
        <f>+'Plan de Accion 2018'!AP219</f>
        <v>0</v>
      </c>
      <c r="S283" s="873">
        <f t="shared" si="99"/>
        <v>0</v>
      </c>
      <c r="T283" s="753" t="s">
        <v>792</v>
      </c>
      <c r="U283" s="329"/>
      <c r="V283" s="543">
        <f>+'Plan de Accion 2018'!AV219</f>
        <v>1</v>
      </c>
      <c r="W283" s="767">
        <f>+'Plan de Accion 2018'!BQ219</f>
        <v>1</v>
      </c>
      <c r="X283" s="629">
        <f>IF(W283&gt;100%,100%,W283)</f>
        <v>1</v>
      </c>
      <c r="Y283" s="882">
        <f>+'Plan de Accion 2018'!AZ219</f>
        <v>0.5</v>
      </c>
      <c r="Z283" s="882">
        <f t="shared" si="100"/>
        <v>0.5</v>
      </c>
      <c r="AA283" s="883">
        <f t="shared" si="111"/>
        <v>0.5</v>
      </c>
      <c r="AB283" s="644"/>
      <c r="AC283" s="543">
        <f>+'Plan de Accion 2018'!BF219</f>
        <v>1</v>
      </c>
      <c r="AD283" s="767">
        <f>+'Plan de Accion 2018'!BS219</f>
        <v>1</v>
      </c>
      <c r="AE283" s="629">
        <f t="shared" si="74"/>
        <v>1</v>
      </c>
      <c r="AF283" s="767">
        <f>+'Plan de Accion 2018'!BJ219</f>
        <v>1</v>
      </c>
      <c r="AG283" s="637">
        <f>IF(AF283&gt;100%,100%,AF283)</f>
        <v>1</v>
      </c>
      <c r="AH283" s="388"/>
      <c r="AI283" s="1014"/>
      <c r="AJ283" s="732"/>
      <c r="AK283" s="549"/>
      <c r="AL283" s="321"/>
      <c r="AM283" s="732"/>
      <c r="AN283" s="549"/>
      <c r="AO283" s="321"/>
      <c r="AP283" s="732"/>
      <c r="AQ283" s="549"/>
      <c r="AR283" s="321"/>
      <c r="AS283" s="732"/>
      <c r="AT283" s="549"/>
      <c r="AU283" s="326"/>
      <c r="AV283" s="388"/>
      <c r="AX283" s="732"/>
      <c r="AY283" s="549"/>
      <c r="AZ283" s="321"/>
      <c r="BA283" s="732"/>
      <c r="BB283" s="549"/>
      <c r="BC283" s="321"/>
      <c r="BD283" s="732"/>
      <c r="BE283" s="549"/>
      <c r="BF283" s="321"/>
      <c r="BG283" s="732"/>
      <c r="BH283" s="549"/>
      <c r="BI283" s="326"/>
      <c r="BJ283" s="388"/>
      <c r="BL283" s="732"/>
      <c r="BM283" s="549"/>
      <c r="BN283" s="321"/>
      <c r="BO283" s="732"/>
      <c r="BP283" s="549"/>
      <c r="BQ283" s="321"/>
      <c r="BR283" s="732"/>
      <c r="BS283" s="549"/>
      <c r="BT283" s="321"/>
      <c r="BU283" s="732"/>
      <c r="BV283" s="549"/>
      <c r="BW283" s="326"/>
      <c r="BX283" s="388"/>
      <c r="BZ283" s="732"/>
      <c r="CA283" s="549"/>
      <c r="CB283" s="321"/>
      <c r="CC283" s="732"/>
      <c r="CD283" s="549"/>
      <c r="CE283" s="321"/>
      <c r="CF283" s="732"/>
      <c r="CG283" s="549"/>
      <c r="CH283" s="321"/>
      <c r="CI283" s="732"/>
      <c r="CJ283" s="549"/>
      <c r="CK283" s="326"/>
      <c r="CL283" s="388"/>
    </row>
    <row r="284" spans="2:90" s="542" customFormat="1" ht="29.25" thickBot="1" x14ac:dyDescent="0.25">
      <c r="B284" s="1393"/>
      <c r="C284" s="1397"/>
      <c r="D284" s="852" t="str">
        <f>+'Plan de Accion 2018'!G220</f>
        <v>Mapa de riesgos de corrupción (nueva versión) de ser necesario</v>
      </c>
      <c r="E284" s="1349"/>
      <c r="F284" s="544" t="str">
        <f>+'Plan de Accion 2018'!S220</f>
        <v># Mapas de riesgos de corrupción actualizados</v>
      </c>
      <c r="G284" s="298"/>
      <c r="H284" s="543">
        <f>+'Plan de Accion 2018'!AB220</f>
        <v>0</v>
      </c>
      <c r="I284" s="767" t="str">
        <f>+'Plan de Accion 2018'!BM220</f>
        <v>No Prog ni Ejec</v>
      </c>
      <c r="J284" s="767" t="s">
        <v>792</v>
      </c>
      <c r="K284" s="767">
        <f>+'Plan de Accion 2018'!AF220</f>
        <v>0</v>
      </c>
      <c r="L284" s="875">
        <f t="shared" si="98"/>
        <v>0</v>
      </c>
      <c r="M284" s="682" t="s">
        <v>792</v>
      </c>
      <c r="N284" s="644"/>
      <c r="O284" s="543">
        <f>+'Plan de Accion 2018'!AL220</f>
        <v>0</v>
      </c>
      <c r="P284" s="767" t="str">
        <f>+'Plan de Accion 2018'!BO220</f>
        <v>No Prog ni Ejec</v>
      </c>
      <c r="Q284" s="629" t="s">
        <v>792</v>
      </c>
      <c r="R284" s="751">
        <f>+'Plan de Accion 2018'!AP220</f>
        <v>0</v>
      </c>
      <c r="S284" s="873">
        <f t="shared" si="99"/>
        <v>0</v>
      </c>
      <c r="T284" s="753" t="s">
        <v>792</v>
      </c>
      <c r="U284" s="329"/>
      <c r="V284" s="543">
        <f>+'Plan de Accion 2018'!AV220</f>
        <v>1</v>
      </c>
      <c r="W284" s="767">
        <f>+'Plan de Accion 2018'!BQ220</f>
        <v>1</v>
      </c>
      <c r="X284" s="629">
        <f>IF(W284&gt;100%,100%,W284)</f>
        <v>1</v>
      </c>
      <c r="Y284" s="882">
        <f>+'Plan de Accion 2018'!AZ220</f>
        <v>0.5</v>
      </c>
      <c r="Z284" s="882">
        <f t="shared" si="100"/>
        <v>0.5</v>
      </c>
      <c r="AA284" s="883">
        <f t="shared" si="111"/>
        <v>0.5</v>
      </c>
      <c r="AB284" s="644"/>
      <c r="AC284" s="543">
        <f>+'Plan de Accion 2018'!BF220</f>
        <v>1</v>
      </c>
      <c r="AD284" s="767">
        <f>+'Plan de Accion 2018'!BS220</f>
        <v>1</v>
      </c>
      <c r="AE284" s="629">
        <f>IF(AD284&gt;100%,100%,AD284)</f>
        <v>1</v>
      </c>
      <c r="AF284" s="767">
        <f>+'Plan de Accion 2018'!BJ220</f>
        <v>1</v>
      </c>
      <c r="AG284" s="637">
        <f>IF(AF284&gt;100%,100%,AF284)</f>
        <v>1</v>
      </c>
      <c r="AH284" s="388"/>
      <c r="AI284" s="1014"/>
      <c r="AJ284" s="732"/>
      <c r="AK284" s="549"/>
      <c r="AL284" s="321"/>
      <c r="AM284" s="732"/>
      <c r="AN284" s="549"/>
      <c r="AO284" s="321"/>
      <c r="AP284" s="732"/>
      <c r="AQ284" s="549"/>
      <c r="AR284" s="321"/>
      <c r="AS284" s="732"/>
      <c r="AT284" s="549"/>
      <c r="AU284" s="326"/>
      <c r="AV284" s="388"/>
      <c r="AX284" s="732"/>
      <c r="AY284" s="549"/>
      <c r="AZ284" s="321"/>
      <c r="BA284" s="732"/>
      <c r="BB284" s="549"/>
      <c r="BC284" s="321"/>
      <c r="BD284" s="732"/>
      <c r="BE284" s="549"/>
      <c r="BF284" s="321"/>
      <c r="BG284" s="732"/>
      <c r="BH284" s="549"/>
      <c r="BI284" s="326"/>
      <c r="BJ284" s="388"/>
      <c r="BL284" s="732"/>
      <c r="BM284" s="549"/>
      <c r="BN284" s="321"/>
      <c r="BO284" s="732"/>
      <c r="BP284" s="549"/>
      <c r="BQ284" s="321"/>
      <c r="BR284" s="732"/>
      <c r="BS284" s="549"/>
      <c r="BT284" s="321"/>
      <c r="BU284" s="732"/>
      <c r="BV284" s="549"/>
      <c r="BW284" s="326"/>
      <c r="BX284" s="388"/>
      <c r="BZ284" s="732"/>
      <c r="CA284" s="549"/>
      <c r="CB284" s="321"/>
      <c r="CC284" s="732"/>
      <c r="CD284" s="549"/>
      <c r="CE284" s="321"/>
      <c r="CF284" s="732"/>
      <c r="CG284" s="549"/>
      <c r="CH284" s="321"/>
      <c r="CI284" s="732"/>
      <c r="CJ284" s="549"/>
      <c r="CK284" s="326"/>
      <c r="CL284" s="388"/>
    </row>
    <row r="285" spans="2:90" s="542" customFormat="1" ht="43.5" thickBot="1" x14ac:dyDescent="0.25">
      <c r="B285" s="1393"/>
      <c r="C285" s="1397"/>
      <c r="D285" s="768" t="str">
        <f>+'Plan de Accion 2018'!G221</f>
        <v>Informe de seguimiento a los Mapas de Riesgos de Corrupción publicados.</v>
      </c>
      <c r="E285" s="1428"/>
      <c r="F285" s="544" t="str">
        <f>+'Plan de Accion 2018'!S221</f>
        <v># seguimientos a los mapas de riesgos de corrupción realizados</v>
      </c>
      <c r="G285" s="298"/>
      <c r="H285" s="543">
        <f>+'Plan de Accion 2018'!AB221</f>
        <v>0</v>
      </c>
      <c r="I285" s="767" t="str">
        <f>+'Plan de Accion 2018'!BM221</f>
        <v>No Prog ni Ejec</v>
      </c>
      <c r="J285" s="767" t="s">
        <v>792</v>
      </c>
      <c r="K285" s="767">
        <f>+'Plan de Accion 2018'!AF221</f>
        <v>0</v>
      </c>
      <c r="L285" s="875">
        <f t="shared" si="98"/>
        <v>0</v>
      </c>
      <c r="M285" s="682" t="s">
        <v>792</v>
      </c>
      <c r="N285" s="644"/>
      <c r="O285" s="543">
        <f>+'Plan de Accion 2018'!AL221</f>
        <v>1</v>
      </c>
      <c r="P285" s="767">
        <f>+'Plan de Accion 2018'!BO221</f>
        <v>1</v>
      </c>
      <c r="Q285" s="629">
        <f t="shared" si="76"/>
        <v>1</v>
      </c>
      <c r="R285" s="751">
        <f>+'Plan de Accion 2018'!AP221</f>
        <v>0.5</v>
      </c>
      <c r="S285" s="873">
        <f t="shared" si="99"/>
        <v>0.5</v>
      </c>
      <c r="T285" s="637">
        <f>+S285</f>
        <v>0.5</v>
      </c>
      <c r="U285" s="329"/>
      <c r="V285" s="543">
        <f>+'Plan de Accion 2018'!AV221</f>
        <v>1</v>
      </c>
      <c r="W285" s="767">
        <f>+'Plan de Accion 2018'!BQ221</f>
        <v>1</v>
      </c>
      <c r="X285" s="629">
        <f>IF(W285&gt;100%,100%,W285)</f>
        <v>1</v>
      </c>
      <c r="Y285" s="882">
        <f>+'Plan de Accion 2018'!AZ221</f>
        <v>1</v>
      </c>
      <c r="Z285" s="882">
        <f t="shared" si="100"/>
        <v>1</v>
      </c>
      <c r="AA285" s="883">
        <f t="shared" si="111"/>
        <v>1</v>
      </c>
      <c r="AB285" s="644"/>
      <c r="AC285" s="543">
        <f>+'Plan de Accion 2018'!BF221</f>
        <v>0</v>
      </c>
      <c r="AD285" s="767" t="str">
        <f>+'Plan de Accion 2018'!BS221</f>
        <v>No Prog ni Ejec</v>
      </c>
      <c r="AE285" s="629" t="s">
        <v>792</v>
      </c>
      <c r="AF285" s="767">
        <f>+'Plan de Accion 2018'!BJ221</f>
        <v>1</v>
      </c>
      <c r="AG285" s="637">
        <f>IF(AF285&gt;100%,100%,AF285)</f>
        <v>1</v>
      </c>
      <c r="AH285" s="388"/>
      <c r="AI285" s="1014"/>
      <c r="AJ285" s="732"/>
      <c r="AK285" s="549"/>
      <c r="AL285" s="321"/>
      <c r="AM285" s="732"/>
      <c r="AN285" s="549"/>
      <c r="AO285" s="321"/>
      <c r="AP285" s="732"/>
      <c r="AQ285" s="549"/>
      <c r="AR285" s="321"/>
      <c r="AS285" s="732"/>
      <c r="AT285" s="549"/>
      <c r="AU285" s="326"/>
      <c r="AV285" s="388"/>
      <c r="AX285" s="732"/>
      <c r="AY285" s="549"/>
      <c r="AZ285" s="321"/>
      <c r="BA285" s="732"/>
      <c r="BB285" s="549"/>
      <c r="BC285" s="321"/>
      <c r="BD285" s="732"/>
      <c r="BE285" s="549"/>
      <c r="BF285" s="321"/>
      <c r="BG285" s="732"/>
      <c r="BH285" s="549"/>
      <c r="BI285" s="326"/>
      <c r="BJ285" s="388"/>
      <c r="BL285" s="732"/>
      <c r="BM285" s="549"/>
      <c r="BN285" s="321"/>
      <c r="BO285" s="732"/>
      <c r="BP285" s="549"/>
      <c r="BQ285" s="321"/>
      <c r="BR285" s="732"/>
      <c r="BS285" s="549"/>
      <c r="BT285" s="321"/>
      <c r="BU285" s="732"/>
      <c r="BV285" s="549"/>
      <c r="BW285" s="326"/>
      <c r="BX285" s="388"/>
      <c r="BZ285" s="732"/>
      <c r="CA285" s="549"/>
      <c r="CB285" s="321"/>
      <c r="CC285" s="732"/>
      <c r="CD285" s="549"/>
      <c r="CE285" s="321"/>
      <c r="CF285" s="732"/>
      <c r="CG285" s="549"/>
      <c r="CH285" s="321"/>
      <c r="CI285" s="732"/>
      <c r="CJ285" s="549"/>
      <c r="CK285" s="326"/>
      <c r="CL285" s="388"/>
    </row>
    <row r="286" spans="2:90" ht="43.5" thickBot="1" x14ac:dyDescent="0.25">
      <c r="B286" s="1393"/>
      <c r="C286" s="1397"/>
      <c r="D286" s="768" t="str">
        <f>+'Plan de Accion 2018'!G157</f>
        <v>Procesos y Procedimientos formulados</v>
      </c>
      <c r="E286" s="1424" t="str">
        <f>+'Plan de Accion 2018'!B157</f>
        <v>Oficina Asesora Jurídica</v>
      </c>
      <c r="F286" s="544" t="str">
        <f>+'Plan de Accion 2018'!S157</f>
        <v># procedimientos Aprobados / # Procedimientos identificados</v>
      </c>
      <c r="H286" s="543">
        <f>+'Plan de Accion 2018'!AB157</f>
        <v>0.22222222222222221</v>
      </c>
      <c r="I286" s="767">
        <f>+'Plan de Accion 2018'!BM157</f>
        <v>0.88888888888888884</v>
      </c>
      <c r="J286" s="767">
        <f>IF(I286&gt;100%,100%,I286)</f>
        <v>0.88888888888888884</v>
      </c>
      <c r="K286" s="767">
        <f>+'Plan de Accion 2018'!AF157</f>
        <v>0.22222222222222221</v>
      </c>
      <c r="L286" s="875">
        <f t="shared" si="98"/>
        <v>0.22222222222222221</v>
      </c>
      <c r="M286" s="682">
        <f>+L286</f>
        <v>0.22222222222222221</v>
      </c>
      <c r="N286" s="644"/>
      <c r="O286" s="543">
        <f>+'Plan de Accion 2018'!AL157</f>
        <v>0</v>
      </c>
      <c r="P286" s="767">
        <f>+'Plan de Accion 2018'!BO157</f>
        <v>0</v>
      </c>
      <c r="Q286" s="629">
        <f t="shared" si="76"/>
        <v>0</v>
      </c>
      <c r="R286" s="751">
        <f>+'Plan de Accion 2018'!AP157</f>
        <v>0.22222222222222221</v>
      </c>
      <c r="S286" s="873">
        <f t="shared" si="99"/>
        <v>0.22222222222222221</v>
      </c>
      <c r="T286" s="637">
        <f>+S286</f>
        <v>0.22222222222222221</v>
      </c>
      <c r="U286" s="329"/>
      <c r="V286" s="543">
        <f>+'Plan de Accion 2018'!AV157</f>
        <v>0.77777777777777779</v>
      </c>
      <c r="W286" s="767">
        <f>+'Plan de Accion 2018'!BQ157</f>
        <v>3.1111111111111112</v>
      </c>
      <c r="X286" s="629">
        <f t="shared" si="77"/>
        <v>1</v>
      </c>
      <c r="Y286" s="882">
        <f>+'Plan de Accion 2018'!AZ157</f>
        <v>1</v>
      </c>
      <c r="Z286" s="882">
        <f t="shared" si="100"/>
        <v>1</v>
      </c>
      <c r="AA286" s="883">
        <f t="shared" si="111"/>
        <v>1</v>
      </c>
      <c r="AB286" s="644"/>
      <c r="AC286" s="543">
        <f>+'Plan de Accion 2018'!BF157</f>
        <v>0</v>
      </c>
      <c r="AD286" s="767">
        <f>+'Plan de Accion 2018'!BS157</f>
        <v>0</v>
      </c>
      <c r="AE286" s="629">
        <f t="shared" si="74"/>
        <v>0</v>
      </c>
      <c r="AF286" s="767">
        <f>+'Plan de Accion 2018'!BJ157</f>
        <v>1</v>
      </c>
      <c r="AG286" s="637">
        <f t="shared" si="75"/>
        <v>1</v>
      </c>
      <c r="AH286" s="388"/>
      <c r="AJ286" s="389"/>
      <c r="AK286" s="390"/>
      <c r="AL286" s="321"/>
      <c r="AM286" s="389"/>
      <c r="AN286" s="390"/>
      <c r="AO286" s="321"/>
      <c r="AP286" s="389"/>
      <c r="AQ286" s="390"/>
      <c r="AR286" s="321"/>
      <c r="AS286" s="389"/>
      <c r="AT286" s="390"/>
      <c r="AU286" s="326"/>
      <c r="AV286" s="388"/>
      <c r="AX286" s="389"/>
      <c r="AY286" s="390"/>
      <c r="AZ286" s="321"/>
      <c r="BA286" s="389"/>
      <c r="BB286" s="390"/>
      <c r="BC286" s="321"/>
      <c r="BD286" s="389"/>
      <c r="BE286" s="390"/>
      <c r="BF286" s="321"/>
      <c r="BG286" s="389"/>
      <c r="BH286" s="390"/>
      <c r="BI286" s="326"/>
      <c r="BJ286" s="388"/>
      <c r="BL286" s="389"/>
      <c r="BM286" s="390"/>
      <c r="BN286" s="321"/>
      <c r="BO286" s="389"/>
      <c r="BP286" s="390"/>
      <c r="BQ286" s="321"/>
      <c r="BR286" s="389"/>
      <c r="BS286" s="390"/>
      <c r="BT286" s="321"/>
      <c r="BU286" s="389"/>
      <c r="BV286" s="390"/>
      <c r="BW286" s="326"/>
      <c r="BX286" s="388"/>
      <c r="BZ286" s="389"/>
      <c r="CA286" s="390"/>
      <c r="CB286" s="321"/>
      <c r="CC286" s="389"/>
      <c r="CD286" s="390"/>
      <c r="CE286" s="321"/>
      <c r="CF286" s="389"/>
      <c r="CG286" s="390"/>
      <c r="CH286" s="321"/>
      <c r="CI286" s="389"/>
      <c r="CJ286" s="390"/>
      <c r="CK286" s="326"/>
      <c r="CL286" s="388"/>
    </row>
    <row r="287" spans="2:90" ht="43.5" thickBot="1" x14ac:dyDescent="0.25">
      <c r="B287" s="1393"/>
      <c r="C287" s="1397"/>
      <c r="D287" s="754" t="str">
        <f>+'Plan de Accion 2018'!G158</f>
        <v>Indicadores  y  acciones de mejora formulados</v>
      </c>
      <c r="E287" s="1349"/>
      <c r="F287" s="544" t="str">
        <f>+'Plan de Accion 2018'!S158</f>
        <v># Indicadores Medidos / # Indicadores Sujetos de Medición</v>
      </c>
      <c r="H287" s="748">
        <f>+'Plan de Accion 2018'!AB158</f>
        <v>0</v>
      </c>
      <c r="I287" s="750" t="str">
        <f>+'Plan de Accion 2018'!BM158</f>
        <v>No Prog ni Ejec</v>
      </c>
      <c r="J287" s="750" t="s">
        <v>792</v>
      </c>
      <c r="K287" s="750">
        <f>+'Plan de Accion 2018'!AF158</f>
        <v>0</v>
      </c>
      <c r="L287" s="875">
        <f t="shared" si="98"/>
        <v>0</v>
      </c>
      <c r="M287" s="752" t="s">
        <v>792</v>
      </c>
      <c r="N287" s="644"/>
      <c r="O287" s="748">
        <f>+'Plan de Accion 2018'!AL158</f>
        <v>0</v>
      </c>
      <c r="P287" s="750" t="str">
        <f>+'Plan de Accion 2018'!BO158</f>
        <v>No Prog ni Ejec</v>
      </c>
      <c r="Q287" s="851" t="s">
        <v>792</v>
      </c>
      <c r="R287" s="751">
        <f>+'Plan de Accion 2018'!AP158</f>
        <v>0</v>
      </c>
      <c r="S287" s="873">
        <f t="shared" si="99"/>
        <v>0</v>
      </c>
      <c r="T287" s="637" t="s">
        <v>792</v>
      </c>
      <c r="U287" s="329"/>
      <c r="V287" s="748">
        <f>+'Plan de Accion 2018'!AV158</f>
        <v>0</v>
      </c>
      <c r="W287" s="750" t="str">
        <f>+'Plan de Accion 2018'!BQ158</f>
        <v>No Prog ni Ejec</v>
      </c>
      <c r="X287" s="629" t="s">
        <v>792</v>
      </c>
      <c r="Y287" s="882">
        <f>+'Plan de Accion 2018'!AZ158</f>
        <v>0</v>
      </c>
      <c r="Z287" s="882">
        <f t="shared" si="100"/>
        <v>0</v>
      </c>
      <c r="AA287" s="883" t="s">
        <v>792</v>
      </c>
      <c r="AB287" s="644"/>
      <c r="AC287" s="748">
        <f>+'Plan de Accion 2018'!BF158</f>
        <v>1</v>
      </c>
      <c r="AD287" s="750">
        <f>+'Plan de Accion 2018'!BS158</f>
        <v>1</v>
      </c>
      <c r="AE287" s="629">
        <f t="shared" si="74"/>
        <v>1</v>
      </c>
      <c r="AF287" s="750">
        <f>+'Plan de Accion 2018'!BJ158</f>
        <v>0.25</v>
      </c>
      <c r="AG287" s="637">
        <f t="shared" si="75"/>
        <v>0.25</v>
      </c>
      <c r="AH287" s="388"/>
      <c r="AJ287" s="389"/>
      <c r="AK287" s="390"/>
      <c r="AL287" s="321"/>
      <c r="AM287" s="389"/>
      <c r="AN287" s="390"/>
      <c r="AO287" s="321"/>
      <c r="AP287" s="389"/>
      <c r="AQ287" s="390"/>
      <c r="AR287" s="321"/>
      <c r="AS287" s="389"/>
      <c r="AT287" s="390"/>
      <c r="AU287" s="326"/>
      <c r="AV287" s="388"/>
      <c r="AX287" s="389"/>
      <c r="AY287" s="390"/>
      <c r="AZ287" s="321"/>
      <c r="BA287" s="389"/>
      <c r="BB287" s="390"/>
      <c r="BC287" s="321"/>
      <c r="BD287" s="389"/>
      <c r="BE287" s="390"/>
      <c r="BF287" s="321"/>
      <c r="BG287" s="389"/>
      <c r="BH287" s="390"/>
      <c r="BI287" s="326"/>
      <c r="BJ287" s="388"/>
      <c r="BL287" s="389"/>
      <c r="BM287" s="390"/>
      <c r="BN287" s="321"/>
      <c r="BO287" s="389"/>
      <c r="BP287" s="390"/>
      <c r="BQ287" s="321"/>
      <c r="BR287" s="389"/>
      <c r="BS287" s="390"/>
      <c r="BT287" s="321"/>
      <c r="BU287" s="389"/>
      <c r="BV287" s="390"/>
      <c r="BW287" s="326"/>
      <c r="BX287" s="388"/>
      <c r="BZ287" s="389"/>
      <c r="CA287" s="390"/>
      <c r="CB287" s="321"/>
      <c r="CC287" s="389"/>
      <c r="CD287" s="390"/>
      <c r="CE287" s="321"/>
      <c r="CF287" s="389"/>
      <c r="CG287" s="390"/>
      <c r="CH287" s="321"/>
      <c r="CI287" s="389"/>
      <c r="CJ287" s="390"/>
      <c r="CK287" s="326"/>
      <c r="CL287" s="388"/>
    </row>
    <row r="288" spans="2:90" s="542" customFormat="1" ht="43.5" thickBot="1" x14ac:dyDescent="0.25">
      <c r="B288" s="1393"/>
      <c r="C288" s="1397"/>
      <c r="D288" s="754" t="str">
        <f>+'Plan de Accion 2018'!G217</f>
        <v>Reuniones de Autocontrol que evidencie(n) monitoreo al mapa de riesgos de corrupción</v>
      </c>
      <c r="E288" s="1349"/>
      <c r="F288" s="544" t="str">
        <f>+'Plan de Accion 2018'!S217</f>
        <v># Reuniones de Autocontrol realizadas</v>
      </c>
      <c r="G288" s="298"/>
      <c r="H288" s="748">
        <f>+'Plan de Accion 2018'!AB217</f>
        <v>0</v>
      </c>
      <c r="I288" s="750" t="str">
        <f>+'Plan de Accion 2018'!BM217</f>
        <v>No Prog ni Ejec</v>
      </c>
      <c r="J288" s="750" t="s">
        <v>792</v>
      </c>
      <c r="K288" s="750">
        <f>+'Plan de Accion 2018'!AF127</f>
        <v>0</v>
      </c>
      <c r="L288" s="875">
        <f t="shared" si="98"/>
        <v>0</v>
      </c>
      <c r="M288" s="752" t="s">
        <v>792</v>
      </c>
      <c r="N288" s="644"/>
      <c r="O288" s="748">
        <f>+'Plan de Accion 2018'!AL217</f>
        <v>0</v>
      </c>
      <c r="P288" s="750" t="str">
        <f>+'Plan de Accion 2018'!BO217</f>
        <v>No Prog ni Ejec</v>
      </c>
      <c r="Q288" s="851" t="s">
        <v>792</v>
      </c>
      <c r="R288" s="751">
        <f>+'Plan de Accion 2018'!AP217</f>
        <v>0</v>
      </c>
      <c r="S288" s="873">
        <f t="shared" si="99"/>
        <v>0</v>
      </c>
      <c r="T288" s="637" t="s">
        <v>792</v>
      </c>
      <c r="U288" s="329"/>
      <c r="V288" s="748">
        <f>+'Plan de Accion 2018'!AV217</f>
        <v>0</v>
      </c>
      <c r="W288" s="750">
        <f>+'Plan de Accion 2018'!BQ217</f>
        <v>0</v>
      </c>
      <c r="X288" s="629">
        <f t="shared" si="77"/>
        <v>0</v>
      </c>
      <c r="Y288" s="882">
        <f>+'Plan de Accion 2018'!AZ217</f>
        <v>0</v>
      </c>
      <c r="Z288" s="882">
        <f t="shared" si="100"/>
        <v>0</v>
      </c>
      <c r="AA288" s="883">
        <f>+Z288</f>
        <v>0</v>
      </c>
      <c r="AB288" s="644"/>
      <c r="AC288" s="748">
        <f>+'Plan de Accion 2018'!BF217</f>
        <v>2</v>
      </c>
      <c r="AD288" s="750">
        <f>+'Plan de Accion 2018'!BS217</f>
        <v>2</v>
      </c>
      <c r="AE288" s="629">
        <f>IF(AD288&gt;100%,100%,AD288)</f>
        <v>1</v>
      </c>
      <c r="AF288" s="750">
        <f>+'Plan de Accion 2018'!BJ217</f>
        <v>1</v>
      </c>
      <c r="AG288" s="637">
        <f>IF(AF288&gt;100%,100%,AF288)</f>
        <v>1</v>
      </c>
      <c r="AH288" s="388"/>
      <c r="AI288" s="1014"/>
      <c r="AJ288" s="732"/>
      <c r="AK288" s="549"/>
      <c r="AL288" s="321"/>
      <c r="AM288" s="732"/>
      <c r="AN288" s="549"/>
      <c r="AO288" s="321"/>
      <c r="AP288" s="732"/>
      <c r="AQ288" s="549"/>
      <c r="AR288" s="321"/>
      <c r="AS288" s="732"/>
      <c r="AT288" s="549"/>
      <c r="AU288" s="326"/>
      <c r="AV288" s="388"/>
      <c r="AX288" s="732"/>
      <c r="AY288" s="549"/>
      <c r="AZ288" s="321"/>
      <c r="BA288" s="732"/>
      <c r="BB288" s="549"/>
      <c r="BC288" s="321"/>
      <c r="BD288" s="732"/>
      <c r="BE288" s="549"/>
      <c r="BF288" s="321"/>
      <c r="BG288" s="732"/>
      <c r="BH288" s="549"/>
      <c r="BI288" s="326"/>
      <c r="BJ288" s="388"/>
      <c r="BL288" s="732"/>
      <c r="BM288" s="549"/>
      <c r="BN288" s="321"/>
      <c r="BO288" s="732"/>
      <c r="BP288" s="549"/>
      <c r="BQ288" s="321"/>
      <c r="BR288" s="732"/>
      <c r="BS288" s="549"/>
      <c r="BT288" s="321"/>
      <c r="BU288" s="732"/>
      <c r="BV288" s="549"/>
      <c r="BW288" s="326"/>
      <c r="BX288" s="388"/>
      <c r="BZ288" s="732"/>
      <c r="CA288" s="549"/>
      <c r="CB288" s="321"/>
      <c r="CC288" s="732"/>
      <c r="CD288" s="549"/>
      <c r="CE288" s="321"/>
      <c r="CF288" s="732"/>
      <c r="CG288" s="549"/>
      <c r="CH288" s="321"/>
      <c r="CI288" s="732"/>
      <c r="CJ288" s="549"/>
      <c r="CK288" s="326"/>
      <c r="CL288" s="388"/>
    </row>
    <row r="289" spans="2:90" s="542" customFormat="1" ht="29.25" thickBot="1" x14ac:dyDescent="0.25">
      <c r="B289" s="1393"/>
      <c r="C289" s="1397"/>
      <c r="D289" s="754" t="str">
        <f>+'Plan de Accion 2018'!G269</f>
        <v>Índice de Confidencialidad para ADRES formalizado</v>
      </c>
      <c r="E289" s="1349"/>
      <c r="F289" s="544" t="str">
        <f>+'Plan de Accion 2018'!S269</f>
        <v># Índice de Confidencialidad para ADRES formalizado</v>
      </c>
      <c r="G289" s="298"/>
      <c r="H289" s="748">
        <f>+'Plan de Accion 2018'!AB269</f>
        <v>0</v>
      </c>
      <c r="I289" s="750" t="str">
        <f>+'Plan de Accion 2018'!BM269</f>
        <v>No Prog ni Ejec</v>
      </c>
      <c r="J289" s="750" t="s">
        <v>792</v>
      </c>
      <c r="K289" s="750">
        <f>+'Plan de Accion 2018'!AF269</f>
        <v>0</v>
      </c>
      <c r="L289" s="875">
        <f t="shared" si="98"/>
        <v>0</v>
      </c>
      <c r="M289" s="752" t="s">
        <v>792</v>
      </c>
      <c r="N289" s="644"/>
      <c r="O289" s="748">
        <f>+'Plan de Accion 2018'!AL269</f>
        <v>0</v>
      </c>
      <c r="P289" s="750" t="str">
        <f>+'Plan de Accion 2018'!BO269</f>
        <v>No Prog ni Ejec</v>
      </c>
      <c r="Q289" s="851" t="s">
        <v>792</v>
      </c>
      <c r="R289" s="751">
        <f>+'Plan de Accion 2018'!AP269</f>
        <v>0</v>
      </c>
      <c r="S289" s="873">
        <f t="shared" si="99"/>
        <v>0</v>
      </c>
      <c r="T289" s="637" t="s">
        <v>792</v>
      </c>
      <c r="U289" s="329"/>
      <c r="V289" s="748">
        <f>+'Plan de Accion 2018'!AV269</f>
        <v>1</v>
      </c>
      <c r="W289" s="750" t="str">
        <f>+'Plan de Accion 2018'!BQ269</f>
        <v>No Prog, Ejec=  1</v>
      </c>
      <c r="X289" s="629" t="s">
        <v>792</v>
      </c>
      <c r="Y289" s="882">
        <f>+'Plan de Accion 2018'!AZ269</f>
        <v>1</v>
      </c>
      <c r="Z289" s="882">
        <f t="shared" si="100"/>
        <v>1</v>
      </c>
      <c r="AA289" s="883" t="s">
        <v>792</v>
      </c>
      <c r="AB289" s="644"/>
      <c r="AC289" s="748">
        <f>+'Plan de Accion 2018'!BF269</f>
        <v>0</v>
      </c>
      <c r="AD289" s="750">
        <f>+'Plan de Accion 2018'!BS269</f>
        <v>0</v>
      </c>
      <c r="AE289" s="629">
        <f>IF(AD289&gt;100%,100%,AD289)</f>
        <v>0</v>
      </c>
      <c r="AF289" s="750">
        <f>+'Plan de Accion 2018'!BJ269</f>
        <v>1</v>
      </c>
      <c r="AG289" s="637">
        <f>IF(AF289&gt;100%,100%,AF289)</f>
        <v>1</v>
      </c>
      <c r="AH289" s="388"/>
      <c r="AI289" s="1014"/>
      <c r="AJ289" s="763"/>
      <c r="AK289" s="549"/>
      <c r="AL289" s="321"/>
      <c r="AM289" s="763"/>
      <c r="AN289" s="549"/>
      <c r="AO289" s="321"/>
      <c r="AP289" s="763"/>
      <c r="AQ289" s="549"/>
      <c r="AR289" s="321"/>
      <c r="AS289" s="763"/>
      <c r="AT289" s="549"/>
      <c r="AU289" s="326"/>
      <c r="AV289" s="388"/>
      <c r="AX289" s="763"/>
      <c r="AY289" s="549"/>
      <c r="AZ289" s="321"/>
      <c r="BA289" s="763"/>
      <c r="BB289" s="549"/>
      <c r="BC289" s="321"/>
      <c r="BD289" s="763"/>
      <c r="BE289" s="549"/>
      <c r="BF289" s="321"/>
      <c r="BG289" s="763"/>
      <c r="BH289" s="549"/>
      <c r="BI289" s="326"/>
      <c r="BJ289" s="388"/>
      <c r="BL289" s="763"/>
      <c r="BM289" s="549"/>
      <c r="BN289" s="321"/>
      <c r="BO289" s="763"/>
      <c r="BP289" s="549"/>
      <c r="BQ289" s="321"/>
      <c r="BR289" s="763"/>
      <c r="BS289" s="549"/>
      <c r="BT289" s="321"/>
      <c r="BU289" s="763"/>
      <c r="BV289" s="549"/>
      <c r="BW289" s="326"/>
      <c r="BX289" s="388"/>
      <c r="BZ289" s="763"/>
      <c r="CA289" s="549"/>
      <c r="CB289" s="321"/>
      <c r="CC289" s="763"/>
      <c r="CD289" s="549"/>
      <c r="CE289" s="321"/>
      <c r="CF289" s="763"/>
      <c r="CG289" s="549"/>
      <c r="CH289" s="321"/>
      <c r="CI289" s="763"/>
      <c r="CJ289" s="549"/>
      <c r="CK289" s="326"/>
      <c r="CL289" s="388"/>
    </row>
    <row r="290" spans="2:90" s="542" customFormat="1" ht="29.25" thickBot="1" x14ac:dyDescent="0.25">
      <c r="B290" s="1393"/>
      <c r="C290" s="1397"/>
      <c r="D290" s="852" t="str">
        <f>+'Plan de Accion 2018'!G218</f>
        <v>Mapa de riesgos de corrupción (nueva versión) de ser necesario</v>
      </c>
      <c r="E290" s="1428"/>
      <c r="F290" s="544" t="str">
        <f>+'Plan de Accion 2018'!S218</f>
        <v># Mapas de riesgos de corrupción actualizados</v>
      </c>
      <c r="G290" s="298"/>
      <c r="H290" s="748">
        <f>+'Plan de Accion 2018'!AB218</f>
        <v>0</v>
      </c>
      <c r="I290" s="750" t="str">
        <f>+'Plan de Accion 2018'!BM218</f>
        <v>No Prog ni Ejec</v>
      </c>
      <c r="J290" s="750" t="s">
        <v>792</v>
      </c>
      <c r="K290" s="750">
        <f>+'Plan de Accion 2018'!AF218</f>
        <v>0</v>
      </c>
      <c r="L290" s="875">
        <f t="shared" si="98"/>
        <v>0</v>
      </c>
      <c r="M290" s="752" t="s">
        <v>792</v>
      </c>
      <c r="N290" s="644"/>
      <c r="O290" s="748">
        <f>+'Plan de Accion 2018'!AL218</f>
        <v>0</v>
      </c>
      <c r="P290" s="750" t="str">
        <f>+'Plan de Accion 2018'!BO218</f>
        <v>No Prog ni Ejec</v>
      </c>
      <c r="Q290" s="851" t="s">
        <v>792</v>
      </c>
      <c r="R290" s="751">
        <f>+'Plan de Accion 2018'!AP218</f>
        <v>0</v>
      </c>
      <c r="S290" s="873">
        <f t="shared" si="99"/>
        <v>0</v>
      </c>
      <c r="T290" s="637" t="s">
        <v>792</v>
      </c>
      <c r="U290" s="329"/>
      <c r="V290" s="748">
        <f>+'Plan de Accion 2018'!AV218</f>
        <v>0</v>
      </c>
      <c r="W290" s="750" t="s">
        <v>792</v>
      </c>
      <c r="X290" s="629" t="s">
        <v>792</v>
      </c>
      <c r="Y290" s="882">
        <f>+'Plan de Accion 2018'!AZ218</f>
        <v>0</v>
      </c>
      <c r="Z290" s="882">
        <f t="shared" si="100"/>
        <v>0</v>
      </c>
      <c r="AA290" s="883" t="s">
        <v>792</v>
      </c>
      <c r="AB290" s="644"/>
      <c r="AC290" s="748">
        <f>+'Plan de Accion 2018'!BF218</f>
        <v>0</v>
      </c>
      <c r="AD290" s="750" t="s">
        <v>792</v>
      </c>
      <c r="AE290" s="629" t="s">
        <v>792</v>
      </c>
      <c r="AF290" s="750" t="s">
        <v>792</v>
      </c>
      <c r="AG290" s="637" t="s">
        <v>792</v>
      </c>
      <c r="AH290" s="388"/>
      <c r="AI290" s="1014"/>
      <c r="AJ290" s="732"/>
      <c r="AK290" s="549"/>
      <c r="AL290" s="321"/>
      <c r="AM290" s="732"/>
      <c r="AN290" s="549"/>
      <c r="AO290" s="321"/>
      <c r="AP290" s="732"/>
      <c r="AQ290" s="549"/>
      <c r="AR290" s="321"/>
      <c r="AS290" s="732"/>
      <c r="AT290" s="549"/>
      <c r="AU290" s="326"/>
      <c r="AV290" s="388"/>
      <c r="AX290" s="732"/>
      <c r="AY290" s="549"/>
      <c r="AZ290" s="321"/>
      <c r="BA290" s="732"/>
      <c r="BB290" s="549"/>
      <c r="BC290" s="321"/>
      <c r="BD290" s="732"/>
      <c r="BE290" s="549"/>
      <c r="BF290" s="321"/>
      <c r="BG290" s="732"/>
      <c r="BH290" s="549"/>
      <c r="BI290" s="326"/>
      <c r="BJ290" s="388"/>
      <c r="BL290" s="732"/>
      <c r="BM290" s="549"/>
      <c r="BN290" s="321"/>
      <c r="BO290" s="732"/>
      <c r="BP290" s="549"/>
      <c r="BQ290" s="321"/>
      <c r="BR290" s="732"/>
      <c r="BS290" s="549"/>
      <c r="BT290" s="321"/>
      <c r="BU290" s="732"/>
      <c r="BV290" s="549"/>
      <c r="BW290" s="326"/>
      <c r="BX290" s="388"/>
      <c r="BZ290" s="732"/>
      <c r="CA290" s="549"/>
      <c r="CB290" s="321"/>
      <c r="CC290" s="732"/>
      <c r="CD290" s="549"/>
      <c r="CE290" s="321"/>
      <c r="CF290" s="732"/>
      <c r="CG290" s="549"/>
      <c r="CH290" s="321"/>
      <c r="CI290" s="732"/>
      <c r="CJ290" s="549"/>
      <c r="CK290" s="326"/>
      <c r="CL290" s="388"/>
    </row>
    <row r="291" spans="2:90" s="542" customFormat="1" ht="43.5" customHeight="1" thickBot="1" x14ac:dyDescent="0.25">
      <c r="B291" s="1393"/>
      <c r="C291" s="1397"/>
      <c r="D291" s="754" t="str">
        <f>+'Plan de Accion 2018'!G190</f>
        <v>Política de riesgos revisada y actualizada</v>
      </c>
      <c r="E291" s="1424" t="str">
        <f>+'Plan de Accion 2018'!B190</f>
        <v>Oficina Asesora de Planeación y Control de Riesgos</v>
      </c>
      <c r="F291" s="544" t="str">
        <f>+'Plan de Accion 2018'!S190</f>
        <v># Políticas estructuradas</v>
      </c>
      <c r="G291" s="298"/>
      <c r="H291" s="748">
        <f>+'Plan de Accion 2018'!AB190</f>
        <v>1</v>
      </c>
      <c r="I291" s="750">
        <f>+'Plan de Accion 2018'!BM190</f>
        <v>1</v>
      </c>
      <c r="J291" s="767">
        <f>IF(I291&gt;100%,100%,I291)</f>
        <v>1</v>
      </c>
      <c r="K291" s="750">
        <f>+'Plan de Accion 2018'!AF190</f>
        <v>1</v>
      </c>
      <c r="L291" s="875">
        <f t="shared" si="98"/>
        <v>1</v>
      </c>
      <c r="M291" s="682">
        <f>+L291</f>
        <v>1</v>
      </c>
      <c r="N291" s="644"/>
      <c r="O291" s="748">
        <f>+'Plan de Accion 2018'!AL190</f>
        <v>0</v>
      </c>
      <c r="P291" s="750" t="str">
        <f>+'Plan de Accion 2018'!BO190</f>
        <v>No Prog ni Ejec</v>
      </c>
      <c r="Q291" s="851" t="s">
        <v>792</v>
      </c>
      <c r="R291" s="751">
        <f>+'Plan de Accion 2018'!AP190</f>
        <v>1</v>
      </c>
      <c r="S291" s="873">
        <f t="shared" si="99"/>
        <v>1</v>
      </c>
      <c r="T291" s="637" t="s">
        <v>792</v>
      </c>
      <c r="U291" s="329"/>
      <c r="V291" s="748">
        <f>+'Plan de Accion 2018'!AV190</f>
        <v>0</v>
      </c>
      <c r="W291" s="750" t="str">
        <f>+'Plan de Accion 2018'!BQ190</f>
        <v>No Prog ni Ejec</v>
      </c>
      <c r="X291" s="629" t="s">
        <v>792</v>
      </c>
      <c r="Y291" s="882">
        <f>+'Plan de Accion 2018'!AZ190</f>
        <v>1</v>
      </c>
      <c r="Z291" s="882">
        <f t="shared" si="100"/>
        <v>1</v>
      </c>
      <c r="AA291" s="883">
        <f>+Z291</f>
        <v>1</v>
      </c>
      <c r="AB291" s="644"/>
      <c r="AC291" s="748">
        <f>+'Plan de Accion 2018'!BF190</f>
        <v>0</v>
      </c>
      <c r="AD291" s="750" t="str">
        <f>+'Plan de Accion 2018'!BS190</f>
        <v>No Prog ni Ejec</v>
      </c>
      <c r="AE291" s="629" t="s">
        <v>792</v>
      </c>
      <c r="AF291" s="750">
        <f>+'Plan de Accion 2018'!BJ190</f>
        <v>1</v>
      </c>
      <c r="AG291" s="637">
        <f>IF(AF291&gt;100%,100%,AF291)</f>
        <v>1</v>
      </c>
      <c r="AH291" s="388"/>
      <c r="AI291" s="1014"/>
      <c r="AJ291" s="732"/>
      <c r="AK291" s="549"/>
      <c r="AL291" s="321"/>
      <c r="AM291" s="732"/>
      <c r="AN291" s="549"/>
      <c r="AO291" s="321"/>
      <c r="AP291" s="732"/>
      <c r="AQ291" s="549"/>
      <c r="AR291" s="321"/>
      <c r="AS291" s="732"/>
      <c r="AT291" s="549"/>
      <c r="AU291" s="326"/>
      <c r="AV291" s="388"/>
      <c r="AX291" s="732"/>
      <c r="AY291" s="549"/>
      <c r="AZ291" s="321"/>
      <c r="BA291" s="732"/>
      <c r="BB291" s="549"/>
      <c r="BC291" s="321"/>
      <c r="BD291" s="732"/>
      <c r="BE291" s="549"/>
      <c r="BF291" s="321"/>
      <c r="BG291" s="732"/>
      <c r="BH291" s="549"/>
      <c r="BI291" s="326"/>
      <c r="BJ291" s="388"/>
      <c r="BL291" s="732"/>
      <c r="BM291" s="549"/>
      <c r="BN291" s="321"/>
      <c r="BO291" s="732"/>
      <c r="BP291" s="549"/>
      <c r="BQ291" s="321"/>
      <c r="BR291" s="732"/>
      <c r="BS291" s="549"/>
      <c r="BT291" s="321"/>
      <c r="BU291" s="732"/>
      <c r="BV291" s="549"/>
      <c r="BW291" s="326"/>
      <c r="BX291" s="388"/>
      <c r="BZ291" s="732"/>
      <c r="CA291" s="549"/>
      <c r="CB291" s="321"/>
      <c r="CC291" s="732"/>
      <c r="CD291" s="549"/>
      <c r="CE291" s="321"/>
      <c r="CF291" s="732"/>
      <c r="CG291" s="549"/>
      <c r="CH291" s="321"/>
      <c r="CI291" s="732"/>
      <c r="CJ291" s="549"/>
      <c r="CK291" s="326"/>
      <c r="CL291" s="388"/>
    </row>
    <row r="292" spans="2:90" s="542" customFormat="1" ht="57.75" thickBot="1" x14ac:dyDescent="0.25">
      <c r="B292" s="1393"/>
      <c r="C292" s="1397"/>
      <c r="D292" s="754" t="str">
        <f>+'Plan de Accion 2018'!G191</f>
        <v>Acto Administrativo que adopta para ADRES Política de Administración de Riesgos</v>
      </c>
      <c r="E292" s="1349"/>
      <c r="F292" s="544" t="str">
        <f>+'Plan de Accion 2018'!S191</f>
        <v># Actos Administrativos que adoptan la Política de Administración de Riesgos de la ADRES</v>
      </c>
      <c r="G292" s="298"/>
      <c r="H292" s="748">
        <f>+'Plan de Accion 2018'!AB191</f>
        <v>0</v>
      </c>
      <c r="I292" s="750" t="str">
        <f>+'Plan de Accion 2018'!BM191</f>
        <v>No Prog ni Ejec</v>
      </c>
      <c r="J292" s="750" t="s">
        <v>792</v>
      </c>
      <c r="K292" s="750">
        <f>+'Plan de Accion 2018'!AF191</f>
        <v>0</v>
      </c>
      <c r="L292" s="875">
        <f t="shared" si="98"/>
        <v>0</v>
      </c>
      <c r="M292" s="849" t="s">
        <v>792</v>
      </c>
      <c r="N292" s="644"/>
      <c r="O292" s="748">
        <f>+'Plan de Accion 2018'!AL191</f>
        <v>1</v>
      </c>
      <c r="P292" s="750">
        <f>+'Plan de Accion 2018'!BO191</f>
        <v>1</v>
      </c>
      <c r="Q292" s="629">
        <f t="shared" si="76"/>
        <v>1</v>
      </c>
      <c r="R292" s="751">
        <f>+'Plan de Accion 2018'!AP191</f>
        <v>1</v>
      </c>
      <c r="S292" s="873">
        <f t="shared" si="99"/>
        <v>1</v>
      </c>
      <c r="T292" s="637">
        <f t="shared" ref="T292:T298" si="112">+S292</f>
        <v>1</v>
      </c>
      <c r="U292" s="329"/>
      <c r="V292" s="748">
        <f>+'Plan de Accion 2018'!AV191</f>
        <v>0</v>
      </c>
      <c r="W292" s="750" t="str">
        <f>+'Plan de Accion 2018'!BQ191</f>
        <v>No Prog ni Ejec</v>
      </c>
      <c r="X292" s="629" t="s">
        <v>792</v>
      </c>
      <c r="Y292" s="882">
        <f>+'Plan de Accion 2018'!AZ191</f>
        <v>1</v>
      </c>
      <c r="Z292" s="882">
        <f t="shared" si="100"/>
        <v>1</v>
      </c>
      <c r="AA292" s="883">
        <f>+Z292</f>
        <v>1</v>
      </c>
      <c r="AB292" s="644"/>
      <c r="AC292" s="748">
        <f>+'Plan de Accion 2018'!BF191</f>
        <v>0</v>
      </c>
      <c r="AD292" s="750" t="str">
        <f>+'Plan de Accion 2018'!BS191</f>
        <v>No Prog ni Ejec</v>
      </c>
      <c r="AE292" s="629" t="s">
        <v>792</v>
      </c>
      <c r="AF292" s="750">
        <f>+'Plan de Accion 2018'!BJ191</f>
        <v>1</v>
      </c>
      <c r="AG292" s="637">
        <f t="shared" ref="AG292:AG298" si="113">IF(AF292&gt;100%,100%,AF292)</f>
        <v>1</v>
      </c>
      <c r="AH292" s="388"/>
      <c r="AI292" s="1014"/>
      <c r="AJ292" s="732"/>
      <c r="AK292" s="549"/>
      <c r="AL292" s="321"/>
      <c r="AM292" s="732"/>
      <c r="AN292" s="549"/>
      <c r="AO292" s="321"/>
      <c r="AP292" s="732"/>
      <c r="AQ292" s="549"/>
      <c r="AR292" s="321"/>
      <c r="AS292" s="732"/>
      <c r="AT292" s="549"/>
      <c r="AU292" s="326"/>
      <c r="AV292" s="388"/>
      <c r="AX292" s="732"/>
      <c r="AY292" s="549"/>
      <c r="AZ292" s="321"/>
      <c r="BA292" s="732"/>
      <c r="BB292" s="549"/>
      <c r="BC292" s="321"/>
      <c r="BD292" s="732"/>
      <c r="BE292" s="549"/>
      <c r="BF292" s="321"/>
      <c r="BG292" s="732"/>
      <c r="BH292" s="549"/>
      <c r="BI292" s="326"/>
      <c r="BJ292" s="388"/>
      <c r="BL292" s="732"/>
      <c r="BM292" s="549"/>
      <c r="BN292" s="321"/>
      <c r="BO292" s="732"/>
      <c r="BP292" s="549"/>
      <c r="BQ292" s="321"/>
      <c r="BR292" s="732"/>
      <c r="BS292" s="549"/>
      <c r="BT292" s="321"/>
      <c r="BU292" s="732"/>
      <c r="BV292" s="549"/>
      <c r="BW292" s="326"/>
      <c r="BX292" s="388"/>
      <c r="BZ292" s="732"/>
      <c r="CA292" s="549"/>
      <c r="CB292" s="321"/>
      <c r="CC292" s="732"/>
      <c r="CD292" s="549"/>
      <c r="CE292" s="321"/>
      <c r="CF292" s="732"/>
      <c r="CG292" s="549"/>
      <c r="CH292" s="321"/>
      <c r="CI292" s="732"/>
      <c r="CJ292" s="549"/>
      <c r="CK292" s="326"/>
      <c r="CL292" s="388"/>
    </row>
    <row r="293" spans="2:90" s="542" customFormat="1" ht="57.75" thickBot="1" x14ac:dyDescent="0.25">
      <c r="B293" s="1393"/>
      <c r="C293" s="1397"/>
      <c r="D293" s="754" t="str">
        <f>+'Plan de Accion 2018'!G194</f>
        <v xml:space="preserve">Manual: Metodología de Administración de Riesgos  (Manual Operativo de Administración de Riesgos) </v>
      </c>
      <c r="E293" s="1349"/>
      <c r="F293" s="544" t="str">
        <f>+'Plan de Accion 2018'!S194</f>
        <v xml:space="preserve"># Manuales Operativos de Administración de Riesgos estructurados </v>
      </c>
      <c r="G293" s="298"/>
      <c r="H293" s="748">
        <f>+'Plan de Accion 2018'!AB194</f>
        <v>0</v>
      </c>
      <c r="I293" s="750" t="str">
        <f>+'Plan de Accion 2018'!BM194</f>
        <v>No Prog ni Ejec</v>
      </c>
      <c r="J293" s="750" t="s">
        <v>792</v>
      </c>
      <c r="K293" s="750">
        <f>+'Plan de Accion 2018'!AF194</f>
        <v>0</v>
      </c>
      <c r="L293" s="875">
        <f t="shared" si="98"/>
        <v>0</v>
      </c>
      <c r="M293" s="849" t="s">
        <v>792</v>
      </c>
      <c r="N293" s="644"/>
      <c r="O293" s="748">
        <f>+'Plan de Accion 2018'!AL194</f>
        <v>1</v>
      </c>
      <c r="P293" s="750">
        <f>+'Plan de Accion 2018'!BO194</f>
        <v>1</v>
      </c>
      <c r="Q293" s="629">
        <f t="shared" si="76"/>
        <v>1</v>
      </c>
      <c r="R293" s="751">
        <f>+'Plan de Accion 2018'!AP194</f>
        <v>1</v>
      </c>
      <c r="S293" s="873">
        <f t="shared" si="99"/>
        <v>1</v>
      </c>
      <c r="T293" s="637">
        <f t="shared" si="112"/>
        <v>1</v>
      </c>
      <c r="U293" s="329"/>
      <c r="V293" s="748">
        <f>+'Plan de Accion 2018'!AV194</f>
        <v>0</v>
      </c>
      <c r="W293" s="750" t="str">
        <f>+'Plan de Accion 2018'!BQ194</f>
        <v>No Prog ni Ejec</v>
      </c>
      <c r="X293" s="629" t="s">
        <v>792</v>
      </c>
      <c r="Y293" s="882">
        <f>+'Plan de Accion 2018'!AZ194</f>
        <v>1</v>
      </c>
      <c r="Z293" s="882">
        <f t="shared" si="100"/>
        <v>1</v>
      </c>
      <c r="AA293" s="883">
        <f>+Z293</f>
        <v>1</v>
      </c>
      <c r="AB293" s="644"/>
      <c r="AC293" s="748">
        <f>+'Plan de Accion 2018'!BF194</f>
        <v>0</v>
      </c>
      <c r="AD293" s="750" t="str">
        <f>+'Plan de Accion 2018'!BS194</f>
        <v>No Prog ni Ejec</v>
      </c>
      <c r="AE293" s="629" t="s">
        <v>792</v>
      </c>
      <c r="AF293" s="750">
        <f>+'Plan de Accion 2018'!BJ194</f>
        <v>1</v>
      </c>
      <c r="AG293" s="637">
        <f t="shared" si="113"/>
        <v>1</v>
      </c>
      <c r="AH293" s="388"/>
      <c r="AI293" s="1014"/>
      <c r="AJ293" s="732"/>
      <c r="AK293" s="549"/>
      <c r="AL293" s="321"/>
      <c r="AM293" s="732"/>
      <c r="AN293" s="549"/>
      <c r="AO293" s="321"/>
      <c r="AP293" s="732"/>
      <c r="AQ293" s="549"/>
      <c r="AR293" s="321"/>
      <c r="AS293" s="732"/>
      <c r="AT293" s="549"/>
      <c r="AU293" s="326"/>
      <c r="AV293" s="388"/>
      <c r="AX293" s="732"/>
      <c r="AY293" s="549"/>
      <c r="AZ293" s="321"/>
      <c r="BA293" s="732"/>
      <c r="BB293" s="549"/>
      <c r="BC293" s="321"/>
      <c r="BD293" s="732"/>
      <c r="BE293" s="549"/>
      <c r="BF293" s="321"/>
      <c r="BG293" s="732"/>
      <c r="BH293" s="549"/>
      <c r="BI293" s="326"/>
      <c r="BJ293" s="388"/>
      <c r="BL293" s="732"/>
      <c r="BM293" s="549"/>
      <c r="BN293" s="321"/>
      <c r="BO293" s="732"/>
      <c r="BP293" s="549"/>
      <c r="BQ293" s="321"/>
      <c r="BR293" s="732"/>
      <c r="BS293" s="549"/>
      <c r="BT293" s="321"/>
      <c r="BU293" s="732"/>
      <c r="BV293" s="549"/>
      <c r="BW293" s="326"/>
      <c r="BX293" s="388"/>
      <c r="BZ293" s="732"/>
      <c r="CA293" s="549"/>
      <c r="CB293" s="321"/>
      <c r="CC293" s="732"/>
      <c r="CD293" s="549"/>
      <c r="CE293" s="321"/>
      <c r="CF293" s="732"/>
      <c r="CG293" s="549"/>
      <c r="CH293" s="321"/>
      <c r="CI293" s="732"/>
      <c r="CJ293" s="549"/>
      <c r="CK293" s="326"/>
      <c r="CL293" s="388"/>
    </row>
    <row r="294" spans="2:90" s="542" customFormat="1" ht="43.5" thickBot="1" x14ac:dyDescent="0.25">
      <c r="B294" s="1393"/>
      <c r="C294" s="1397"/>
      <c r="D294" s="754" t="str">
        <f>+'Plan de Accion 2018'!G196</f>
        <v>Mapa de riesgos de corrupción, procesos misionales</v>
      </c>
      <c r="E294" s="1349"/>
      <c r="F294" s="544" t="str">
        <f>+'Plan de Accion 2018'!S196</f>
        <v># Mapas de riesgos de corrupción de procesos misionales construidos</v>
      </c>
      <c r="G294" s="298"/>
      <c r="H294" s="748">
        <f>+'Plan de Accion 2018'!AB196</f>
        <v>0</v>
      </c>
      <c r="I294" s="750" t="str">
        <f>+'Plan de Accion 2018'!BM196</f>
        <v>No Prog ni Ejec</v>
      </c>
      <c r="J294" s="750" t="s">
        <v>792</v>
      </c>
      <c r="K294" s="750">
        <f>+'Plan de Accion 2018'!AF196</f>
        <v>0</v>
      </c>
      <c r="L294" s="875">
        <f t="shared" si="98"/>
        <v>0</v>
      </c>
      <c r="M294" s="849" t="s">
        <v>792</v>
      </c>
      <c r="N294" s="644"/>
      <c r="O294" s="748">
        <f>+'Plan de Accion 2018'!AL196</f>
        <v>1</v>
      </c>
      <c r="P294" s="750">
        <f>+'Plan de Accion 2018'!BO196</f>
        <v>1</v>
      </c>
      <c r="Q294" s="629">
        <f t="shared" si="76"/>
        <v>1</v>
      </c>
      <c r="R294" s="751">
        <f>+'Plan de Accion 2018'!AP196</f>
        <v>1</v>
      </c>
      <c r="S294" s="873">
        <f t="shared" si="99"/>
        <v>1</v>
      </c>
      <c r="T294" s="637">
        <f t="shared" si="112"/>
        <v>1</v>
      </c>
      <c r="U294" s="329"/>
      <c r="V294" s="748">
        <f>+'Plan de Accion 2018'!AV196</f>
        <v>0</v>
      </c>
      <c r="W294" s="750" t="str">
        <f>+'Plan de Accion 2018'!BQ196</f>
        <v>No Prog ni Ejec</v>
      </c>
      <c r="X294" s="629" t="s">
        <v>792</v>
      </c>
      <c r="Y294" s="882">
        <f>+'Plan de Accion 2018'!AZ196</f>
        <v>1</v>
      </c>
      <c r="Z294" s="882">
        <f t="shared" si="100"/>
        <v>1</v>
      </c>
      <c r="AA294" s="883">
        <f>+Z294</f>
        <v>1</v>
      </c>
      <c r="AB294" s="644"/>
      <c r="AC294" s="748">
        <f>+'Plan de Accion 2018'!BF196</f>
        <v>0</v>
      </c>
      <c r="AD294" s="750" t="str">
        <f>+'Plan de Accion 2018'!BS196</f>
        <v>No Prog ni Ejec</v>
      </c>
      <c r="AE294" s="629" t="s">
        <v>792</v>
      </c>
      <c r="AF294" s="750">
        <f>+'Plan de Accion 2018'!BJ196</f>
        <v>1</v>
      </c>
      <c r="AG294" s="637">
        <f t="shared" si="113"/>
        <v>1</v>
      </c>
      <c r="AH294" s="388"/>
      <c r="AI294" s="1014"/>
      <c r="AJ294" s="732"/>
      <c r="AK294" s="549"/>
      <c r="AL294" s="321"/>
      <c r="AM294" s="732"/>
      <c r="AN294" s="549"/>
      <c r="AO294" s="321"/>
      <c r="AP294" s="732"/>
      <c r="AQ294" s="549"/>
      <c r="AR294" s="321"/>
      <c r="AS294" s="732"/>
      <c r="AT294" s="549"/>
      <c r="AU294" s="326"/>
      <c r="AV294" s="388"/>
      <c r="AX294" s="732"/>
      <c r="AY294" s="549"/>
      <c r="AZ294" s="321"/>
      <c r="BA294" s="732"/>
      <c r="BB294" s="549"/>
      <c r="BC294" s="321"/>
      <c r="BD294" s="732"/>
      <c r="BE294" s="549"/>
      <c r="BF294" s="321"/>
      <c r="BG294" s="732"/>
      <c r="BH294" s="549"/>
      <c r="BI294" s="326"/>
      <c r="BJ294" s="388"/>
      <c r="BL294" s="732"/>
      <c r="BM294" s="549"/>
      <c r="BN294" s="321"/>
      <c r="BO294" s="732"/>
      <c r="BP294" s="549"/>
      <c r="BQ294" s="321"/>
      <c r="BR294" s="732"/>
      <c r="BS294" s="549"/>
      <c r="BT294" s="321"/>
      <c r="BU294" s="732"/>
      <c r="BV294" s="549"/>
      <c r="BW294" s="326"/>
      <c r="BX294" s="388"/>
      <c r="BZ294" s="732"/>
      <c r="CA294" s="549"/>
      <c r="CB294" s="321"/>
      <c r="CC294" s="732"/>
      <c r="CD294" s="549"/>
      <c r="CE294" s="321"/>
      <c r="CF294" s="732"/>
      <c r="CG294" s="549"/>
      <c r="CH294" s="321"/>
      <c r="CI294" s="732"/>
      <c r="CJ294" s="549"/>
      <c r="CK294" s="326"/>
      <c r="CL294" s="388"/>
    </row>
    <row r="295" spans="2:90" s="542" customFormat="1" ht="57.75" thickBot="1" x14ac:dyDescent="0.25">
      <c r="B295" s="1393"/>
      <c r="C295" s="1397"/>
      <c r="D295" s="754" t="str">
        <f>+'Plan de Accion 2018'!G197</f>
        <v>Mapa de riesgos de corrupción, procesos de apoyo y evaluación.</v>
      </c>
      <c r="E295" s="1349"/>
      <c r="F295" s="544" t="str">
        <f>+'Plan de Accion 2018'!S197</f>
        <v># Mapas de riesgos de corrupción de procesos de apoyo y de evaluación construidos</v>
      </c>
      <c r="G295" s="298"/>
      <c r="H295" s="748">
        <f>+'Plan de Accion 2018'!AB197</f>
        <v>0</v>
      </c>
      <c r="I295" s="750" t="str">
        <f>+'Plan de Accion 2018'!BM197</f>
        <v>No Prog ni Ejec</v>
      </c>
      <c r="J295" s="750" t="s">
        <v>792</v>
      </c>
      <c r="K295" s="750">
        <f>+'Plan de Accion 2018'!AF197</f>
        <v>0</v>
      </c>
      <c r="L295" s="875">
        <f t="shared" si="98"/>
        <v>0</v>
      </c>
      <c r="M295" s="849" t="s">
        <v>792</v>
      </c>
      <c r="N295" s="644"/>
      <c r="O295" s="748">
        <f>+'Plan de Accion 2018'!AL197</f>
        <v>1</v>
      </c>
      <c r="P295" s="750">
        <f>+'Plan de Accion 2018'!AP197</f>
        <v>1</v>
      </c>
      <c r="Q295" s="629">
        <f t="shared" si="76"/>
        <v>1</v>
      </c>
      <c r="R295" s="751">
        <f>+'Plan de Accion 2018'!AP197</f>
        <v>1</v>
      </c>
      <c r="S295" s="873">
        <f t="shared" si="99"/>
        <v>1</v>
      </c>
      <c r="T295" s="637">
        <f>+S295</f>
        <v>1</v>
      </c>
      <c r="U295" s="329"/>
      <c r="V295" s="748">
        <f>+'Plan de Accion 2018'!AV197</f>
        <v>0</v>
      </c>
      <c r="W295" s="750">
        <f>+'Plan de Accion 2018'!BQ197</f>
        <v>0</v>
      </c>
      <c r="X295" s="629">
        <f>IF(W295&gt;100%,100%,W295)</f>
        <v>0</v>
      </c>
      <c r="Y295" s="882">
        <f>+'Plan de Accion 2018'!AZ197</f>
        <v>1</v>
      </c>
      <c r="Z295" s="882">
        <f t="shared" si="100"/>
        <v>1</v>
      </c>
      <c r="AA295" s="883">
        <f t="shared" ref="AA295:AA299" si="114">+Z295</f>
        <v>1</v>
      </c>
      <c r="AB295" s="644"/>
      <c r="AC295" s="748">
        <f>+'Plan de Accion 2018'!BF197</f>
        <v>0</v>
      </c>
      <c r="AD295" s="750" t="str">
        <f>+'Plan de Accion 2018'!BS197</f>
        <v>No Prog ni Ejec</v>
      </c>
      <c r="AE295" s="629" t="s">
        <v>792</v>
      </c>
      <c r="AF295" s="750">
        <f>+'Plan de Accion 2018'!BJ197</f>
        <v>1</v>
      </c>
      <c r="AG295" s="637">
        <f t="shared" si="113"/>
        <v>1</v>
      </c>
      <c r="AH295" s="388"/>
      <c r="AI295" s="1014"/>
      <c r="AJ295" s="732"/>
      <c r="AK295" s="549"/>
      <c r="AL295" s="321"/>
      <c r="AM295" s="732"/>
      <c r="AN295" s="549"/>
      <c r="AO295" s="321"/>
      <c r="AP295" s="732"/>
      <c r="AQ295" s="549"/>
      <c r="AR295" s="321"/>
      <c r="AS295" s="732"/>
      <c r="AT295" s="549"/>
      <c r="AU295" s="326"/>
      <c r="AV295" s="388"/>
      <c r="AX295" s="732"/>
      <c r="AY295" s="549"/>
      <c r="AZ295" s="321"/>
      <c r="BA295" s="732"/>
      <c r="BB295" s="549"/>
      <c r="BC295" s="321"/>
      <c r="BD295" s="732"/>
      <c r="BE295" s="549"/>
      <c r="BF295" s="321"/>
      <c r="BG295" s="732"/>
      <c r="BH295" s="549"/>
      <c r="BI295" s="326"/>
      <c r="BJ295" s="388"/>
      <c r="BL295" s="732"/>
      <c r="BM295" s="549"/>
      <c r="BN295" s="321"/>
      <c r="BO295" s="732"/>
      <c r="BP295" s="549"/>
      <c r="BQ295" s="321"/>
      <c r="BR295" s="732"/>
      <c r="BS295" s="549"/>
      <c r="BT295" s="321"/>
      <c r="BU295" s="732"/>
      <c r="BV295" s="549"/>
      <c r="BW295" s="326"/>
      <c r="BX295" s="388"/>
      <c r="BZ295" s="732"/>
      <c r="CA295" s="549"/>
      <c r="CB295" s="321"/>
      <c r="CC295" s="732"/>
      <c r="CD295" s="549"/>
      <c r="CE295" s="321"/>
      <c r="CF295" s="732"/>
      <c r="CG295" s="549"/>
      <c r="CH295" s="321"/>
      <c r="CI295" s="732"/>
      <c r="CJ295" s="549"/>
      <c r="CK295" s="326"/>
      <c r="CL295" s="388"/>
    </row>
    <row r="296" spans="2:90" s="542" customFormat="1" ht="43.5" thickBot="1" x14ac:dyDescent="0.25">
      <c r="B296" s="1393"/>
      <c r="C296" s="1397"/>
      <c r="D296" s="754" t="str">
        <f>+'Plan de Accion 2018'!G198</f>
        <v>Mapa de riesgos de corrupción consolidado, aprobado y publicado</v>
      </c>
      <c r="E296" s="1349"/>
      <c r="F296" s="544" t="str">
        <f>+'Plan de Accion 2018'!S198</f>
        <v># Mapas de riesgos de corrupción consolidados, aprobados y publicados</v>
      </c>
      <c r="G296" s="298"/>
      <c r="H296" s="748">
        <f>+'Plan de Accion 2018'!AB198</f>
        <v>0</v>
      </c>
      <c r="I296" s="750" t="str">
        <f>+'Plan de Accion 2018'!BM198</f>
        <v>No Prog ni Ejec</v>
      </c>
      <c r="J296" s="750" t="s">
        <v>792</v>
      </c>
      <c r="K296" s="750">
        <f>+'Plan de Accion 2018'!AF198</f>
        <v>0</v>
      </c>
      <c r="L296" s="875">
        <f t="shared" si="98"/>
        <v>0</v>
      </c>
      <c r="M296" s="849" t="s">
        <v>792</v>
      </c>
      <c r="N296" s="644"/>
      <c r="O296" s="748">
        <f>+'Plan de Accion 2018'!AL198</f>
        <v>0</v>
      </c>
      <c r="P296" s="750" t="str">
        <f>+'Plan de Accion 2018'!BO198</f>
        <v>No Prog ni Ejec</v>
      </c>
      <c r="Q296" s="631" t="s">
        <v>792</v>
      </c>
      <c r="R296" s="751">
        <f>+'Plan de Accion 2018'!AP198</f>
        <v>0</v>
      </c>
      <c r="S296" s="873">
        <f t="shared" si="99"/>
        <v>0</v>
      </c>
      <c r="T296" s="637" t="s">
        <v>792</v>
      </c>
      <c r="U296" s="329"/>
      <c r="V296" s="748">
        <f>+'Plan de Accion 2018'!AV198</f>
        <v>1</v>
      </c>
      <c r="W296" s="750">
        <f>+'Plan de Accion 2018'!BQ198</f>
        <v>1</v>
      </c>
      <c r="X296" s="629">
        <f>IF(W296&gt;100%,100%,W296)</f>
        <v>1</v>
      </c>
      <c r="Y296" s="882">
        <f>+'Plan de Accion 2018'!AZ198</f>
        <v>1</v>
      </c>
      <c r="Z296" s="882">
        <f t="shared" si="100"/>
        <v>1</v>
      </c>
      <c r="AA296" s="883">
        <f t="shared" si="114"/>
        <v>1</v>
      </c>
      <c r="AB296" s="644"/>
      <c r="AC296" s="748">
        <f>+'Plan de Accion 2018'!BF198</f>
        <v>0</v>
      </c>
      <c r="AD296" s="750" t="str">
        <f>+'Plan de Accion 2018'!BS198</f>
        <v>No Prog ni Ejec</v>
      </c>
      <c r="AE296" s="629" t="s">
        <v>792</v>
      </c>
      <c r="AF296" s="750">
        <f>+'Plan de Accion 2018'!BJ198</f>
        <v>1</v>
      </c>
      <c r="AG296" s="637">
        <f t="shared" si="113"/>
        <v>1</v>
      </c>
      <c r="AH296" s="388"/>
      <c r="AI296" s="1014"/>
      <c r="AJ296" s="732"/>
      <c r="AK296" s="549"/>
      <c r="AL296" s="321"/>
      <c r="AM296" s="732"/>
      <c r="AN296" s="549"/>
      <c r="AO296" s="321"/>
      <c r="AP296" s="732"/>
      <c r="AQ296" s="549"/>
      <c r="AR296" s="321"/>
      <c r="AS296" s="732"/>
      <c r="AT296" s="549"/>
      <c r="AU296" s="326"/>
      <c r="AV296" s="388"/>
      <c r="AX296" s="732"/>
      <c r="AY296" s="549"/>
      <c r="AZ296" s="321"/>
      <c r="BA296" s="732"/>
      <c r="BB296" s="549"/>
      <c r="BC296" s="321"/>
      <c r="BD296" s="732"/>
      <c r="BE296" s="549"/>
      <c r="BF296" s="321"/>
      <c r="BG296" s="732"/>
      <c r="BH296" s="549"/>
      <c r="BI296" s="326"/>
      <c r="BJ296" s="388"/>
      <c r="BL296" s="732"/>
      <c r="BM296" s="549"/>
      <c r="BN296" s="321"/>
      <c r="BO296" s="732"/>
      <c r="BP296" s="549"/>
      <c r="BQ296" s="321"/>
      <c r="BR296" s="732"/>
      <c r="BS296" s="549"/>
      <c r="BT296" s="321"/>
      <c r="BU296" s="732"/>
      <c r="BV296" s="549"/>
      <c r="BW296" s="326"/>
      <c r="BX296" s="388"/>
      <c r="BZ296" s="732"/>
      <c r="CA296" s="549"/>
      <c r="CB296" s="321"/>
      <c r="CC296" s="732"/>
      <c r="CD296" s="549"/>
      <c r="CE296" s="321"/>
      <c r="CF296" s="732"/>
      <c r="CG296" s="549"/>
      <c r="CH296" s="321"/>
      <c r="CI296" s="732"/>
      <c r="CJ296" s="549"/>
      <c r="CK296" s="326"/>
      <c r="CL296" s="388"/>
    </row>
    <row r="297" spans="2:90" s="542" customFormat="1" ht="72" thickBot="1" x14ac:dyDescent="0.25">
      <c r="B297" s="1393"/>
      <c r="C297" s="1397"/>
      <c r="D297" s="754" t="str">
        <f>+'Plan de Accion 2018'!G199</f>
        <v>Documento de análisis a propuestas, consideraciones y observaciones</v>
      </c>
      <c r="E297" s="1349"/>
      <c r="F297" s="544" t="str">
        <f>+'Plan de Accion 2018'!S199</f>
        <v xml:space="preserve"># Documentos de análisis a propuestas, consideraciones y observaciones al mapa socializado de riesgos de corrupción </v>
      </c>
      <c r="G297" s="298"/>
      <c r="H297" s="748">
        <f>+'Plan de Accion 2018'!AB199</f>
        <v>0</v>
      </c>
      <c r="I297" s="750" t="str">
        <f>+'Plan de Accion 2018'!BM199</f>
        <v>No Prog ni Ejec</v>
      </c>
      <c r="J297" s="750" t="s">
        <v>792</v>
      </c>
      <c r="K297" s="750">
        <f>+'Plan de Accion 2018'!AF199</f>
        <v>0</v>
      </c>
      <c r="L297" s="875">
        <f t="shared" si="98"/>
        <v>0</v>
      </c>
      <c r="M297" s="849" t="s">
        <v>792</v>
      </c>
      <c r="N297" s="644"/>
      <c r="O297" s="748">
        <f>+'Plan de Accion 2018'!AL199</f>
        <v>1</v>
      </c>
      <c r="P297" s="750">
        <f>+'Plan de Accion 2018'!BO199</f>
        <v>1</v>
      </c>
      <c r="Q297" s="629">
        <f t="shared" si="76"/>
        <v>1</v>
      </c>
      <c r="R297" s="751">
        <f>+'Plan de Accion 2018'!AP199</f>
        <v>1</v>
      </c>
      <c r="S297" s="873">
        <f t="shared" si="99"/>
        <v>1</v>
      </c>
      <c r="T297" s="637">
        <f t="shared" si="112"/>
        <v>1</v>
      </c>
      <c r="U297" s="329"/>
      <c r="V297" s="748">
        <f>+'Plan de Accion 2018'!AV199</f>
        <v>0</v>
      </c>
      <c r="W297" s="750" t="str">
        <f>+'Plan de Accion 2018'!BQ199</f>
        <v>No Prog ni Ejec</v>
      </c>
      <c r="X297" s="629" t="s">
        <v>792</v>
      </c>
      <c r="Y297" s="882">
        <f>+'Plan de Accion 2018'!AZ199</f>
        <v>1</v>
      </c>
      <c r="Z297" s="882">
        <f t="shared" si="100"/>
        <v>1</v>
      </c>
      <c r="AA297" s="883">
        <f>+Z297</f>
        <v>1</v>
      </c>
      <c r="AB297" s="644"/>
      <c r="AC297" s="748">
        <f>+'Plan de Accion 2018'!BF199</f>
        <v>0</v>
      </c>
      <c r="AD297" s="750" t="str">
        <f>+'Plan de Accion 2018'!BS199</f>
        <v>No Prog ni Ejec</v>
      </c>
      <c r="AE297" s="629" t="s">
        <v>792</v>
      </c>
      <c r="AF297" s="750">
        <f>+'Plan de Accion 2018'!BJ199</f>
        <v>1</v>
      </c>
      <c r="AG297" s="637">
        <f t="shared" si="113"/>
        <v>1</v>
      </c>
      <c r="AH297" s="388"/>
      <c r="AI297" s="1014"/>
      <c r="AJ297" s="732"/>
      <c r="AK297" s="549"/>
      <c r="AL297" s="321"/>
      <c r="AM297" s="732"/>
      <c r="AN297" s="549"/>
      <c r="AO297" s="321"/>
      <c r="AP297" s="732"/>
      <c r="AQ297" s="549"/>
      <c r="AR297" s="321"/>
      <c r="AS297" s="732"/>
      <c r="AT297" s="549"/>
      <c r="AU297" s="326"/>
      <c r="AV297" s="388"/>
      <c r="AX297" s="732"/>
      <c r="AY297" s="549"/>
      <c r="AZ297" s="321"/>
      <c r="BA297" s="732"/>
      <c r="BB297" s="549"/>
      <c r="BC297" s="321"/>
      <c r="BD297" s="732"/>
      <c r="BE297" s="549"/>
      <c r="BF297" s="321"/>
      <c r="BG297" s="732"/>
      <c r="BH297" s="549"/>
      <c r="BI297" s="326"/>
      <c r="BJ297" s="388"/>
      <c r="BL297" s="732"/>
      <c r="BM297" s="549"/>
      <c r="BN297" s="321"/>
      <c r="BO297" s="732"/>
      <c r="BP297" s="549"/>
      <c r="BQ297" s="321"/>
      <c r="BR297" s="732"/>
      <c r="BS297" s="549"/>
      <c r="BT297" s="321"/>
      <c r="BU297" s="732"/>
      <c r="BV297" s="549"/>
      <c r="BW297" s="326"/>
      <c r="BX297" s="388"/>
      <c r="BZ297" s="732"/>
      <c r="CA297" s="549"/>
      <c r="CB297" s="321"/>
      <c r="CC297" s="732"/>
      <c r="CD297" s="549"/>
      <c r="CE297" s="321"/>
      <c r="CF297" s="732"/>
      <c r="CG297" s="549"/>
      <c r="CH297" s="321"/>
      <c r="CI297" s="732"/>
      <c r="CJ297" s="549"/>
      <c r="CK297" s="326"/>
      <c r="CL297" s="388"/>
    </row>
    <row r="298" spans="2:90" s="542" customFormat="1" ht="57.75" thickBot="1" x14ac:dyDescent="0.25">
      <c r="B298" s="1393"/>
      <c r="C298" s="1397"/>
      <c r="D298" s="837" t="str">
        <f>+'Plan de Accion 2018'!G200</f>
        <v>Mapa de riesgos de corrupción ajustado</v>
      </c>
      <c r="E298" s="1349"/>
      <c r="F298" s="544" t="str">
        <f>+'Plan de Accion 2018'!S200</f>
        <v># Mapas de riesgos armonizados a la plataforma estratégica y al modelo de operación de la ADRES</v>
      </c>
      <c r="G298" s="298"/>
      <c r="H298" s="748">
        <f>+'Plan de Accion 2018'!AB200</f>
        <v>0</v>
      </c>
      <c r="I298" s="750" t="str">
        <f>+'Plan de Accion 2018'!BM200</f>
        <v>No Prog ni Ejec</v>
      </c>
      <c r="J298" s="750" t="s">
        <v>792</v>
      </c>
      <c r="K298" s="750">
        <f>+'Plan de Accion 2018'!AF200</f>
        <v>0</v>
      </c>
      <c r="L298" s="875">
        <f t="shared" si="98"/>
        <v>0</v>
      </c>
      <c r="M298" s="849" t="s">
        <v>792</v>
      </c>
      <c r="N298" s="644"/>
      <c r="O298" s="748">
        <f>+'Plan de Accion 2018'!AL200</f>
        <v>1</v>
      </c>
      <c r="P298" s="750">
        <f>+'Plan de Accion 2018'!BO200</f>
        <v>1</v>
      </c>
      <c r="Q298" s="629">
        <f t="shared" si="76"/>
        <v>1</v>
      </c>
      <c r="R298" s="751">
        <f>+'Plan de Accion 2018'!AP200</f>
        <v>1</v>
      </c>
      <c r="S298" s="873">
        <f t="shared" si="99"/>
        <v>1</v>
      </c>
      <c r="T298" s="637">
        <f t="shared" si="112"/>
        <v>1</v>
      </c>
      <c r="U298" s="329"/>
      <c r="V298" s="748">
        <f>+'Plan de Accion 2018'!AV200</f>
        <v>0</v>
      </c>
      <c r="W298" s="750" t="str">
        <f>+'Plan de Accion 2018'!BQ200</f>
        <v>No Prog ni Ejec</v>
      </c>
      <c r="X298" s="629" t="s">
        <v>792</v>
      </c>
      <c r="Y298" s="882">
        <f>+'Plan de Accion 2018'!AZ200</f>
        <v>1</v>
      </c>
      <c r="Z298" s="882">
        <f t="shared" si="100"/>
        <v>1</v>
      </c>
      <c r="AA298" s="883">
        <f>+Z298</f>
        <v>1</v>
      </c>
      <c r="AB298" s="644"/>
      <c r="AC298" s="748">
        <f>+'Plan de Accion 2018'!BF200</f>
        <v>0</v>
      </c>
      <c r="AD298" s="750" t="str">
        <f>+'Plan de Accion 2018'!BS200</f>
        <v>No Prog ni Ejec</v>
      </c>
      <c r="AE298" s="629" t="s">
        <v>792</v>
      </c>
      <c r="AF298" s="750">
        <f>+'Plan de Accion 2018'!BJ200</f>
        <v>1</v>
      </c>
      <c r="AG298" s="637">
        <f t="shared" si="113"/>
        <v>1</v>
      </c>
      <c r="AH298" s="388"/>
      <c r="AI298" s="1014"/>
      <c r="AJ298" s="732"/>
      <c r="AK298" s="549"/>
      <c r="AL298" s="321"/>
      <c r="AM298" s="732"/>
      <c r="AN298" s="549"/>
      <c r="AO298" s="321"/>
      <c r="AP298" s="732"/>
      <c r="AQ298" s="549"/>
      <c r="AR298" s="321"/>
      <c r="AS298" s="732"/>
      <c r="AT298" s="549"/>
      <c r="AU298" s="326"/>
      <c r="AV298" s="388"/>
      <c r="AX298" s="732"/>
      <c r="AY298" s="549"/>
      <c r="AZ298" s="321"/>
      <c r="BA298" s="732"/>
      <c r="BB298" s="549"/>
      <c r="BC298" s="321"/>
      <c r="BD298" s="732"/>
      <c r="BE298" s="549"/>
      <c r="BF298" s="321"/>
      <c r="BG298" s="732"/>
      <c r="BH298" s="549"/>
      <c r="BI298" s="326"/>
      <c r="BJ298" s="388"/>
      <c r="BL298" s="732"/>
      <c r="BM298" s="549"/>
      <c r="BN298" s="321"/>
      <c r="BO298" s="732"/>
      <c r="BP298" s="549"/>
      <c r="BQ298" s="321"/>
      <c r="BR298" s="732"/>
      <c r="BS298" s="549"/>
      <c r="BT298" s="321"/>
      <c r="BU298" s="732"/>
      <c r="BV298" s="549"/>
      <c r="BW298" s="326"/>
      <c r="BX298" s="388"/>
      <c r="BZ298" s="732"/>
      <c r="CA298" s="549"/>
      <c r="CB298" s="321"/>
      <c r="CC298" s="732"/>
      <c r="CD298" s="549"/>
      <c r="CE298" s="321"/>
      <c r="CF298" s="732"/>
      <c r="CG298" s="549"/>
      <c r="CH298" s="321"/>
      <c r="CI298" s="732"/>
      <c r="CJ298" s="549"/>
      <c r="CK298" s="326"/>
      <c r="CL298" s="388"/>
    </row>
    <row r="299" spans="2:90" s="542" customFormat="1" ht="43.5" thickBot="1" x14ac:dyDescent="0.25">
      <c r="B299" s="1393"/>
      <c r="C299" s="1397"/>
      <c r="D299" s="754" t="str">
        <f>+'Plan de Accion 2018'!G204</f>
        <v>Reuniones de Autocontrol que evidencie(n) monitoreo al mapa de riesgos de corrupción</v>
      </c>
      <c r="E299" s="1349"/>
      <c r="F299" s="544" t="str">
        <f>+'Plan de Accion 2018'!S204</f>
        <v># Reuniones de Autocontrol realizadas</v>
      </c>
      <c r="G299" s="298"/>
      <c r="H299" s="748">
        <f>+'Plan de Accion 2018'!AB204</f>
        <v>0</v>
      </c>
      <c r="I299" s="750" t="str">
        <f>+'Plan de Accion 2018'!BM204</f>
        <v>No Prog ni Ejec</v>
      </c>
      <c r="J299" s="750" t="s">
        <v>792</v>
      </c>
      <c r="K299" s="750">
        <f>+'Plan de Accion 2018'!AF204</f>
        <v>0</v>
      </c>
      <c r="L299" s="875">
        <f t="shared" si="98"/>
        <v>0</v>
      </c>
      <c r="M299" s="849" t="s">
        <v>792</v>
      </c>
      <c r="N299" s="644"/>
      <c r="O299" s="748">
        <f>+'Plan de Accion 2018'!AL204</f>
        <v>0</v>
      </c>
      <c r="P299" s="750" t="str">
        <f>+'Plan de Accion 2018'!BO204</f>
        <v>No Prog ni Ejec</v>
      </c>
      <c r="Q299" s="631" t="s">
        <v>792</v>
      </c>
      <c r="R299" s="751">
        <f>+'Plan de Accion 2018'!AP204</f>
        <v>0</v>
      </c>
      <c r="S299" s="873">
        <f t="shared" si="99"/>
        <v>0</v>
      </c>
      <c r="T299" s="637" t="s">
        <v>792</v>
      </c>
      <c r="U299" s="329"/>
      <c r="V299" s="748">
        <f>+'Plan de Accion 2018'!AV204</f>
        <v>1</v>
      </c>
      <c r="W299" s="863">
        <f>+'Plan de Accion 2018'!BQ204</f>
        <v>1</v>
      </c>
      <c r="X299" s="629">
        <f>IF(W299&gt;100%,100%,W299)</f>
        <v>1</v>
      </c>
      <c r="Y299" s="882">
        <f>+'Plan de Accion 2018'!AZ204</f>
        <v>0.5</v>
      </c>
      <c r="Z299" s="882">
        <f t="shared" si="100"/>
        <v>0.5</v>
      </c>
      <c r="AA299" s="883">
        <f t="shared" si="114"/>
        <v>0.5</v>
      </c>
      <c r="AB299" s="644"/>
      <c r="AC299" s="748">
        <f>+'Plan de Accion 2018'!BF204</f>
        <v>1</v>
      </c>
      <c r="AD299" s="750">
        <f>+'Plan de Accion 2018'!BS204</f>
        <v>1</v>
      </c>
      <c r="AE299" s="629">
        <f>IF(AD299&gt;100%,100%,AD299)</f>
        <v>1</v>
      </c>
      <c r="AF299" s="750">
        <f>+'Plan de Accion 2018'!BJ204</f>
        <v>1</v>
      </c>
      <c r="AG299" s="637">
        <f>IF(AF299&gt;100%,100%,AF299)</f>
        <v>1</v>
      </c>
      <c r="AH299" s="388"/>
      <c r="AI299" s="1014"/>
      <c r="AJ299" s="732"/>
      <c r="AK299" s="549"/>
      <c r="AL299" s="321"/>
      <c r="AM299" s="732"/>
      <c r="AN299" s="549"/>
      <c r="AO299" s="321"/>
      <c r="AP299" s="732"/>
      <c r="AQ299" s="549"/>
      <c r="AR299" s="321"/>
      <c r="AS299" s="732"/>
      <c r="AT299" s="549"/>
      <c r="AU299" s="326"/>
      <c r="AV299" s="388"/>
      <c r="AX299" s="732"/>
      <c r="AY299" s="549"/>
      <c r="AZ299" s="321"/>
      <c r="BA299" s="732"/>
      <c r="BB299" s="549"/>
      <c r="BC299" s="321"/>
      <c r="BD299" s="732"/>
      <c r="BE299" s="549"/>
      <c r="BF299" s="321"/>
      <c r="BG299" s="732"/>
      <c r="BH299" s="549"/>
      <c r="BI299" s="326"/>
      <c r="BJ299" s="388"/>
      <c r="BL299" s="732"/>
      <c r="BM299" s="549"/>
      <c r="BN299" s="321"/>
      <c r="BO299" s="732"/>
      <c r="BP299" s="549"/>
      <c r="BQ299" s="321"/>
      <c r="BR299" s="732"/>
      <c r="BS299" s="549"/>
      <c r="BT299" s="321"/>
      <c r="BU299" s="732"/>
      <c r="BV299" s="549"/>
      <c r="BW299" s="326"/>
      <c r="BX299" s="388"/>
      <c r="BZ299" s="732"/>
      <c r="CA299" s="549"/>
      <c r="CB299" s="321"/>
      <c r="CC299" s="732"/>
      <c r="CD299" s="549"/>
      <c r="CE299" s="321"/>
      <c r="CF299" s="732"/>
      <c r="CG299" s="549"/>
      <c r="CH299" s="321"/>
      <c r="CI299" s="732"/>
      <c r="CJ299" s="549"/>
      <c r="CK299" s="326"/>
      <c r="CL299" s="388"/>
    </row>
    <row r="300" spans="2:90" s="542" customFormat="1" ht="29.25" thickBot="1" x14ac:dyDescent="0.25">
      <c r="B300" s="1393"/>
      <c r="C300" s="1397"/>
      <c r="D300" s="852" t="str">
        <f>+'Plan de Accion 2018'!G205</f>
        <v>Mapa de riesgos de corrupción (nueva versión) de ser necesario</v>
      </c>
      <c r="E300" s="1349"/>
      <c r="F300" s="544" t="str">
        <f>+'Plan de Accion 2018'!S205</f>
        <v># Mapas de riesgos de corrupción actualizados</v>
      </c>
      <c r="G300" s="298"/>
      <c r="H300" s="748">
        <f>+'Plan de Accion 2018'!AB205</f>
        <v>0</v>
      </c>
      <c r="I300" s="750" t="str">
        <f>+'Plan de Accion 2018'!BM205</f>
        <v>No Prog ni Ejec</v>
      </c>
      <c r="J300" s="750" t="s">
        <v>792</v>
      </c>
      <c r="K300" s="750">
        <f>+'Plan de Accion 2018'!AF205</f>
        <v>0</v>
      </c>
      <c r="L300" s="875">
        <f t="shared" si="98"/>
        <v>0</v>
      </c>
      <c r="M300" s="849" t="s">
        <v>792</v>
      </c>
      <c r="N300" s="644"/>
      <c r="O300" s="748">
        <f>+'Plan de Accion 2018'!AL205</f>
        <v>0</v>
      </c>
      <c r="P300" s="750" t="str">
        <f>+'Plan de Accion 2018'!BO205</f>
        <v>No Prog ni Ejec</v>
      </c>
      <c r="Q300" s="631" t="s">
        <v>792</v>
      </c>
      <c r="R300" s="751">
        <f>+'Plan de Accion 2018'!AP205</f>
        <v>0</v>
      </c>
      <c r="S300" s="873">
        <f t="shared" si="99"/>
        <v>0</v>
      </c>
      <c r="T300" s="637" t="s">
        <v>792</v>
      </c>
      <c r="U300" s="329"/>
      <c r="V300" s="748">
        <f>+'Plan de Accion 2018'!AV205</f>
        <v>0</v>
      </c>
      <c r="W300" s="863" t="s">
        <v>792</v>
      </c>
      <c r="X300" s="629" t="s">
        <v>792</v>
      </c>
      <c r="Y300" s="882">
        <f>+'Plan de Accion 2018'!AZ205</f>
        <v>0</v>
      </c>
      <c r="Z300" s="882">
        <f t="shared" si="100"/>
        <v>0</v>
      </c>
      <c r="AA300" s="883" t="s">
        <v>792</v>
      </c>
      <c r="AB300" s="644"/>
      <c r="AC300" s="748">
        <f>+'Plan de Accion 2018'!BF205</f>
        <v>0</v>
      </c>
      <c r="AD300" s="750" t="s">
        <v>792</v>
      </c>
      <c r="AE300" s="629" t="s">
        <v>792</v>
      </c>
      <c r="AF300" s="750" t="s">
        <v>792</v>
      </c>
      <c r="AG300" s="637" t="s">
        <v>792</v>
      </c>
      <c r="AH300" s="388"/>
      <c r="AI300" s="1014"/>
      <c r="AJ300" s="732"/>
      <c r="AK300" s="549"/>
      <c r="AL300" s="321"/>
      <c r="AM300" s="732"/>
      <c r="AN300" s="549"/>
      <c r="AO300" s="321"/>
      <c r="AP300" s="732"/>
      <c r="AQ300" s="549"/>
      <c r="AR300" s="321"/>
      <c r="AS300" s="732"/>
      <c r="AT300" s="549"/>
      <c r="AU300" s="326"/>
      <c r="AV300" s="388"/>
      <c r="AX300" s="732"/>
      <c r="AY300" s="549"/>
      <c r="AZ300" s="321"/>
      <c r="BA300" s="732"/>
      <c r="BB300" s="549"/>
      <c r="BC300" s="321"/>
      <c r="BD300" s="732"/>
      <c r="BE300" s="549"/>
      <c r="BF300" s="321"/>
      <c r="BG300" s="732"/>
      <c r="BH300" s="549"/>
      <c r="BI300" s="326"/>
      <c r="BJ300" s="388"/>
      <c r="BL300" s="732"/>
      <c r="BM300" s="549"/>
      <c r="BN300" s="321"/>
      <c r="BO300" s="732"/>
      <c r="BP300" s="549"/>
      <c r="BQ300" s="321"/>
      <c r="BR300" s="732"/>
      <c r="BS300" s="549"/>
      <c r="BT300" s="321"/>
      <c r="BU300" s="732"/>
      <c r="BV300" s="549"/>
      <c r="BW300" s="326"/>
      <c r="BX300" s="388"/>
      <c r="BZ300" s="732"/>
      <c r="CA300" s="549"/>
      <c r="CB300" s="321"/>
      <c r="CC300" s="732"/>
      <c r="CD300" s="549"/>
      <c r="CE300" s="321"/>
      <c r="CF300" s="732"/>
      <c r="CG300" s="549"/>
      <c r="CH300" s="321"/>
      <c r="CI300" s="732"/>
      <c r="CJ300" s="549"/>
      <c r="CK300" s="326"/>
      <c r="CL300" s="388"/>
    </row>
    <row r="301" spans="2:90" s="542" customFormat="1" ht="57.75" thickBot="1" x14ac:dyDescent="0.25">
      <c r="B301" s="1393"/>
      <c r="C301" s="1397"/>
      <c r="D301" s="754" t="str">
        <f>+'Plan de Accion 2018'!G206</f>
        <v>Adaptación de un Sistema de Administración del Riesgo de Lavado de Activos y Financiación del Terrorismo –SARLAFT</v>
      </c>
      <c r="E301" s="1349"/>
      <c r="F301" s="544" t="str">
        <f>+'Plan de Accion 2018'!S206</f>
        <v># Acciones adelantadas / # acciones programadas</v>
      </c>
      <c r="G301" s="298"/>
      <c r="H301" s="748">
        <f>+'Plan de Accion 2018'!AB206</f>
        <v>0</v>
      </c>
      <c r="I301" s="750" t="str">
        <f>+'Plan de Accion 2018'!BM206</f>
        <v>No Prog ni Ejec</v>
      </c>
      <c r="J301" s="750" t="s">
        <v>792</v>
      </c>
      <c r="K301" s="750">
        <f>+'Plan de Accion 2018'!AF206</f>
        <v>0</v>
      </c>
      <c r="L301" s="875">
        <f t="shared" si="98"/>
        <v>0</v>
      </c>
      <c r="M301" s="849" t="s">
        <v>792</v>
      </c>
      <c r="N301" s="644"/>
      <c r="O301" s="748">
        <f>+'Plan de Accion 2018'!AL206</f>
        <v>0</v>
      </c>
      <c r="P301" s="750" t="str">
        <f>+'Plan de Accion 2018'!BO206</f>
        <v>No Prog ni Ejec</v>
      </c>
      <c r="Q301" s="631" t="s">
        <v>792</v>
      </c>
      <c r="R301" s="751">
        <f>+'Plan de Accion 2018'!AP206</f>
        <v>0</v>
      </c>
      <c r="S301" s="873">
        <f t="shared" si="99"/>
        <v>0</v>
      </c>
      <c r="T301" s="637" t="s">
        <v>792</v>
      </c>
      <c r="U301" s="329"/>
      <c r="V301" s="748">
        <f>+'Plan de Accion 2018'!AV206</f>
        <v>0.4</v>
      </c>
      <c r="W301" s="750">
        <f>+'Plan de Accion 2018'!BQ206</f>
        <v>1</v>
      </c>
      <c r="X301" s="629">
        <f>IF(W301&gt;100%,100%,W301)</f>
        <v>1</v>
      </c>
      <c r="Y301" s="882">
        <f>+'Plan de Accion 2018'!AZ206</f>
        <v>0.4</v>
      </c>
      <c r="Z301" s="882">
        <f t="shared" si="100"/>
        <v>0.4</v>
      </c>
      <c r="AA301" s="883">
        <f>+Z301</f>
        <v>0.4</v>
      </c>
      <c r="AB301" s="644"/>
      <c r="AC301" s="748">
        <f>+'Plan de Accion 2018'!BF206</f>
        <v>0.6</v>
      </c>
      <c r="AD301" s="750">
        <f>+'Plan de Accion 2018'!BS206</f>
        <v>1</v>
      </c>
      <c r="AE301" s="629">
        <f>IF(AD301&gt;100%,100%,AD301)</f>
        <v>1</v>
      </c>
      <c r="AF301" s="750">
        <f>+'Plan de Accion 2018'!BJ206</f>
        <v>1</v>
      </c>
      <c r="AG301" s="637">
        <f>IF(AF301&gt;100%,100%,AF301)</f>
        <v>1</v>
      </c>
      <c r="AH301" s="388"/>
      <c r="AI301" s="1014"/>
      <c r="AJ301" s="732"/>
      <c r="AK301" s="549"/>
      <c r="AL301" s="321"/>
      <c r="AM301" s="732"/>
      <c r="AN301" s="549"/>
      <c r="AO301" s="321"/>
      <c r="AP301" s="732"/>
      <c r="AQ301" s="549"/>
      <c r="AR301" s="321"/>
      <c r="AS301" s="732"/>
      <c r="AT301" s="549"/>
      <c r="AU301" s="326"/>
      <c r="AV301" s="388"/>
      <c r="AX301" s="732"/>
      <c r="AY301" s="549"/>
      <c r="AZ301" s="321"/>
      <c r="BA301" s="732"/>
      <c r="BB301" s="549"/>
      <c r="BC301" s="321"/>
      <c r="BD301" s="732"/>
      <c r="BE301" s="549"/>
      <c r="BF301" s="321"/>
      <c r="BG301" s="732"/>
      <c r="BH301" s="549"/>
      <c r="BI301" s="326"/>
      <c r="BJ301" s="388"/>
      <c r="BL301" s="732"/>
      <c r="BM301" s="549"/>
      <c r="BN301" s="321"/>
      <c r="BO301" s="732"/>
      <c r="BP301" s="549"/>
      <c r="BQ301" s="321"/>
      <c r="BR301" s="732"/>
      <c r="BS301" s="549"/>
      <c r="BT301" s="321"/>
      <c r="BU301" s="732"/>
      <c r="BV301" s="549"/>
      <c r="BW301" s="326"/>
      <c r="BX301" s="388"/>
      <c r="BZ301" s="732"/>
      <c r="CA301" s="549"/>
      <c r="CB301" s="321"/>
      <c r="CC301" s="732"/>
      <c r="CD301" s="549"/>
      <c r="CE301" s="321"/>
      <c r="CF301" s="732"/>
      <c r="CG301" s="549"/>
      <c r="CH301" s="321"/>
      <c r="CI301" s="732"/>
      <c r="CJ301" s="549"/>
      <c r="CK301" s="326"/>
      <c r="CL301" s="388"/>
    </row>
    <row r="302" spans="2:90" s="542" customFormat="1" ht="57.75" thickBot="1" x14ac:dyDescent="0.25">
      <c r="B302" s="1393"/>
      <c r="C302" s="1397"/>
      <c r="D302" s="756" t="str">
        <f>+'Plan de Accion 2018'!G223</f>
        <v>Inventario de información sobre la gestión de la entidad, responsables y periodicidad de la actualización</v>
      </c>
      <c r="E302" s="1429"/>
      <c r="F302" s="774" t="str">
        <f>+'Plan de Accion 2018'!S223</f>
        <v># Inventarios de información sobre la gestión de la entidad</v>
      </c>
      <c r="G302" s="298"/>
      <c r="H302" s="748">
        <f>+'Plan de Accion 2018'!AB223</f>
        <v>0</v>
      </c>
      <c r="I302" s="750" t="str">
        <f>+'Plan de Accion 2018'!BM223</f>
        <v>No Prog ni Ejec</v>
      </c>
      <c r="J302" s="750" t="s">
        <v>792</v>
      </c>
      <c r="K302" s="750">
        <f>+'Plan de Accion 2018'!AF223</f>
        <v>0</v>
      </c>
      <c r="L302" s="875">
        <f t="shared" si="98"/>
        <v>0</v>
      </c>
      <c r="M302" s="849" t="s">
        <v>792</v>
      </c>
      <c r="N302" s="644"/>
      <c r="O302" s="748">
        <f>+'Plan de Accion 2018'!AL223</f>
        <v>0</v>
      </c>
      <c r="P302" s="750" t="str">
        <f>+'Plan de Accion 2018'!BO223</f>
        <v>No Prog ni Ejec</v>
      </c>
      <c r="Q302" s="631" t="s">
        <v>792</v>
      </c>
      <c r="R302" s="751">
        <f>+'Plan de Accion 2018'!AP223</f>
        <v>0</v>
      </c>
      <c r="S302" s="873">
        <f t="shared" si="99"/>
        <v>0</v>
      </c>
      <c r="T302" s="637" t="s">
        <v>792</v>
      </c>
      <c r="U302" s="329"/>
      <c r="V302" s="748">
        <f>+'Plan de Accion 2018'!AV223</f>
        <v>0</v>
      </c>
      <c r="W302" s="750" t="str">
        <f>+'Plan de Accion 2018'!BQ223</f>
        <v>No Prog ni Ejec</v>
      </c>
      <c r="X302" s="629" t="s">
        <v>792</v>
      </c>
      <c r="Y302" s="882">
        <f>+'Plan de Accion 2018'!AZ223</f>
        <v>0</v>
      </c>
      <c r="Z302" s="882">
        <f t="shared" si="100"/>
        <v>0</v>
      </c>
      <c r="AA302" s="883" t="s">
        <v>792</v>
      </c>
      <c r="AB302" s="644"/>
      <c r="AC302" s="748">
        <f>+'Plan de Accion 2018'!BF223</f>
        <v>1</v>
      </c>
      <c r="AD302" s="750">
        <f>+'Plan de Accion 2018'!BS223</f>
        <v>1</v>
      </c>
      <c r="AE302" s="629">
        <f>IF(AD302&gt;100%,100%,AD302)</f>
        <v>1</v>
      </c>
      <c r="AF302" s="750">
        <f>+'Plan de Accion 2018'!BJ223</f>
        <v>1</v>
      </c>
      <c r="AG302" s="637">
        <f>IF(AF302&gt;100%,100%,AF302)</f>
        <v>1</v>
      </c>
      <c r="AH302" s="388"/>
      <c r="AI302" s="1014"/>
      <c r="AJ302" s="732"/>
      <c r="AK302" s="549"/>
      <c r="AL302" s="321"/>
      <c r="AM302" s="732"/>
      <c r="AN302" s="549"/>
      <c r="AO302" s="321"/>
      <c r="AP302" s="732"/>
      <c r="AQ302" s="549"/>
      <c r="AR302" s="321"/>
      <c r="AS302" s="732"/>
      <c r="AT302" s="549"/>
      <c r="AU302" s="326"/>
      <c r="AV302" s="388"/>
      <c r="AX302" s="732"/>
      <c r="AY302" s="549"/>
      <c r="AZ302" s="321"/>
      <c r="BA302" s="732"/>
      <c r="BB302" s="549"/>
      <c r="BC302" s="321"/>
      <c r="BD302" s="732"/>
      <c r="BE302" s="549"/>
      <c r="BF302" s="321"/>
      <c r="BG302" s="732"/>
      <c r="BH302" s="549"/>
      <c r="BI302" s="326"/>
      <c r="BJ302" s="388"/>
      <c r="BL302" s="732"/>
      <c r="BM302" s="549"/>
      <c r="BN302" s="321"/>
      <c r="BO302" s="732"/>
      <c r="BP302" s="549"/>
      <c r="BQ302" s="321"/>
      <c r="BR302" s="732"/>
      <c r="BS302" s="549"/>
      <c r="BT302" s="321"/>
      <c r="BU302" s="732"/>
      <c r="BV302" s="549"/>
      <c r="BW302" s="326"/>
      <c r="BX302" s="388"/>
      <c r="BZ302" s="732"/>
      <c r="CA302" s="549"/>
      <c r="CB302" s="321"/>
      <c r="CC302" s="732"/>
      <c r="CD302" s="549"/>
      <c r="CE302" s="321"/>
      <c r="CF302" s="732"/>
      <c r="CG302" s="549"/>
      <c r="CH302" s="321"/>
      <c r="CI302" s="732"/>
      <c r="CJ302" s="549"/>
      <c r="CK302" s="326"/>
      <c r="CL302" s="388"/>
    </row>
    <row r="303" spans="2:90" ht="15.75" thickBot="1" x14ac:dyDescent="0.25">
      <c r="B303" s="1393"/>
      <c r="C303" s="1425" t="s">
        <v>811</v>
      </c>
      <c r="D303" s="1400"/>
      <c r="E303" s="1400"/>
      <c r="F303" s="1401"/>
      <c r="H303" s="346" t="s">
        <v>792</v>
      </c>
      <c r="I303" s="332">
        <f>SUM(I239:I302)/COUNT(I239:I302)</f>
        <v>1.3857312206601673</v>
      </c>
      <c r="J303" s="332">
        <f>IF(I303&gt;100%,100%,I303)</f>
        <v>1</v>
      </c>
      <c r="K303" s="332">
        <f>SUM(K239:K302)/COUNT(K239:K302)</f>
        <v>0.1622121611948992</v>
      </c>
      <c r="L303" s="332">
        <f>SUM(L239:L302)/COUNT(L239:L302)</f>
        <v>0.1622121611948992</v>
      </c>
      <c r="M303" s="334">
        <f>SUM(M239:M302)/COUNT(M239:M302)</f>
        <v>0.53786137659361311</v>
      </c>
      <c r="N303" s="692"/>
      <c r="O303" s="346" t="s">
        <v>792</v>
      </c>
      <c r="P303" s="635">
        <f>SUM(P239:P302)/COUNT(P239:P302)</f>
        <v>0.84617612479481918</v>
      </c>
      <c r="Q303" s="332">
        <f>SUM(Q239:Q302)/COUNT(Q239:Q302)</f>
        <v>0.80002227864097308</v>
      </c>
      <c r="R303" s="650">
        <f>SUM(R239:R302)/COUNT(R239:R302)</f>
        <v>0.35375737525754314</v>
      </c>
      <c r="S303" s="670">
        <f>SUM(S239:S302)/COUNT(S239:S302)</f>
        <v>0.3537024037740002</v>
      </c>
      <c r="T303" s="645">
        <f>SUM(T239:T302)/COUNT(T239:T302)</f>
        <v>0.76011612277721474</v>
      </c>
      <c r="U303" s="354"/>
      <c r="V303" s="346" t="s">
        <v>792</v>
      </c>
      <c r="W303" s="332">
        <f>SUM(W239:W299,W301:W302)/COUNT(W239:W299,W301:W302)</f>
        <v>0.74984410525773315</v>
      </c>
      <c r="X303" s="332">
        <f>SUM(X239:X302)/COUNT(X239:X302)</f>
        <v>0.6853203840154356</v>
      </c>
      <c r="Y303" s="651">
        <f>SUM(Y239:Y302)/COUNT(Y239:Y302)</f>
        <v>0.55633455002520504</v>
      </c>
      <c r="Z303" s="651">
        <f>SUM(Z239:Z302)/COUNT(Z239:Z302)</f>
        <v>0.55394276691675259</v>
      </c>
      <c r="AA303" s="617">
        <f>SUM(AA239:AA302)/COUNT(AA239:AA302)</f>
        <v>0.73692161555990021</v>
      </c>
      <c r="AB303" s="692"/>
      <c r="AC303" s="346" t="s">
        <v>792</v>
      </c>
      <c r="AD303" s="332">
        <f>SUM(AD239:AD302)/COUNT(AD239:AD302)</f>
        <v>0.86420044547966934</v>
      </c>
      <c r="AE303" s="332">
        <f>SUM(AE239:AE302)/COUNT(AE239:AE302)</f>
        <v>0.80584860733508501</v>
      </c>
      <c r="AF303" s="635">
        <f>SUM(AF239:AF302)/COUNT(AF239:AF302)</f>
        <v>0.92708273410947262</v>
      </c>
      <c r="AG303" s="334">
        <f>SUM(AG239:AG302)/COUNT(AG239:AG302)</f>
        <v>0.92040663598530437</v>
      </c>
      <c r="AH303" s="388"/>
      <c r="AJ303" s="389"/>
      <c r="AK303" s="390"/>
      <c r="AL303" s="321"/>
      <c r="AM303" s="389"/>
      <c r="AN303" s="390"/>
      <c r="AO303" s="321"/>
      <c r="AP303" s="389"/>
      <c r="AQ303" s="390"/>
      <c r="AR303" s="321"/>
      <c r="AS303" s="389"/>
      <c r="AT303" s="390"/>
      <c r="AU303" s="326"/>
      <c r="AV303" s="388"/>
      <c r="AX303" s="389"/>
      <c r="AY303" s="390"/>
      <c r="AZ303" s="321"/>
      <c r="BA303" s="389"/>
      <c r="BB303" s="390"/>
      <c r="BC303" s="321"/>
      <c r="BD303" s="389"/>
      <c r="BE303" s="390"/>
      <c r="BF303" s="321"/>
      <c r="BG303" s="389"/>
      <c r="BH303" s="390"/>
      <c r="BI303" s="326"/>
      <c r="BJ303" s="388"/>
      <c r="BL303" s="389"/>
      <c r="BM303" s="390"/>
      <c r="BN303" s="321"/>
      <c r="BO303" s="389"/>
      <c r="BP303" s="390"/>
      <c r="BQ303" s="321"/>
      <c r="BR303" s="389"/>
      <c r="BS303" s="390"/>
      <c r="BT303" s="321"/>
      <c r="BU303" s="389"/>
      <c r="BV303" s="390"/>
      <c r="BW303" s="326"/>
      <c r="BX303" s="388"/>
      <c r="BZ303" s="389"/>
      <c r="CA303" s="390"/>
      <c r="CB303" s="321"/>
      <c r="CC303" s="389"/>
      <c r="CD303" s="390"/>
      <c r="CE303" s="321"/>
      <c r="CF303" s="389"/>
      <c r="CG303" s="390"/>
      <c r="CH303" s="321"/>
      <c r="CI303" s="389"/>
      <c r="CJ303" s="390"/>
      <c r="CK303" s="326"/>
      <c r="CL303" s="388"/>
    </row>
    <row r="304" spans="2:90" ht="29.25" thickBot="1" x14ac:dyDescent="0.25">
      <c r="B304" s="1394"/>
      <c r="C304" s="1436" t="s">
        <v>144</v>
      </c>
      <c r="D304" s="758" t="str">
        <f>+'Plan de Accion 2018'!G62</f>
        <v xml:space="preserve">Estudios del Sector </v>
      </c>
      <c r="E304" s="758" t="str">
        <f>+'Plan de Accion 2018'!B62</f>
        <v>Dirección de Liquidaciones y Garantías</v>
      </c>
      <c r="F304" s="382" t="str">
        <f>+'Plan de Accion 2018'!S62</f>
        <v># Estudios realizados/# Estudios proyectados</v>
      </c>
      <c r="H304" s="547">
        <f>+'Plan de Accion 2018'!AB62</f>
        <v>2</v>
      </c>
      <c r="I304" s="751">
        <f>+'Plan de Accion 2018'!AF62</f>
        <v>1</v>
      </c>
      <c r="J304" s="751">
        <f>IF(I304&gt;100%,100%,I304)</f>
        <v>1</v>
      </c>
      <c r="K304" s="751">
        <f>+'Plan de Accion 2018'!AF62</f>
        <v>1</v>
      </c>
      <c r="L304" s="751">
        <f>+K304</f>
        <v>1</v>
      </c>
      <c r="M304" s="753">
        <f>+L304</f>
        <v>1</v>
      </c>
      <c r="N304" s="644"/>
      <c r="O304" s="547">
        <f>+'Plan de Accion 2018'!AL62</f>
        <v>5</v>
      </c>
      <c r="P304" s="751">
        <f>+'Plan de Accion 2018'!BO62</f>
        <v>5</v>
      </c>
      <c r="Q304" s="629">
        <f t="shared" si="76"/>
        <v>1</v>
      </c>
      <c r="R304" s="751">
        <f>+'Plan de Accion 2018'!AP62</f>
        <v>3.5</v>
      </c>
      <c r="S304" s="751">
        <f>IF(R304&gt;100%,100%,R304)</f>
        <v>1</v>
      </c>
      <c r="T304" s="637">
        <f>+S304</f>
        <v>1</v>
      </c>
      <c r="U304" s="644">
        <v>1</v>
      </c>
      <c r="V304" s="547">
        <f>+'Plan de Accion 2018'!AV62</f>
        <v>3</v>
      </c>
      <c r="W304" s="751">
        <f>+'Plan de Accion 2018'!AZ62</f>
        <v>5</v>
      </c>
      <c r="X304" s="629">
        <f>IF(W304&gt;100%,100%,W304)</f>
        <v>1</v>
      </c>
      <c r="Y304" s="882">
        <f>+'Plan de Accion 2018'!AZ62</f>
        <v>5</v>
      </c>
      <c r="Z304" s="882">
        <f>IF(Y304&gt;100%,100%,Y304)</f>
        <v>1</v>
      </c>
      <c r="AA304" s="883">
        <f>+Z304</f>
        <v>1</v>
      </c>
      <c r="AB304" s="644"/>
      <c r="AC304" s="547">
        <f>+'Plan de Accion 2018'!BF62</f>
        <v>1</v>
      </c>
      <c r="AD304" s="751">
        <f>+'Plan de Accion 2018'!BS62</f>
        <v>1</v>
      </c>
      <c r="AE304" s="629">
        <f t="shared" si="74"/>
        <v>1</v>
      </c>
      <c r="AF304" s="751">
        <f>+'Plan de Accion 2018'!BJ62</f>
        <v>5.5</v>
      </c>
      <c r="AG304" s="637">
        <f t="shared" si="75"/>
        <v>1</v>
      </c>
      <c r="AH304" s="388"/>
      <c r="AJ304" s="389"/>
      <c r="AK304" s="390"/>
      <c r="AL304" s="321"/>
      <c r="AM304" s="389"/>
      <c r="AN304" s="390"/>
      <c r="AO304" s="321"/>
      <c r="AP304" s="389"/>
      <c r="AQ304" s="390"/>
      <c r="AR304" s="321"/>
      <c r="AS304" s="389"/>
      <c r="AT304" s="390"/>
      <c r="AU304" s="326"/>
      <c r="AV304" s="388"/>
      <c r="AX304" s="389"/>
      <c r="AY304" s="390"/>
      <c r="AZ304" s="321"/>
      <c r="BA304" s="389"/>
      <c r="BB304" s="390"/>
      <c r="BC304" s="321"/>
      <c r="BD304" s="389"/>
      <c r="BE304" s="390"/>
      <c r="BF304" s="321"/>
      <c r="BG304" s="389"/>
      <c r="BH304" s="390"/>
      <c r="BI304" s="326"/>
      <c r="BJ304" s="388"/>
      <c r="BL304" s="389"/>
      <c r="BM304" s="390"/>
      <c r="BN304" s="321"/>
      <c r="BO304" s="389"/>
      <c r="BP304" s="390"/>
      <c r="BQ304" s="321"/>
      <c r="BR304" s="389"/>
      <c r="BS304" s="390"/>
      <c r="BT304" s="321"/>
      <c r="BU304" s="389"/>
      <c r="BV304" s="390"/>
      <c r="BW304" s="326"/>
      <c r="BX304" s="388"/>
      <c r="BZ304" s="389"/>
      <c r="CA304" s="390"/>
      <c r="CB304" s="321"/>
      <c r="CC304" s="389"/>
      <c r="CD304" s="390"/>
      <c r="CE304" s="321"/>
      <c r="CF304" s="389"/>
      <c r="CG304" s="390"/>
      <c r="CH304" s="321"/>
      <c r="CI304" s="389"/>
      <c r="CJ304" s="390"/>
      <c r="CK304" s="326"/>
      <c r="CL304" s="388"/>
    </row>
    <row r="305" spans="2:90" s="542" customFormat="1" ht="72" thickBot="1" x14ac:dyDescent="0.25">
      <c r="B305" s="1394"/>
      <c r="C305" s="1436"/>
      <c r="D305" s="1026" t="str">
        <f>+'Plan de Accion 2018'!G313</f>
        <v>Informes de actividades según objeto del contrato</v>
      </c>
      <c r="E305" s="1026" t="str">
        <f>+'Plan de Accion 2018'!B313</f>
        <v xml:space="preserve">Dirección de Otras Prestaciones  </v>
      </c>
      <c r="F305" s="382" t="str">
        <f>+'Plan de Accion 2018'!S313</f>
        <v xml:space="preserve"># Informes de actividades presentados en el periodo/ (# contratistas x # informes requeridos en el periodo por contratista) </v>
      </c>
      <c r="G305" s="298"/>
      <c r="H305" s="1028">
        <f>+'Plan de Accion 2018'!AB313</f>
        <v>0</v>
      </c>
      <c r="I305" s="1024" t="str">
        <f>+'Plan de Accion 2018'!BM313</f>
        <v>No Prog ni Ejec</v>
      </c>
      <c r="J305" s="1024" t="s">
        <v>792</v>
      </c>
      <c r="K305" s="1024">
        <f>+'Plan de Accion 2018'!AF313</f>
        <v>0</v>
      </c>
      <c r="L305" s="1031">
        <f>+K305</f>
        <v>0</v>
      </c>
      <c r="M305" s="1027" t="s">
        <v>792</v>
      </c>
      <c r="N305" s="644"/>
      <c r="O305" s="1028">
        <f>+'Plan de Accion 2018'!AL313</f>
        <v>0</v>
      </c>
      <c r="P305" s="1024" t="str">
        <f>+'Plan de Accion 2018'!BO313</f>
        <v>No Prog ni Ejec</v>
      </c>
      <c r="Q305" s="1031" t="s">
        <v>792</v>
      </c>
      <c r="R305" s="1025">
        <f>+'Plan de Accion 2018'!AP313</f>
        <v>0</v>
      </c>
      <c r="S305" s="1025">
        <f t="shared" ref="S305" si="115">IF(R305&gt;100%,100%,R305)</f>
        <v>0</v>
      </c>
      <c r="T305" s="637" t="s">
        <v>792</v>
      </c>
      <c r="U305" s="329"/>
      <c r="V305" s="1028">
        <f>+'Plan de Accion 2018'!AV313</f>
        <v>0</v>
      </c>
      <c r="W305" s="1024" t="str">
        <f>+'Plan de Accion 2018'!BQ313</f>
        <v>No Prog ni Ejec</v>
      </c>
      <c r="X305" s="1031" t="s">
        <v>792</v>
      </c>
      <c r="Y305" s="882">
        <f>+'Plan de Accion 2018'!AZ313</f>
        <v>0</v>
      </c>
      <c r="Z305" s="882">
        <f t="shared" ref="Z305" si="116">IF(Y305&gt;100%,100%,Y305)</f>
        <v>0</v>
      </c>
      <c r="AA305" s="883" t="s">
        <v>792</v>
      </c>
      <c r="AB305" s="644"/>
      <c r="AC305" s="1028">
        <f>+'Plan de Accion 2018'!BF313</f>
        <v>1</v>
      </c>
      <c r="AD305" s="1024">
        <f>+'Plan de Accion 2018'!BS313</f>
        <v>1</v>
      </c>
      <c r="AE305" s="629">
        <f>IF(AD305&gt;100%,100%,AD305)</f>
        <v>1</v>
      </c>
      <c r="AF305" s="1024">
        <f>+'Plan de Accion 2018'!BJ210</f>
        <v>1</v>
      </c>
      <c r="AG305" s="637">
        <f>IF(AF305&gt;100%,100%,AF305)</f>
        <v>1</v>
      </c>
      <c r="AH305" s="388"/>
      <c r="AI305" s="1014"/>
      <c r="AJ305" s="1029"/>
      <c r="AK305" s="549"/>
      <c r="AL305" s="321"/>
      <c r="AM305" s="1029"/>
      <c r="AN305" s="549"/>
      <c r="AO305" s="321"/>
      <c r="AP305" s="1029"/>
      <c r="AQ305" s="549"/>
      <c r="AR305" s="321"/>
      <c r="AS305" s="1029"/>
      <c r="AT305" s="549"/>
      <c r="AU305" s="326"/>
      <c r="AV305" s="388"/>
      <c r="AX305" s="1029"/>
      <c r="AY305" s="549"/>
      <c r="AZ305" s="321"/>
      <c r="BA305" s="1029"/>
      <c r="BB305" s="549"/>
      <c r="BC305" s="321"/>
      <c r="BD305" s="1029"/>
      <c r="BE305" s="549"/>
      <c r="BF305" s="321"/>
      <c r="BG305" s="1029"/>
      <c r="BH305" s="549"/>
      <c r="BI305" s="326"/>
      <c r="BJ305" s="388"/>
      <c r="BL305" s="1029"/>
      <c r="BM305" s="549"/>
      <c r="BN305" s="321"/>
      <c r="BO305" s="1029"/>
      <c r="BP305" s="549"/>
      <c r="BQ305" s="321"/>
      <c r="BR305" s="1029"/>
      <c r="BS305" s="549"/>
      <c r="BT305" s="321"/>
      <c r="BU305" s="1029"/>
      <c r="BV305" s="549"/>
      <c r="BW305" s="326"/>
      <c r="BX305" s="388"/>
      <c r="BZ305" s="1029"/>
      <c r="CA305" s="549"/>
      <c r="CB305" s="321"/>
      <c r="CC305" s="1029"/>
      <c r="CD305" s="549"/>
      <c r="CE305" s="321"/>
      <c r="CF305" s="1029"/>
      <c r="CG305" s="549"/>
      <c r="CH305" s="321"/>
      <c r="CI305" s="1029"/>
      <c r="CJ305" s="549"/>
      <c r="CK305" s="326"/>
      <c r="CL305" s="388"/>
    </row>
    <row r="306" spans="2:90" ht="57.75" thickBot="1" x14ac:dyDescent="0.25">
      <c r="B306" s="1394"/>
      <c r="C306" s="1436"/>
      <c r="D306" s="772" t="str">
        <f>+'Plan de Accion 2018'!G70</f>
        <v>Informe de supervisión realizados en el período</v>
      </c>
      <c r="E306" s="772" t="str">
        <f>+'Plan de Accion 2018'!B70</f>
        <v xml:space="preserve">Dirección de Otras Prestaciones  </v>
      </c>
      <c r="F306" s="535" t="str">
        <f>+'Plan de Accion 2018'!S70</f>
        <v># Informes de supervisión realizados en el período / # Informes de supervisión proyectados</v>
      </c>
      <c r="H306" s="748">
        <f>+'Plan de Accion 2018'!AB70</f>
        <v>0.25</v>
      </c>
      <c r="I306" s="750">
        <f>+'Plan de Accion 2018'!BM70</f>
        <v>1</v>
      </c>
      <c r="J306" s="750">
        <f>IF(I306&gt;100%,100%,I306)</f>
        <v>1</v>
      </c>
      <c r="K306" s="750">
        <f>+'Plan de Accion 2018'!AF70</f>
        <v>0.25</v>
      </c>
      <c r="L306" s="750">
        <f>+K306</f>
        <v>0.25</v>
      </c>
      <c r="M306" s="752">
        <f>+L306</f>
        <v>0.25</v>
      </c>
      <c r="N306" s="644"/>
      <c r="O306" s="748">
        <f>+'Plan de Accion 2018'!AL70</f>
        <v>0.25</v>
      </c>
      <c r="P306" s="750">
        <f>+'Plan de Accion 2018'!BO70</f>
        <v>1</v>
      </c>
      <c r="Q306" s="631">
        <f>IF(P306&gt;100%,100%,P306)</f>
        <v>1</v>
      </c>
      <c r="R306" s="751">
        <f>+'Plan de Accion 2018'!AP70</f>
        <v>0.5</v>
      </c>
      <c r="S306" s="760">
        <f>IF(R306&gt;100%,100%,R306)</f>
        <v>0.5</v>
      </c>
      <c r="T306" s="637">
        <f>+S306</f>
        <v>0.5</v>
      </c>
      <c r="U306" s="329"/>
      <c r="V306" s="748">
        <f>+'Plan de Accion 2018'!AV70</f>
        <v>0.25</v>
      </c>
      <c r="W306" s="750">
        <f>+'Plan de Accion 2018'!BQ70</f>
        <v>1</v>
      </c>
      <c r="X306" s="629">
        <f>IF(W306&gt;100%,100%,W306)</f>
        <v>1</v>
      </c>
      <c r="Y306" s="882">
        <f>+'Plan de Accion 2018'!AZ70</f>
        <v>0.75</v>
      </c>
      <c r="Z306" s="882">
        <f>IF(Y306&gt;100%,100%,Y306)</f>
        <v>0.75</v>
      </c>
      <c r="AA306" s="883">
        <f>+Z306</f>
        <v>0.75</v>
      </c>
      <c r="AB306" s="644"/>
      <c r="AC306" s="748">
        <f>+'Plan de Accion 2018'!BF70</f>
        <v>0.25</v>
      </c>
      <c r="AD306" s="750">
        <f>+'Plan de Accion 2018'!BS70</f>
        <v>1</v>
      </c>
      <c r="AE306" s="629">
        <f>IF(AD306&gt;100%,100%,AD306)</f>
        <v>1</v>
      </c>
      <c r="AF306" s="750">
        <f>+'Plan de Accion 2018'!BJ70</f>
        <v>1</v>
      </c>
      <c r="AG306" s="637">
        <f>IF(AF306&gt;100%,100%,AF306)</f>
        <v>1</v>
      </c>
      <c r="AH306" s="388"/>
      <c r="AJ306" s="389"/>
      <c r="AK306" s="390"/>
      <c r="AL306" s="321"/>
      <c r="AM306" s="389"/>
      <c r="AN306" s="390"/>
      <c r="AO306" s="321"/>
      <c r="AP306" s="389"/>
      <c r="AQ306" s="390"/>
      <c r="AR306" s="321"/>
      <c r="AS306" s="389"/>
      <c r="AT306" s="390"/>
      <c r="AU306" s="326"/>
      <c r="AV306" s="388"/>
      <c r="AX306" s="389"/>
      <c r="AY306" s="390"/>
      <c r="AZ306" s="321"/>
      <c r="BA306" s="389"/>
      <c r="BB306" s="390"/>
      <c r="BC306" s="321"/>
      <c r="BD306" s="389"/>
      <c r="BE306" s="390"/>
      <c r="BF306" s="321"/>
      <c r="BG306" s="389"/>
      <c r="BH306" s="390"/>
      <c r="BI306" s="326"/>
      <c r="BJ306" s="388"/>
      <c r="BL306" s="389"/>
      <c r="BM306" s="390"/>
      <c r="BN306" s="321"/>
      <c r="BO306" s="389"/>
      <c r="BP306" s="390"/>
      <c r="BQ306" s="321"/>
      <c r="BR306" s="389"/>
      <c r="BS306" s="390"/>
      <c r="BT306" s="321"/>
      <c r="BU306" s="389"/>
      <c r="BV306" s="390"/>
      <c r="BW306" s="326"/>
      <c r="BX306" s="388"/>
      <c r="BZ306" s="389"/>
      <c r="CA306" s="390"/>
      <c r="CB306" s="321"/>
      <c r="CC306" s="389"/>
      <c r="CD306" s="390"/>
      <c r="CE306" s="321"/>
      <c r="CF306" s="389"/>
      <c r="CG306" s="390"/>
      <c r="CH306" s="321"/>
      <c r="CI306" s="389"/>
      <c r="CJ306" s="390"/>
      <c r="CK306" s="326"/>
      <c r="CL306" s="388"/>
    </row>
    <row r="307" spans="2:90" ht="15.75" thickBot="1" x14ac:dyDescent="0.25">
      <c r="B307" s="1393"/>
      <c r="C307" s="1399" t="s">
        <v>811</v>
      </c>
      <c r="D307" s="1400"/>
      <c r="E307" s="1400"/>
      <c r="F307" s="1401"/>
      <c r="H307" s="346" t="s">
        <v>792</v>
      </c>
      <c r="I307" s="332">
        <f>SUM(I304:I306)/COUNT(I304:I306)</f>
        <v>1</v>
      </c>
      <c r="J307" s="332">
        <f>IF(I307&gt;100%,100%,I307)</f>
        <v>1</v>
      </c>
      <c r="K307" s="332">
        <f>SUM(K304:K306)/COUNT(K304:K306)</f>
        <v>0.41666666666666669</v>
      </c>
      <c r="L307" s="332">
        <f>SUM(L304:L306)/COUNT(L304:L306)</f>
        <v>0.41666666666666669</v>
      </c>
      <c r="M307" s="334">
        <f>SUM(M304:M306)/COUNT(M304:M306)</f>
        <v>0.625</v>
      </c>
      <c r="N307" s="692"/>
      <c r="O307" s="346" t="s">
        <v>792</v>
      </c>
      <c r="P307" s="635">
        <f>SUM(P304:P306)/COUNT(P304:P306)</f>
        <v>3</v>
      </c>
      <c r="Q307" s="635">
        <f>SUM(Q304:Q306)/COUNT(Q304:Q306)</f>
        <v>1</v>
      </c>
      <c r="R307" s="639">
        <f>SUM(R304:R306)/COUNT(R304:R306)</f>
        <v>1.3333333333333333</v>
      </c>
      <c r="S307" s="670">
        <f>SUM(S304:S306)/COUNT(S304:S306)</f>
        <v>0.5</v>
      </c>
      <c r="T307" s="645">
        <f>SUM(T304:T306)/COUNT(T304:T306)</f>
        <v>0.75</v>
      </c>
      <c r="U307" s="354"/>
      <c r="V307" s="346" t="s">
        <v>792</v>
      </c>
      <c r="W307" s="332">
        <f>SUM(W304:W306)/COUNT(W304:W306)</f>
        <v>3</v>
      </c>
      <c r="X307" s="635">
        <f>SUM(X304:X306)/COUNT(X304:X306)</f>
        <v>1</v>
      </c>
      <c r="Y307" s="651">
        <f>SUM(Y304:Y306)/COUNT(Y304:Y306)</f>
        <v>1.9166666666666667</v>
      </c>
      <c r="Z307" s="651">
        <f>SUM(Z304:Z306)/COUNT(Z304:Z306)</f>
        <v>0.58333333333333337</v>
      </c>
      <c r="AA307" s="617">
        <f>SUM(AA304:AA306)/COUNT(AA304:AA306)</f>
        <v>0.875</v>
      </c>
      <c r="AB307" s="692"/>
      <c r="AC307" s="346" t="s">
        <v>792</v>
      </c>
      <c r="AD307" s="332">
        <f>SUM(AD304:AD306)/COUNT(AD304:AD306)</f>
        <v>1</v>
      </c>
      <c r="AE307" s="332">
        <f>SUM(AE304:AE306)/COUNT(AE304:AE306)</f>
        <v>1</v>
      </c>
      <c r="AF307" s="635">
        <f>SUM(AF304:AF306)/COUNT(AF304:AF306)</f>
        <v>2.5</v>
      </c>
      <c r="AG307" s="334">
        <f>SUM(AG304:AG306)/COUNT(AG304:AG306)</f>
        <v>1</v>
      </c>
      <c r="AH307" s="388"/>
      <c r="AJ307" s="389"/>
      <c r="AK307" s="390"/>
      <c r="AL307" s="321"/>
      <c r="AM307" s="389"/>
      <c r="AN307" s="390"/>
      <c r="AO307" s="321"/>
      <c r="AP307" s="389"/>
      <c r="AQ307" s="390"/>
      <c r="AR307" s="321"/>
      <c r="AS307" s="389"/>
      <c r="AT307" s="390"/>
      <c r="AU307" s="326"/>
      <c r="AV307" s="388"/>
      <c r="AX307" s="389"/>
      <c r="AY307" s="390"/>
      <c r="AZ307" s="321"/>
      <c r="BA307" s="389"/>
      <c r="BB307" s="390"/>
      <c r="BC307" s="321"/>
      <c r="BD307" s="389"/>
      <c r="BE307" s="390"/>
      <c r="BF307" s="321"/>
      <c r="BG307" s="389"/>
      <c r="BH307" s="390"/>
      <c r="BI307" s="326"/>
      <c r="BJ307" s="388"/>
      <c r="BL307" s="389"/>
      <c r="BM307" s="390"/>
      <c r="BN307" s="321"/>
      <c r="BO307" s="389"/>
      <c r="BP307" s="390"/>
      <c r="BQ307" s="321"/>
      <c r="BR307" s="389"/>
      <c r="BS307" s="390"/>
      <c r="BT307" s="321"/>
      <c r="BU307" s="389"/>
      <c r="BV307" s="390"/>
      <c r="BW307" s="326"/>
      <c r="BX307" s="388"/>
      <c r="BZ307" s="389"/>
      <c r="CA307" s="390"/>
      <c r="CB307" s="321"/>
      <c r="CC307" s="389"/>
      <c r="CD307" s="390"/>
      <c r="CE307" s="321"/>
      <c r="CF307" s="389"/>
      <c r="CG307" s="390"/>
      <c r="CH307" s="321"/>
      <c r="CI307" s="389"/>
      <c r="CJ307" s="390"/>
      <c r="CK307" s="326"/>
      <c r="CL307" s="388"/>
    </row>
    <row r="308" spans="2:90" ht="57.75" thickBot="1" x14ac:dyDescent="0.25">
      <c r="B308" s="1394"/>
      <c r="C308" s="1396" t="s">
        <v>147</v>
      </c>
      <c r="D308" s="606" t="str">
        <f>+'Plan de Accion 2018'!G78</f>
        <v>Impartir los lineamientos en materia tecnológica para definir políticas, estrategias y prácticas que soporten la gestión del Sector</v>
      </c>
      <c r="E308" s="1417" t="str">
        <f>+'Plan de Accion 2018'!B78</f>
        <v>Dirección de Gestión de Tecnología de la Información y la Comunicación</v>
      </c>
      <c r="F308" s="769" t="str">
        <f>+'Plan de Accion 2018'!S78</f>
        <v># Planes asociados a la DGTIC aprobados / # Planes asociados a la DGTIC establecidos</v>
      </c>
      <c r="H308" s="749">
        <f>+'Plan de Accion 2018'!AB78</f>
        <v>0</v>
      </c>
      <c r="I308" s="751" t="str">
        <f>+'Plan de Accion 2018'!BM78</f>
        <v>No Prog ni Ejec</v>
      </c>
      <c r="J308" s="751" t="s">
        <v>792</v>
      </c>
      <c r="K308" s="751">
        <f>+'Plan de Accion 2018'!AF78</f>
        <v>0</v>
      </c>
      <c r="L308" s="751">
        <f>+K308</f>
        <v>0</v>
      </c>
      <c r="M308" s="849" t="s">
        <v>792</v>
      </c>
      <c r="N308" s="644"/>
      <c r="O308" s="749">
        <f>+'Plan de Accion 2018'!AL78</f>
        <v>0.16</v>
      </c>
      <c r="P308" s="751">
        <f>+'Plan de Accion 2018'!BO78</f>
        <v>1</v>
      </c>
      <c r="Q308" s="629">
        <f>IF(P308&gt;100%,100%,P308)</f>
        <v>1</v>
      </c>
      <c r="R308" s="751">
        <f>+'Plan de Accion 2018'!AP78</f>
        <v>0.16</v>
      </c>
      <c r="S308" s="751">
        <f>IF(R308&gt;100%,100%,R308)</f>
        <v>0.16</v>
      </c>
      <c r="T308" s="637">
        <f>+S308</f>
        <v>0.16</v>
      </c>
      <c r="U308" s="329"/>
      <c r="V308" s="749">
        <f>+'Plan de Accion 2018'!AV78</f>
        <v>0.66666666666666663</v>
      </c>
      <c r="W308" s="751">
        <f>+'Plan de Accion 2018'!BQ78</f>
        <v>2.083333333333333</v>
      </c>
      <c r="X308" s="629">
        <f>IF(W308&gt;100%,100%,W308)</f>
        <v>1</v>
      </c>
      <c r="Y308" s="882">
        <f>+'Plan de Accion 2018'!AZ78</f>
        <v>0.82666666666666666</v>
      </c>
      <c r="Z308" s="882">
        <f>IF(Y308&gt;100%,100%,Y308)</f>
        <v>0.82666666666666666</v>
      </c>
      <c r="AA308" s="883">
        <f>+Z308</f>
        <v>0.82666666666666666</v>
      </c>
      <c r="AB308" s="644">
        <v>1</v>
      </c>
      <c r="AC308" s="749">
        <f>+'Plan de Accion 2018'!BF78</f>
        <v>0</v>
      </c>
      <c r="AD308" s="751">
        <f>+'Plan de Accion 2018'!BS78</f>
        <v>0</v>
      </c>
      <c r="AE308" s="629">
        <f>IF(AD308&gt;100%,100%,AD308)</f>
        <v>0</v>
      </c>
      <c r="AF308" s="751">
        <f>+'Plan de Accion 2018'!BJ78</f>
        <v>0.82666666666666666</v>
      </c>
      <c r="AG308" s="637">
        <f t="shared" ref="AG308:AG313" si="117">IF(AF308&gt;100%,100%,AF308)</f>
        <v>0.82666666666666666</v>
      </c>
      <c r="AH308" s="388"/>
      <c r="AJ308" s="389"/>
      <c r="AK308" s="390"/>
      <c r="AL308" s="321"/>
      <c r="AM308" s="389"/>
      <c r="AN308" s="390"/>
      <c r="AO308" s="321"/>
      <c r="AP308" s="389"/>
      <c r="AQ308" s="390"/>
      <c r="AR308" s="321"/>
      <c r="AS308" s="389"/>
      <c r="AT308" s="390"/>
      <c r="AU308" s="326"/>
      <c r="AV308" s="388"/>
      <c r="AX308" s="389"/>
      <c r="AY308" s="390"/>
      <c r="AZ308" s="321"/>
      <c r="BA308" s="389"/>
      <c r="BB308" s="390"/>
      <c r="BC308" s="321"/>
      <c r="BD308" s="389"/>
      <c r="BE308" s="390"/>
      <c r="BF308" s="321"/>
      <c r="BG308" s="389"/>
      <c r="BH308" s="390"/>
      <c r="BI308" s="326"/>
      <c r="BJ308" s="388"/>
      <c r="BL308" s="389"/>
      <c r="BM308" s="390"/>
      <c r="BN308" s="321"/>
      <c r="BO308" s="389"/>
      <c r="BP308" s="390"/>
      <c r="BQ308" s="321"/>
      <c r="BR308" s="389"/>
      <c r="BS308" s="390"/>
      <c r="BT308" s="321"/>
      <c r="BU308" s="389"/>
      <c r="BV308" s="390"/>
      <c r="BW308" s="326"/>
      <c r="BX308" s="388"/>
      <c r="BZ308" s="389"/>
      <c r="CA308" s="390"/>
      <c r="CB308" s="321"/>
      <c r="CC308" s="389"/>
      <c r="CD308" s="390"/>
      <c r="CE308" s="321"/>
      <c r="CF308" s="389"/>
      <c r="CG308" s="390"/>
      <c r="CH308" s="321"/>
      <c r="CI308" s="389"/>
      <c r="CJ308" s="390"/>
      <c r="CK308" s="326"/>
      <c r="CL308" s="388"/>
    </row>
    <row r="309" spans="2:90" s="542" customFormat="1" ht="43.5" thickBot="1" x14ac:dyDescent="0.25">
      <c r="B309" s="1394"/>
      <c r="C309" s="1396"/>
      <c r="D309" s="606" t="str">
        <f>+'Plan de Accion 2018'!G79</f>
        <v>Documento de planeación para la elaboración de la línea base del PETI.</v>
      </c>
      <c r="E309" s="1417"/>
      <c r="F309" s="769" t="str">
        <f>+'Plan de Accion 2018'!S79</f>
        <v># Documentos de planeación para elaboración de la línea base del PETI</v>
      </c>
      <c r="G309" s="298"/>
      <c r="H309" s="749">
        <f>+'Plan de Accion 2018'!AB79</f>
        <v>0</v>
      </c>
      <c r="I309" s="751" t="str">
        <f>+'Plan de Accion 2018'!BM79</f>
        <v>No Prog ni Ejec</v>
      </c>
      <c r="J309" s="751" t="s">
        <v>792</v>
      </c>
      <c r="K309" s="751">
        <f>+'Plan de Accion 2018'!AF79</f>
        <v>0</v>
      </c>
      <c r="L309" s="751">
        <f>+K309</f>
        <v>0</v>
      </c>
      <c r="M309" s="849" t="s">
        <v>792</v>
      </c>
      <c r="N309" s="644"/>
      <c r="O309" s="749">
        <f>+'Plan de Accion 2018'!AL79</f>
        <v>0</v>
      </c>
      <c r="P309" s="751">
        <f>+'Plan de Accion 2018'!BO79</f>
        <v>0</v>
      </c>
      <c r="Q309" s="629">
        <f>IF(P309&gt;100%,100%,P309)</f>
        <v>0</v>
      </c>
      <c r="R309" s="751">
        <f>+'Plan de Accion 2018'!AP79</f>
        <v>0</v>
      </c>
      <c r="S309" s="751">
        <f>IF(R309&gt;100%,100%,R309)</f>
        <v>0</v>
      </c>
      <c r="T309" s="637">
        <f>+S309</f>
        <v>0</v>
      </c>
      <c r="U309" s="329"/>
      <c r="V309" s="749">
        <f>+'Plan de Accion 2018'!AV79</f>
        <v>0</v>
      </c>
      <c r="W309" s="751" t="str">
        <f>+'Plan de Accion 2018'!BQ79</f>
        <v>No Prog ni Ejec</v>
      </c>
      <c r="X309" s="629" t="s">
        <v>792</v>
      </c>
      <c r="Y309" s="882">
        <f>+'Plan de Accion 2018'!AZ79</f>
        <v>0</v>
      </c>
      <c r="Z309" s="882">
        <f>IF(Y309&gt;100%,100%,Y309)</f>
        <v>0</v>
      </c>
      <c r="AA309" s="883">
        <f>+Z309</f>
        <v>0</v>
      </c>
      <c r="AB309" s="644"/>
      <c r="AC309" s="749">
        <f>+'Plan de Accion 2018'!BF79</f>
        <v>1</v>
      </c>
      <c r="AD309" s="751" t="str">
        <f>+'Plan de Accion 2018'!BS79</f>
        <v>No Prog, Ejec=  1</v>
      </c>
      <c r="AE309" s="629" t="s">
        <v>792</v>
      </c>
      <c r="AF309" s="751">
        <f>+'Plan de Accion 2018'!BJ79</f>
        <v>1</v>
      </c>
      <c r="AG309" s="637">
        <f t="shared" si="117"/>
        <v>1</v>
      </c>
      <c r="AH309" s="388"/>
      <c r="AI309" s="1014"/>
      <c r="AJ309" s="718"/>
      <c r="AK309" s="549"/>
      <c r="AL309" s="321"/>
      <c r="AM309" s="718"/>
      <c r="AN309" s="549"/>
      <c r="AO309" s="321"/>
      <c r="AP309" s="718"/>
      <c r="AQ309" s="549"/>
      <c r="AR309" s="321"/>
      <c r="AS309" s="718"/>
      <c r="AT309" s="549"/>
      <c r="AU309" s="326"/>
      <c r="AV309" s="388"/>
      <c r="AX309" s="718"/>
      <c r="AY309" s="549"/>
      <c r="AZ309" s="321"/>
      <c r="BA309" s="718"/>
      <c r="BB309" s="549"/>
      <c r="BC309" s="321"/>
      <c r="BD309" s="718"/>
      <c r="BE309" s="549"/>
      <c r="BF309" s="321"/>
      <c r="BG309" s="718"/>
      <c r="BH309" s="549"/>
      <c r="BI309" s="326"/>
      <c r="BJ309" s="388"/>
      <c r="BL309" s="718"/>
      <c r="BM309" s="549"/>
      <c r="BN309" s="321"/>
      <c r="BO309" s="718"/>
      <c r="BP309" s="549"/>
      <c r="BQ309" s="321"/>
      <c r="BR309" s="718"/>
      <c r="BS309" s="549"/>
      <c r="BT309" s="321"/>
      <c r="BU309" s="718"/>
      <c r="BV309" s="549"/>
      <c r="BW309" s="326"/>
      <c r="BX309" s="388"/>
      <c r="BZ309" s="718"/>
      <c r="CA309" s="549"/>
      <c r="CB309" s="321"/>
      <c r="CC309" s="718"/>
      <c r="CD309" s="549"/>
      <c r="CE309" s="321"/>
      <c r="CF309" s="718"/>
      <c r="CG309" s="549"/>
      <c r="CH309" s="321"/>
      <c r="CI309" s="718"/>
      <c r="CJ309" s="549"/>
      <c r="CK309" s="326"/>
      <c r="CL309" s="388"/>
    </row>
    <row r="310" spans="2:90" s="542" customFormat="1" ht="157.5" thickBot="1" x14ac:dyDescent="0.25">
      <c r="B310" s="1394"/>
      <c r="C310" s="1396"/>
      <c r="D310" s="606" t="str">
        <f>+'Plan de Accion 2018'!G80</f>
        <v>Documento de entendimiento de situación actual de la Entidad. Tomando como guía "Guía Cómo elaborar el Plan
Estratégico de Tecnologías de la Información - PETI del  MINTIC", en la cual se tendrán 6 grandes entregables.</v>
      </c>
      <c r="E310" s="1417"/>
      <c r="F310" s="769" t="str">
        <f>+'Plan de Accion 2018'!S80</f>
        <v>(Número de entregables  contenidos dentro del Documento de entendimiento de situación actual de la Entidad) /
(Número de entregables  definidos para la Fase 1 dentro de la Guía Cómo elaborar el Plan Estratégico de Tecnologías de la Información - PETI del  MINTIC)</v>
      </c>
      <c r="G310" s="298"/>
      <c r="H310" s="749">
        <f>+'Plan de Accion 2018'!AB80</f>
        <v>0</v>
      </c>
      <c r="I310" s="751" t="str">
        <f>+'Plan de Accion 2018'!BM80</f>
        <v>No Prog ni Ejec</v>
      </c>
      <c r="J310" s="751" t="s">
        <v>792</v>
      </c>
      <c r="K310" s="751">
        <f>+'Plan de Accion 2018'!AF80</f>
        <v>0</v>
      </c>
      <c r="L310" s="873">
        <f t="shared" ref="L310:L321" si="118">+K310</f>
        <v>0</v>
      </c>
      <c r="M310" s="849" t="s">
        <v>792</v>
      </c>
      <c r="N310" s="644"/>
      <c r="O310" s="749">
        <f>+'Plan de Accion 2018'!AL80</f>
        <v>0</v>
      </c>
      <c r="P310" s="751" t="str">
        <f>+'Plan de Accion 2018'!BO80</f>
        <v>No Prog ni Ejec</v>
      </c>
      <c r="Q310" s="629" t="s">
        <v>792</v>
      </c>
      <c r="R310" s="751">
        <f>+'Plan de Accion 2018'!AP80</f>
        <v>0</v>
      </c>
      <c r="S310" s="873">
        <f t="shared" ref="S310:S331" si="119">IF(R310&gt;100%,100%,R310)</f>
        <v>0</v>
      </c>
      <c r="T310" s="637" t="s">
        <v>792</v>
      </c>
      <c r="U310" s="329"/>
      <c r="V310" s="749">
        <f>+'Plan de Accion 2018'!AV80</f>
        <v>0</v>
      </c>
      <c r="W310" s="751">
        <f>+'Plan de Accion 2018'!BQ80</f>
        <v>0</v>
      </c>
      <c r="X310" s="629">
        <f>IF(W310&gt;100%,100%,W310)</f>
        <v>0</v>
      </c>
      <c r="Y310" s="882">
        <f>+'Plan de Accion 2018'!AZ80</f>
        <v>0</v>
      </c>
      <c r="Z310" s="882">
        <f t="shared" ref="Z310:Z321" si="120">IF(Y310&gt;100%,100%,Y310)</f>
        <v>0</v>
      </c>
      <c r="AA310" s="883">
        <f>+Z310</f>
        <v>0</v>
      </c>
      <c r="AB310" s="644"/>
      <c r="AC310" s="749">
        <f>+'Plan de Accion 2018'!BF80</f>
        <v>1</v>
      </c>
      <c r="AD310" s="751">
        <f>+'Plan de Accion 2018'!BS80</f>
        <v>4</v>
      </c>
      <c r="AE310" s="629">
        <f>IF(AD310&gt;100%,100%,AD310)</f>
        <v>1</v>
      </c>
      <c r="AF310" s="751">
        <f>+'Plan de Accion 2018'!BJ80</f>
        <v>1</v>
      </c>
      <c r="AG310" s="637">
        <f t="shared" si="117"/>
        <v>1</v>
      </c>
      <c r="AH310" s="388"/>
      <c r="AI310" s="1014"/>
      <c r="AJ310" s="718"/>
      <c r="AK310" s="549"/>
      <c r="AL310" s="321"/>
      <c r="AM310" s="718"/>
      <c r="AN310" s="549"/>
      <c r="AO310" s="321"/>
      <c r="AP310" s="718"/>
      <c r="AQ310" s="549"/>
      <c r="AR310" s="321"/>
      <c r="AS310" s="718"/>
      <c r="AT310" s="549"/>
      <c r="AU310" s="326"/>
      <c r="AV310" s="388"/>
      <c r="AX310" s="718"/>
      <c r="AY310" s="549"/>
      <c r="AZ310" s="321"/>
      <c r="BA310" s="718"/>
      <c r="BB310" s="549"/>
      <c r="BC310" s="321"/>
      <c r="BD310" s="718"/>
      <c r="BE310" s="549"/>
      <c r="BF310" s="321"/>
      <c r="BG310" s="718"/>
      <c r="BH310" s="549"/>
      <c r="BI310" s="326"/>
      <c r="BJ310" s="388"/>
      <c r="BL310" s="718"/>
      <c r="BM310" s="549"/>
      <c r="BN310" s="321"/>
      <c r="BO310" s="718"/>
      <c r="BP310" s="549"/>
      <c r="BQ310" s="321"/>
      <c r="BR310" s="718"/>
      <c r="BS310" s="549"/>
      <c r="BT310" s="321"/>
      <c r="BU310" s="718"/>
      <c r="BV310" s="549"/>
      <c r="BW310" s="326"/>
      <c r="BX310" s="388"/>
      <c r="BZ310" s="718"/>
      <c r="CA310" s="549"/>
      <c r="CB310" s="321"/>
      <c r="CC310" s="718"/>
      <c r="CD310" s="549"/>
      <c r="CE310" s="321"/>
      <c r="CF310" s="718"/>
      <c r="CG310" s="549"/>
      <c r="CH310" s="321"/>
      <c r="CI310" s="718"/>
      <c r="CJ310" s="549"/>
      <c r="CK310" s="326"/>
      <c r="CL310" s="388"/>
    </row>
    <row r="311" spans="2:90" s="542" customFormat="1" ht="143.25" thickBot="1" x14ac:dyDescent="0.25">
      <c r="B311" s="1394"/>
      <c r="C311" s="1396"/>
      <c r="D311" s="606" t="str">
        <f>+'Plan de Accion 2018'!G81</f>
        <v>Documento en el cual se encuentre definida la visión estratégica de la DGTIC, para la Entidad</v>
      </c>
      <c r="E311" s="1417"/>
      <c r="F311" s="769" t="str">
        <f>+'Plan de Accion 2018'!S81</f>
        <v>(Número de entregables  contenidos dentro del la visión estratégica) /
(Número de entregables  definidos para la Fase 2 dentro de la Guía Cómo elaborar el Plan Estratégico de Tecnologías de la
Información - PETI del  MINTIC)</v>
      </c>
      <c r="G311" s="298"/>
      <c r="H311" s="749">
        <f>+'Plan de Accion 2018'!AB81</f>
        <v>0</v>
      </c>
      <c r="I311" s="751" t="str">
        <f>+'Plan de Accion 2018'!BM81</f>
        <v>No Prog ni Ejec</v>
      </c>
      <c r="J311" s="751" t="s">
        <v>792</v>
      </c>
      <c r="K311" s="751">
        <f>+'Plan de Accion 2018'!AF81</f>
        <v>0</v>
      </c>
      <c r="L311" s="873">
        <f t="shared" si="118"/>
        <v>0</v>
      </c>
      <c r="M311" s="849" t="s">
        <v>792</v>
      </c>
      <c r="N311" s="644"/>
      <c r="O311" s="749">
        <f>+'Plan de Accion 2018'!AL81</f>
        <v>0</v>
      </c>
      <c r="P311" s="751" t="str">
        <f>+'Plan de Accion 2018'!BO81</f>
        <v>No Prog ni Ejec</v>
      </c>
      <c r="Q311" s="629" t="s">
        <v>792</v>
      </c>
      <c r="R311" s="751">
        <f>+'Plan de Accion 2018'!AP81</f>
        <v>0</v>
      </c>
      <c r="S311" s="873">
        <f t="shared" si="119"/>
        <v>0</v>
      </c>
      <c r="T311" s="637" t="s">
        <v>792</v>
      </c>
      <c r="U311" s="329"/>
      <c r="V311" s="749">
        <f>+'Plan de Accion 2018'!AV81</f>
        <v>0</v>
      </c>
      <c r="W311" s="751" t="str">
        <f>+'Plan de Accion 2018'!BQ81</f>
        <v>No Prog ni Ejec</v>
      </c>
      <c r="X311" s="629" t="s">
        <v>792</v>
      </c>
      <c r="Y311" s="882">
        <f>+'Plan de Accion 2018'!AZ81</f>
        <v>0</v>
      </c>
      <c r="Z311" s="882">
        <f t="shared" si="120"/>
        <v>0</v>
      </c>
      <c r="AA311" s="883" t="s">
        <v>792</v>
      </c>
      <c r="AB311" s="644"/>
      <c r="AC311" s="749">
        <f>+'Plan de Accion 2018'!BF81</f>
        <v>1</v>
      </c>
      <c r="AD311" s="751">
        <f>+'Plan de Accion 2018'!BS81</f>
        <v>1</v>
      </c>
      <c r="AE311" s="629">
        <f>IF(AD311&gt;100%,100%,AD311)</f>
        <v>1</v>
      </c>
      <c r="AF311" s="751">
        <f>+'Plan de Accion 2018'!BJ81</f>
        <v>1</v>
      </c>
      <c r="AG311" s="637">
        <f t="shared" si="117"/>
        <v>1</v>
      </c>
      <c r="AH311" s="388"/>
      <c r="AI311" s="1014"/>
      <c r="AJ311" s="718"/>
      <c r="AK311" s="549"/>
      <c r="AL311" s="321"/>
      <c r="AM311" s="718"/>
      <c r="AN311" s="549"/>
      <c r="AO311" s="321"/>
      <c r="AP311" s="718"/>
      <c r="AQ311" s="549"/>
      <c r="AR311" s="321"/>
      <c r="AS311" s="718"/>
      <c r="AT311" s="549"/>
      <c r="AU311" s="326"/>
      <c r="AV311" s="388"/>
      <c r="AX311" s="718"/>
      <c r="AY311" s="549"/>
      <c r="AZ311" s="321"/>
      <c r="BA311" s="718"/>
      <c r="BB311" s="549"/>
      <c r="BC311" s="321"/>
      <c r="BD311" s="718"/>
      <c r="BE311" s="549"/>
      <c r="BF311" s="321"/>
      <c r="BG311" s="718"/>
      <c r="BH311" s="549"/>
      <c r="BI311" s="326"/>
      <c r="BJ311" s="388"/>
      <c r="BL311" s="718"/>
      <c r="BM311" s="549"/>
      <c r="BN311" s="321"/>
      <c r="BO311" s="718"/>
      <c r="BP311" s="549"/>
      <c r="BQ311" s="321"/>
      <c r="BR311" s="718"/>
      <c r="BS311" s="549"/>
      <c r="BT311" s="321"/>
      <c r="BU311" s="718"/>
      <c r="BV311" s="549"/>
      <c r="BW311" s="326"/>
      <c r="BX311" s="388"/>
      <c r="BZ311" s="718"/>
      <c r="CA311" s="549"/>
      <c r="CB311" s="321"/>
      <c r="CC311" s="718"/>
      <c r="CD311" s="549"/>
      <c r="CE311" s="321"/>
      <c r="CF311" s="718"/>
      <c r="CG311" s="549"/>
      <c r="CH311" s="321"/>
      <c r="CI311" s="718"/>
      <c r="CJ311" s="549"/>
      <c r="CK311" s="326"/>
      <c r="CL311" s="388"/>
    </row>
    <row r="312" spans="2:90" s="542" customFormat="1" ht="143.25" thickBot="1" x14ac:dyDescent="0.25">
      <c r="B312" s="1394"/>
      <c r="C312" s="1396"/>
      <c r="D312" s="606" t="str">
        <f>+'Plan de Accion 2018'!G82</f>
        <v>Documento en el cual se encuentre definida la hoja de Ruta para la ejecución del PETI</v>
      </c>
      <c r="E312" s="1417"/>
      <c r="F312" s="769" t="str">
        <f>+'Plan de Accion 2018'!S82</f>
        <v>(Número de entregables  contenidos dentro del Documento de la hoja de ruta para la ejecución del PETI) /
(Número de entregables  definidos para la Fase 3 dentro de la Guía Cómo elaborar el Plan Estratégico de Tecnologías de la Información - PETI del  MINTIC)</v>
      </c>
      <c r="G312" s="298"/>
      <c r="H312" s="749">
        <f>+'Plan de Accion 2018'!AB82</f>
        <v>0</v>
      </c>
      <c r="I312" s="751" t="str">
        <f>+'Plan de Accion 2018'!BM82</f>
        <v>No Prog ni Ejec</v>
      </c>
      <c r="J312" s="751" t="s">
        <v>792</v>
      </c>
      <c r="K312" s="751">
        <f>+'Plan de Accion 2018'!AF82</f>
        <v>0</v>
      </c>
      <c r="L312" s="873">
        <f t="shared" si="118"/>
        <v>0</v>
      </c>
      <c r="M312" s="849" t="s">
        <v>792</v>
      </c>
      <c r="N312" s="644"/>
      <c r="O312" s="749">
        <f>+'Plan de Accion 2018'!AL82</f>
        <v>0</v>
      </c>
      <c r="P312" s="751" t="str">
        <f>+'Plan de Accion 2018'!BO82</f>
        <v>No Prog ni Ejec</v>
      </c>
      <c r="Q312" s="629" t="s">
        <v>792</v>
      </c>
      <c r="R312" s="751">
        <f>+'Plan de Accion 2018'!AP82</f>
        <v>0</v>
      </c>
      <c r="S312" s="873">
        <f t="shared" si="119"/>
        <v>0</v>
      </c>
      <c r="T312" s="637" t="s">
        <v>792</v>
      </c>
      <c r="U312" s="329"/>
      <c r="V312" s="749">
        <f>+'Plan de Accion 2018'!AV82</f>
        <v>0</v>
      </c>
      <c r="W312" s="751" t="str">
        <f>+'Plan de Accion 2018'!BQ82</f>
        <v>No Prog ni Ejec</v>
      </c>
      <c r="X312" s="629" t="s">
        <v>792</v>
      </c>
      <c r="Y312" s="882">
        <f>+'Plan de Accion 2018'!AZ82</f>
        <v>0</v>
      </c>
      <c r="Z312" s="882">
        <f t="shared" si="120"/>
        <v>0</v>
      </c>
      <c r="AA312" s="883" t="s">
        <v>792</v>
      </c>
      <c r="AB312" s="644"/>
      <c r="AC312" s="749">
        <f>+'Plan de Accion 2018'!BF82</f>
        <v>1</v>
      </c>
      <c r="AD312" s="751">
        <f>+'Plan de Accion 2018'!BS82</f>
        <v>1</v>
      </c>
      <c r="AE312" s="629">
        <f>IF(AD312&gt;100%,100%,AD312)</f>
        <v>1</v>
      </c>
      <c r="AF312" s="751">
        <f>+'Plan de Accion 2018'!BJ82</f>
        <v>1</v>
      </c>
      <c r="AG312" s="637">
        <f t="shared" si="117"/>
        <v>1</v>
      </c>
      <c r="AH312" s="388"/>
      <c r="AI312" s="1014"/>
      <c r="AJ312" s="718"/>
      <c r="AK312" s="549"/>
      <c r="AL312" s="321"/>
      <c r="AM312" s="718"/>
      <c r="AN312" s="549"/>
      <c r="AO312" s="321"/>
      <c r="AP312" s="718"/>
      <c r="AQ312" s="549"/>
      <c r="AR312" s="321"/>
      <c r="AS312" s="718"/>
      <c r="AT312" s="549"/>
      <c r="AU312" s="326"/>
      <c r="AV312" s="388"/>
      <c r="AX312" s="718"/>
      <c r="AY312" s="549"/>
      <c r="AZ312" s="321"/>
      <c r="BA312" s="718"/>
      <c r="BB312" s="549"/>
      <c r="BC312" s="321"/>
      <c r="BD312" s="718"/>
      <c r="BE312" s="549"/>
      <c r="BF312" s="321"/>
      <c r="BG312" s="718"/>
      <c r="BH312" s="549"/>
      <c r="BI312" s="326"/>
      <c r="BJ312" s="388"/>
      <c r="BL312" s="718"/>
      <c r="BM312" s="549"/>
      <c r="BN312" s="321"/>
      <c r="BO312" s="718"/>
      <c r="BP312" s="549"/>
      <c r="BQ312" s="321"/>
      <c r="BR312" s="718"/>
      <c r="BS312" s="549"/>
      <c r="BT312" s="321"/>
      <c r="BU312" s="718"/>
      <c r="BV312" s="549"/>
      <c r="BW312" s="326"/>
      <c r="BX312" s="388"/>
      <c r="BZ312" s="718"/>
      <c r="CA312" s="549"/>
      <c r="CB312" s="321"/>
      <c r="CC312" s="718"/>
      <c r="CD312" s="549"/>
      <c r="CE312" s="321"/>
      <c r="CF312" s="718"/>
      <c r="CG312" s="549"/>
      <c r="CH312" s="321"/>
      <c r="CI312" s="718"/>
      <c r="CJ312" s="549"/>
      <c r="CK312" s="326"/>
      <c r="CL312" s="388"/>
    </row>
    <row r="313" spans="2:90" s="542" customFormat="1" ht="43.5" thickBot="1" x14ac:dyDescent="0.25">
      <c r="B313" s="1394"/>
      <c r="C313" s="1396"/>
      <c r="D313" s="606" t="str">
        <f>+'Plan de Accion 2018'!G84</f>
        <v>Inventario de activos de Información</v>
      </c>
      <c r="E313" s="1417"/>
      <c r="F313" s="769" t="str">
        <f>+'Plan de Accion 2018'!S84</f>
        <v># Procesos con inventario de activos de información / Total de procesos de la Entidad</v>
      </c>
      <c r="G313" s="298"/>
      <c r="H313" s="749">
        <f>+'Plan de Accion 2018'!AB84</f>
        <v>0</v>
      </c>
      <c r="I313" s="751" t="str">
        <f>+'Plan de Accion 2018'!BM84</f>
        <v>No Prog ni Ejec</v>
      </c>
      <c r="J313" s="751" t="s">
        <v>792</v>
      </c>
      <c r="K313" s="751">
        <f>+'Plan de Accion 2018'!AF84</f>
        <v>0</v>
      </c>
      <c r="L313" s="873">
        <f t="shared" si="118"/>
        <v>0</v>
      </c>
      <c r="M313" s="849" t="s">
        <v>792</v>
      </c>
      <c r="N313" s="644"/>
      <c r="O313" s="749">
        <f>+'Plan de Accion 2018'!AL84</f>
        <v>0</v>
      </c>
      <c r="P313" s="751">
        <f>+'Plan de Accion 2018'!BO84</f>
        <v>0</v>
      </c>
      <c r="Q313" s="629">
        <f>IF(P313&gt;100%,100%,P313)</f>
        <v>0</v>
      </c>
      <c r="R313" s="751">
        <f>+'Plan de Accion 2018'!AP84</f>
        <v>0</v>
      </c>
      <c r="S313" s="873">
        <f t="shared" si="119"/>
        <v>0</v>
      </c>
      <c r="T313" s="637">
        <f>+S313</f>
        <v>0</v>
      </c>
      <c r="U313" s="329"/>
      <c r="V313" s="749">
        <f>+'Plan de Accion 2018'!AV84</f>
        <v>1</v>
      </c>
      <c r="W313" s="751">
        <f>+'Plan de Accion 2018'!BQ84</f>
        <v>4</v>
      </c>
      <c r="X313" s="629">
        <f>IF(W313&gt;100%,100%,W313)</f>
        <v>1</v>
      </c>
      <c r="Y313" s="882">
        <f>+'Plan de Accion 2018'!AZ84</f>
        <v>1</v>
      </c>
      <c r="Z313" s="882">
        <f t="shared" si="120"/>
        <v>1</v>
      </c>
      <c r="AA313" s="883">
        <f>+Z313</f>
        <v>1</v>
      </c>
      <c r="AB313" s="644">
        <v>1</v>
      </c>
      <c r="AC313" s="749">
        <f>+'Plan de Accion 2018'!BF84</f>
        <v>0</v>
      </c>
      <c r="AD313" s="751" t="str">
        <f>+'Plan de Accion 2018'!BS84</f>
        <v>No Prog ni Ejec</v>
      </c>
      <c r="AE313" s="629" t="s">
        <v>792</v>
      </c>
      <c r="AF313" s="751">
        <f>+'Plan de Accion 2018'!BJ84</f>
        <v>1</v>
      </c>
      <c r="AG313" s="637">
        <f t="shared" si="117"/>
        <v>1</v>
      </c>
      <c r="AH313" s="388"/>
      <c r="AI313" s="1014"/>
      <c r="AJ313" s="718"/>
      <c r="AK313" s="549"/>
      <c r="AL313" s="321"/>
      <c r="AM313" s="718"/>
      <c r="AN313" s="549"/>
      <c r="AO313" s="321"/>
      <c r="AP313" s="718"/>
      <c r="AQ313" s="549"/>
      <c r="AR313" s="321"/>
      <c r="AS313" s="718"/>
      <c r="AT313" s="549"/>
      <c r="AU313" s="326"/>
      <c r="AV313" s="388"/>
      <c r="AX313" s="718"/>
      <c r="AY313" s="549"/>
      <c r="AZ313" s="321"/>
      <c r="BA313" s="718"/>
      <c r="BB313" s="549"/>
      <c r="BC313" s="321"/>
      <c r="BD313" s="718"/>
      <c r="BE313" s="549"/>
      <c r="BF313" s="321"/>
      <c r="BG313" s="718"/>
      <c r="BH313" s="549"/>
      <c r="BI313" s="326"/>
      <c r="BJ313" s="388"/>
      <c r="BL313" s="718"/>
      <c r="BM313" s="549"/>
      <c r="BN313" s="321"/>
      <c r="BO313" s="718"/>
      <c r="BP313" s="549"/>
      <c r="BQ313" s="321"/>
      <c r="BR313" s="718"/>
      <c r="BS313" s="549"/>
      <c r="BT313" s="321"/>
      <c r="BU313" s="718"/>
      <c r="BV313" s="549"/>
      <c r="BW313" s="326"/>
      <c r="BX313" s="388"/>
      <c r="BZ313" s="718"/>
      <c r="CA313" s="549"/>
      <c r="CB313" s="321"/>
      <c r="CC313" s="718"/>
      <c r="CD313" s="549"/>
      <c r="CE313" s="321"/>
      <c r="CF313" s="718"/>
      <c r="CG313" s="549"/>
      <c r="CH313" s="321"/>
      <c r="CI313" s="718"/>
      <c r="CJ313" s="549"/>
      <c r="CK313" s="326"/>
      <c r="CL313" s="388"/>
    </row>
    <row r="314" spans="2:90" s="542" customFormat="1" ht="43.5" thickBot="1" x14ac:dyDescent="0.25">
      <c r="B314" s="1394"/>
      <c r="C314" s="1396"/>
      <c r="D314" s="606" t="str">
        <f>+'Plan de Accion 2018'!G85</f>
        <v>Registro de Activos de Información</v>
      </c>
      <c r="E314" s="1417"/>
      <c r="F314" s="769" t="str">
        <f>+'Plan de Accion 2018'!S85</f>
        <v># Registros de Activos de información publicados dentro del portal Web de la Entidad</v>
      </c>
      <c r="G314" s="298"/>
      <c r="H314" s="749">
        <f>+'Plan de Accion 2018'!AB85</f>
        <v>0</v>
      </c>
      <c r="I314" s="751" t="str">
        <f>+'Plan de Accion 2018'!BM85</f>
        <v>No Prog ni Ejec</v>
      </c>
      <c r="J314" s="751" t="s">
        <v>792</v>
      </c>
      <c r="K314" s="751">
        <f>+'Plan de Accion 2018'!AF85</f>
        <v>0</v>
      </c>
      <c r="L314" s="873">
        <f t="shared" si="118"/>
        <v>0</v>
      </c>
      <c r="M314" s="849" t="s">
        <v>792</v>
      </c>
      <c r="N314" s="644"/>
      <c r="O314" s="749">
        <f>+'Plan de Accion 2018'!AL85</f>
        <v>0</v>
      </c>
      <c r="P314" s="751" t="str">
        <f>+'Plan de Accion 2018'!BO85</f>
        <v>No Prog ni Ejec</v>
      </c>
      <c r="Q314" s="629" t="s">
        <v>792</v>
      </c>
      <c r="R314" s="751">
        <f>+'Plan de Accion 2018'!AP85</f>
        <v>0</v>
      </c>
      <c r="S314" s="873">
        <f t="shared" si="119"/>
        <v>0</v>
      </c>
      <c r="T314" s="637" t="s">
        <v>792</v>
      </c>
      <c r="U314" s="329"/>
      <c r="V314" s="749">
        <f>+'Plan de Accion 2018'!AV85</f>
        <v>0</v>
      </c>
      <c r="W314" s="751">
        <f>+'Plan de Accion 2018'!BQ85</f>
        <v>0</v>
      </c>
      <c r="X314" s="629">
        <f>IF(W314&gt;100%,100%,W314)</f>
        <v>0</v>
      </c>
      <c r="Y314" s="882">
        <f>+'Plan de Accion 2018'!AZ85</f>
        <v>0</v>
      </c>
      <c r="Z314" s="882">
        <f t="shared" si="120"/>
        <v>0</v>
      </c>
      <c r="AA314" s="883">
        <f>+Z314</f>
        <v>0</v>
      </c>
      <c r="AB314" s="644"/>
      <c r="AC314" s="749">
        <f>+'Plan de Accion 2018'!BF85</f>
        <v>1</v>
      </c>
      <c r="AD314" s="751" t="str">
        <f>+'Plan de Accion 2018'!BS85</f>
        <v>No Prog, Ejec=  1</v>
      </c>
      <c r="AE314" s="629" t="s">
        <v>792</v>
      </c>
      <c r="AF314" s="751">
        <f>+'Plan de Accion 2018'!BJ85</f>
        <v>1</v>
      </c>
      <c r="AG314" s="637">
        <f t="shared" ref="AG314:AG319" si="121">IF(AF314&gt;100%,100%,AF314)</f>
        <v>1</v>
      </c>
      <c r="AH314" s="388"/>
      <c r="AI314" s="1014"/>
      <c r="AJ314" s="718"/>
      <c r="AK314" s="549"/>
      <c r="AL314" s="321"/>
      <c r="AM314" s="718"/>
      <c r="AN314" s="549"/>
      <c r="AO314" s="321"/>
      <c r="AP314" s="718"/>
      <c r="AQ314" s="549"/>
      <c r="AR314" s="321"/>
      <c r="AS314" s="718"/>
      <c r="AT314" s="549"/>
      <c r="AU314" s="326"/>
      <c r="AV314" s="388"/>
      <c r="AX314" s="718"/>
      <c r="AY314" s="549"/>
      <c r="AZ314" s="321"/>
      <c r="BA314" s="718"/>
      <c r="BB314" s="549"/>
      <c r="BC314" s="321"/>
      <c r="BD314" s="718"/>
      <c r="BE314" s="549"/>
      <c r="BF314" s="321"/>
      <c r="BG314" s="718"/>
      <c r="BH314" s="549"/>
      <c r="BI314" s="326"/>
      <c r="BJ314" s="388"/>
      <c r="BL314" s="718"/>
      <c r="BM314" s="549"/>
      <c r="BN314" s="321"/>
      <c r="BO314" s="718"/>
      <c r="BP314" s="549"/>
      <c r="BQ314" s="321"/>
      <c r="BR314" s="718"/>
      <c r="BS314" s="549"/>
      <c r="BT314" s="321"/>
      <c r="BU314" s="718"/>
      <c r="BV314" s="549"/>
      <c r="BW314" s="326"/>
      <c r="BX314" s="388"/>
      <c r="BZ314" s="718"/>
      <c r="CA314" s="549"/>
      <c r="CB314" s="321"/>
      <c r="CC314" s="718"/>
      <c r="CD314" s="549"/>
      <c r="CE314" s="321"/>
      <c r="CF314" s="718"/>
      <c r="CG314" s="549"/>
      <c r="CH314" s="321"/>
      <c r="CI314" s="718"/>
      <c r="CJ314" s="549"/>
      <c r="CK314" s="326"/>
      <c r="CL314" s="388"/>
    </row>
    <row r="315" spans="2:90" s="542" customFormat="1" ht="43.5" thickBot="1" x14ac:dyDescent="0.25">
      <c r="B315" s="1394"/>
      <c r="C315" s="1396"/>
      <c r="D315" s="606" t="str">
        <f>+'Plan de Accion 2018'!G86</f>
        <v>Manual de políticas especificas de seguridad y privacidad de la Información</v>
      </c>
      <c r="E315" s="1417"/>
      <c r="F315" s="769" t="str">
        <f>+'Plan de Accion 2018'!S86</f>
        <v># Manuales de políticas de Seguridad y Privacidad de la Información publicados</v>
      </c>
      <c r="G315" s="298"/>
      <c r="H315" s="749">
        <f>+'Plan de Accion 2018'!AB86</f>
        <v>0</v>
      </c>
      <c r="I315" s="751" t="str">
        <f>+'Plan de Accion 2018'!BM86</f>
        <v>No Prog ni Ejec</v>
      </c>
      <c r="J315" s="751" t="s">
        <v>792</v>
      </c>
      <c r="K315" s="751">
        <f>+'Plan de Accion 2018'!AF86</f>
        <v>0</v>
      </c>
      <c r="L315" s="873">
        <f t="shared" si="118"/>
        <v>0</v>
      </c>
      <c r="M315" s="849" t="s">
        <v>792</v>
      </c>
      <c r="N315" s="644"/>
      <c r="O315" s="749">
        <f>+'Plan de Accion 2018'!AL86</f>
        <v>0</v>
      </c>
      <c r="P315" s="751" t="str">
        <f>+'Plan de Accion 2018'!BO86</f>
        <v>No Prog ni Ejec</v>
      </c>
      <c r="Q315" s="629" t="s">
        <v>792</v>
      </c>
      <c r="R315" s="751">
        <f>+'Plan de Accion 2018'!AP86</f>
        <v>0</v>
      </c>
      <c r="S315" s="873">
        <f t="shared" si="119"/>
        <v>0</v>
      </c>
      <c r="T315" s="637" t="s">
        <v>792</v>
      </c>
      <c r="U315" s="329"/>
      <c r="V315" s="749">
        <f>+'Plan de Accion 2018'!AV86</f>
        <v>0</v>
      </c>
      <c r="W315" s="751" t="str">
        <f>+'Plan de Accion 2018'!BQ86</f>
        <v>No Prog ni Ejec</v>
      </c>
      <c r="X315" s="629" t="s">
        <v>792</v>
      </c>
      <c r="Y315" s="882">
        <f>+'Plan de Accion 2018'!AZ86</f>
        <v>0</v>
      </c>
      <c r="Z315" s="882">
        <f t="shared" si="120"/>
        <v>0</v>
      </c>
      <c r="AA315" s="883" t="s">
        <v>792</v>
      </c>
      <c r="AB315" s="644"/>
      <c r="AC315" s="749">
        <f>+'Plan de Accion 2018'!BF86</f>
        <v>1</v>
      </c>
      <c r="AD315" s="751">
        <f>+'Plan de Accion 2018'!BS86</f>
        <v>1</v>
      </c>
      <c r="AE315" s="629">
        <f>IF(AD315&gt;100%,100%,AD315)</f>
        <v>1</v>
      </c>
      <c r="AF315" s="751">
        <f>+'Plan de Accion 2018'!BJ86</f>
        <v>1</v>
      </c>
      <c r="AG315" s="637">
        <f t="shared" si="121"/>
        <v>1</v>
      </c>
      <c r="AH315" s="388"/>
      <c r="AI315" s="1014"/>
      <c r="AJ315" s="718"/>
      <c r="AK315" s="549"/>
      <c r="AL315" s="321"/>
      <c r="AM315" s="718"/>
      <c r="AN315" s="549"/>
      <c r="AO315" s="321"/>
      <c r="AP315" s="718"/>
      <c r="AQ315" s="549"/>
      <c r="AR315" s="321"/>
      <c r="AS315" s="718"/>
      <c r="AT315" s="549"/>
      <c r="AU315" s="326"/>
      <c r="AV315" s="388"/>
      <c r="AX315" s="718"/>
      <c r="AY315" s="549"/>
      <c r="AZ315" s="321"/>
      <c r="BA315" s="718"/>
      <c r="BB315" s="549"/>
      <c r="BC315" s="321"/>
      <c r="BD315" s="718"/>
      <c r="BE315" s="549"/>
      <c r="BF315" s="321"/>
      <c r="BG315" s="718"/>
      <c r="BH315" s="549"/>
      <c r="BI315" s="326"/>
      <c r="BJ315" s="388"/>
      <c r="BL315" s="718"/>
      <c r="BM315" s="549"/>
      <c r="BN315" s="321"/>
      <c r="BO315" s="718"/>
      <c r="BP315" s="549"/>
      <c r="BQ315" s="321"/>
      <c r="BR315" s="718"/>
      <c r="BS315" s="549"/>
      <c r="BT315" s="321"/>
      <c r="BU315" s="718"/>
      <c r="BV315" s="549"/>
      <c r="BW315" s="326"/>
      <c r="BX315" s="388"/>
      <c r="BZ315" s="718"/>
      <c r="CA315" s="549"/>
      <c r="CB315" s="321"/>
      <c r="CC315" s="718"/>
      <c r="CD315" s="549"/>
      <c r="CE315" s="321"/>
      <c r="CF315" s="718"/>
      <c r="CG315" s="549"/>
      <c r="CH315" s="321"/>
      <c r="CI315" s="718"/>
      <c r="CJ315" s="549"/>
      <c r="CK315" s="326"/>
      <c r="CL315" s="388"/>
    </row>
    <row r="316" spans="2:90" s="542" customFormat="1" ht="57.75" thickBot="1" x14ac:dyDescent="0.25">
      <c r="B316" s="1394"/>
      <c r="C316" s="1396"/>
      <c r="D316" s="606" t="str">
        <f>+'Plan de Accion 2018'!G87</f>
        <v>Procedimientos, manuales y guías de la Dirección de Gestión de Tecnologías de Información y Comunicaciones</v>
      </c>
      <c r="E316" s="1417"/>
      <c r="F316" s="769" t="str">
        <f>+'Plan de Accion 2018'!S87</f>
        <v>Procedimientos revisados y actualizados / Total procedimientos de la Dirección</v>
      </c>
      <c r="G316" s="298"/>
      <c r="H316" s="749">
        <f>+'Plan de Accion 2018'!AB87</f>
        <v>0</v>
      </c>
      <c r="I316" s="751" t="str">
        <f>+'Plan de Accion 2018'!BM87</f>
        <v>No Prog ni Ejec</v>
      </c>
      <c r="J316" s="751" t="s">
        <v>792</v>
      </c>
      <c r="K316" s="751">
        <f>+'Plan de Accion 2018'!AF87</f>
        <v>0</v>
      </c>
      <c r="L316" s="873">
        <f t="shared" si="118"/>
        <v>0</v>
      </c>
      <c r="M316" s="849" t="s">
        <v>792</v>
      </c>
      <c r="N316" s="644"/>
      <c r="O316" s="749">
        <f>+'Plan de Accion 2018'!AL87</f>
        <v>0</v>
      </c>
      <c r="P316" s="751" t="str">
        <f>+'Plan de Accion 2018'!BO87</f>
        <v>No Prog ni Ejec</v>
      </c>
      <c r="Q316" s="629" t="s">
        <v>792</v>
      </c>
      <c r="R316" s="751">
        <f>+'Plan de Accion 2018'!AP87</f>
        <v>0</v>
      </c>
      <c r="S316" s="873">
        <f t="shared" si="119"/>
        <v>0</v>
      </c>
      <c r="T316" s="637" t="s">
        <v>792</v>
      </c>
      <c r="U316" s="329"/>
      <c r="V316" s="749">
        <f>+'Plan de Accion 2018'!AV87</f>
        <v>0.53846153846153844</v>
      </c>
      <c r="W316" s="751">
        <f>+'Plan de Accion 2018'!BQ87</f>
        <v>2.1538461538461537</v>
      </c>
      <c r="X316" s="629">
        <f>IF(W316&gt;100%,100%,W316)</f>
        <v>1</v>
      </c>
      <c r="Y316" s="882">
        <f>+'Plan de Accion 2018'!AZ87</f>
        <v>0.53846153846153844</v>
      </c>
      <c r="Z316" s="882">
        <f t="shared" si="120"/>
        <v>0.53846153846153844</v>
      </c>
      <c r="AA316" s="883">
        <f>+Z316</f>
        <v>0.53846153846153844</v>
      </c>
      <c r="AB316" s="644">
        <v>1</v>
      </c>
      <c r="AC316" s="749">
        <f>+'Plan de Accion 2018'!BF87</f>
        <v>0.46160000000000001</v>
      </c>
      <c r="AD316" s="751">
        <f>+'Plan de Accion 2018'!BS87</f>
        <v>0.61546666666666672</v>
      </c>
      <c r="AE316" s="629">
        <f>IF(AD316&gt;100%,100%,AD316)</f>
        <v>0.61546666666666672</v>
      </c>
      <c r="AF316" s="751">
        <f>+'Plan de Accion 2018'!BJ87</f>
        <v>1.0000615384615386</v>
      </c>
      <c r="AG316" s="637">
        <f t="shared" si="121"/>
        <v>1</v>
      </c>
      <c r="AH316" s="388"/>
      <c r="AI316" s="1014"/>
      <c r="AJ316" s="718"/>
      <c r="AK316" s="549"/>
      <c r="AL316" s="321"/>
      <c r="AM316" s="718"/>
      <c r="AN316" s="549"/>
      <c r="AO316" s="321"/>
      <c r="AP316" s="718"/>
      <c r="AQ316" s="549"/>
      <c r="AR316" s="321"/>
      <c r="AS316" s="718"/>
      <c r="AT316" s="549"/>
      <c r="AU316" s="326"/>
      <c r="AV316" s="388"/>
      <c r="AX316" s="718"/>
      <c r="AY316" s="549"/>
      <c r="AZ316" s="321"/>
      <c r="BA316" s="718"/>
      <c r="BB316" s="549"/>
      <c r="BC316" s="321"/>
      <c r="BD316" s="718"/>
      <c r="BE316" s="549"/>
      <c r="BF316" s="321"/>
      <c r="BG316" s="718"/>
      <c r="BH316" s="549"/>
      <c r="BI316" s="326"/>
      <c r="BJ316" s="388"/>
      <c r="BL316" s="718"/>
      <c r="BM316" s="549"/>
      <c r="BN316" s="321"/>
      <c r="BO316" s="718"/>
      <c r="BP316" s="549"/>
      <c r="BQ316" s="321"/>
      <c r="BR316" s="718"/>
      <c r="BS316" s="549"/>
      <c r="BT316" s="321"/>
      <c r="BU316" s="718"/>
      <c r="BV316" s="549"/>
      <c r="BW316" s="326"/>
      <c r="BX316" s="388"/>
      <c r="BZ316" s="718"/>
      <c r="CA316" s="549"/>
      <c r="CB316" s="321"/>
      <c r="CC316" s="718"/>
      <c r="CD316" s="549"/>
      <c r="CE316" s="321"/>
      <c r="CF316" s="718"/>
      <c r="CG316" s="549"/>
      <c r="CH316" s="321"/>
      <c r="CI316" s="718"/>
      <c r="CJ316" s="549"/>
      <c r="CK316" s="326"/>
      <c r="CL316" s="388"/>
    </row>
    <row r="317" spans="2:90" s="542" customFormat="1" ht="43.5" thickBot="1" x14ac:dyDescent="0.25">
      <c r="B317" s="1394"/>
      <c r="C317" s="1396"/>
      <c r="D317" s="606" t="str">
        <f>+'Plan de Accion 2018'!G88</f>
        <v>Política de administración integral de riesgos</v>
      </c>
      <c r="E317" s="1417"/>
      <c r="F317" s="769" t="str">
        <f>+'Plan de Accion 2018'!S88</f>
        <v># Documentos de Política de Administración integral de Riesgos</v>
      </c>
      <c r="G317" s="298"/>
      <c r="H317" s="749">
        <f>+'Plan de Accion 2018'!AB88</f>
        <v>0</v>
      </c>
      <c r="I317" s="751" t="str">
        <f>+'Plan de Accion 2018'!BM88</f>
        <v>No Prog ni Ejec</v>
      </c>
      <c r="J317" s="751" t="s">
        <v>792</v>
      </c>
      <c r="K317" s="751">
        <f>+'Plan de Accion 2018'!AF88</f>
        <v>0</v>
      </c>
      <c r="L317" s="873">
        <f t="shared" si="118"/>
        <v>0</v>
      </c>
      <c r="M317" s="849" t="s">
        <v>792</v>
      </c>
      <c r="N317" s="644"/>
      <c r="O317" s="749">
        <f>+'Plan de Accion 2018'!AL88</f>
        <v>0</v>
      </c>
      <c r="P317" s="751" t="str">
        <f>+'Plan de Accion 2018'!BO88</f>
        <v>No Prog ni Ejec</v>
      </c>
      <c r="Q317" s="629" t="s">
        <v>792</v>
      </c>
      <c r="R317" s="751">
        <f>+'Plan de Accion 2018'!AP88</f>
        <v>0</v>
      </c>
      <c r="S317" s="873">
        <f t="shared" si="119"/>
        <v>0</v>
      </c>
      <c r="T317" s="637" t="s">
        <v>792</v>
      </c>
      <c r="U317" s="329"/>
      <c r="V317" s="749">
        <f>+'Plan de Accion 2018'!AV88</f>
        <v>0</v>
      </c>
      <c r="W317" s="751">
        <f>+'Plan de Accion 2018'!BQ88</f>
        <v>0</v>
      </c>
      <c r="X317" s="629">
        <f>IF(W317&gt;100%,100%,W317)</f>
        <v>0</v>
      </c>
      <c r="Y317" s="882">
        <f>+'Plan de Accion 2018'!AZ88</f>
        <v>0</v>
      </c>
      <c r="Z317" s="882">
        <f t="shared" si="120"/>
        <v>0</v>
      </c>
      <c r="AA317" s="883">
        <f>+Z317</f>
        <v>0</v>
      </c>
      <c r="AB317" s="644"/>
      <c r="AC317" s="749">
        <f>+'Plan de Accion 2018'!BF88</f>
        <v>0</v>
      </c>
      <c r="AD317" s="751" t="str">
        <f>+'Plan de Accion 2018'!BS88</f>
        <v>No Prog ni Ejec</v>
      </c>
      <c r="AE317" s="629" t="s">
        <v>792</v>
      </c>
      <c r="AF317" s="751">
        <f>+'Plan de Accion 2018'!BJ88</f>
        <v>0</v>
      </c>
      <c r="AG317" s="637">
        <f t="shared" si="121"/>
        <v>0</v>
      </c>
      <c r="AH317" s="388"/>
      <c r="AI317" s="1014"/>
      <c r="AJ317" s="718"/>
      <c r="AK317" s="549"/>
      <c r="AL317" s="321"/>
      <c r="AM317" s="718"/>
      <c r="AN317" s="549"/>
      <c r="AO317" s="321"/>
      <c r="AP317" s="718"/>
      <c r="AQ317" s="549"/>
      <c r="AR317" s="321"/>
      <c r="AS317" s="718"/>
      <c r="AT317" s="549"/>
      <c r="AU317" s="326"/>
      <c r="AV317" s="388"/>
      <c r="AX317" s="718"/>
      <c r="AY317" s="549"/>
      <c r="AZ317" s="321"/>
      <c r="BA317" s="718"/>
      <c r="BB317" s="549"/>
      <c r="BC317" s="321"/>
      <c r="BD317" s="718"/>
      <c r="BE317" s="549"/>
      <c r="BF317" s="321"/>
      <c r="BG317" s="718"/>
      <c r="BH317" s="549"/>
      <c r="BI317" s="326"/>
      <c r="BJ317" s="388"/>
      <c r="BL317" s="718"/>
      <c r="BM317" s="549"/>
      <c r="BN317" s="321"/>
      <c r="BO317" s="718"/>
      <c r="BP317" s="549"/>
      <c r="BQ317" s="321"/>
      <c r="BR317" s="718"/>
      <c r="BS317" s="549"/>
      <c r="BT317" s="321"/>
      <c r="BU317" s="718"/>
      <c r="BV317" s="549"/>
      <c r="BW317" s="326"/>
      <c r="BX317" s="388"/>
      <c r="BZ317" s="718"/>
      <c r="CA317" s="549"/>
      <c r="CB317" s="321"/>
      <c r="CC317" s="718"/>
      <c r="CD317" s="549"/>
      <c r="CE317" s="321"/>
      <c r="CF317" s="718"/>
      <c r="CG317" s="549"/>
      <c r="CH317" s="321"/>
      <c r="CI317" s="718"/>
      <c r="CJ317" s="549"/>
      <c r="CK317" s="326"/>
      <c r="CL317" s="388"/>
    </row>
    <row r="318" spans="2:90" s="542" customFormat="1" ht="86.25" thickBot="1" x14ac:dyDescent="0.25">
      <c r="B318" s="1394"/>
      <c r="C318" s="1396"/>
      <c r="D318" s="606" t="str">
        <f>+'Plan de Accion 2018'!G89</f>
        <v>Herramientas de administración de riesgos</v>
      </c>
      <c r="E318" s="1417"/>
      <c r="F318" s="769" t="str">
        <f>+'Plan de Accion 2018'!S89</f>
        <v># Herramientas de administración de riesgos actualizadas  / Total Herramientas de administración de riesgos implementadas</v>
      </c>
      <c r="G318" s="298"/>
      <c r="H318" s="749">
        <f>+'Plan de Accion 2018'!AB89</f>
        <v>0</v>
      </c>
      <c r="I318" s="751" t="str">
        <f>+'Plan de Accion 2018'!BM89</f>
        <v>No Prog ni Ejec</v>
      </c>
      <c r="J318" s="751" t="s">
        <v>792</v>
      </c>
      <c r="K318" s="751">
        <f>+'Plan de Accion 2018'!AF89</f>
        <v>0</v>
      </c>
      <c r="L318" s="873">
        <f t="shared" si="118"/>
        <v>0</v>
      </c>
      <c r="M318" s="849" t="s">
        <v>792</v>
      </c>
      <c r="N318" s="644"/>
      <c r="O318" s="749">
        <f>+'Plan de Accion 2018'!AL89</f>
        <v>0</v>
      </c>
      <c r="P318" s="751" t="str">
        <f>+'Plan de Accion 2018'!BO89</f>
        <v>No Prog ni Ejec</v>
      </c>
      <c r="Q318" s="629" t="s">
        <v>792</v>
      </c>
      <c r="R318" s="751">
        <f>+'Plan de Accion 2018'!AP89</f>
        <v>0</v>
      </c>
      <c r="S318" s="873">
        <f t="shared" si="119"/>
        <v>0</v>
      </c>
      <c r="T318" s="637" t="s">
        <v>792</v>
      </c>
      <c r="U318" s="329"/>
      <c r="V318" s="749">
        <f>+'Plan de Accion 2018'!AV89</f>
        <v>0</v>
      </c>
      <c r="W318" s="751" t="str">
        <f>+'Plan de Accion 2018'!BQ89</f>
        <v>No Prog ni Ejec</v>
      </c>
      <c r="X318" s="629" t="s">
        <v>792</v>
      </c>
      <c r="Y318" s="882">
        <f>+'Plan de Accion 2018'!AZ89</f>
        <v>0</v>
      </c>
      <c r="Z318" s="882">
        <f t="shared" si="120"/>
        <v>0</v>
      </c>
      <c r="AA318" s="883" t="s">
        <v>792</v>
      </c>
      <c r="AB318" s="644"/>
      <c r="AC318" s="749">
        <f>+'Plan de Accion 2018'!BF89</f>
        <v>0</v>
      </c>
      <c r="AD318" s="751">
        <f>+'Plan de Accion 2018'!BS89</f>
        <v>0</v>
      </c>
      <c r="AE318" s="629">
        <f>IF(AD318&gt;100%,100%,AD318)</f>
        <v>0</v>
      </c>
      <c r="AF318" s="751">
        <f>+'Plan de Accion 2018'!BJ89</f>
        <v>0</v>
      </c>
      <c r="AG318" s="637">
        <f t="shared" si="121"/>
        <v>0</v>
      </c>
      <c r="AH318" s="388"/>
      <c r="AI318" s="1014"/>
      <c r="AJ318" s="718"/>
      <c r="AK318" s="549"/>
      <c r="AL318" s="321"/>
      <c r="AM318" s="718"/>
      <c r="AN318" s="549"/>
      <c r="AO318" s="321"/>
      <c r="AP318" s="718"/>
      <c r="AQ318" s="549"/>
      <c r="AR318" s="321"/>
      <c r="AS318" s="718"/>
      <c r="AT318" s="549"/>
      <c r="AU318" s="326"/>
      <c r="AV318" s="388"/>
      <c r="AX318" s="718"/>
      <c r="AY318" s="549"/>
      <c r="AZ318" s="321"/>
      <c r="BA318" s="718"/>
      <c r="BB318" s="549"/>
      <c r="BC318" s="321"/>
      <c r="BD318" s="718"/>
      <c r="BE318" s="549"/>
      <c r="BF318" s="321"/>
      <c r="BG318" s="718"/>
      <c r="BH318" s="549"/>
      <c r="BI318" s="326"/>
      <c r="BJ318" s="388"/>
      <c r="BL318" s="718"/>
      <c r="BM318" s="549"/>
      <c r="BN318" s="321"/>
      <c r="BO318" s="718"/>
      <c r="BP318" s="549"/>
      <c r="BQ318" s="321"/>
      <c r="BR318" s="718"/>
      <c r="BS318" s="549"/>
      <c r="BT318" s="321"/>
      <c r="BU318" s="718"/>
      <c r="BV318" s="549"/>
      <c r="BW318" s="326"/>
      <c r="BX318" s="388"/>
      <c r="BZ318" s="718"/>
      <c r="CA318" s="549"/>
      <c r="CB318" s="321"/>
      <c r="CC318" s="718"/>
      <c r="CD318" s="549"/>
      <c r="CE318" s="321"/>
      <c r="CF318" s="718"/>
      <c r="CG318" s="549"/>
      <c r="CH318" s="321"/>
      <c r="CI318" s="718"/>
      <c r="CJ318" s="549"/>
      <c r="CK318" s="326"/>
      <c r="CL318" s="388"/>
    </row>
    <row r="319" spans="2:90" s="542" customFormat="1" ht="57.75" thickBot="1" x14ac:dyDescent="0.25">
      <c r="B319" s="1394"/>
      <c r="C319" s="1396"/>
      <c r="D319" s="606" t="str">
        <f>+'Plan de Accion 2018'!G90</f>
        <v>Mapas de riesgos de los procesos actualizados</v>
      </c>
      <c r="E319" s="1417"/>
      <c r="F319" s="769" t="str">
        <f>+'Plan de Accion 2018'!S90</f>
        <v># Mapas de riesgos actualizados por proceso / Total de mapas de riesgos por procesos</v>
      </c>
      <c r="G319" s="298"/>
      <c r="H319" s="749">
        <f>+'Plan de Accion 2018'!AB90</f>
        <v>0</v>
      </c>
      <c r="I319" s="751" t="str">
        <f>+'Plan de Accion 2018'!BM90</f>
        <v>No Prog ni Ejec</v>
      </c>
      <c r="J319" s="751" t="s">
        <v>792</v>
      </c>
      <c r="K319" s="751">
        <f>+'Plan de Accion 2018'!AF90</f>
        <v>0</v>
      </c>
      <c r="L319" s="873">
        <f t="shared" si="118"/>
        <v>0</v>
      </c>
      <c r="M319" s="849" t="s">
        <v>792</v>
      </c>
      <c r="N319" s="644"/>
      <c r="O319" s="749">
        <f>+'Plan de Accion 2018'!AL90</f>
        <v>0</v>
      </c>
      <c r="P319" s="751" t="str">
        <f>+'Plan de Accion 2018'!BO90</f>
        <v>No Prog ni Ejec</v>
      </c>
      <c r="Q319" s="629" t="s">
        <v>792</v>
      </c>
      <c r="R319" s="751">
        <f>+'Plan de Accion 2018'!AP90</f>
        <v>0</v>
      </c>
      <c r="S319" s="873">
        <f t="shared" si="119"/>
        <v>0</v>
      </c>
      <c r="T319" s="637" t="s">
        <v>792</v>
      </c>
      <c r="U319" s="329"/>
      <c r="V319" s="749">
        <f>+'Plan de Accion 2018'!AV90</f>
        <v>0</v>
      </c>
      <c r="W319" s="751" t="str">
        <f>+'Plan de Accion 2018'!BQ90</f>
        <v>No Prog ni Ejec</v>
      </c>
      <c r="X319" s="629" t="s">
        <v>792</v>
      </c>
      <c r="Y319" s="882">
        <f>+'Plan de Accion 2018'!AZ90</f>
        <v>0</v>
      </c>
      <c r="Z319" s="882">
        <f t="shared" si="120"/>
        <v>0</v>
      </c>
      <c r="AA319" s="883" t="s">
        <v>792</v>
      </c>
      <c r="AB319" s="644"/>
      <c r="AC319" s="749">
        <f>+'Plan de Accion 2018'!BF90</f>
        <v>0</v>
      </c>
      <c r="AD319" s="751">
        <f>+'Plan de Accion 2018'!BS90</f>
        <v>0</v>
      </c>
      <c r="AE319" s="629">
        <f>IF(AD319&gt;100%,100%,AD319)</f>
        <v>0</v>
      </c>
      <c r="AF319" s="751">
        <f>+'Plan de Accion 2018'!BJ90</f>
        <v>0</v>
      </c>
      <c r="AG319" s="637">
        <f t="shared" si="121"/>
        <v>0</v>
      </c>
      <c r="AH319" s="388"/>
      <c r="AI319" s="1014"/>
      <c r="AJ319" s="718"/>
      <c r="AK319" s="549"/>
      <c r="AL319" s="321"/>
      <c r="AM319" s="718"/>
      <c r="AN319" s="549"/>
      <c r="AO319" s="321"/>
      <c r="AP319" s="718"/>
      <c r="AQ319" s="549"/>
      <c r="AR319" s="321"/>
      <c r="AS319" s="718"/>
      <c r="AT319" s="549"/>
      <c r="AU319" s="326"/>
      <c r="AV319" s="388"/>
      <c r="AX319" s="718"/>
      <c r="AY319" s="549"/>
      <c r="AZ319" s="321"/>
      <c r="BA319" s="718"/>
      <c r="BB319" s="549"/>
      <c r="BC319" s="321"/>
      <c r="BD319" s="718"/>
      <c r="BE319" s="549"/>
      <c r="BF319" s="321"/>
      <c r="BG319" s="718"/>
      <c r="BH319" s="549"/>
      <c r="BI319" s="326"/>
      <c r="BJ319" s="388"/>
      <c r="BL319" s="718"/>
      <c r="BM319" s="549"/>
      <c r="BN319" s="321"/>
      <c r="BO319" s="718"/>
      <c r="BP319" s="549"/>
      <c r="BQ319" s="321"/>
      <c r="BR319" s="718"/>
      <c r="BS319" s="549"/>
      <c r="BT319" s="321"/>
      <c r="BU319" s="718"/>
      <c r="BV319" s="549"/>
      <c r="BW319" s="326"/>
      <c r="BX319" s="388"/>
      <c r="BZ319" s="718"/>
      <c r="CA319" s="549"/>
      <c r="CB319" s="321"/>
      <c r="CC319" s="718"/>
      <c r="CD319" s="549"/>
      <c r="CE319" s="321"/>
      <c r="CF319" s="718"/>
      <c r="CG319" s="549"/>
      <c r="CH319" s="321"/>
      <c r="CI319" s="718"/>
      <c r="CJ319" s="549"/>
      <c r="CK319" s="326"/>
      <c r="CL319" s="388"/>
    </row>
    <row r="320" spans="2:90" ht="114.75" thickBot="1" x14ac:dyDescent="0.25">
      <c r="B320" s="1394"/>
      <c r="C320" s="1397"/>
      <c r="D320" s="770" t="str">
        <f>+'Plan de Accion 2018'!G93</f>
        <v>Implementar estrategias, instrumentos y herramientas con aplicación de tecnologías de la información y las comunicaciones para brindar de manera constante y permanente un buen servicio al ciudadano y a las entidades del Sector.</v>
      </c>
      <c r="E320" s="1417"/>
      <c r="F320" s="344" t="str">
        <f>+'Plan de Accion 2018'!S93</f>
        <v># herramientas, instrumentos y/o herramientas implementados / # herramientas, instrumentos y/o herramientas requeridos</v>
      </c>
      <c r="H320" s="543">
        <f>+'Plan de Accion 2018'!AB93</f>
        <v>0.33333333333333331</v>
      </c>
      <c r="I320" s="767">
        <f>+'Plan de Accion 2018'!BM93</f>
        <v>2.6234051039565416</v>
      </c>
      <c r="J320" s="767">
        <f>IF(I320&gt;100%,100%,I320)</f>
        <v>1</v>
      </c>
      <c r="K320" s="767">
        <f>+'Plan de Accion 2018'!AF93</f>
        <v>0.33333333333333331</v>
      </c>
      <c r="L320" s="873">
        <f t="shared" si="118"/>
        <v>0.33333333333333331</v>
      </c>
      <c r="M320" s="682">
        <f>+L320</f>
        <v>0.33333333333333331</v>
      </c>
      <c r="N320" s="644"/>
      <c r="O320" s="543">
        <f>+'Plan de Accion 2018'!AL93</f>
        <v>0.33333333333333331</v>
      </c>
      <c r="P320" s="767">
        <f>+'Plan de Accion 2018'!BO93</f>
        <v>1.4543339150668995</v>
      </c>
      <c r="Q320" s="629">
        <f>IF(P320&gt;100%,100%,P320)</f>
        <v>1</v>
      </c>
      <c r="R320" s="751">
        <f>+'Plan de Accion 2018'!AP93</f>
        <v>0.66666666666666663</v>
      </c>
      <c r="S320" s="873">
        <f t="shared" si="119"/>
        <v>0.66666666666666663</v>
      </c>
      <c r="T320" s="637">
        <f>+S320</f>
        <v>0.66666666666666663</v>
      </c>
      <c r="U320" s="329"/>
      <c r="V320" s="543">
        <f>+'Plan de Accion 2018'!AV93</f>
        <v>0</v>
      </c>
      <c r="W320" s="767">
        <f>+'Plan de Accion 2018'!BQ93</f>
        <v>0</v>
      </c>
      <c r="X320" s="629">
        <f>IF(W320&gt;100%,100%,W320)</f>
        <v>0</v>
      </c>
      <c r="Y320" s="882">
        <f>+'Plan de Accion 2018'!AZ93</f>
        <v>0.66666666666666663</v>
      </c>
      <c r="Z320" s="882">
        <f t="shared" si="120"/>
        <v>0.66666666666666663</v>
      </c>
      <c r="AA320" s="883">
        <f>+Z320</f>
        <v>0.66666666666666663</v>
      </c>
      <c r="AB320" s="644"/>
      <c r="AC320" s="543">
        <f>+'Plan de Accion 2018'!BF93</f>
        <v>0.33333333333333331</v>
      </c>
      <c r="AD320" s="767">
        <f>+'Plan de Accion 2018'!BS93</f>
        <v>1.1036114343899808</v>
      </c>
      <c r="AE320" s="629">
        <f>IF(AD320&gt;100%,100%,AD320)</f>
        <v>1</v>
      </c>
      <c r="AF320" s="767">
        <f>+'Plan de Accion 2018'!BJ93</f>
        <v>1</v>
      </c>
      <c r="AG320" s="637">
        <f>IF(AF320&gt;100%,100%,AF320)</f>
        <v>1</v>
      </c>
      <c r="AH320" s="388"/>
      <c r="AJ320" s="389"/>
      <c r="AK320" s="390"/>
      <c r="AL320" s="321"/>
      <c r="AM320" s="389"/>
      <c r="AN320" s="390"/>
      <c r="AO320" s="321"/>
      <c r="AP320" s="389"/>
      <c r="AQ320" s="390"/>
      <c r="AR320" s="321"/>
      <c r="AS320" s="389"/>
      <c r="AT320" s="390"/>
      <c r="AU320" s="326"/>
      <c r="AV320" s="388"/>
      <c r="AX320" s="389"/>
      <c r="AY320" s="390"/>
      <c r="AZ320" s="321"/>
      <c r="BA320" s="389"/>
      <c r="BB320" s="390"/>
      <c r="BC320" s="321"/>
      <c r="BD320" s="389"/>
      <c r="BE320" s="390"/>
      <c r="BF320" s="321"/>
      <c r="BG320" s="389"/>
      <c r="BH320" s="390"/>
      <c r="BI320" s="326"/>
      <c r="BJ320" s="388"/>
      <c r="BL320" s="389"/>
      <c r="BM320" s="390"/>
      <c r="BN320" s="321"/>
      <c r="BO320" s="389"/>
      <c r="BP320" s="390"/>
      <c r="BQ320" s="321"/>
      <c r="BR320" s="389"/>
      <c r="BS320" s="390"/>
      <c r="BT320" s="321"/>
      <c r="BU320" s="389"/>
      <c r="BV320" s="390"/>
      <c r="BW320" s="326"/>
      <c r="BX320" s="388"/>
      <c r="BZ320" s="389"/>
      <c r="CA320" s="390"/>
      <c r="CB320" s="321"/>
      <c r="CC320" s="389"/>
      <c r="CD320" s="390"/>
      <c r="CE320" s="321"/>
      <c r="CF320" s="389"/>
      <c r="CG320" s="390"/>
      <c r="CH320" s="321"/>
      <c r="CI320" s="389"/>
      <c r="CJ320" s="390"/>
      <c r="CK320" s="326"/>
      <c r="CL320" s="388"/>
    </row>
    <row r="321" spans="2:90" ht="43.5" thickBot="1" x14ac:dyDescent="0.25">
      <c r="B321" s="1394"/>
      <c r="C321" s="1398"/>
      <c r="D321" s="607" t="str">
        <f>+'Plan de Accion 2018'!K94</f>
        <v>Desarrollo de nuevos Sistemas de información</v>
      </c>
      <c r="E321" s="1417"/>
      <c r="F321" s="773" t="str">
        <f>+'Plan de Accion 2018'!S94</f>
        <v># sistemas de información desarrollados / # sistemas de información requeridos</v>
      </c>
      <c r="H321" s="748">
        <f>+'Plan de Accion 2018'!AB94</f>
        <v>0</v>
      </c>
      <c r="I321" s="750" t="str">
        <f>+'Plan de Accion 2018'!BM94</f>
        <v>No Prog ni Ejec</v>
      </c>
      <c r="J321" s="750" t="s">
        <v>792</v>
      </c>
      <c r="K321" s="750">
        <f>+'Plan de Accion 2018'!AF94</f>
        <v>0</v>
      </c>
      <c r="L321" s="873">
        <f t="shared" si="118"/>
        <v>0</v>
      </c>
      <c r="M321" s="849" t="s">
        <v>792</v>
      </c>
      <c r="N321" s="644"/>
      <c r="O321" s="748">
        <f>+'Plan de Accion 2018'!AL94</f>
        <v>0</v>
      </c>
      <c r="P321" s="750">
        <f>+'Plan de Accion 2018'!BO94</f>
        <v>0</v>
      </c>
      <c r="Q321" s="631">
        <f>IF(P321&gt;100%,100%,P321)</f>
        <v>0</v>
      </c>
      <c r="R321" s="751">
        <f>+'Plan de Accion 2018'!AP94</f>
        <v>0</v>
      </c>
      <c r="S321" s="873">
        <f t="shared" si="119"/>
        <v>0</v>
      </c>
      <c r="T321" s="637">
        <f>+S321</f>
        <v>0</v>
      </c>
      <c r="U321" s="329"/>
      <c r="V321" s="748">
        <f>+'Plan de Accion 2018'!AV94</f>
        <v>0</v>
      </c>
      <c r="W321" s="750" t="str">
        <f>+'Plan de Accion 2018'!BQ94</f>
        <v>No Prog ni Ejec</v>
      </c>
      <c r="X321" s="629" t="s">
        <v>792</v>
      </c>
      <c r="Y321" s="882">
        <f>+'Plan de Accion 2018'!AZ94</f>
        <v>0</v>
      </c>
      <c r="Z321" s="882">
        <f t="shared" si="120"/>
        <v>0</v>
      </c>
      <c r="AA321" s="883">
        <f>+Z321</f>
        <v>0</v>
      </c>
      <c r="AB321" s="644"/>
      <c r="AC321" s="748">
        <f>+'Plan de Accion 2018'!BF94</f>
        <v>0</v>
      </c>
      <c r="AD321" s="750" t="str">
        <f>+'Plan de Accion 2018'!BS94</f>
        <v>No Prog ni Ejec</v>
      </c>
      <c r="AE321" s="629" t="s">
        <v>792</v>
      </c>
      <c r="AF321" s="750">
        <f>+'Plan de Accion 2018'!BJ94</f>
        <v>0</v>
      </c>
      <c r="AG321" s="637" t="s">
        <v>792</v>
      </c>
      <c r="AH321" s="388"/>
      <c r="AJ321" s="389"/>
      <c r="AK321" s="390"/>
      <c r="AL321" s="321"/>
      <c r="AM321" s="389"/>
      <c r="AN321" s="390"/>
      <c r="AO321" s="321"/>
      <c r="AP321" s="389"/>
      <c r="AQ321" s="390"/>
      <c r="AR321" s="321"/>
      <c r="AS321" s="389"/>
      <c r="AT321" s="390"/>
      <c r="AU321" s="326"/>
      <c r="AV321" s="388"/>
      <c r="AX321" s="389"/>
      <c r="AY321" s="390"/>
      <c r="AZ321" s="321"/>
      <c r="BA321" s="389"/>
      <c r="BB321" s="390"/>
      <c r="BC321" s="321"/>
      <c r="BD321" s="389"/>
      <c r="BE321" s="390"/>
      <c r="BF321" s="321"/>
      <c r="BG321" s="389"/>
      <c r="BH321" s="390"/>
      <c r="BI321" s="326"/>
      <c r="BJ321" s="388"/>
      <c r="BL321" s="389"/>
      <c r="BM321" s="390"/>
      <c r="BN321" s="321"/>
      <c r="BO321" s="389"/>
      <c r="BP321" s="390"/>
      <c r="BQ321" s="321"/>
      <c r="BR321" s="389"/>
      <c r="BS321" s="390"/>
      <c r="BT321" s="321"/>
      <c r="BU321" s="389"/>
      <c r="BV321" s="390"/>
      <c r="BW321" s="326"/>
      <c r="BX321" s="388"/>
      <c r="BZ321" s="389"/>
      <c r="CA321" s="390"/>
      <c r="CB321" s="321"/>
      <c r="CC321" s="389"/>
      <c r="CD321" s="390"/>
      <c r="CE321" s="321"/>
      <c r="CF321" s="389"/>
      <c r="CG321" s="390"/>
      <c r="CH321" s="321"/>
      <c r="CI321" s="389"/>
      <c r="CJ321" s="390"/>
      <c r="CK321" s="326"/>
      <c r="CL321" s="388"/>
    </row>
    <row r="322" spans="2:90" ht="15.75" thickBot="1" x14ac:dyDescent="0.25">
      <c r="B322" s="1393"/>
      <c r="C322" s="1433" t="s">
        <v>811</v>
      </c>
      <c r="D322" s="1434"/>
      <c r="E322" s="1434"/>
      <c r="F322" s="1435"/>
      <c r="H322" s="346" t="s">
        <v>792</v>
      </c>
      <c r="I322" s="332">
        <f>SUM(I308:I321)/COUNT(I308:I321)</f>
        <v>2.6234051039565416</v>
      </c>
      <c r="J322" s="332">
        <f t="shared" ref="J322:J328" si="122">IF(I322&gt;100%,100%,I322)</f>
        <v>1</v>
      </c>
      <c r="K322" s="332">
        <f>SUM(K308:K321)/COUNT(K308:K321)</f>
        <v>2.3809523809523808E-2</v>
      </c>
      <c r="L322" s="332">
        <f>SUM(L308:L321)/COUNT(L308:L321)</f>
        <v>2.3809523809523808E-2</v>
      </c>
      <c r="M322" s="334">
        <f>SUM(M308:M321)/COUNT(M308:M321)</f>
        <v>0.33333333333333331</v>
      </c>
      <c r="N322" s="692"/>
      <c r="O322" s="346" t="s">
        <v>792</v>
      </c>
      <c r="P322" s="635">
        <f>SUM(P308:P321)/COUNT(P308:P321)</f>
        <v>0.49086678301337994</v>
      </c>
      <c r="Q322" s="635">
        <f>SUM(Q308:Q321)/COUNT(Q308:Q321)</f>
        <v>0.4</v>
      </c>
      <c r="R322" s="639">
        <f>SUM(R308:R321)/COUNT(R308:R321)</f>
        <v>5.904761904761905E-2</v>
      </c>
      <c r="S322" s="873">
        <f t="shared" si="119"/>
        <v>5.904761904761905E-2</v>
      </c>
      <c r="T322" s="645">
        <f>SUM(T308:T321)/COUNT(T308:T321)</f>
        <v>0.16533333333333333</v>
      </c>
      <c r="U322" s="354"/>
      <c r="V322" s="346" t="s">
        <v>792</v>
      </c>
      <c r="W322" s="332">
        <f>SUM(W308:W321)/COUNT(W308:W321)</f>
        <v>1.1767399267399268</v>
      </c>
      <c r="X322" s="332">
        <f>SUM(X308:X321)/COUNT(X308:X321)</f>
        <v>0.42857142857142855</v>
      </c>
      <c r="Y322" s="635">
        <f>SUM(Y308:Y321)/COUNT(Y308:Y321)</f>
        <v>0.21655677655677655</v>
      </c>
      <c r="Z322" s="332">
        <f>SUM(Z308:Z321)/COUNT(Z308:Z321)</f>
        <v>0.21655677655677655</v>
      </c>
      <c r="AA322" s="334">
        <f>SUM(AA308:AA321)/COUNT(AA308:AA321)</f>
        <v>0.33686609686609681</v>
      </c>
      <c r="AB322" s="692"/>
      <c r="AC322" s="346" t="s">
        <v>792</v>
      </c>
      <c r="AD322" s="332">
        <f>SUM(AD308:AD321)/COUNT(AD308:AD321)</f>
        <v>0.96878645567296084</v>
      </c>
      <c r="AE322" s="332">
        <f>SUM(AE308:AE321)/COUNT(AE308:AE321)</f>
        <v>0.62394074074074068</v>
      </c>
      <c r="AF322" s="635">
        <f>SUM(AF308:AF321)/COUNT(AF308:AF321)</f>
        <v>0.7019091575091575</v>
      </c>
      <c r="AG322" s="334">
        <f>SUM(AG308:AG321)/COUNT(AG308:AG321)</f>
        <v>0.75589743589743585</v>
      </c>
      <c r="AH322" s="388"/>
      <c r="AJ322" s="389"/>
      <c r="AK322" s="390"/>
      <c r="AL322" s="321"/>
      <c r="AM322" s="389"/>
      <c r="AN322" s="390"/>
      <c r="AO322" s="321"/>
      <c r="AP322" s="389"/>
      <c r="AQ322" s="390"/>
      <c r="AR322" s="321"/>
      <c r="AS322" s="389"/>
      <c r="AT322" s="390"/>
      <c r="AU322" s="326"/>
      <c r="AV322" s="388"/>
      <c r="AX322" s="389"/>
      <c r="AY322" s="390"/>
      <c r="AZ322" s="321"/>
      <c r="BA322" s="389"/>
      <c r="BB322" s="390"/>
      <c r="BC322" s="321"/>
      <c r="BD322" s="389"/>
      <c r="BE322" s="390"/>
      <c r="BF322" s="321"/>
      <c r="BG322" s="389"/>
      <c r="BH322" s="390"/>
      <c r="BI322" s="326"/>
      <c r="BJ322" s="388"/>
      <c r="BL322" s="389"/>
      <c r="BM322" s="390"/>
      <c r="BN322" s="321"/>
      <c r="BO322" s="389"/>
      <c r="BP322" s="390"/>
      <c r="BQ322" s="321"/>
      <c r="BR322" s="389"/>
      <c r="BS322" s="390"/>
      <c r="BT322" s="321"/>
      <c r="BU322" s="389"/>
      <c r="BV322" s="390"/>
      <c r="BW322" s="326"/>
      <c r="BX322" s="388"/>
      <c r="BZ322" s="389"/>
      <c r="CA322" s="390"/>
      <c r="CB322" s="321"/>
      <c r="CC322" s="389"/>
      <c r="CD322" s="390"/>
      <c r="CE322" s="321"/>
      <c r="CF322" s="389"/>
      <c r="CG322" s="390"/>
      <c r="CH322" s="321"/>
      <c r="CI322" s="389"/>
      <c r="CJ322" s="390"/>
      <c r="CK322" s="326"/>
      <c r="CL322" s="388"/>
    </row>
    <row r="323" spans="2:90" ht="72" thickBot="1" x14ac:dyDescent="0.25">
      <c r="B323" s="1394"/>
      <c r="C323" s="1414" t="s">
        <v>146</v>
      </c>
      <c r="D323" s="759" t="str">
        <f>+'Plan de Accion 2018'!G72</f>
        <v>Apoyos técnicos entregados a la OAJ en recobros y reclamaciones una vez son resueltos por la Dirección de Tecnología de la Información</v>
      </c>
      <c r="E323" s="759" t="str">
        <f>+'Plan de Accion 2018'!B72</f>
        <v xml:space="preserve">Dirección de Otras Prestaciones  </v>
      </c>
      <c r="F323" s="382" t="str">
        <f>+'Plan de Accion 2018'!S72</f>
        <v># Apoyos Técnicos Entregados a la OAJ / # Apoyos Técnicos resueltos por la Dirección de Tecnología</v>
      </c>
      <c r="H323" s="749">
        <f>+'Plan de Accion 2018'!AB72</f>
        <v>0.25</v>
      </c>
      <c r="I323" s="751">
        <f>+'Plan de Accion 2018'!BM72</f>
        <v>1</v>
      </c>
      <c r="J323" s="751">
        <f t="shared" si="122"/>
        <v>1</v>
      </c>
      <c r="K323" s="751">
        <f>+'Plan de Accion 2018'!AF72</f>
        <v>0.25</v>
      </c>
      <c r="L323" s="751">
        <f>+K323</f>
        <v>0.25</v>
      </c>
      <c r="M323" s="753">
        <f t="shared" ref="M323:M328" si="123">+L323</f>
        <v>0.25</v>
      </c>
      <c r="N323" s="644"/>
      <c r="O323" s="749">
        <f>+'Plan de Accion 2018'!AL72</f>
        <v>0.25</v>
      </c>
      <c r="P323" s="751">
        <f>+'Plan de Accion 2018'!BO72</f>
        <v>1</v>
      </c>
      <c r="Q323" s="629">
        <f>IF(P323&gt;100%,100%,P323)</f>
        <v>1</v>
      </c>
      <c r="R323" s="751">
        <f>+'Plan de Accion 2018'!AP72</f>
        <v>0.5</v>
      </c>
      <c r="S323" s="873">
        <f t="shared" si="119"/>
        <v>0.5</v>
      </c>
      <c r="T323" s="637">
        <f t="shared" ref="T323:T327" si="124">+S323</f>
        <v>0.5</v>
      </c>
      <c r="U323" s="329"/>
      <c r="V323" s="749">
        <f>+'Plan de Accion 2018'!AV72</f>
        <v>0.25</v>
      </c>
      <c r="W323" s="751">
        <f>+'Plan de Accion 2018'!BQ72</f>
        <v>1</v>
      </c>
      <c r="X323" s="629">
        <f>IF(W323&gt;100%,100%,W323)</f>
        <v>1</v>
      </c>
      <c r="Y323" s="882">
        <f>+'Plan de Accion 2018'!AZ72</f>
        <v>0.75</v>
      </c>
      <c r="Z323" s="882">
        <f>IF(Y323&gt;100%,100%,Y323)</f>
        <v>0.75</v>
      </c>
      <c r="AA323" s="883">
        <f t="shared" ref="AA323:AA327" si="125">+Z323</f>
        <v>0.75</v>
      </c>
      <c r="AB323" s="644"/>
      <c r="AC323" s="749">
        <f>+'Plan de Accion 2018'!BF72</f>
        <v>0.25</v>
      </c>
      <c r="AD323" s="751">
        <f>+'Plan de Accion 2018'!BS72</f>
        <v>1</v>
      </c>
      <c r="AE323" s="629">
        <f>IF(AD323&gt;100%,100%,AD323)</f>
        <v>1</v>
      </c>
      <c r="AF323" s="751">
        <f>+'Plan de Accion 2018'!BJ72</f>
        <v>1</v>
      </c>
      <c r="AG323" s="637">
        <f t="shared" ref="AG323:AG331" si="126">IF(AF323&gt;100%,100%,AF323)</f>
        <v>1</v>
      </c>
      <c r="AH323" s="388"/>
      <c r="AJ323" s="389"/>
      <c r="AK323" s="390"/>
      <c r="AL323" s="321"/>
      <c r="AM323" s="389"/>
      <c r="AN323" s="390"/>
      <c r="AO323" s="321"/>
      <c r="AP323" s="389"/>
      <c r="AQ323" s="390"/>
      <c r="AR323" s="321"/>
      <c r="AS323" s="389"/>
      <c r="AT323" s="390"/>
      <c r="AU323" s="326"/>
      <c r="AV323" s="388"/>
      <c r="AX323" s="389"/>
      <c r="AY323" s="390"/>
      <c r="AZ323" s="321"/>
      <c r="BA323" s="389"/>
      <c r="BB323" s="390"/>
      <c r="BC323" s="321"/>
      <c r="BD323" s="389"/>
      <c r="BE323" s="390"/>
      <c r="BF323" s="321"/>
      <c r="BG323" s="389"/>
      <c r="BH323" s="390"/>
      <c r="BI323" s="326"/>
      <c r="BJ323" s="388"/>
      <c r="BL323" s="389"/>
      <c r="BM323" s="390"/>
      <c r="BN323" s="321"/>
      <c r="BO323" s="389"/>
      <c r="BP323" s="390"/>
      <c r="BQ323" s="321"/>
      <c r="BR323" s="389"/>
      <c r="BS323" s="390"/>
      <c r="BT323" s="321"/>
      <c r="BU323" s="389"/>
      <c r="BV323" s="390"/>
      <c r="BW323" s="326"/>
      <c r="BX323" s="388"/>
      <c r="BZ323" s="389"/>
      <c r="CA323" s="390"/>
      <c r="CB323" s="321"/>
      <c r="CC323" s="389"/>
      <c r="CD323" s="390"/>
      <c r="CE323" s="321"/>
      <c r="CF323" s="389"/>
      <c r="CG323" s="390"/>
      <c r="CH323" s="321"/>
      <c r="CI323" s="389"/>
      <c r="CJ323" s="390"/>
      <c r="CK323" s="326"/>
      <c r="CL323" s="388"/>
    </row>
    <row r="324" spans="2:90" ht="57.75" thickBot="1" x14ac:dyDescent="0.25">
      <c r="B324" s="1394"/>
      <c r="C324" s="1415"/>
      <c r="D324" s="1402" t="str">
        <f>+'Plan de Accion 2018'!G163</f>
        <v>Conciliaciones Prejudiciales y judiciales</v>
      </c>
      <c r="E324" s="1402" t="str">
        <f>+'Plan de Accion 2018'!B163</f>
        <v>Oficina Asesora Jurídica</v>
      </c>
      <c r="F324" s="544" t="str">
        <f>+'Plan de Accion 2018'!K163</f>
        <v>Fichas técnicas de conciliaciones prejudiciales presentadas a consideración del Comité de Conciliación</v>
      </c>
      <c r="H324" s="543">
        <f>+'Plan de Accion 2018'!AB163</f>
        <v>2.5862068965517241E-2</v>
      </c>
      <c r="I324" s="767">
        <f>+'Plan de Accion 2018'!BM163</f>
        <v>0.10344827586206896</v>
      </c>
      <c r="J324" s="767">
        <f t="shared" si="122"/>
        <v>0.10344827586206896</v>
      </c>
      <c r="K324" s="767">
        <f>+'Plan de Accion 2018'!AF163</f>
        <v>2.5862068965517241E-2</v>
      </c>
      <c r="L324" s="767">
        <f>+K324</f>
        <v>2.5862068965517241E-2</v>
      </c>
      <c r="M324" s="682">
        <f t="shared" si="123"/>
        <v>2.5862068965517241E-2</v>
      </c>
      <c r="N324" s="644"/>
      <c r="O324" s="543">
        <f>+'Plan de Accion 2018'!AL163</f>
        <v>0.18</v>
      </c>
      <c r="P324" s="767">
        <f>+'Plan de Accion 2018'!BO163</f>
        <v>0.72</v>
      </c>
      <c r="Q324" s="629">
        <f>IF(P324&gt;100%,100%,P324)</f>
        <v>0.72</v>
      </c>
      <c r="R324" s="751">
        <f>+'Plan de Accion 2018'!AP163</f>
        <v>0.20586206896551723</v>
      </c>
      <c r="S324" s="873">
        <f t="shared" si="119"/>
        <v>0.20586206896551723</v>
      </c>
      <c r="T324" s="637">
        <f t="shared" si="124"/>
        <v>0.20586206896551723</v>
      </c>
      <c r="U324" s="329"/>
      <c r="V324" s="543">
        <f>+'Plan de Accion 2018'!AV163</f>
        <v>3.9473684210526314E-2</v>
      </c>
      <c r="W324" s="767">
        <f>+'Plan de Accion 2018'!BQ163</f>
        <v>0.15789473684210525</v>
      </c>
      <c r="X324" s="629">
        <f>IF(W324&gt;100%,100%,W324)</f>
        <v>0.15789473684210525</v>
      </c>
      <c r="Y324" s="882">
        <f>+'Plan de Accion 2018'!AZ163</f>
        <v>0.24533575317604356</v>
      </c>
      <c r="Z324" s="882">
        <f>IF(Y324&gt;100%,100%,Y324)</f>
        <v>0.24533575317604356</v>
      </c>
      <c r="AA324" s="883">
        <f t="shared" si="125"/>
        <v>0.24533575317604356</v>
      </c>
      <c r="AB324" s="644"/>
      <c r="AC324" s="543">
        <f>+'Plan de Accion 2018'!BF163</f>
        <v>1.9662921348314606E-2</v>
      </c>
      <c r="AD324" s="767">
        <f>+'Plan de Accion 2018'!BS163</f>
        <v>7.8651685393258425E-2</v>
      </c>
      <c r="AE324" s="629">
        <f>IF(AD324&gt;100%,100%,AD324)</f>
        <v>7.8651685393258425E-2</v>
      </c>
      <c r="AF324" s="767">
        <f>+'Plan de Accion 2018'!BJ163</f>
        <v>0.26499867452435816</v>
      </c>
      <c r="AG324" s="637">
        <f t="shared" si="126"/>
        <v>0.26499867452435816</v>
      </c>
      <c r="AH324" s="388"/>
      <c r="AJ324" s="389"/>
      <c r="AK324" s="390"/>
      <c r="AL324" s="321"/>
      <c r="AM324" s="389"/>
      <c r="AN324" s="390"/>
      <c r="AO324" s="321"/>
      <c r="AP324" s="389"/>
      <c r="AQ324" s="390"/>
      <c r="AR324" s="321"/>
      <c r="AS324" s="389"/>
      <c r="AT324" s="390"/>
      <c r="AU324" s="326"/>
      <c r="AV324" s="388"/>
      <c r="AX324" s="389"/>
      <c r="AY324" s="390"/>
      <c r="AZ324" s="321"/>
      <c r="BA324" s="389"/>
      <c r="BB324" s="390"/>
      <c r="BC324" s="321"/>
      <c r="BD324" s="389"/>
      <c r="BE324" s="390"/>
      <c r="BF324" s="321"/>
      <c r="BG324" s="389"/>
      <c r="BH324" s="390"/>
      <c r="BI324" s="326"/>
      <c r="BJ324" s="388"/>
      <c r="BL324" s="389"/>
      <c r="BM324" s="390"/>
      <c r="BN324" s="321"/>
      <c r="BO324" s="389"/>
      <c r="BP324" s="390"/>
      <c r="BQ324" s="321"/>
      <c r="BR324" s="389"/>
      <c r="BS324" s="390"/>
      <c r="BT324" s="321"/>
      <c r="BU324" s="389"/>
      <c r="BV324" s="390"/>
      <c r="BW324" s="326"/>
      <c r="BX324" s="388"/>
      <c r="BZ324" s="389"/>
      <c r="CA324" s="390"/>
      <c r="CB324" s="321"/>
      <c r="CC324" s="389"/>
      <c r="CD324" s="390"/>
      <c r="CE324" s="321"/>
      <c r="CF324" s="389"/>
      <c r="CG324" s="390"/>
      <c r="CH324" s="321"/>
      <c r="CI324" s="389"/>
      <c r="CJ324" s="390"/>
      <c r="CK324" s="326"/>
      <c r="CL324" s="388"/>
    </row>
    <row r="325" spans="2:90" ht="45" customHeight="1" thickBot="1" x14ac:dyDescent="0.25">
      <c r="B325" s="1394"/>
      <c r="C325" s="1415"/>
      <c r="D325" s="1402"/>
      <c r="E325" s="1402"/>
      <c r="F325" s="544" t="str">
        <f>+'Plan de Accion 2018'!K164</f>
        <v>Presentación de fichas técnicas de demandas ordinarias laborales  presentadas al Comité de Conciliación</v>
      </c>
      <c r="H325" s="543">
        <f>+'Plan de Accion 2018'!AB164</f>
        <v>0</v>
      </c>
      <c r="I325" s="767">
        <f>+'Plan de Accion 2018'!BM164</f>
        <v>0</v>
      </c>
      <c r="J325" s="767">
        <f t="shared" si="122"/>
        <v>0</v>
      </c>
      <c r="K325" s="767">
        <f>+'Plan de Accion 2018'!AF164</f>
        <v>0</v>
      </c>
      <c r="L325" s="875">
        <f t="shared" ref="L325:L331" si="127">+K325</f>
        <v>0</v>
      </c>
      <c r="M325" s="682">
        <f t="shared" si="123"/>
        <v>0</v>
      </c>
      <c r="N325" s="644"/>
      <c r="O325" s="543">
        <f>+'Plan de Accion 2018'!AL164</f>
        <v>0</v>
      </c>
      <c r="P325" s="767">
        <f>+'Plan de Accion 2018'!BO164</f>
        <v>0</v>
      </c>
      <c r="Q325" s="629">
        <f>IF(P325&gt;100%,100%,P325)</f>
        <v>0</v>
      </c>
      <c r="R325" s="751">
        <f>+'Plan de Accion 2018'!AP164</f>
        <v>0</v>
      </c>
      <c r="S325" s="873">
        <f t="shared" si="119"/>
        <v>0</v>
      </c>
      <c r="T325" s="637">
        <f t="shared" si="124"/>
        <v>0</v>
      </c>
      <c r="U325" s="329"/>
      <c r="V325" s="543">
        <f>+'Plan de Accion 2018'!AV164</f>
        <v>0</v>
      </c>
      <c r="W325" s="767">
        <f>+'Plan de Accion 2018'!BQ164</f>
        <v>0</v>
      </c>
      <c r="X325" s="629">
        <f>IF(W325&gt;100%,100%,W325)</f>
        <v>0</v>
      </c>
      <c r="Y325" s="882">
        <f>+'Plan de Accion 2018'!AZ164</f>
        <v>0</v>
      </c>
      <c r="Z325" s="882">
        <f t="shared" ref="Z325:Z331" si="128">IF(Y325&gt;100%,100%,Y325)</f>
        <v>0</v>
      </c>
      <c r="AA325" s="883">
        <f t="shared" si="125"/>
        <v>0</v>
      </c>
      <c r="AB325" s="644"/>
      <c r="AC325" s="543">
        <f>+'Plan de Accion 2018'!BF164</f>
        <v>1.0869565217391304E-2</v>
      </c>
      <c r="AD325" s="767">
        <f>+'Plan de Accion 2018'!BS164</f>
        <v>4.3478260869565216E-2</v>
      </c>
      <c r="AE325" s="629">
        <f>IF(AD325&gt;100%,100%,AD325)</f>
        <v>4.3478260869565216E-2</v>
      </c>
      <c r="AF325" s="767">
        <f>+'Plan de Accion 2018'!BJ164</f>
        <v>1.0869565217391304E-2</v>
      </c>
      <c r="AG325" s="637">
        <f t="shared" si="126"/>
        <v>1.0869565217391304E-2</v>
      </c>
      <c r="AH325" s="388"/>
      <c r="AJ325" s="389"/>
      <c r="AK325" s="390"/>
      <c r="AL325" s="321"/>
      <c r="AM325" s="389"/>
      <c r="AN325" s="390"/>
      <c r="AO325" s="321"/>
      <c r="AP325" s="389"/>
      <c r="AQ325" s="390"/>
      <c r="AR325" s="321"/>
      <c r="AS325" s="389"/>
      <c r="AT325" s="390"/>
      <c r="AU325" s="326"/>
      <c r="AV325" s="388"/>
      <c r="AX325" s="389"/>
      <c r="AY325" s="390"/>
      <c r="AZ325" s="321"/>
      <c r="BA325" s="389"/>
      <c r="BB325" s="390"/>
      <c r="BC325" s="321"/>
      <c r="BD325" s="389"/>
      <c r="BE325" s="390"/>
      <c r="BF325" s="321"/>
      <c r="BG325" s="389"/>
      <c r="BH325" s="390"/>
      <c r="BI325" s="326"/>
      <c r="BJ325" s="388"/>
      <c r="BL325" s="389"/>
      <c r="BM325" s="390"/>
      <c r="BN325" s="321"/>
      <c r="BO325" s="389"/>
      <c r="BP325" s="390"/>
      <c r="BQ325" s="321"/>
      <c r="BR325" s="389"/>
      <c r="BS325" s="390"/>
      <c r="BT325" s="321"/>
      <c r="BU325" s="389"/>
      <c r="BV325" s="390"/>
      <c r="BW325" s="326"/>
      <c r="BX325" s="388"/>
      <c r="BZ325" s="389"/>
      <c r="CA325" s="390"/>
      <c r="CB325" s="321"/>
      <c r="CC325" s="389"/>
      <c r="CD325" s="390"/>
      <c r="CE325" s="321"/>
      <c r="CF325" s="389"/>
      <c r="CG325" s="390"/>
      <c r="CH325" s="321"/>
      <c r="CI325" s="389"/>
      <c r="CJ325" s="390"/>
      <c r="CK325" s="326"/>
      <c r="CL325" s="388"/>
    </row>
    <row r="326" spans="2:90" ht="45" customHeight="1" thickBot="1" x14ac:dyDescent="0.25">
      <c r="B326" s="1394"/>
      <c r="C326" s="1415"/>
      <c r="D326" s="754" t="str">
        <f>+'Plan de Accion 2018'!G165</f>
        <v>Comité de conciliación realizado</v>
      </c>
      <c r="E326" s="1402"/>
      <c r="F326" s="544" t="str">
        <f>+'Plan de Accion 2018'!S165</f>
        <v># comités de conciliación llevados a cabo / # comités de conciliación requeridos en el trimestre</v>
      </c>
      <c r="H326" s="545">
        <f>+'Plan de Accion 2018'!AB165</f>
        <v>3</v>
      </c>
      <c r="I326" s="767">
        <f>+'Plan de Accion 2018'!BM165</f>
        <v>0.5</v>
      </c>
      <c r="J326" s="767">
        <f t="shared" si="122"/>
        <v>0.5</v>
      </c>
      <c r="K326" s="767">
        <f>+'Plan de Accion 2018'!AF165</f>
        <v>0.125</v>
      </c>
      <c r="L326" s="875">
        <f t="shared" si="127"/>
        <v>0.125</v>
      </c>
      <c r="M326" s="682">
        <f t="shared" si="123"/>
        <v>0.125</v>
      </c>
      <c r="N326" s="644"/>
      <c r="O326" s="543">
        <f>+'Plan de Accion 2018'!AL165</f>
        <v>5</v>
      </c>
      <c r="P326" s="767">
        <f>+'Plan de Accion 2018'!BO165</f>
        <v>0.83333333333333337</v>
      </c>
      <c r="Q326" s="629">
        <f>IF(P326&gt;100%,100%,P326)</f>
        <v>0.83333333333333337</v>
      </c>
      <c r="R326" s="751">
        <f>+'Plan de Accion 2018'!AP165</f>
        <v>0.33333333333333331</v>
      </c>
      <c r="S326" s="873">
        <f t="shared" si="119"/>
        <v>0.33333333333333331</v>
      </c>
      <c r="T326" s="637">
        <f t="shared" si="124"/>
        <v>0.33333333333333331</v>
      </c>
      <c r="U326" s="329"/>
      <c r="V326" s="543">
        <f>+'Plan de Accion 2018'!AV165</f>
        <v>0</v>
      </c>
      <c r="W326" s="767">
        <f>+'Plan de Accion 2018'!BQ165</f>
        <v>0</v>
      </c>
      <c r="X326" s="629">
        <f>IF(W326&gt;100%,100%,W326)</f>
        <v>0</v>
      </c>
      <c r="Y326" s="882">
        <f>+'Plan de Accion 2018'!AZ165</f>
        <v>0.33333333333333331</v>
      </c>
      <c r="Z326" s="882">
        <f t="shared" si="128"/>
        <v>0.33333333333333331</v>
      </c>
      <c r="AA326" s="883">
        <f t="shared" si="125"/>
        <v>0.33333333333333331</v>
      </c>
      <c r="AB326" s="644"/>
      <c r="AC326" s="543">
        <f>+'Plan de Accion 2018'!BF165</f>
        <v>3</v>
      </c>
      <c r="AD326" s="767">
        <f>+'Plan de Accion 2018'!BS165</f>
        <v>0.5</v>
      </c>
      <c r="AE326" s="629">
        <f>IF(AD326&gt;100%,100%,AD326)</f>
        <v>0.5</v>
      </c>
      <c r="AF326" s="767">
        <f>+'Plan de Accion 2018'!BJ165</f>
        <v>0.45833333333333331</v>
      </c>
      <c r="AG326" s="637">
        <f t="shared" si="126"/>
        <v>0.45833333333333331</v>
      </c>
      <c r="AH326" s="388"/>
      <c r="AJ326" s="403"/>
      <c r="AK326" s="390"/>
      <c r="AL326" s="321"/>
      <c r="AM326" s="403"/>
      <c r="AN326" s="390"/>
      <c r="AO326" s="321"/>
      <c r="AP326" s="403"/>
      <c r="AQ326" s="390"/>
      <c r="AR326" s="321"/>
      <c r="AS326" s="403"/>
      <c r="AT326" s="390"/>
      <c r="AU326" s="326"/>
      <c r="AV326" s="388"/>
      <c r="AX326" s="403"/>
      <c r="AY326" s="390"/>
      <c r="AZ326" s="321"/>
      <c r="BA326" s="403"/>
      <c r="BB326" s="390"/>
      <c r="BC326" s="321"/>
      <c r="BD326" s="403"/>
      <c r="BE326" s="390"/>
      <c r="BF326" s="321"/>
      <c r="BG326" s="403"/>
      <c r="BH326" s="390"/>
      <c r="BI326" s="326"/>
      <c r="BJ326" s="388"/>
      <c r="BL326" s="403"/>
      <c r="BM326" s="390"/>
      <c r="BN326" s="321"/>
      <c r="BO326" s="403"/>
      <c r="BP326" s="390"/>
      <c r="BQ326" s="321"/>
      <c r="BR326" s="403"/>
      <c r="BS326" s="390"/>
      <c r="BT326" s="321"/>
      <c r="BU326" s="403"/>
      <c r="BV326" s="390"/>
      <c r="BW326" s="326"/>
      <c r="BX326" s="388"/>
      <c r="BZ326" s="403"/>
      <c r="CA326" s="390"/>
      <c r="CB326" s="321"/>
      <c r="CC326" s="403"/>
      <c r="CD326" s="390"/>
      <c r="CE326" s="321"/>
      <c r="CF326" s="403"/>
      <c r="CG326" s="390"/>
      <c r="CH326" s="321"/>
      <c r="CI326" s="403"/>
      <c r="CJ326" s="390"/>
      <c r="CK326" s="326"/>
      <c r="CL326" s="388"/>
    </row>
    <row r="327" spans="2:90" ht="29.25" thickBot="1" x14ac:dyDescent="0.25">
      <c r="B327" s="1394"/>
      <c r="C327" s="1415"/>
      <c r="D327" s="754" t="str">
        <f>+'Plan de Accion 2018'!G169</f>
        <v xml:space="preserve">Emisión de Conceptos Jurídicos </v>
      </c>
      <c r="E327" s="1402"/>
      <c r="F327" s="544" t="str">
        <f>+'Plan de Accion 2018'!S169</f>
        <v># conceptos emitidos / # conceptos requeridos</v>
      </c>
      <c r="H327" s="543">
        <f>+'Plan de Accion 2018'!AB169</f>
        <v>0.203125</v>
      </c>
      <c r="I327" s="767">
        <f>+'Plan de Accion 2018'!BM169</f>
        <v>0.8125</v>
      </c>
      <c r="J327" s="767">
        <f t="shared" si="122"/>
        <v>0.8125</v>
      </c>
      <c r="K327" s="767">
        <f>+'Plan de Accion 2018'!AF169</f>
        <v>0.203125</v>
      </c>
      <c r="L327" s="875">
        <f t="shared" si="127"/>
        <v>0.203125</v>
      </c>
      <c r="M327" s="682">
        <f t="shared" si="123"/>
        <v>0.203125</v>
      </c>
      <c r="N327" s="644"/>
      <c r="O327" s="543">
        <f>+'Plan de Accion 2018'!AL169</f>
        <v>0.21249999999999999</v>
      </c>
      <c r="P327" s="767">
        <f>+'Plan de Accion 2018'!BO169</f>
        <v>0.85</v>
      </c>
      <c r="Q327" s="629">
        <f>IF(P327&gt;100%,100%,P327)</f>
        <v>0.85</v>
      </c>
      <c r="R327" s="751">
        <f>+'Plan de Accion 2018'!AP169</f>
        <v>0.41562500000000002</v>
      </c>
      <c r="S327" s="873">
        <f t="shared" si="119"/>
        <v>0.41562500000000002</v>
      </c>
      <c r="T327" s="637">
        <f t="shared" si="124"/>
        <v>0.41562500000000002</v>
      </c>
      <c r="U327" s="329"/>
      <c r="V327" s="543">
        <f>+'Plan de Accion 2018'!AV169</f>
        <v>0.21249999999999999</v>
      </c>
      <c r="W327" s="767">
        <f>+'Plan de Accion 2018'!BQ169</f>
        <v>0.85</v>
      </c>
      <c r="X327" s="629">
        <f>IF(W327&gt;100%,100%,W327)</f>
        <v>0.85</v>
      </c>
      <c r="Y327" s="882">
        <f>+'Plan de Accion 2018'!AZ169</f>
        <v>0.62812500000000004</v>
      </c>
      <c r="Z327" s="882">
        <f t="shared" si="128"/>
        <v>0.62812500000000004</v>
      </c>
      <c r="AA327" s="883">
        <f t="shared" si="125"/>
        <v>0.62812500000000004</v>
      </c>
      <c r="AB327" s="644"/>
      <c r="AC327" s="543">
        <f>+'Plan de Accion 2018'!BF169</f>
        <v>0.21875</v>
      </c>
      <c r="AD327" s="767">
        <f>+'Plan de Accion 2018'!BS169</f>
        <v>0.875</v>
      </c>
      <c r="AE327" s="629">
        <f>IF(AD327&gt;100%,100%,AD327)</f>
        <v>0.875</v>
      </c>
      <c r="AF327" s="767">
        <f>+'Plan de Accion 2018'!BJ169</f>
        <v>0.84687500000000004</v>
      </c>
      <c r="AG327" s="637">
        <f t="shared" si="126"/>
        <v>0.84687500000000004</v>
      </c>
      <c r="AH327" s="388"/>
      <c r="AJ327" s="389"/>
      <c r="AK327" s="390"/>
      <c r="AL327" s="321"/>
      <c r="AM327" s="389"/>
      <c r="AN327" s="390"/>
      <c r="AO327" s="321"/>
      <c r="AP327" s="389"/>
      <c r="AQ327" s="390"/>
      <c r="AR327" s="321"/>
      <c r="AS327" s="389"/>
      <c r="AT327" s="390"/>
      <c r="AU327" s="326"/>
      <c r="AV327" s="388"/>
      <c r="AX327" s="389"/>
      <c r="AY327" s="390"/>
      <c r="AZ327" s="321"/>
      <c r="BA327" s="389"/>
      <c r="BB327" s="390"/>
      <c r="BC327" s="321"/>
      <c r="BD327" s="389"/>
      <c r="BE327" s="390"/>
      <c r="BF327" s="321"/>
      <c r="BG327" s="389"/>
      <c r="BH327" s="390"/>
      <c r="BI327" s="326"/>
      <c r="BJ327" s="388"/>
      <c r="BL327" s="389"/>
      <c r="BM327" s="390"/>
      <c r="BN327" s="321"/>
      <c r="BO327" s="389"/>
      <c r="BP327" s="390"/>
      <c r="BQ327" s="321"/>
      <c r="BR327" s="389"/>
      <c r="BS327" s="390"/>
      <c r="BT327" s="321"/>
      <c r="BU327" s="389"/>
      <c r="BV327" s="390"/>
      <c r="BW327" s="326"/>
      <c r="BX327" s="388"/>
      <c r="BZ327" s="389"/>
      <c r="CA327" s="390"/>
      <c r="CB327" s="321"/>
      <c r="CC327" s="389"/>
      <c r="CD327" s="390"/>
      <c r="CE327" s="321"/>
      <c r="CF327" s="389"/>
      <c r="CG327" s="390"/>
      <c r="CH327" s="321"/>
      <c r="CI327" s="389"/>
      <c r="CJ327" s="390"/>
      <c r="CK327" s="326"/>
      <c r="CL327" s="388"/>
    </row>
    <row r="328" spans="2:90" ht="29.25" customHeight="1" thickBot="1" x14ac:dyDescent="0.3">
      <c r="B328" s="1394"/>
      <c r="C328" s="1415"/>
      <c r="D328" s="771" t="str">
        <f>+'Plan de Accion 2018'!G170</f>
        <v>Depuración de Cartera FOSYGA y/o ADRES</v>
      </c>
      <c r="E328" s="1402"/>
      <c r="F328" s="535" t="str">
        <f>+'Plan de Accion 2018'!S170</f>
        <v># Informes reportados</v>
      </c>
      <c r="G328" s="328"/>
      <c r="H328" s="555">
        <f>+'Plan de Accion 2018'!AB170</f>
        <v>1</v>
      </c>
      <c r="I328" s="767">
        <f>+'Plan de Accion 2018'!BM170</f>
        <v>0.5</v>
      </c>
      <c r="J328" s="767">
        <f t="shared" si="122"/>
        <v>0.5</v>
      </c>
      <c r="K328" s="767">
        <f>+'Plan de Accion 2018'!AF170</f>
        <v>0.5</v>
      </c>
      <c r="L328" s="875">
        <f t="shared" si="127"/>
        <v>0.5</v>
      </c>
      <c r="M328" s="682">
        <f t="shared" si="123"/>
        <v>0.5</v>
      </c>
      <c r="N328" s="644"/>
      <c r="O328" s="555">
        <f>+'Plan de Accion 2018'!AL170</f>
        <v>0</v>
      </c>
      <c r="P328" s="767" t="str">
        <f>+'Plan de Accion 2018'!BO170</f>
        <v>No Prog ni Ejec</v>
      </c>
      <c r="Q328" s="629" t="s">
        <v>792</v>
      </c>
      <c r="R328" s="751">
        <f>+'Plan de Accion 2018'!AP170</f>
        <v>0.5</v>
      </c>
      <c r="S328" s="873">
        <f t="shared" si="119"/>
        <v>0.5</v>
      </c>
      <c r="T328" s="637">
        <f>+S328</f>
        <v>0.5</v>
      </c>
      <c r="U328" s="329"/>
      <c r="V328" s="555">
        <f>+'Plan de Accion 2018'!AV170</f>
        <v>0</v>
      </c>
      <c r="W328" s="767" t="str">
        <f>+'Plan de Accion 2018'!BQ170</f>
        <v>No Prog ni Ejec</v>
      </c>
      <c r="X328" s="629" t="s">
        <v>792</v>
      </c>
      <c r="Y328" s="882">
        <f>+'Plan de Accion 2018'!AZ170</f>
        <v>0.5</v>
      </c>
      <c r="Z328" s="882">
        <f t="shared" si="128"/>
        <v>0.5</v>
      </c>
      <c r="AA328" s="883">
        <f>+Z328</f>
        <v>0.5</v>
      </c>
      <c r="AB328" s="644"/>
      <c r="AC328" s="555">
        <f>+'Plan de Accion 2018'!BF170</f>
        <v>0</v>
      </c>
      <c r="AD328" s="767" t="str">
        <f>+'Plan de Accion 2018'!BS170</f>
        <v>No Prog ni Ejec</v>
      </c>
      <c r="AE328" s="629" t="s">
        <v>792</v>
      </c>
      <c r="AF328" s="767">
        <f>+'Plan de Accion 2018'!BJ170</f>
        <v>0.5</v>
      </c>
      <c r="AG328" s="637">
        <f t="shared" si="126"/>
        <v>0.5</v>
      </c>
      <c r="AH328" s="388"/>
      <c r="AJ328" s="389"/>
      <c r="AK328" s="390"/>
      <c r="AL328" s="321"/>
      <c r="AM328" s="389"/>
      <c r="AN328" s="390"/>
      <c r="AO328" s="321"/>
      <c r="AP328" s="389"/>
      <c r="AQ328" s="390"/>
      <c r="AR328" s="321"/>
      <c r="AS328" s="389"/>
      <c r="AT328" s="390"/>
      <c r="AU328" s="326"/>
      <c r="AV328" s="388"/>
      <c r="AX328" s="389"/>
      <c r="AY328" s="390"/>
      <c r="AZ328" s="321"/>
      <c r="BA328" s="389"/>
      <c r="BB328" s="390"/>
      <c r="BC328" s="321"/>
      <c r="BD328" s="389"/>
      <c r="BE328" s="390"/>
      <c r="BF328" s="321"/>
      <c r="BG328" s="389"/>
      <c r="BH328" s="390"/>
      <c r="BI328" s="326"/>
      <c r="BJ328" s="388"/>
      <c r="BL328" s="389"/>
      <c r="BM328" s="390"/>
      <c r="BN328" s="321"/>
      <c r="BO328" s="389"/>
      <c r="BP328" s="390"/>
      <c r="BQ328" s="321"/>
      <c r="BR328" s="389"/>
      <c r="BS328" s="390"/>
      <c r="BT328" s="321"/>
      <c r="BU328" s="389"/>
      <c r="BV328" s="390"/>
      <c r="BW328" s="326"/>
      <c r="BX328" s="388"/>
      <c r="BZ328" s="389"/>
      <c r="CA328" s="390"/>
      <c r="CB328" s="321"/>
      <c r="CC328" s="389"/>
      <c r="CD328" s="390"/>
      <c r="CE328" s="321"/>
      <c r="CF328" s="389"/>
      <c r="CG328" s="390"/>
      <c r="CH328" s="321"/>
      <c r="CI328" s="389"/>
      <c r="CJ328" s="390"/>
      <c r="CK328" s="326"/>
      <c r="CL328" s="388"/>
    </row>
    <row r="329" spans="2:90" s="542" customFormat="1" ht="117" customHeight="1" thickBot="1" x14ac:dyDescent="0.3">
      <c r="B329" s="1394"/>
      <c r="C329" s="1416"/>
      <c r="D329" s="771" t="str">
        <f>+'Plan de Accion 2018'!G306</f>
        <v>Revisión, análisis y liquidación de sentencias condenatorias</v>
      </c>
      <c r="E329" s="1350"/>
      <c r="F329" s="535" t="str">
        <f>+'Plan de Accion 2018'!S306</f>
        <v># sentencias condenatorias en firme contra ADRES cuyo sentido de las mismas nos requiere el reconocimiento y pago de intereses moratorios, corrientes bancarios y/o indexaciones / # liquidaciones de intereses y/o indexaciones proyectadas</v>
      </c>
      <c r="G329" s="328"/>
      <c r="H329" s="555">
        <f>+'Plan de Accion 2018'!AB306</f>
        <v>0</v>
      </c>
      <c r="I329" s="767" t="str">
        <f>+'Plan de Accion 2018'!BM306</f>
        <v>No Prog ni Ejec</v>
      </c>
      <c r="J329" s="767" t="s">
        <v>792</v>
      </c>
      <c r="K329" s="767">
        <f>+'Plan de Accion 2018'!AF171</f>
        <v>0</v>
      </c>
      <c r="L329" s="875">
        <f t="shared" si="127"/>
        <v>0</v>
      </c>
      <c r="M329" s="849" t="s">
        <v>792</v>
      </c>
      <c r="N329" s="644"/>
      <c r="O329" s="555">
        <f>+'Plan de Accion 2018'!AL306</f>
        <v>0</v>
      </c>
      <c r="P329" s="767" t="str">
        <f>+'Plan de Accion 2018'!BO306</f>
        <v>No Prog ni Ejec</v>
      </c>
      <c r="Q329" s="629" t="s">
        <v>792</v>
      </c>
      <c r="R329" s="751">
        <f>+'Plan de Accion 2018'!AP306</f>
        <v>0</v>
      </c>
      <c r="S329" s="873">
        <f t="shared" si="119"/>
        <v>0</v>
      </c>
      <c r="T329" s="637" t="s">
        <v>792</v>
      </c>
      <c r="U329" s="329"/>
      <c r="V329" s="555">
        <f>+'Plan de Accion 2018'!AV306</f>
        <v>0</v>
      </c>
      <c r="W329" s="767" t="str">
        <f>+'Plan de Accion 2018'!BQ306</f>
        <v>No Prog ni Ejec</v>
      </c>
      <c r="X329" s="629" t="s">
        <v>792</v>
      </c>
      <c r="Y329" s="882">
        <f>+'Plan de Accion 2018'!AZ306</f>
        <v>0</v>
      </c>
      <c r="Z329" s="882">
        <f t="shared" si="128"/>
        <v>0</v>
      </c>
      <c r="AA329" s="883" t="s">
        <v>792</v>
      </c>
      <c r="AB329" s="644"/>
      <c r="AC329" s="555">
        <f>+'Plan de Accion 2018'!BF306</f>
        <v>0.69</v>
      </c>
      <c r="AD329" s="767">
        <f>+'Plan de Accion 2018'!BS306</f>
        <v>0.69</v>
      </c>
      <c r="AE329" s="629">
        <f>IF(AD329&gt;100%,100%,AD329)</f>
        <v>0.69</v>
      </c>
      <c r="AF329" s="767">
        <f>+'Plan de Accion 2018'!BJ306</f>
        <v>0.69</v>
      </c>
      <c r="AG329" s="637">
        <f t="shared" si="126"/>
        <v>0.69</v>
      </c>
      <c r="AH329" s="388"/>
      <c r="AI329" s="1014"/>
      <c r="AJ329" s="718"/>
      <c r="AK329" s="549"/>
      <c r="AL329" s="321"/>
      <c r="AM329" s="718"/>
      <c r="AN329" s="549"/>
      <c r="AO329" s="321"/>
      <c r="AP329" s="718"/>
      <c r="AQ329" s="549"/>
      <c r="AR329" s="321"/>
      <c r="AS329" s="718"/>
      <c r="AT329" s="549"/>
      <c r="AU329" s="326"/>
      <c r="AV329" s="388"/>
      <c r="AX329" s="718"/>
      <c r="AY329" s="549"/>
      <c r="AZ329" s="321"/>
      <c r="BA329" s="718"/>
      <c r="BB329" s="549"/>
      <c r="BC329" s="321"/>
      <c r="BD329" s="718"/>
      <c r="BE329" s="549"/>
      <c r="BF329" s="321"/>
      <c r="BG329" s="718"/>
      <c r="BH329" s="549"/>
      <c r="BI329" s="326"/>
      <c r="BJ329" s="388"/>
      <c r="BL329" s="718"/>
      <c r="BM329" s="549"/>
      <c r="BN329" s="321"/>
      <c r="BO329" s="718"/>
      <c r="BP329" s="549"/>
      <c r="BQ329" s="321"/>
      <c r="BR329" s="718"/>
      <c r="BS329" s="549"/>
      <c r="BT329" s="321"/>
      <c r="BU329" s="718"/>
      <c r="BV329" s="549"/>
      <c r="BW329" s="326"/>
      <c r="BX329" s="388"/>
      <c r="BZ329" s="718"/>
      <c r="CA329" s="549"/>
      <c r="CB329" s="321"/>
      <c r="CC329" s="718"/>
      <c r="CD329" s="549"/>
      <c r="CE329" s="321"/>
      <c r="CF329" s="718"/>
      <c r="CG329" s="549"/>
      <c r="CH329" s="321"/>
      <c r="CI329" s="718"/>
      <c r="CJ329" s="549"/>
      <c r="CK329" s="326"/>
      <c r="CL329" s="388"/>
    </row>
    <row r="330" spans="2:90" s="542" customFormat="1" ht="109.5" customHeight="1" thickBot="1" x14ac:dyDescent="0.3">
      <c r="B330" s="1394"/>
      <c r="C330" s="1416"/>
      <c r="D330" s="771" t="str">
        <f>+'Plan de Accion 2018'!G307</f>
        <v>Entrega de la provisión de contingencias judiciales al Grupo de Gestión Contable y Control de Recursos ET en la fecha pactada</v>
      </c>
      <c r="E330" s="1350"/>
      <c r="F330" s="535" t="str">
        <f>+'Plan de Accion 2018'!S307</f>
        <v>Fecha de entrega real de la provisión de contingencias judiciales durante el trimestre - Fecha de entrega pactada con el Grupo de Gestión Contable y Control de Recursos ET</v>
      </c>
      <c r="G330" s="328"/>
      <c r="H330" s="555">
        <f>+'Plan de Accion 2018'!AB307</f>
        <v>0</v>
      </c>
      <c r="I330" s="767" t="str">
        <f>+'Plan de Accion 2018'!BM307</f>
        <v>No Prog ni Ejec</v>
      </c>
      <c r="J330" s="767" t="s">
        <v>792</v>
      </c>
      <c r="K330" s="767">
        <f>+'Plan de Accion 2018'!AF307</f>
        <v>0</v>
      </c>
      <c r="L330" s="875">
        <f t="shared" si="127"/>
        <v>0</v>
      </c>
      <c r="M330" s="682" t="s">
        <v>792</v>
      </c>
      <c r="N330" s="644"/>
      <c r="O330" s="555">
        <f>+'Plan de Accion 2018'!AL307</f>
        <v>0</v>
      </c>
      <c r="P330" s="767" t="str">
        <f>+'Plan de Accion 2018'!BO307</f>
        <v>No Prog ni Ejec</v>
      </c>
      <c r="Q330" s="629" t="s">
        <v>792</v>
      </c>
      <c r="R330" s="751">
        <f>+'Plan de Accion 2018'!AP307</f>
        <v>0</v>
      </c>
      <c r="S330" s="873">
        <f t="shared" si="119"/>
        <v>0</v>
      </c>
      <c r="T330" s="637" t="s">
        <v>792</v>
      </c>
      <c r="U330" s="329"/>
      <c r="V330" s="555">
        <f>+'Plan de Accion 2018'!AV307</f>
        <v>0</v>
      </c>
      <c r="W330" s="767" t="str">
        <f>+'Plan de Accion 2018'!BQ307</f>
        <v>No Prog ni Ejec</v>
      </c>
      <c r="X330" s="629" t="s">
        <v>792</v>
      </c>
      <c r="Y330" s="882">
        <f>+'Plan de Accion 2018'!AZ307</f>
        <v>0</v>
      </c>
      <c r="Z330" s="882">
        <f t="shared" si="128"/>
        <v>0</v>
      </c>
      <c r="AA330" s="883" t="s">
        <v>792</v>
      </c>
      <c r="AB330" s="644"/>
      <c r="AC330" s="555">
        <f>+'Plan de Accion 2018'!BF307</f>
        <v>1</v>
      </c>
      <c r="AD330" s="767">
        <f>+'Plan de Accion 2018'!BS307</f>
        <v>1</v>
      </c>
      <c r="AE330" s="629">
        <f>IF(AD330&gt;100%,100%,AD330)</f>
        <v>1</v>
      </c>
      <c r="AF330" s="767">
        <f>+'Plan de Accion 2018'!BJ307</f>
        <v>100</v>
      </c>
      <c r="AG330" s="637">
        <f t="shared" si="126"/>
        <v>1</v>
      </c>
      <c r="AH330" s="388"/>
      <c r="AI330" s="1014"/>
      <c r="AJ330" s="718"/>
      <c r="AK330" s="549"/>
      <c r="AL330" s="321"/>
      <c r="AM330" s="718"/>
      <c r="AN330" s="549"/>
      <c r="AO330" s="321"/>
      <c r="AP330" s="718"/>
      <c r="AQ330" s="549"/>
      <c r="AR330" s="321"/>
      <c r="AS330" s="718"/>
      <c r="AT330" s="549"/>
      <c r="AU330" s="326"/>
      <c r="AV330" s="388"/>
      <c r="AX330" s="718"/>
      <c r="AY330" s="549"/>
      <c r="AZ330" s="321"/>
      <c r="BA330" s="718"/>
      <c r="BB330" s="549"/>
      <c r="BC330" s="321"/>
      <c r="BD330" s="718"/>
      <c r="BE330" s="549"/>
      <c r="BF330" s="321"/>
      <c r="BG330" s="718"/>
      <c r="BH330" s="549"/>
      <c r="BI330" s="326"/>
      <c r="BJ330" s="388"/>
      <c r="BL330" s="718"/>
      <c r="BM330" s="549"/>
      <c r="BN330" s="321"/>
      <c r="BO330" s="718"/>
      <c r="BP330" s="549"/>
      <c r="BQ330" s="321"/>
      <c r="BR330" s="718"/>
      <c r="BS330" s="549"/>
      <c r="BT330" s="321"/>
      <c r="BU330" s="718"/>
      <c r="BV330" s="549"/>
      <c r="BW330" s="326"/>
      <c r="BX330" s="388"/>
      <c r="BZ330" s="718"/>
      <c r="CA330" s="549"/>
      <c r="CB330" s="321"/>
      <c r="CC330" s="718"/>
      <c r="CD330" s="549"/>
      <c r="CE330" s="321"/>
      <c r="CF330" s="718"/>
      <c r="CG330" s="549"/>
      <c r="CH330" s="321"/>
      <c r="CI330" s="718"/>
      <c r="CJ330" s="549"/>
      <c r="CK330" s="326"/>
      <c r="CL330" s="388"/>
    </row>
    <row r="331" spans="2:90" ht="86.25" thickBot="1" x14ac:dyDescent="0.25">
      <c r="B331" s="1394"/>
      <c r="C331" s="1416"/>
      <c r="D331" s="755" t="str">
        <f>+'Plan de Accion 2018'!G187</f>
        <v>Procesos penales</v>
      </c>
      <c r="E331" s="1350"/>
      <c r="F331" s="535" t="str">
        <f>+'Plan de Accion 2018'!S187</f>
        <v># procesos penales en los que el apoderado adelantó actuación judicial / # procesos penales en los que es parte, tercero interviniente o víctima la ADRES</v>
      </c>
      <c r="H331" s="748">
        <f>+'Plan de Accion 2018'!AB187</f>
        <v>0.25</v>
      </c>
      <c r="I331" s="750">
        <f>+'Plan de Accion 2018'!BM187</f>
        <v>1</v>
      </c>
      <c r="J331" s="750">
        <f>IF(I331&gt;100%,100%,I331)</f>
        <v>1</v>
      </c>
      <c r="K331" s="750">
        <f>+'Plan de Accion 2018'!AF187</f>
        <v>0.25</v>
      </c>
      <c r="L331" s="875">
        <f t="shared" si="127"/>
        <v>0.25</v>
      </c>
      <c r="M331" s="752">
        <f>+L331</f>
        <v>0.25</v>
      </c>
      <c r="N331" s="644"/>
      <c r="O331" s="748">
        <f>+'Plan de Accion 2018'!AL187</f>
        <v>8.0188679245283015E-2</v>
      </c>
      <c r="P331" s="750">
        <f>+'Plan de Accion 2018'!BO187</f>
        <v>0.32075471698113206</v>
      </c>
      <c r="Q331" s="631">
        <f>IF(P331&gt;100%,100%,P331)</f>
        <v>0.32075471698113206</v>
      </c>
      <c r="R331" s="751">
        <f>+'Plan de Accion 2018'!AP187</f>
        <v>0.330188679245283</v>
      </c>
      <c r="S331" s="873">
        <f t="shared" si="119"/>
        <v>0.330188679245283</v>
      </c>
      <c r="T331" s="637">
        <f>+S331</f>
        <v>0.330188679245283</v>
      </c>
      <c r="U331" s="329"/>
      <c r="V331" s="748">
        <f>+'Plan de Accion 2018'!AV187</f>
        <v>7.1428571428571425E-2</v>
      </c>
      <c r="W331" s="750">
        <f>+'Plan de Accion 2018'!BQ187</f>
        <v>0.2857142857142857</v>
      </c>
      <c r="X331" s="629">
        <f>IF(W331&gt;100%,100%,W331)</f>
        <v>0.2857142857142857</v>
      </c>
      <c r="Y331" s="882">
        <f>+'Plan de Accion 2018'!AZ187</f>
        <v>0.40161725067385445</v>
      </c>
      <c r="Z331" s="882">
        <f t="shared" si="128"/>
        <v>0.40161725067385445</v>
      </c>
      <c r="AA331" s="883">
        <f>+Z331</f>
        <v>0.40161725067385445</v>
      </c>
      <c r="AB331" s="644"/>
      <c r="AC331" s="748">
        <f>+'Plan de Accion 2018'!BF187</f>
        <v>0.13636363636363635</v>
      </c>
      <c r="AD331" s="750">
        <f>+'Plan de Accion 2018'!BS187</f>
        <v>0.54545454545454541</v>
      </c>
      <c r="AE331" s="629">
        <f>IF(AD331&gt;100%,100%,AD331)</f>
        <v>0.54545454545454541</v>
      </c>
      <c r="AF331" s="750">
        <f>+'Plan de Accion 2018'!BJ187</f>
        <v>0.53798088703749081</v>
      </c>
      <c r="AG331" s="637">
        <f t="shared" si="126"/>
        <v>0.53798088703749081</v>
      </c>
      <c r="AH331" s="388"/>
      <c r="AJ331" s="389"/>
      <c r="AK331" s="390"/>
      <c r="AL331" s="321"/>
      <c r="AM331" s="389"/>
      <c r="AN331" s="390"/>
      <c r="AO331" s="321"/>
      <c r="AP331" s="389"/>
      <c r="AQ331" s="390"/>
      <c r="AR331" s="321"/>
      <c r="AS331" s="389"/>
      <c r="AT331" s="390"/>
      <c r="AU331" s="326"/>
      <c r="AV331" s="388"/>
      <c r="AX331" s="389"/>
      <c r="AY331" s="390"/>
      <c r="AZ331" s="321"/>
      <c r="BA331" s="389"/>
      <c r="BB331" s="390"/>
      <c r="BC331" s="321"/>
      <c r="BD331" s="389"/>
      <c r="BE331" s="390"/>
      <c r="BF331" s="321"/>
      <c r="BG331" s="389"/>
      <c r="BH331" s="390"/>
      <c r="BI331" s="326"/>
      <c r="BJ331" s="388"/>
      <c r="BL331" s="389"/>
      <c r="BM331" s="390"/>
      <c r="BN331" s="321"/>
      <c r="BO331" s="389"/>
      <c r="BP331" s="390"/>
      <c r="BQ331" s="321"/>
      <c r="BR331" s="389"/>
      <c r="BS331" s="390"/>
      <c r="BT331" s="321"/>
      <c r="BU331" s="389"/>
      <c r="BV331" s="390"/>
      <c r="BW331" s="326"/>
      <c r="BX331" s="388"/>
      <c r="BZ331" s="389"/>
      <c r="CA331" s="390"/>
      <c r="CB331" s="321"/>
      <c r="CC331" s="389"/>
      <c r="CD331" s="390"/>
      <c r="CE331" s="321"/>
      <c r="CF331" s="389"/>
      <c r="CG331" s="390"/>
      <c r="CH331" s="321"/>
      <c r="CI331" s="389"/>
      <c r="CJ331" s="390"/>
      <c r="CK331" s="326"/>
      <c r="CL331" s="388"/>
    </row>
    <row r="332" spans="2:90" ht="15.75" thickBot="1" x14ac:dyDescent="0.25">
      <c r="B332" s="1395"/>
      <c r="C332" s="1389" t="s">
        <v>811</v>
      </c>
      <c r="D332" s="1390"/>
      <c r="E332" s="1390"/>
      <c r="F332" s="1391"/>
      <c r="H332" s="346" t="s">
        <v>792</v>
      </c>
      <c r="I332" s="332">
        <f>SUM(I323:I331)/COUNT(I323:I331)</f>
        <v>0.5594211822660099</v>
      </c>
      <c r="J332" s="332">
        <f>IF(I332&gt;100%,100%,I332)</f>
        <v>0.5594211822660099</v>
      </c>
      <c r="K332" s="332">
        <f>SUM(K323:K331)/COUNT(K323:K331)</f>
        <v>0.15044300766283525</v>
      </c>
      <c r="L332" s="332">
        <f>SUM(L323:L331)/COUNT(L323:L331)</f>
        <v>0.15044300766283525</v>
      </c>
      <c r="M332" s="334">
        <f>SUM(M323:M331)/COUNT(M323:M331)</f>
        <v>0.19342672413793105</v>
      </c>
      <c r="N332" s="692"/>
      <c r="O332" s="346" t="s">
        <v>792</v>
      </c>
      <c r="P332" s="635">
        <f>SUM(P323:P331)/COUNT(P323:P331)</f>
        <v>0.62068134171907763</v>
      </c>
      <c r="Q332" s="635">
        <f>SUM(Q323:Q331)/COUNT(Q323:Q331)</f>
        <v>0.62068134171907763</v>
      </c>
      <c r="R332" s="639">
        <f>SUM(R323:R331)/COUNT(R323:R331)</f>
        <v>0.25388989794934813</v>
      </c>
      <c r="S332" s="670">
        <f>SUM(S323:S331)/COUNT(S323:S331)</f>
        <v>0.25388989794934813</v>
      </c>
      <c r="T332" s="645">
        <f>SUM(T323:T331)/COUNT(T323:T331)</f>
        <v>0.32642986879201902</v>
      </c>
      <c r="U332" s="354"/>
      <c r="V332" s="346" t="s">
        <v>792</v>
      </c>
      <c r="W332" s="332">
        <f>SUM(W323:W331)/COUNT(W323:W331)</f>
        <v>0.38226817042606515</v>
      </c>
      <c r="X332" s="332">
        <f>SUM(X323:X331)/COUNT(X323:X331)</f>
        <v>0.38226817042606515</v>
      </c>
      <c r="Y332" s="651">
        <f>SUM(Y323:Y331)/COUNT(Y323:Y331)</f>
        <v>0.31760125968702568</v>
      </c>
      <c r="Z332" s="651">
        <f>SUM(Z323:Z331)/COUNT(Z323:Z331)</f>
        <v>0.31760125968702568</v>
      </c>
      <c r="AA332" s="617">
        <f>SUM(AA323:AA331)/COUNT(AA323:AA331)</f>
        <v>0.40834447674046165</v>
      </c>
      <c r="AB332" s="692"/>
      <c r="AC332" s="346" t="s">
        <v>792</v>
      </c>
      <c r="AD332" s="332">
        <f>SUM(AD323:AD331)/COUNT(AD323:AD331)</f>
        <v>0.59157306146467104</v>
      </c>
      <c r="AE332" s="332">
        <f>SUM(AE323:AE331)/COUNT(AE323:AE331)</f>
        <v>0.59157306146467104</v>
      </c>
      <c r="AF332" s="635">
        <f>SUM(AF323:AF331)/COUNT(AF323:AF331)</f>
        <v>11.58989527334584</v>
      </c>
      <c r="AG332" s="334">
        <f>SUM(AG323:AG331)/COUNT(AG323:AG331)</f>
        <v>0.58989527334584158</v>
      </c>
      <c r="AH332" s="388"/>
      <c r="AJ332" s="389"/>
      <c r="AK332" s="390"/>
      <c r="AL332" s="321"/>
      <c r="AM332" s="389"/>
      <c r="AN332" s="390"/>
      <c r="AO332" s="321"/>
      <c r="AP332" s="389"/>
      <c r="AQ332" s="390"/>
      <c r="AR332" s="321"/>
      <c r="AS332" s="389"/>
      <c r="AT332" s="390"/>
      <c r="AU332" s="326"/>
      <c r="AV332" s="388"/>
      <c r="AX332" s="389"/>
      <c r="AY332" s="390"/>
      <c r="AZ332" s="321"/>
      <c r="BA332" s="389"/>
      <c r="BB332" s="390"/>
      <c r="BC332" s="321"/>
      <c r="BD332" s="389"/>
      <c r="BE332" s="390"/>
      <c r="BF332" s="321"/>
      <c r="BG332" s="389"/>
      <c r="BH332" s="390"/>
      <c r="BI332" s="326"/>
      <c r="BJ332" s="388"/>
      <c r="BL332" s="389"/>
      <c r="BM332" s="390"/>
      <c r="BN332" s="321"/>
      <c r="BO332" s="389"/>
      <c r="BP332" s="390"/>
      <c r="BQ332" s="321"/>
      <c r="BR332" s="389"/>
      <c r="BS332" s="390"/>
      <c r="BT332" s="321"/>
      <c r="BU332" s="389"/>
      <c r="BV332" s="390"/>
      <c r="BW332" s="326"/>
      <c r="BX332" s="388"/>
      <c r="BZ332" s="389"/>
      <c r="CA332" s="390"/>
      <c r="CB332" s="321"/>
      <c r="CC332" s="389"/>
      <c r="CD332" s="390"/>
      <c r="CE332" s="321"/>
      <c r="CF332" s="389"/>
      <c r="CG332" s="390"/>
      <c r="CH332" s="321"/>
      <c r="CI332" s="389"/>
      <c r="CJ332" s="390"/>
      <c r="CK332" s="326"/>
      <c r="CL332" s="388"/>
    </row>
    <row r="333" spans="2:90" ht="20.25" thickBot="1" x14ac:dyDescent="0.3">
      <c r="B333" s="1378" t="s">
        <v>812</v>
      </c>
      <c r="C333" s="1388"/>
      <c r="D333" s="1379"/>
      <c r="E333" s="1379"/>
      <c r="F333" s="1380"/>
      <c r="H333" s="365" t="s">
        <v>792</v>
      </c>
      <c r="I333" s="366">
        <f>+(I303+I307+I322+I332)/4</f>
        <v>1.3921393767206796</v>
      </c>
      <c r="J333" s="332">
        <f>IF(I333&gt;100%,100%,I333)</f>
        <v>1</v>
      </c>
      <c r="K333" s="366">
        <f>+(K303+K307+K322+K332)/4</f>
        <v>0.18828283983348124</v>
      </c>
      <c r="L333" s="366">
        <f>+(L303+L307+L322+L332)/4</f>
        <v>0.18828283983348124</v>
      </c>
      <c r="M333" s="367">
        <f>+(M303+M307+M322+M332)/4</f>
        <v>0.42240535851621935</v>
      </c>
      <c r="N333" s="695"/>
      <c r="O333" s="363" t="s">
        <v>792</v>
      </c>
      <c r="P333" s="633">
        <f>(P303+P307+P322+P332)/4</f>
        <v>1.239431062381819</v>
      </c>
      <c r="Q333" s="633">
        <f>SUM(Q239:Q302,Q304:Q306,Q308:Q321,Q323:Q331)/COUNT(Q239:Q302,Q304:Q306,Q308:Q321,Q323:Q331)</f>
        <v>0.72959592148259977</v>
      </c>
      <c r="R333" s="648">
        <f>(R303+R307+R322+R332)/4</f>
        <v>0.50000705639696086</v>
      </c>
      <c r="S333" s="366">
        <f>SUM(S239:S302,S304:S306,S308:S321,S323:S331)/COUNT(S239:S302,S304:S306,S308:S321,S323:S331)</f>
        <v>0.30219019310081807</v>
      </c>
      <c r="T333" s="367">
        <f>SUM(T239:T302,T304:T306,T308:T321,T323:T331)/COUNT(T239:T302,T304:T306,T308:T321,T323:T331)</f>
        <v>0.61654588538030497</v>
      </c>
      <c r="U333" s="364"/>
      <c r="V333" s="391" t="s">
        <v>792</v>
      </c>
      <c r="W333" s="633">
        <f>SUM(W239:W302,W304:W306,W308:W321,W323:W331)/COUNT(W239:W302,W304:W306,W308:W321,W323:W331)</f>
        <v>0.85550664387513065</v>
      </c>
      <c r="X333" s="633">
        <f>SUM(X239:X302,X304:X306,X308:X321,X323:X331)/COUNT(X239:X302,X304:X306,X308:X321,X323:X331)</f>
        <v>0.62559644926193281</v>
      </c>
      <c r="Y333" s="652">
        <f>SUM(Y239:Y302,Y304:Y306,Y308:Y321,Y323:Y331)/COUNT(Y239:Y302,Y304:Y306,Y308:Y321,Y323:Y331)</f>
        <v>0.52459868382658448</v>
      </c>
      <c r="Z333" s="652">
        <f>SUM(Z239:Z302,Z304:Z306,Z308:Z321,Z323:Z331)/COUNT(Z239:Z302,Z304:Z306,Z308:Z321,Z323:Z331)</f>
        <v>0.47796180364869112</v>
      </c>
      <c r="AA333" s="618">
        <f>SUM(AA239:AA302,AA304:AA306,AA308:AA321,AA323:AA331)/COUNT(AA239:AA302,AA304:AA306,AA308:AA321,AA323:AA331)</f>
        <v>0.6490406331989611</v>
      </c>
      <c r="AB333" s="695"/>
      <c r="AC333" s="365" t="s">
        <v>792</v>
      </c>
      <c r="AD333" s="633">
        <f>SUM(AD239:AD302,AD304:AD306,AD308:AD321,AD323:AD331)/COUNT(AD239:AD302,AD304:AD306,AD308:AD321,AD323:AD331)</f>
        <v>0.85077550488580866</v>
      </c>
      <c r="AE333" s="633">
        <f>SUM(AE239:AE302,AE304:AE306,AE308:AE321,AE323:AE331)/COUNT(AE239:AE302,AE304:AE306,AE308:AE321,AE323:AE331)</f>
        <v>0.76118859139447759</v>
      </c>
      <c r="AF333" s="632">
        <f>SUM(AF239:AF302,AF304:AF306,AF308:AF321,AF323:AF331)/COUNT(AF239:AF302,AF304:AF306,AF308:AF321,AF323:AF331)</f>
        <v>2.0611715082768507</v>
      </c>
      <c r="AG333" s="367">
        <f>SUM(AG239:AG302,AG304:AG306,AG308:AG321,AG323:AG331)/COUNT(AG239:AG302,AG304:AG306,AG308:AG321,AG323:AG331)</f>
        <v>0.86306026218702925</v>
      </c>
      <c r="AJ333" s="383"/>
      <c r="AK333" s="392" t="e">
        <f>SUM(AK239:AK262)/COUNT(AK239:AK262)</f>
        <v>#REF!</v>
      </c>
      <c r="AL333" s="385"/>
      <c r="AM333" s="383"/>
      <c r="AN333" s="384" t="e">
        <f>SUM(AN239:AN262)/COUNT(AN239:AN262)</f>
        <v>#REF!</v>
      </c>
      <c r="AO333" s="385"/>
      <c r="AP333" s="383"/>
      <c r="AQ333" s="384" t="e">
        <f>SUM(AQ239:AQ262)/COUNT(AQ239:AQ262)</f>
        <v>#REF!</v>
      </c>
      <c r="AR333" s="385"/>
      <c r="AS333" s="383"/>
      <c r="AT333" s="384" t="e">
        <f>SUM(AT239:AT262)/COUNT(AT239:AT262)</f>
        <v>#REF!</v>
      </c>
      <c r="AX333" s="383"/>
      <c r="AY333" s="392" t="e">
        <f>SUM(AY239:AY262)/COUNT(AY239:AY262)</f>
        <v>#REF!</v>
      </c>
      <c r="AZ333" s="385"/>
      <c r="BA333" s="383"/>
      <c r="BB333" s="384" t="e">
        <f>SUM(BB239:BB262)/COUNT(BB239:BB262)</f>
        <v>#REF!</v>
      </c>
      <c r="BC333" s="385"/>
      <c r="BD333" s="383"/>
      <c r="BE333" s="384" t="e">
        <f>SUM(BE239:BE262)/COUNT(BE239:BE262)</f>
        <v>#REF!</v>
      </c>
      <c r="BF333" s="385"/>
      <c r="BG333" s="383"/>
      <c r="BH333" s="384" t="e">
        <f>SUM(BH239:BH262)/COUNT(BH239:BH262)</f>
        <v>#REF!</v>
      </c>
      <c r="BL333" s="383"/>
      <c r="BM333" s="392" t="e">
        <f>SUM(BM239:BM262)/COUNT(BM239:BM262)</f>
        <v>#REF!</v>
      </c>
      <c r="BN333" s="385"/>
      <c r="BO333" s="383"/>
      <c r="BP333" s="384" t="e">
        <f>SUM(BP239:BP262)/COUNT(BP239:BP262)</f>
        <v>#REF!</v>
      </c>
      <c r="BQ333" s="385"/>
      <c r="BR333" s="383"/>
      <c r="BS333" s="384" t="e">
        <f>SUM(BS239:BS262)/COUNT(BS239:BS262)</f>
        <v>#REF!</v>
      </c>
      <c r="BT333" s="385"/>
      <c r="BU333" s="383"/>
      <c r="BV333" s="384" t="e">
        <f>SUM(BV239:BV262)/COUNT(BV239:BV262)</f>
        <v>#REF!</v>
      </c>
      <c r="BZ333" s="383"/>
      <c r="CA333" s="392" t="e">
        <f>SUM(CA239:CA262)/COUNT(CA239:CA262)</f>
        <v>#REF!</v>
      </c>
      <c r="CB333" s="385"/>
      <c r="CC333" s="383"/>
      <c r="CD333" s="384" t="e">
        <f>SUM(CD239:CD262)/COUNT(CD239:CD262)</f>
        <v>#REF!</v>
      </c>
      <c r="CE333" s="385"/>
      <c r="CF333" s="383"/>
      <c r="CG333" s="384" t="e">
        <f>SUM(CG239:CG262)/COUNT(CG239:CG262)</f>
        <v>#REF!</v>
      </c>
      <c r="CH333" s="385"/>
      <c r="CI333" s="383"/>
      <c r="CJ333" s="384" t="e">
        <f>SUM(CJ239:CJ262)/COUNT(CJ239:CJ262)</f>
        <v>#REF!</v>
      </c>
    </row>
    <row r="334" spans="2:90" ht="22.5" customHeight="1" x14ac:dyDescent="0.2">
      <c r="B334" s="1392" t="s">
        <v>794</v>
      </c>
      <c r="C334" s="1397" t="s">
        <v>256</v>
      </c>
      <c r="D334" s="759" t="str">
        <f>+'Plan de Accion 2018'!G111</f>
        <v>Plan de capacitación</v>
      </c>
      <c r="E334" s="1348" t="str">
        <f>+'Plan de Accion 2018'!B111</f>
        <v>Dirección Administrativa y Financiera</v>
      </c>
      <c r="F334" s="382" t="str">
        <f>+'Plan de Accion 2018'!S111</f>
        <v># Capacitaciones Ejecutadas/ # Capacitaciones programadas</v>
      </c>
      <c r="H334" s="547">
        <f>+'Plan de Accion 2018'!AB111</f>
        <v>4</v>
      </c>
      <c r="I334" s="751">
        <f>+'Plan de Accion 2018'!BM111</f>
        <v>1.3333333333333333</v>
      </c>
      <c r="J334" s="751">
        <f>IF(I334&gt;100%,100%,I334)</f>
        <v>1</v>
      </c>
      <c r="K334" s="751">
        <f>+'Plan de Accion 2018'!AF111</f>
        <v>4</v>
      </c>
      <c r="L334" s="751">
        <f>IF(K334&gt;25%,100%,K334)</f>
        <v>1</v>
      </c>
      <c r="M334" s="753">
        <f>+L334</f>
        <v>1</v>
      </c>
      <c r="N334" s="644">
        <v>1</v>
      </c>
      <c r="O334" s="547">
        <f>+'Plan de Accion 2018'!AL111</f>
        <v>8</v>
      </c>
      <c r="P334" s="751">
        <f>+'Plan de Accion 2018'!BO111</f>
        <v>4</v>
      </c>
      <c r="Q334" s="629">
        <f>IF(P334&gt;100%,100%,P334)</f>
        <v>1</v>
      </c>
      <c r="R334" s="751">
        <f>+'Plan de Accion 2018'!AP111</f>
        <v>12</v>
      </c>
      <c r="S334" s="751">
        <f>IF(R334&gt;100%,100%,R334)</f>
        <v>1</v>
      </c>
      <c r="T334" s="637">
        <f>+S334</f>
        <v>1</v>
      </c>
      <c r="U334" s="644">
        <v>1</v>
      </c>
      <c r="V334" s="545">
        <f>+'Plan de Accion 2018'!AV111</f>
        <v>0</v>
      </c>
      <c r="W334" s="767" t="str">
        <f>+'Plan de Accion 2018'!BQ111</f>
        <v>No Prog ni Ejec</v>
      </c>
      <c r="X334" s="751" t="s">
        <v>792</v>
      </c>
      <c r="Y334" s="882">
        <f>+'Plan de Accion 2018'!AZ111</f>
        <v>12</v>
      </c>
      <c r="Z334" s="882">
        <f>IF(Y334&gt;100%,100%,Y334)</f>
        <v>1</v>
      </c>
      <c r="AA334" s="883">
        <f>+Z334</f>
        <v>1</v>
      </c>
      <c r="AB334" s="644"/>
      <c r="AC334" s="547">
        <f>+'Plan de Accion 2018'!BF111</f>
        <v>1</v>
      </c>
      <c r="AD334" s="751">
        <f>+'Plan de Accion 2018'!BS111</f>
        <v>1</v>
      </c>
      <c r="AE334" s="629">
        <f>IF(AD334&gt;100%,100%,AD334)</f>
        <v>1</v>
      </c>
      <c r="AF334" s="751">
        <f>+'Plan de Accion 2018'!BJ111</f>
        <v>13</v>
      </c>
      <c r="AG334" s="637">
        <f>IF(AF334&gt;100%,100%,AF334)</f>
        <v>1</v>
      </c>
      <c r="AH334" s="1457"/>
      <c r="AJ334" s="1470"/>
      <c r="AK334" s="1445" t="e">
        <f>+AJ334/#REF!</f>
        <v>#REF!</v>
      </c>
      <c r="AL334" s="321"/>
      <c r="AM334" s="1467"/>
      <c r="AN334" s="1445" t="e">
        <f>+AM334/#REF!</f>
        <v>#REF!</v>
      </c>
      <c r="AO334" s="321"/>
      <c r="AP334" s="1445"/>
      <c r="AQ334" s="1445" t="e">
        <f>+AP334/#REF!</f>
        <v>#REF!</v>
      </c>
      <c r="AR334" s="321"/>
      <c r="AS334" s="1445"/>
      <c r="AT334" s="1445" t="e">
        <f>+AS334/#REF!</f>
        <v>#REF!</v>
      </c>
      <c r="AU334" s="326"/>
      <c r="AV334" s="1451"/>
      <c r="AX334" s="1470"/>
      <c r="AY334" s="1445" t="e">
        <f>+AX334/#REF!</f>
        <v>#REF!</v>
      </c>
      <c r="AZ334" s="321"/>
      <c r="BA334" s="1467"/>
      <c r="BB334" s="1445" t="e">
        <f>+BA334/#REF!</f>
        <v>#REF!</v>
      </c>
      <c r="BC334" s="321"/>
      <c r="BD334" s="1445"/>
      <c r="BE334" s="1445" t="e">
        <f>+BD334/#REF!</f>
        <v>#REF!</v>
      </c>
      <c r="BF334" s="321"/>
      <c r="BG334" s="1445"/>
      <c r="BH334" s="1445" t="e">
        <f>+BG334/#REF!</f>
        <v>#REF!</v>
      </c>
      <c r="BI334" s="326"/>
      <c r="BJ334" s="1451"/>
      <c r="BL334" s="1470"/>
      <c r="BM334" s="1445" t="e">
        <f>+BL334/#REF!</f>
        <v>#REF!</v>
      </c>
      <c r="BN334" s="321"/>
      <c r="BO334" s="1467"/>
      <c r="BP334" s="1445" t="e">
        <f>+BO334/#REF!</f>
        <v>#REF!</v>
      </c>
      <c r="BQ334" s="321"/>
      <c r="BR334" s="1445"/>
      <c r="BS334" s="1445" t="e">
        <f>+BR334/#REF!</f>
        <v>#REF!</v>
      </c>
      <c r="BT334" s="321"/>
      <c r="BU334" s="1445"/>
      <c r="BV334" s="1445" t="e">
        <f>+BU334/#REF!</f>
        <v>#REF!</v>
      </c>
      <c r="BW334" s="326"/>
      <c r="BX334" s="1451"/>
      <c r="BZ334" s="1470"/>
      <c r="CA334" s="1445" t="e">
        <f>+BZ334/#REF!</f>
        <v>#REF!</v>
      </c>
      <c r="CB334" s="321"/>
      <c r="CC334" s="1467"/>
      <c r="CD334" s="1445" t="e">
        <f>+CC334/#REF!</f>
        <v>#REF!</v>
      </c>
      <c r="CE334" s="321"/>
      <c r="CF334" s="1445"/>
      <c r="CG334" s="1445" t="e">
        <f>+CF334/#REF!</f>
        <v>#REF!</v>
      </c>
      <c r="CH334" s="321"/>
      <c r="CI334" s="1445"/>
      <c r="CJ334" s="1445" t="e">
        <f>+CI334/#REF!</f>
        <v>#REF!</v>
      </c>
      <c r="CK334" s="326"/>
      <c r="CL334" s="1451"/>
    </row>
    <row r="335" spans="2:90" s="542" customFormat="1" ht="57" x14ac:dyDescent="0.2">
      <c r="B335" s="1392"/>
      <c r="C335" s="1397"/>
      <c r="D335" s="759" t="str">
        <f>+'Plan de Accion 2018'!G112</f>
        <v>Capacitación sobre Manejo y control de los bienes de uso de la Entidad.</v>
      </c>
      <c r="E335" s="1349"/>
      <c r="F335" s="382" t="str">
        <f>+'Plan de Accion 2018'!S112</f>
        <v xml:space="preserve"># Funcionarios  participantes / 
# Funcionarios  convocados
</v>
      </c>
      <c r="G335" s="298"/>
      <c r="H335" s="547">
        <f>+'Plan de Accion 2018'!AB112</f>
        <v>0</v>
      </c>
      <c r="I335" s="751" t="str">
        <f>+'Plan de Accion 2018'!BM112</f>
        <v>No Prog ni Ejec</v>
      </c>
      <c r="J335" s="751" t="s">
        <v>792</v>
      </c>
      <c r="K335" s="751">
        <f>+'Plan de Accion 2018'!AF112</f>
        <v>0</v>
      </c>
      <c r="L335" s="751">
        <f>IF(K335&gt;25%,100%,K335)</f>
        <v>0</v>
      </c>
      <c r="M335" s="849" t="s">
        <v>792</v>
      </c>
      <c r="N335" s="644"/>
      <c r="O335" s="547">
        <f>+'Plan de Accion 2018'!AL112</f>
        <v>0</v>
      </c>
      <c r="P335" s="751" t="str">
        <f>+'Plan de Accion 2018'!BO112</f>
        <v>No Prog ni Ejec</v>
      </c>
      <c r="Q335" s="751" t="s">
        <v>792</v>
      </c>
      <c r="R335" s="751">
        <f>+'Plan de Accion 2018'!AP112</f>
        <v>0</v>
      </c>
      <c r="S335" s="751">
        <f>IF(R335&gt;100%,100%,R335)</f>
        <v>0</v>
      </c>
      <c r="T335" s="637" t="s">
        <v>792</v>
      </c>
      <c r="U335" s="644"/>
      <c r="V335" s="545">
        <f>+'Plan de Accion 2018'!AV112</f>
        <v>0.6203208556149733</v>
      </c>
      <c r="W335" s="767">
        <f>+'Plan de Accion 2018'!AZ112</f>
        <v>0.6203208556149733</v>
      </c>
      <c r="X335" s="751">
        <f>+W335</f>
        <v>0.6203208556149733</v>
      </c>
      <c r="Y335" s="882">
        <f>+'Plan de Accion 2018'!AZ112</f>
        <v>0.6203208556149733</v>
      </c>
      <c r="Z335" s="882">
        <f>IF(Y335&gt;100%,100%,Y335)</f>
        <v>0.6203208556149733</v>
      </c>
      <c r="AA335" s="883">
        <f>+Z335</f>
        <v>0.6203208556149733</v>
      </c>
      <c r="AB335" s="644"/>
      <c r="AC335" s="547">
        <f>+'Plan de Accion 2018'!BF112</f>
        <v>0</v>
      </c>
      <c r="AD335" s="751">
        <f>+'Plan de Accion 2018'!BS112</f>
        <v>0</v>
      </c>
      <c r="AE335" s="629">
        <f t="shared" ref="AE335:AE344" si="129">IF(AD335&gt;100%,100%,AD335)</f>
        <v>0</v>
      </c>
      <c r="AF335" s="751">
        <f>+'Plan de Accion 2018'!BJ112</f>
        <v>0.6203208556149733</v>
      </c>
      <c r="AG335" s="637">
        <f t="shared" ref="AG335:AG344" si="130">IF(AF335&gt;100%,100%,AF335)</f>
        <v>0.6203208556149733</v>
      </c>
      <c r="AH335" s="1458"/>
      <c r="AI335" s="1014"/>
      <c r="AJ335" s="1471"/>
      <c r="AK335" s="1446"/>
      <c r="AL335" s="321"/>
      <c r="AM335" s="1468"/>
      <c r="AN335" s="1446"/>
      <c r="AO335" s="321"/>
      <c r="AP335" s="1446"/>
      <c r="AQ335" s="1446"/>
      <c r="AR335" s="321"/>
      <c r="AS335" s="1446"/>
      <c r="AT335" s="1446"/>
      <c r="AU335" s="326"/>
      <c r="AV335" s="1452"/>
      <c r="AX335" s="1471"/>
      <c r="AY335" s="1446"/>
      <c r="AZ335" s="321"/>
      <c r="BA335" s="1468"/>
      <c r="BB335" s="1446"/>
      <c r="BC335" s="321"/>
      <c r="BD335" s="1446"/>
      <c r="BE335" s="1446"/>
      <c r="BF335" s="321"/>
      <c r="BG335" s="1446"/>
      <c r="BH335" s="1446"/>
      <c r="BI335" s="326"/>
      <c r="BJ335" s="1452"/>
      <c r="BL335" s="1471"/>
      <c r="BM335" s="1446"/>
      <c r="BN335" s="321"/>
      <c r="BO335" s="1468"/>
      <c r="BP335" s="1446"/>
      <c r="BQ335" s="321"/>
      <c r="BR335" s="1446"/>
      <c r="BS335" s="1446"/>
      <c r="BT335" s="321"/>
      <c r="BU335" s="1446"/>
      <c r="BV335" s="1446"/>
      <c r="BW335" s="326"/>
      <c r="BX335" s="1452"/>
      <c r="BZ335" s="1471"/>
      <c r="CA335" s="1446"/>
      <c r="CB335" s="321"/>
      <c r="CC335" s="1468"/>
      <c r="CD335" s="1446"/>
      <c r="CE335" s="321"/>
      <c r="CF335" s="1446"/>
      <c r="CG335" s="1446"/>
      <c r="CH335" s="321"/>
      <c r="CI335" s="1446"/>
      <c r="CJ335" s="1446"/>
      <c r="CK335" s="326"/>
      <c r="CL335" s="1452"/>
    </row>
    <row r="336" spans="2:90" s="542" customFormat="1" ht="114" x14ac:dyDescent="0.2">
      <c r="B336" s="1392"/>
      <c r="C336" s="1397"/>
      <c r="D336" s="759" t="str">
        <f>+'Plan de Accion 2018'!G113</f>
        <v>Capacitación en Gestión documental en el entorno laboral.
Cero papel
Ley  de Archivo 594 del  2000
Manejo de inventarios.
Tabla de retención documental (construcción).
Gestión y manejo del Archivo.</v>
      </c>
      <c r="E336" s="1349"/>
      <c r="F336" s="382" t="str">
        <f>+'Plan de Accion 2018'!S113</f>
        <v xml:space="preserve"># Funcionarios  participantes / 
# Funcionarios  convocados
</v>
      </c>
      <c r="G336" s="298"/>
      <c r="H336" s="547">
        <f>+'Plan de Accion 2018'!AB113</f>
        <v>0</v>
      </c>
      <c r="I336" s="751" t="str">
        <f>+'Plan de Accion 2018'!BM113</f>
        <v>No Prog ni Ejec</v>
      </c>
      <c r="J336" s="751" t="s">
        <v>792</v>
      </c>
      <c r="K336" s="751">
        <f>+'Plan de Accion 2018'!AF113</f>
        <v>0</v>
      </c>
      <c r="L336" s="873">
        <f t="shared" ref="L336:L381" si="131">IF(K336&gt;25%,100%,K336)</f>
        <v>0</v>
      </c>
      <c r="M336" s="849" t="s">
        <v>792</v>
      </c>
      <c r="N336" s="644"/>
      <c r="O336" s="547">
        <f>+'Plan de Accion 2018'!AL113</f>
        <v>0</v>
      </c>
      <c r="P336" s="751" t="str">
        <f>+'Plan de Accion 2018'!BO113</f>
        <v>No Prog ni Ejec</v>
      </c>
      <c r="Q336" s="751" t="s">
        <v>792</v>
      </c>
      <c r="R336" s="751">
        <f>+'Plan de Accion 2018'!AP113</f>
        <v>0</v>
      </c>
      <c r="S336" s="873">
        <f t="shared" ref="S336:S381" si="132">IF(R336&gt;100%,100%,R336)</f>
        <v>0</v>
      </c>
      <c r="T336" s="637" t="s">
        <v>792</v>
      </c>
      <c r="U336" s="644"/>
      <c r="V336" s="545">
        <f>+'Plan de Accion 2018'!AV113</f>
        <v>0.74331550802139035</v>
      </c>
      <c r="W336" s="767">
        <f>+'Plan de Accion 2018'!AZ113</f>
        <v>0.74331550802139035</v>
      </c>
      <c r="X336" s="751">
        <f>+W336</f>
        <v>0.74331550802139035</v>
      </c>
      <c r="Y336" s="882">
        <f>+'Plan de Accion 2018'!AZ113</f>
        <v>0.74331550802139035</v>
      </c>
      <c r="Z336" s="882">
        <f t="shared" ref="Z336:Z381" si="133">IF(Y336&gt;100%,100%,Y336)</f>
        <v>0.74331550802139035</v>
      </c>
      <c r="AA336" s="883">
        <f>+Z336</f>
        <v>0.74331550802139035</v>
      </c>
      <c r="AB336" s="644"/>
      <c r="AC336" s="547">
        <f>+'Plan de Accion 2018'!BF113</f>
        <v>0.70370370370370372</v>
      </c>
      <c r="AD336" s="751">
        <f>+'Plan de Accion 2018'!BS113</f>
        <v>0.70370370370370372</v>
      </c>
      <c r="AE336" s="629">
        <f t="shared" si="129"/>
        <v>0.70370370370370372</v>
      </c>
      <c r="AF336" s="751">
        <f>+'Plan de Accion 2018'!BJ113</f>
        <v>1.447019211725094</v>
      </c>
      <c r="AG336" s="637">
        <f t="shared" si="130"/>
        <v>1</v>
      </c>
      <c r="AH336" s="1458"/>
      <c r="AI336" s="1014"/>
      <c r="AJ336" s="1471"/>
      <c r="AK336" s="1446"/>
      <c r="AL336" s="321"/>
      <c r="AM336" s="1468"/>
      <c r="AN336" s="1446"/>
      <c r="AO336" s="321"/>
      <c r="AP336" s="1446"/>
      <c r="AQ336" s="1446"/>
      <c r="AR336" s="321"/>
      <c r="AS336" s="1446"/>
      <c r="AT336" s="1446"/>
      <c r="AU336" s="326"/>
      <c r="AV336" s="1452"/>
      <c r="AX336" s="1471"/>
      <c r="AY336" s="1446"/>
      <c r="AZ336" s="321"/>
      <c r="BA336" s="1468"/>
      <c r="BB336" s="1446"/>
      <c r="BC336" s="321"/>
      <c r="BD336" s="1446"/>
      <c r="BE336" s="1446"/>
      <c r="BF336" s="321"/>
      <c r="BG336" s="1446"/>
      <c r="BH336" s="1446"/>
      <c r="BI336" s="326"/>
      <c r="BJ336" s="1452"/>
      <c r="BL336" s="1471"/>
      <c r="BM336" s="1446"/>
      <c r="BN336" s="321"/>
      <c r="BO336" s="1468"/>
      <c r="BP336" s="1446"/>
      <c r="BQ336" s="321"/>
      <c r="BR336" s="1446"/>
      <c r="BS336" s="1446"/>
      <c r="BT336" s="321"/>
      <c r="BU336" s="1446"/>
      <c r="BV336" s="1446"/>
      <c r="BW336" s="326"/>
      <c r="BX336" s="1452"/>
      <c r="BZ336" s="1471"/>
      <c r="CA336" s="1446"/>
      <c r="CB336" s="321"/>
      <c r="CC336" s="1468"/>
      <c r="CD336" s="1446"/>
      <c r="CE336" s="321"/>
      <c r="CF336" s="1446"/>
      <c r="CG336" s="1446"/>
      <c r="CH336" s="321"/>
      <c r="CI336" s="1446"/>
      <c r="CJ336" s="1446"/>
      <c r="CK336" s="326"/>
      <c r="CL336" s="1452"/>
    </row>
    <row r="337" spans="2:90" s="542" customFormat="1" ht="22.5" customHeight="1" x14ac:dyDescent="0.2">
      <c r="B337" s="1392"/>
      <c r="C337" s="1397"/>
      <c r="D337" s="759" t="str">
        <f>+'Plan de Accion 2018'!G114</f>
        <v>Controles y seguridad informática.</v>
      </c>
      <c r="E337" s="1349"/>
      <c r="F337" s="382" t="str">
        <f>+'Plan de Accion 2018'!S114</f>
        <v xml:space="preserve"># Funcionarios  participantes / 
# Funcionarios  convocados
</v>
      </c>
      <c r="G337" s="298"/>
      <c r="H337" s="547">
        <f>+'Plan de Accion 2018'!AB114</f>
        <v>0</v>
      </c>
      <c r="I337" s="751" t="str">
        <f>+'Plan de Accion 2018'!BM114</f>
        <v>No Prog ni Ejec</v>
      </c>
      <c r="J337" s="751" t="s">
        <v>792</v>
      </c>
      <c r="K337" s="751">
        <f>+'Plan de Accion 2018'!AF114</f>
        <v>0</v>
      </c>
      <c r="L337" s="873">
        <f t="shared" si="131"/>
        <v>0</v>
      </c>
      <c r="M337" s="849" t="s">
        <v>792</v>
      </c>
      <c r="N337" s="644"/>
      <c r="O337" s="547">
        <f>+'Plan de Accion 2018'!AL114</f>
        <v>0</v>
      </c>
      <c r="P337" s="751" t="str">
        <f>+'Plan de Accion 2018'!BO114</f>
        <v>No Prog ni Ejec</v>
      </c>
      <c r="Q337" s="751" t="s">
        <v>792</v>
      </c>
      <c r="R337" s="751">
        <f>+'Plan de Accion 2018'!AP114</f>
        <v>0</v>
      </c>
      <c r="S337" s="873">
        <f t="shared" si="132"/>
        <v>0</v>
      </c>
      <c r="T337" s="637" t="s">
        <v>792</v>
      </c>
      <c r="U337" s="644"/>
      <c r="V337" s="545">
        <f>+'Plan de Accion 2018'!AV114</f>
        <v>0</v>
      </c>
      <c r="W337" s="767" t="str">
        <f>+'Plan de Accion 2018'!BQ114</f>
        <v>No Prog ni Ejec</v>
      </c>
      <c r="X337" s="751" t="s">
        <v>792</v>
      </c>
      <c r="Y337" s="882">
        <f>+'Plan de Accion 2018'!AZ114</f>
        <v>0</v>
      </c>
      <c r="Z337" s="882">
        <f t="shared" si="133"/>
        <v>0</v>
      </c>
      <c r="AA337" s="883" t="s">
        <v>792</v>
      </c>
      <c r="AB337" s="644"/>
      <c r="AC337" s="547">
        <f>+'Plan de Accion 2018'!BF114</f>
        <v>0.7567567567567568</v>
      </c>
      <c r="AD337" s="751">
        <f>+'Plan de Accion 2018'!BS114</f>
        <v>0.7567567567567568</v>
      </c>
      <c r="AE337" s="629">
        <f t="shared" si="129"/>
        <v>0.7567567567567568</v>
      </c>
      <c r="AF337" s="751">
        <f>+'Plan de Accion 2018'!BJ114</f>
        <v>0.7567567567567568</v>
      </c>
      <c r="AG337" s="637">
        <f t="shared" si="130"/>
        <v>0.7567567567567568</v>
      </c>
      <c r="AH337" s="1458"/>
      <c r="AI337" s="1014"/>
      <c r="AJ337" s="1471"/>
      <c r="AK337" s="1446"/>
      <c r="AL337" s="321"/>
      <c r="AM337" s="1468"/>
      <c r="AN337" s="1446"/>
      <c r="AO337" s="321"/>
      <c r="AP337" s="1446"/>
      <c r="AQ337" s="1446"/>
      <c r="AR337" s="321"/>
      <c r="AS337" s="1446"/>
      <c r="AT337" s="1446"/>
      <c r="AU337" s="326"/>
      <c r="AV337" s="1452"/>
      <c r="AX337" s="1471"/>
      <c r="AY337" s="1446"/>
      <c r="AZ337" s="321"/>
      <c r="BA337" s="1468"/>
      <c r="BB337" s="1446"/>
      <c r="BC337" s="321"/>
      <c r="BD337" s="1446"/>
      <c r="BE337" s="1446"/>
      <c r="BF337" s="321"/>
      <c r="BG337" s="1446"/>
      <c r="BH337" s="1446"/>
      <c r="BI337" s="326"/>
      <c r="BJ337" s="1452"/>
      <c r="BL337" s="1471"/>
      <c r="BM337" s="1446"/>
      <c r="BN337" s="321"/>
      <c r="BO337" s="1468"/>
      <c r="BP337" s="1446"/>
      <c r="BQ337" s="321"/>
      <c r="BR337" s="1446"/>
      <c r="BS337" s="1446"/>
      <c r="BT337" s="321"/>
      <c r="BU337" s="1446"/>
      <c r="BV337" s="1446"/>
      <c r="BW337" s="326"/>
      <c r="BX337" s="1452"/>
      <c r="BZ337" s="1471"/>
      <c r="CA337" s="1446"/>
      <c r="CB337" s="321"/>
      <c r="CC337" s="1468"/>
      <c r="CD337" s="1446"/>
      <c r="CE337" s="321"/>
      <c r="CF337" s="1446"/>
      <c r="CG337" s="1446"/>
      <c r="CH337" s="321"/>
      <c r="CI337" s="1446"/>
      <c r="CJ337" s="1446"/>
      <c r="CK337" s="326"/>
      <c r="CL337" s="1452"/>
    </row>
    <row r="338" spans="2:90" s="542" customFormat="1" ht="42.75" x14ac:dyDescent="0.2">
      <c r="B338" s="1392"/>
      <c r="C338" s="1397"/>
      <c r="D338" s="759" t="str">
        <f>+'Plan de Accion 2018'!G115</f>
        <v>Informe de resultados de la aplicación de la encuesta sobre factores de riesgo psicosocial.</v>
      </c>
      <c r="E338" s="1349"/>
      <c r="F338" s="382" t="str">
        <f>+'Plan de Accion 2018'!S115</f>
        <v xml:space="preserve"># Informe de resultados
</v>
      </c>
      <c r="G338" s="298"/>
      <c r="H338" s="547">
        <f>+'Plan de Accion 2018'!AB115</f>
        <v>0</v>
      </c>
      <c r="I338" s="751" t="str">
        <f>+'Plan de Accion 2018'!BM115</f>
        <v>No Prog ni Ejec</v>
      </c>
      <c r="J338" s="751" t="s">
        <v>792</v>
      </c>
      <c r="K338" s="751">
        <f>+'Plan de Accion 2018'!AF115</f>
        <v>0</v>
      </c>
      <c r="L338" s="873">
        <f t="shared" si="131"/>
        <v>0</v>
      </c>
      <c r="M338" s="849" t="s">
        <v>792</v>
      </c>
      <c r="N338" s="644"/>
      <c r="O338" s="547">
        <f>+'Plan de Accion 2018'!AL115</f>
        <v>0</v>
      </c>
      <c r="P338" s="751" t="str">
        <f>+'Plan de Accion 2018'!BO115</f>
        <v>No Prog ni Ejec</v>
      </c>
      <c r="Q338" s="751" t="s">
        <v>792</v>
      </c>
      <c r="R338" s="751">
        <f>+'Plan de Accion 2018'!AP115</f>
        <v>0</v>
      </c>
      <c r="S338" s="873">
        <f t="shared" si="132"/>
        <v>0</v>
      </c>
      <c r="T338" s="637" t="s">
        <v>792</v>
      </c>
      <c r="U338" s="644"/>
      <c r="V338" s="545">
        <f>+'Plan de Accion 2018'!AV115</f>
        <v>1</v>
      </c>
      <c r="W338" s="767">
        <f>+'Plan de Accion 2018'!AZ115</f>
        <v>1</v>
      </c>
      <c r="X338" s="751">
        <f>+W338</f>
        <v>1</v>
      </c>
      <c r="Y338" s="882">
        <f>+'Plan de Accion 2018'!AZ115</f>
        <v>1</v>
      </c>
      <c r="Z338" s="882">
        <f t="shared" si="133"/>
        <v>1</v>
      </c>
      <c r="AA338" s="883">
        <f>+Z338</f>
        <v>1</v>
      </c>
      <c r="AB338" s="644"/>
      <c r="AC338" s="547">
        <f>+'Plan de Accion 2018'!BF115</f>
        <v>0</v>
      </c>
      <c r="AD338" s="751">
        <f>+'Plan de Accion 2018'!BS115</f>
        <v>0</v>
      </c>
      <c r="AE338" s="629">
        <f t="shared" si="129"/>
        <v>0</v>
      </c>
      <c r="AF338" s="751">
        <f>+'Plan de Accion 2018'!BJ115</f>
        <v>1</v>
      </c>
      <c r="AG338" s="637">
        <f t="shared" si="130"/>
        <v>1</v>
      </c>
      <c r="AH338" s="1458"/>
      <c r="AI338" s="1014"/>
      <c r="AJ338" s="1471"/>
      <c r="AK338" s="1446"/>
      <c r="AL338" s="321"/>
      <c r="AM338" s="1468"/>
      <c r="AN338" s="1446"/>
      <c r="AO338" s="321"/>
      <c r="AP338" s="1446"/>
      <c r="AQ338" s="1446"/>
      <c r="AR338" s="321"/>
      <c r="AS338" s="1446"/>
      <c r="AT338" s="1446"/>
      <c r="AU338" s="326"/>
      <c r="AV338" s="1452"/>
      <c r="AX338" s="1471"/>
      <c r="AY338" s="1446"/>
      <c r="AZ338" s="321"/>
      <c r="BA338" s="1468"/>
      <c r="BB338" s="1446"/>
      <c r="BC338" s="321"/>
      <c r="BD338" s="1446"/>
      <c r="BE338" s="1446"/>
      <c r="BF338" s="321"/>
      <c r="BG338" s="1446"/>
      <c r="BH338" s="1446"/>
      <c r="BI338" s="326"/>
      <c r="BJ338" s="1452"/>
      <c r="BL338" s="1471"/>
      <c r="BM338" s="1446"/>
      <c r="BN338" s="321"/>
      <c r="BO338" s="1468"/>
      <c r="BP338" s="1446"/>
      <c r="BQ338" s="321"/>
      <c r="BR338" s="1446"/>
      <c r="BS338" s="1446"/>
      <c r="BT338" s="321"/>
      <c r="BU338" s="1446"/>
      <c r="BV338" s="1446"/>
      <c r="BW338" s="326"/>
      <c r="BX338" s="1452"/>
      <c r="BZ338" s="1471"/>
      <c r="CA338" s="1446"/>
      <c r="CB338" s="321"/>
      <c r="CC338" s="1468"/>
      <c r="CD338" s="1446"/>
      <c r="CE338" s="321"/>
      <c r="CF338" s="1446"/>
      <c r="CG338" s="1446"/>
      <c r="CH338" s="321"/>
      <c r="CI338" s="1446"/>
      <c r="CJ338" s="1446"/>
      <c r="CK338" s="326"/>
      <c r="CL338" s="1452"/>
    </row>
    <row r="339" spans="2:90" s="542" customFormat="1" ht="22.5" customHeight="1" x14ac:dyDescent="0.2">
      <c r="B339" s="1392"/>
      <c r="C339" s="1397"/>
      <c r="D339" s="759" t="str">
        <f>+'Plan de Accion 2018'!G116</f>
        <v>Taller en Comunicación efectiva.</v>
      </c>
      <c r="E339" s="1349"/>
      <c r="F339" s="382" t="str">
        <f>+'Plan de Accion 2018'!S116</f>
        <v xml:space="preserve"># Funcionarios  participantes / 
# Funcionarios  convocados
</v>
      </c>
      <c r="G339" s="298"/>
      <c r="H339" s="547">
        <f>+'Plan de Accion 2018'!AB116</f>
        <v>0</v>
      </c>
      <c r="I339" s="751" t="str">
        <f>+'Plan de Accion 2018'!BM116</f>
        <v>No Prog ni Ejec</v>
      </c>
      <c r="J339" s="751" t="s">
        <v>792</v>
      </c>
      <c r="K339" s="751">
        <f>+'Plan de Accion 2018'!AF116</f>
        <v>0</v>
      </c>
      <c r="L339" s="873">
        <f t="shared" si="131"/>
        <v>0</v>
      </c>
      <c r="M339" s="849" t="s">
        <v>792</v>
      </c>
      <c r="N339" s="644"/>
      <c r="O339" s="547">
        <f>+'Plan de Accion 2018'!AL116</f>
        <v>0</v>
      </c>
      <c r="P339" s="751" t="str">
        <f>+'Plan de Accion 2018'!BO116</f>
        <v>No Prog ni Ejec</v>
      </c>
      <c r="Q339" s="751" t="s">
        <v>792</v>
      </c>
      <c r="R339" s="751">
        <f>+'Plan de Accion 2018'!AP116</f>
        <v>0</v>
      </c>
      <c r="S339" s="873">
        <f t="shared" si="132"/>
        <v>0</v>
      </c>
      <c r="T339" s="637" t="s">
        <v>792</v>
      </c>
      <c r="U339" s="644"/>
      <c r="V339" s="545">
        <f>+'Plan de Accion 2018'!AV116</f>
        <v>0</v>
      </c>
      <c r="W339" s="767" t="str">
        <f>+'Plan de Accion 2018'!BQ116</f>
        <v>No Prog ni Ejec</v>
      </c>
      <c r="X339" s="751" t="s">
        <v>792</v>
      </c>
      <c r="Y339" s="882">
        <f>+'Plan de Accion 2018'!AZ116</f>
        <v>0</v>
      </c>
      <c r="Z339" s="882">
        <f t="shared" si="133"/>
        <v>0</v>
      </c>
      <c r="AA339" s="883" t="s">
        <v>792</v>
      </c>
      <c r="AB339" s="644"/>
      <c r="AC339" s="547">
        <f>+'Plan de Accion 2018'!BF116</f>
        <v>0.74838709677419357</v>
      </c>
      <c r="AD339" s="751">
        <f>+'Plan de Accion 2018'!BS116</f>
        <v>0.74838709677419357</v>
      </c>
      <c r="AE339" s="629">
        <f t="shared" si="129"/>
        <v>0.74838709677419357</v>
      </c>
      <c r="AF339" s="751">
        <f>+'Plan de Accion 2018'!BJ116</f>
        <v>0.74838709677419357</v>
      </c>
      <c r="AG339" s="637">
        <f t="shared" si="130"/>
        <v>0.74838709677419357</v>
      </c>
      <c r="AH339" s="1458"/>
      <c r="AI339" s="1014"/>
      <c r="AJ339" s="1471"/>
      <c r="AK339" s="1446"/>
      <c r="AL339" s="321"/>
      <c r="AM339" s="1468"/>
      <c r="AN339" s="1446"/>
      <c r="AO339" s="321"/>
      <c r="AP339" s="1446"/>
      <c r="AQ339" s="1446"/>
      <c r="AR339" s="321"/>
      <c r="AS339" s="1446"/>
      <c r="AT339" s="1446"/>
      <c r="AU339" s="326"/>
      <c r="AV339" s="1452"/>
      <c r="AX339" s="1471"/>
      <c r="AY339" s="1446"/>
      <c r="AZ339" s="321"/>
      <c r="BA339" s="1468"/>
      <c r="BB339" s="1446"/>
      <c r="BC339" s="321"/>
      <c r="BD339" s="1446"/>
      <c r="BE339" s="1446"/>
      <c r="BF339" s="321"/>
      <c r="BG339" s="1446"/>
      <c r="BH339" s="1446"/>
      <c r="BI339" s="326"/>
      <c r="BJ339" s="1452"/>
      <c r="BL339" s="1471"/>
      <c r="BM339" s="1446"/>
      <c r="BN339" s="321"/>
      <c r="BO339" s="1468"/>
      <c r="BP339" s="1446"/>
      <c r="BQ339" s="321"/>
      <c r="BR339" s="1446"/>
      <c r="BS339" s="1446"/>
      <c r="BT339" s="321"/>
      <c r="BU339" s="1446"/>
      <c r="BV339" s="1446"/>
      <c r="BW339" s="326"/>
      <c r="BX339" s="1452"/>
      <c r="BZ339" s="1471"/>
      <c r="CA339" s="1446"/>
      <c r="CB339" s="321"/>
      <c r="CC339" s="1468"/>
      <c r="CD339" s="1446"/>
      <c r="CE339" s="321"/>
      <c r="CF339" s="1446"/>
      <c r="CG339" s="1446"/>
      <c r="CH339" s="321"/>
      <c r="CI339" s="1446"/>
      <c r="CJ339" s="1446"/>
      <c r="CK339" s="326"/>
      <c r="CL339" s="1452"/>
    </row>
    <row r="340" spans="2:90" s="542" customFormat="1" ht="22.5" customHeight="1" x14ac:dyDescent="0.2">
      <c r="B340" s="1392"/>
      <c r="C340" s="1397"/>
      <c r="D340" s="759" t="str">
        <f>+'Plan de Accion 2018'!G117</f>
        <v>Taller en Manejo del tiempo libre.</v>
      </c>
      <c r="E340" s="1349"/>
      <c r="F340" s="382" t="str">
        <f>+'Plan de Accion 2018'!S117</f>
        <v xml:space="preserve"># Funcionarios  participantes / 
# Funcionarios  convocados
</v>
      </c>
      <c r="G340" s="298"/>
      <c r="H340" s="547">
        <f>+'Plan de Accion 2018'!AB117</f>
        <v>0</v>
      </c>
      <c r="I340" s="751" t="str">
        <f>+'Plan de Accion 2018'!BM117</f>
        <v>No Prog ni Ejec</v>
      </c>
      <c r="J340" s="751" t="s">
        <v>792</v>
      </c>
      <c r="K340" s="751">
        <f>+'Plan de Accion 2018'!AF117</f>
        <v>0</v>
      </c>
      <c r="L340" s="873">
        <f t="shared" si="131"/>
        <v>0</v>
      </c>
      <c r="M340" s="849" t="s">
        <v>792</v>
      </c>
      <c r="N340" s="644"/>
      <c r="O340" s="547">
        <f>+'Plan de Accion 2018'!AL117</f>
        <v>0</v>
      </c>
      <c r="P340" s="751" t="str">
        <f>+'Plan de Accion 2018'!BO117</f>
        <v>No Prog ni Ejec</v>
      </c>
      <c r="Q340" s="751" t="s">
        <v>792</v>
      </c>
      <c r="R340" s="751">
        <f>+'Plan de Accion 2018'!AP117</f>
        <v>0</v>
      </c>
      <c r="S340" s="873">
        <f t="shared" si="132"/>
        <v>0</v>
      </c>
      <c r="T340" s="637" t="s">
        <v>792</v>
      </c>
      <c r="U340" s="644"/>
      <c r="V340" s="545">
        <f>+'Plan de Accion 2018'!AV117</f>
        <v>0</v>
      </c>
      <c r="W340" s="767" t="str">
        <f>+'Plan de Accion 2018'!BQ117</f>
        <v>No Prog ni Ejec</v>
      </c>
      <c r="X340" s="751" t="s">
        <v>792</v>
      </c>
      <c r="Y340" s="882">
        <f>+'Plan de Accion 2018'!AZ117</f>
        <v>0</v>
      </c>
      <c r="Z340" s="882">
        <f t="shared" si="133"/>
        <v>0</v>
      </c>
      <c r="AA340" s="883" t="s">
        <v>792</v>
      </c>
      <c r="AB340" s="644"/>
      <c r="AC340" s="547">
        <f>+'Plan de Accion 2018'!BF117</f>
        <v>0.7615384615384615</v>
      </c>
      <c r="AD340" s="751">
        <f>+'Plan de Accion 2018'!BS117</f>
        <v>0.7615384615384615</v>
      </c>
      <c r="AE340" s="629">
        <f t="shared" si="129"/>
        <v>0.7615384615384615</v>
      </c>
      <c r="AF340" s="751">
        <f>+'Plan de Accion 2018'!BJ117</f>
        <v>0.7615384615384615</v>
      </c>
      <c r="AG340" s="637">
        <f t="shared" si="130"/>
        <v>0.7615384615384615</v>
      </c>
      <c r="AH340" s="1458"/>
      <c r="AI340" s="1014"/>
      <c r="AJ340" s="1471"/>
      <c r="AK340" s="1446"/>
      <c r="AL340" s="321"/>
      <c r="AM340" s="1468"/>
      <c r="AN340" s="1446"/>
      <c r="AO340" s="321"/>
      <c r="AP340" s="1446"/>
      <c r="AQ340" s="1446"/>
      <c r="AR340" s="321"/>
      <c r="AS340" s="1446"/>
      <c r="AT340" s="1446"/>
      <c r="AU340" s="326"/>
      <c r="AV340" s="1452"/>
      <c r="AX340" s="1471"/>
      <c r="AY340" s="1446"/>
      <c r="AZ340" s="321"/>
      <c r="BA340" s="1468"/>
      <c r="BB340" s="1446"/>
      <c r="BC340" s="321"/>
      <c r="BD340" s="1446"/>
      <c r="BE340" s="1446"/>
      <c r="BF340" s="321"/>
      <c r="BG340" s="1446"/>
      <c r="BH340" s="1446"/>
      <c r="BI340" s="326"/>
      <c r="BJ340" s="1452"/>
      <c r="BL340" s="1471"/>
      <c r="BM340" s="1446"/>
      <c r="BN340" s="321"/>
      <c r="BO340" s="1468"/>
      <c r="BP340" s="1446"/>
      <c r="BQ340" s="321"/>
      <c r="BR340" s="1446"/>
      <c r="BS340" s="1446"/>
      <c r="BT340" s="321"/>
      <c r="BU340" s="1446"/>
      <c r="BV340" s="1446"/>
      <c r="BW340" s="326"/>
      <c r="BX340" s="1452"/>
      <c r="BZ340" s="1471"/>
      <c r="CA340" s="1446"/>
      <c r="CB340" s="321"/>
      <c r="CC340" s="1468"/>
      <c r="CD340" s="1446"/>
      <c r="CE340" s="321"/>
      <c r="CF340" s="1446"/>
      <c r="CG340" s="1446"/>
      <c r="CH340" s="321"/>
      <c r="CI340" s="1446"/>
      <c r="CJ340" s="1446"/>
      <c r="CK340" s="326"/>
      <c r="CL340" s="1452"/>
    </row>
    <row r="341" spans="2:90" s="542" customFormat="1" ht="22.5" customHeight="1" x14ac:dyDescent="0.2">
      <c r="B341" s="1392"/>
      <c r="C341" s="1397"/>
      <c r="D341" s="759" t="str">
        <f>+'Plan de Accion 2018'!G118</f>
        <v>Taller de Trabajo en equipo.</v>
      </c>
      <c r="E341" s="1349"/>
      <c r="F341" s="382" t="str">
        <f>+'Plan de Accion 2018'!S118</f>
        <v xml:space="preserve"># Funcionarios  participantes / 
# Funcionarios  convocados
</v>
      </c>
      <c r="G341" s="298"/>
      <c r="H341" s="547">
        <f>+'Plan de Accion 2018'!AB118</f>
        <v>0</v>
      </c>
      <c r="I341" s="751" t="str">
        <f>+'Plan de Accion 2018'!BM118</f>
        <v>No Prog ni Ejec</v>
      </c>
      <c r="J341" s="751" t="s">
        <v>792</v>
      </c>
      <c r="K341" s="751">
        <f>+'Plan de Accion 2018'!AF118</f>
        <v>0</v>
      </c>
      <c r="L341" s="873">
        <f t="shared" si="131"/>
        <v>0</v>
      </c>
      <c r="M341" s="849" t="s">
        <v>792</v>
      </c>
      <c r="N341" s="644"/>
      <c r="O341" s="547">
        <f>+'Plan de Accion 2018'!AL118</f>
        <v>0</v>
      </c>
      <c r="P341" s="751" t="str">
        <f>+'Plan de Accion 2018'!BO118</f>
        <v>No Prog ni Ejec</v>
      </c>
      <c r="Q341" s="751" t="s">
        <v>792</v>
      </c>
      <c r="R341" s="751">
        <f>+'Plan de Accion 2018'!AP118</f>
        <v>0</v>
      </c>
      <c r="S341" s="873">
        <f t="shared" si="132"/>
        <v>0</v>
      </c>
      <c r="T341" s="637" t="s">
        <v>792</v>
      </c>
      <c r="U341" s="644"/>
      <c r="V341" s="545">
        <f>+'Plan de Accion 2018'!AV118</f>
        <v>0</v>
      </c>
      <c r="W341" s="767" t="str">
        <f>+'Plan de Accion 2018'!BQ118</f>
        <v>No Prog ni Ejec</v>
      </c>
      <c r="X341" s="751" t="s">
        <v>792</v>
      </c>
      <c r="Y341" s="882">
        <f>+'Plan de Accion 2018'!AZ118</f>
        <v>0</v>
      </c>
      <c r="Z341" s="882">
        <f t="shared" si="133"/>
        <v>0</v>
      </c>
      <c r="AA341" s="883" t="s">
        <v>792</v>
      </c>
      <c r="AB341" s="644"/>
      <c r="AC341" s="547">
        <f>+'Plan de Accion 2018'!BF118</f>
        <v>0.49693251533742333</v>
      </c>
      <c r="AD341" s="751">
        <f>+'Plan de Accion 2018'!BS118</f>
        <v>0.49693251533742333</v>
      </c>
      <c r="AE341" s="629">
        <f t="shared" si="129"/>
        <v>0.49693251533742333</v>
      </c>
      <c r="AF341" s="751">
        <f>+'Plan de Accion 2018'!BJ118</f>
        <v>0.49693251533742333</v>
      </c>
      <c r="AG341" s="637">
        <f t="shared" si="130"/>
        <v>0.49693251533742333</v>
      </c>
      <c r="AH341" s="1458"/>
      <c r="AI341" s="1014"/>
      <c r="AJ341" s="1471"/>
      <c r="AK341" s="1446"/>
      <c r="AL341" s="321"/>
      <c r="AM341" s="1468"/>
      <c r="AN341" s="1446"/>
      <c r="AO341" s="321"/>
      <c r="AP341" s="1446"/>
      <c r="AQ341" s="1446"/>
      <c r="AR341" s="321"/>
      <c r="AS341" s="1446"/>
      <c r="AT341" s="1446"/>
      <c r="AU341" s="326"/>
      <c r="AV341" s="1452"/>
      <c r="AX341" s="1471"/>
      <c r="AY341" s="1446"/>
      <c r="AZ341" s="321"/>
      <c r="BA341" s="1468"/>
      <c r="BB341" s="1446"/>
      <c r="BC341" s="321"/>
      <c r="BD341" s="1446"/>
      <c r="BE341" s="1446"/>
      <c r="BF341" s="321"/>
      <c r="BG341" s="1446"/>
      <c r="BH341" s="1446"/>
      <c r="BI341" s="326"/>
      <c r="BJ341" s="1452"/>
      <c r="BL341" s="1471"/>
      <c r="BM341" s="1446"/>
      <c r="BN341" s="321"/>
      <c r="BO341" s="1468"/>
      <c r="BP341" s="1446"/>
      <c r="BQ341" s="321"/>
      <c r="BR341" s="1446"/>
      <c r="BS341" s="1446"/>
      <c r="BT341" s="321"/>
      <c r="BU341" s="1446"/>
      <c r="BV341" s="1446"/>
      <c r="BW341" s="326"/>
      <c r="BX341" s="1452"/>
      <c r="BZ341" s="1471"/>
      <c r="CA341" s="1446"/>
      <c r="CB341" s="321"/>
      <c r="CC341" s="1468"/>
      <c r="CD341" s="1446"/>
      <c r="CE341" s="321"/>
      <c r="CF341" s="1446"/>
      <c r="CG341" s="1446"/>
      <c r="CH341" s="321"/>
      <c r="CI341" s="1446"/>
      <c r="CJ341" s="1446"/>
      <c r="CK341" s="326"/>
      <c r="CL341" s="1452"/>
    </row>
    <row r="342" spans="2:90" s="542" customFormat="1" ht="22.5" customHeight="1" x14ac:dyDescent="0.2">
      <c r="B342" s="1392"/>
      <c r="C342" s="1397"/>
      <c r="D342" s="759" t="str">
        <f>+'Plan de Accion 2018'!G119</f>
        <v>Taller de Liderazgo.</v>
      </c>
      <c r="E342" s="1349"/>
      <c r="F342" s="382" t="str">
        <f>+'Plan de Accion 2018'!S119</f>
        <v xml:space="preserve"># Funcionarios  participantes / 
# Funcionarios  convocados
</v>
      </c>
      <c r="G342" s="298"/>
      <c r="H342" s="547">
        <f>+'Plan de Accion 2018'!AB119</f>
        <v>0</v>
      </c>
      <c r="I342" s="751" t="str">
        <f>+'Plan de Accion 2018'!BM119</f>
        <v>No Prog ni Ejec</v>
      </c>
      <c r="J342" s="751" t="s">
        <v>792</v>
      </c>
      <c r="K342" s="751">
        <f>+'Plan de Accion 2018'!AF119</f>
        <v>0</v>
      </c>
      <c r="L342" s="873">
        <f t="shared" si="131"/>
        <v>0</v>
      </c>
      <c r="M342" s="849" t="s">
        <v>792</v>
      </c>
      <c r="N342" s="644"/>
      <c r="O342" s="547">
        <f>+'Plan de Accion 2018'!AL119</f>
        <v>0</v>
      </c>
      <c r="P342" s="751" t="str">
        <f>+'Plan de Accion 2018'!BO119</f>
        <v>No Prog ni Ejec</v>
      </c>
      <c r="Q342" s="751" t="s">
        <v>792</v>
      </c>
      <c r="R342" s="751">
        <f>+'Plan de Accion 2018'!AP119</f>
        <v>0</v>
      </c>
      <c r="S342" s="873">
        <f t="shared" si="132"/>
        <v>0</v>
      </c>
      <c r="T342" s="637" t="s">
        <v>792</v>
      </c>
      <c r="U342" s="644"/>
      <c r="V342" s="545">
        <f>+'Plan de Accion 2018'!AV119</f>
        <v>0</v>
      </c>
      <c r="W342" s="767" t="str">
        <f>+'Plan de Accion 2018'!BQ119</f>
        <v>No Prog ni Ejec</v>
      </c>
      <c r="X342" s="751" t="s">
        <v>792</v>
      </c>
      <c r="Y342" s="882">
        <f>+'Plan de Accion 2018'!AZ119</f>
        <v>0</v>
      </c>
      <c r="Z342" s="882">
        <f t="shared" si="133"/>
        <v>0</v>
      </c>
      <c r="AA342" s="883" t="s">
        <v>792</v>
      </c>
      <c r="AB342" s="644"/>
      <c r="AC342" s="989">
        <f>+'Plan de Accion 2018'!BF118</f>
        <v>0.49693251533742333</v>
      </c>
      <c r="AD342" s="751">
        <f>+'Plan de Accion 2018'!BS118</f>
        <v>0.49693251533742333</v>
      </c>
      <c r="AE342" s="629">
        <f t="shared" si="129"/>
        <v>0.49693251533742333</v>
      </c>
      <c r="AF342" s="751">
        <f>+'Plan de Accion 2018'!BJ118</f>
        <v>0.49693251533742333</v>
      </c>
      <c r="AG342" s="637">
        <f t="shared" si="130"/>
        <v>0.49693251533742333</v>
      </c>
      <c r="AH342" s="1458"/>
      <c r="AI342" s="1014"/>
      <c r="AJ342" s="1471"/>
      <c r="AK342" s="1446"/>
      <c r="AL342" s="321"/>
      <c r="AM342" s="1468"/>
      <c r="AN342" s="1446"/>
      <c r="AO342" s="321"/>
      <c r="AP342" s="1446"/>
      <c r="AQ342" s="1446"/>
      <c r="AR342" s="321"/>
      <c r="AS342" s="1446"/>
      <c r="AT342" s="1446"/>
      <c r="AU342" s="326"/>
      <c r="AV342" s="1452"/>
      <c r="AX342" s="1471"/>
      <c r="AY342" s="1446"/>
      <c r="AZ342" s="321"/>
      <c r="BA342" s="1468"/>
      <c r="BB342" s="1446"/>
      <c r="BC342" s="321"/>
      <c r="BD342" s="1446"/>
      <c r="BE342" s="1446"/>
      <c r="BF342" s="321"/>
      <c r="BG342" s="1446"/>
      <c r="BH342" s="1446"/>
      <c r="BI342" s="326"/>
      <c r="BJ342" s="1452"/>
      <c r="BL342" s="1471"/>
      <c r="BM342" s="1446"/>
      <c r="BN342" s="321"/>
      <c r="BO342" s="1468"/>
      <c r="BP342" s="1446"/>
      <c r="BQ342" s="321"/>
      <c r="BR342" s="1446"/>
      <c r="BS342" s="1446"/>
      <c r="BT342" s="321"/>
      <c r="BU342" s="1446"/>
      <c r="BV342" s="1446"/>
      <c r="BW342" s="326"/>
      <c r="BX342" s="1452"/>
      <c r="BZ342" s="1471"/>
      <c r="CA342" s="1446"/>
      <c r="CB342" s="321"/>
      <c r="CC342" s="1468"/>
      <c r="CD342" s="1446"/>
      <c r="CE342" s="321"/>
      <c r="CF342" s="1446"/>
      <c r="CG342" s="1446"/>
      <c r="CH342" s="321"/>
      <c r="CI342" s="1446"/>
      <c r="CJ342" s="1446"/>
      <c r="CK342" s="326"/>
      <c r="CL342" s="1452"/>
    </row>
    <row r="343" spans="2:90" s="542" customFormat="1" ht="22.5" customHeight="1" x14ac:dyDescent="0.2">
      <c r="B343" s="1392"/>
      <c r="C343" s="1397"/>
      <c r="D343" s="759" t="str">
        <f>+'Plan de Accion 2018'!G120</f>
        <v>Taller en  Adaptación al cambio.</v>
      </c>
      <c r="E343" s="1349"/>
      <c r="F343" s="382" t="str">
        <f>+'Plan de Accion 2018'!S120</f>
        <v xml:space="preserve"># Funcionarios  participantes / 
# Funcionarios  convocados
</v>
      </c>
      <c r="G343" s="298"/>
      <c r="H343" s="547">
        <f>+'Plan de Accion 2018'!AB120</f>
        <v>0</v>
      </c>
      <c r="I343" s="751" t="str">
        <f>+'Plan de Accion 2018'!BM120</f>
        <v>No Prog ni Ejec</v>
      </c>
      <c r="J343" s="751" t="s">
        <v>792</v>
      </c>
      <c r="K343" s="751">
        <f>+'Plan de Accion 2018'!AF120</f>
        <v>0</v>
      </c>
      <c r="L343" s="873">
        <f t="shared" si="131"/>
        <v>0</v>
      </c>
      <c r="M343" s="849" t="s">
        <v>792</v>
      </c>
      <c r="N343" s="644"/>
      <c r="O343" s="547">
        <f>+'Plan de Accion 2018'!AL120</f>
        <v>0</v>
      </c>
      <c r="P343" s="751" t="str">
        <f>+'Plan de Accion 2018'!BO120</f>
        <v>No Prog ni Ejec</v>
      </c>
      <c r="Q343" s="751" t="s">
        <v>792</v>
      </c>
      <c r="R343" s="751">
        <f>+'Plan de Accion 2018'!AP120</f>
        <v>0</v>
      </c>
      <c r="S343" s="873">
        <f t="shared" si="132"/>
        <v>0</v>
      </c>
      <c r="T343" s="637" t="s">
        <v>792</v>
      </c>
      <c r="U343" s="644"/>
      <c r="V343" s="545">
        <f>+'Plan de Accion 2018'!AV120</f>
        <v>0</v>
      </c>
      <c r="W343" s="767" t="str">
        <f>+'Plan de Accion 2018'!BQ120</f>
        <v>No Prog ni Ejec</v>
      </c>
      <c r="X343" s="751" t="s">
        <v>792</v>
      </c>
      <c r="Y343" s="882">
        <f>+'Plan de Accion 2018'!AZ120</f>
        <v>0</v>
      </c>
      <c r="Z343" s="882">
        <f t="shared" si="133"/>
        <v>0</v>
      </c>
      <c r="AA343" s="883" t="s">
        <v>792</v>
      </c>
      <c r="AB343" s="644"/>
      <c r="AC343" s="547">
        <f>+'Plan de Accion 2018'!BF120</f>
        <v>0.65625</v>
      </c>
      <c r="AD343" s="751">
        <f>+'Plan de Accion 2018'!BS120</f>
        <v>0.65625</v>
      </c>
      <c r="AE343" s="629">
        <f t="shared" si="129"/>
        <v>0.65625</v>
      </c>
      <c r="AF343" s="751">
        <f>+'Plan de Accion 2018'!BJ120</f>
        <v>0.65625</v>
      </c>
      <c r="AG343" s="637">
        <f t="shared" si="130"/>
        <v>0.65625</v>
      </c>
      <c r="AH343" s="1458"/>
      <c r="AI343" s="1014"/>
      <c r="AJ343" s="1471"/>
      <c r="AK343" s="1446"/>
      <c r="AL343" s="321"/>
      <c r="AM343" s="1468"/>
      <c r="AN343" s="1446"/>
      <c r="AO343" s="321"/>
      <c r="AP343" s="1446"/>
      <c r="AQ343" s="1446"/>
      <c r="AR343" s="321"/>
      <c r="AS343" s="1446"/>
      <c r="AT343" s="1446"/>
      <c r="AU343" s="326"/>
      <c r="AV343" s="1452"/>
      <c r="AX343" s="1471"/>
      <c r="AY343" s="1446"/>
      <c r="AZ343" s="321"/>
      <c r="BA343" s="1468"/>
      <c r="BB343" s="1446"/>
      <c r="BC343" s="321"/>
      <c r="BD343" s="1446"/>
      <c r="BE343" s="1446"/>
      <c r="BF343" s="321"/>
      <c r="BG343" s="1446"/>
      <c r="BH343" s="1446"/>
      <c r="BI343" s="326"/>
      <c r="BJ343" s="1452"/>
      <c r="BL343" s="1471"/>
      <c r="BM343" s="1446"/>
      <c r="BN343" s="321"/>
      <c r="BO343" s="1468"/>
      <c r="BP343" s="1446"/>
      <c r="BQ343" s="321"/>
      <c r="BR343" s="1446"/>
      <c r="BS343" s="1446"/>
      <c r="BT343" s="321"/>
      <c r="BU343" s="1446"/>
      <c r="BV343" s="1446"/>
      <c r="BW343" s="326"/>
      <c r="BX343" s="1452"/>
      <c r="BZ343" s="1471"/>
      <c r="CA343" s="1446"/>
      <c r="CB343" s="321"/>
      <c r="CC343" s="1468"/>
      <c r="CD343" s="1446"/>
      <c r="CE343" s="321"/>
      <c r="CF343" s="1446"/>
      <c r="CG343" s="1446"/>
      <c r="CH343" s="321"/>
      <c r="CI343" s="1446"/>
      <c r="CJ343" s="1446"/>
      <c r="CK343" s="326"/>
      <c r="CL343" s="1452"/>
    </row>
    <row r="344" spans="2:90" s="542" customFormat="1" ht="22.5" customHeight="1" x14ac:dyDescent="0.2">
      <c r="B344" s="1392"/>
      <c r="C344" s="1397"/>
      <c r="D344" s="759" t="str">
        <f>+'Plan de Accion 2018'!G121</f>
        <v>Taller en Control y manejo del estrés laboral.</v>
      </c>
      <c r="E344" s="1349"/>
      <c r="F344" s="382" t="str">
        <f>+'Plan de Accion 2018'!S121</f>
        <v xml:space="preserve"># Funcionarios  participantes / 
# Funcionarios  convocados
</v>
      </c>
      <c r="G344" s="298"/>
      <c r="H344" s="547">
        <f>+'Plan de Accion 2018'!AB121</f>
        <v>0</v>
      </c>
      <c r="I344" s="751" t="str">
        <f>+'Plan de Accion 2018'!BM121</f>
        <v>No Prog ni Ejec</v>
      </c>
      <c r="J344" s="751" t="s">
        <v>792</v>
      </c>
      <c r="K344" s="751">
        <f>+'Plan de Accion 2018'!AF121</f>
        <v>0</v>
      </c>
      <c r="L344" s="873">
        <f t="shared" si="131"/>
        <v>0</v>
      </c>
      <c r="M344" s="849" t="s">
        <v>792</v>
      </c>
      <c r="N344" s="644"/>
      <c r="O344" s="547">
        <f>+'Plan de Accion 2018'!AL121</f>
        <v>0</v>
      </c>
      <c r="P344" s="751" t="str">
        <f>+'Plan de Accion 2018'!BO121</f>
        <v>No Prog ni Ejec</v>
      </c>
      <c r="Q344" s="751" t="s">
        <v>792</v>
      </c>
      <c r="R344" s="751">
        <f>+'Plan de Accion 2018'!AP121</f>
        <v>0</v>
      </c>
      <c r="S344" s="873">
        <f t="shared" si="132"/>
        <v>0</v>
      </c>
      <c r="T344" s="637" t="s">
        <v>792</v>
      </c>
      <c r="U344" s="644"/>
      <c r="V344" s="545">
        <f>+'Plan de Accion 2018'!AV121</f>
        <v>0</v>
      </c>
      <c r="W344" s="767" t="str">
        <f>+'Plan de Accion 2018'!BQ121</f>
        <v>No Prog ni Ejec</v>
      </c>
      <c r="X344" s="751" t="s">
        <v>792</v>
      </c>
      <c r="Y344" s="882">
        <f>+'Plan de Accion 2018'!AZ121</f>
        <v>0</v>
      </c>
      <c r="Z344" s="882">
        <f t="shared" si="133"/>
        <v>0</v>
      </c>
      <c r="AA344" s="883" t="s">
        <v>792</v>
      </c>
      <c r="AB344" s="644"/>
      <c r="AC344" s="547">
        <f>+'Plan de Accion 2018'!BF121</f>
        <v>0.7615384615384615</v>
      </c>
      <c r="AD344" s="751">
        <f>+'Plan de Accion 2018'!BS121</f>
        <v>0.7615384615384615</v>
      </c>
      <c r="AE344" s="629">
        <f t="shared" si="129"/>
        <v>0.7615384615384615</v>
      </c>
      <c r="AF344" s="751">
        <f>+'Plan de Accion 2018'!BJ121</f>
        <v>0.7615384615384615</v>
      </c>
      <c r="AG344" s="637">
        <f t="shared" si="130"/>
        <v>0.7615384615384615</v>
      </c>
      <c r="AH344" s="1458"/>
      <c r="AI344" s="1014"/>
      <c r="AJ344" s="1471"/>
      <c r="AK344" s="1446"/>
      <c r="AL344" s="321"/>
      <c r="AM344" s="1468"/>
      <c r="AN344" s="1446"/>
      <c r="AO344" s="321"/>
      <c r="AP344" s="1446"/>
      <c r="AQ344" s="1446"/>
      <c r="AR344" s="321"/>
      <c r="AS344" s="1446"/>
      <c r="AT344" s="1446"/>
      <c r="AU344" s="326"/>
      <c r="AV344" s="1452"/>
      <c r="AX344" s="1471"/>
      <c r="AY344" s="1446"/>
      <c r="AZ344" s="321"/>
      <c r="BA344" s="1468"/>
      <c r="BB344" s="1446"/>
      <c r="BC344" s="321"/>
      <c r="BD344" s="1446"/>
      <c r="BE344" s="1446"/>
      <c r="BF344" s="321"/>
      <c r="BG344" s="1446"/>
      <c r="BH344" s="1446"/>
      <c r="BI344" s="326"/>
      <c r="BJ344" s="1452"/>
      <c r="BL344" s="1471"/>
      <c r="BM344" s="1446"/>
      <c r="BN344" s="321"/>
      <c r="BO344" s="1468"/>
      <c r="BP344" s="1446"/>
      <c r="BQ344" s="321"/>
      <c r="BR344" s="1446"/>
      <c r="BS344" s="1446"/>
      <c r="BT344" s="321"/>
      <c r="BU344" s="1446"/>
      <c r="BV344" s="1446"/>
      <c r="BW344" s="326"/>
      <c r="BX344" s="1452"/>
      <c r="BZ344" s="1471"/>
      <c r="CA344" s="1446"/>
      <c r="CB344" s="321"/>
      <c r="CC344" s="1468"/>
      <c r="CD344" s="1446"/>
      <c r="CE344" s="321"/>
      <c r="CF344" s="1446"/>
      <c r="CG344" s="1446"/>
      <c r="CH344" s="321"/>
      <c r="CI344" s="1446"/>
      <c r="CJ344" s="1446"/>
      <c r="CK344" s="326"/>
      <c r="CL344" s="1452"/>
    </row>
    <row r="345" spans="2:90" s="542" customFormat="1" ht="22.5" customHeight="1" x14ac:dyDescent="0.2">
      <c r="B345" s="1392"/>
      <c r="C345" s="1397"/>
      <c r="D345" s="759" t="str">
        <f>+'Plan de Accion 2018'!G244</f>
        <v>Jornadas de socialización de protocolo</v>
      </c>
      <c r="E345" s="1349"/>
      <c r="F345" s="382" t="str">
        <f>+'Plan de Accion 2018'!S244</f>
        <v># Jornadas de socialización del protocolo realizadas</v>
      </c>
      <c r="G345" s="298"/>
      <c r="H345" s="547">
        <f>+'Plan de Accion 2018'!AB244</f>
        <v>0</v>
      </c>
      <c r="I345" s="751" t="str">
        <f>+'Plan de Accion 2018'!BM244</f>
        <v>No Prog ni Ejec</v>
      </c>
      <c r="J345" s="751" t="s">
        <v>792</v>
      </c>
      <c r="K345" s="751">
        <f>+'Plan de Accion 2018'!AF244</f>
        <v>0</v>
      </c>
      <c r="L345" s="873">
        <f t="shared" si="131"/>
        <v>0</v>
      </c>
      <c r="M345" s="849" t="s">
        <v>792</v>
      </c>
      <c r="N345" s="644"/>
      <c r="O345" s="547">
        <f>+'Plan de Accion 2018'!AL244</f>
        <v>0</v>
      </c>
      <c r="P345" s="751" t="str">
        <f>+'Plan de Accion 2018'!BO244</f>
        <v>No Prog ni Ejec</v>
      </c>
      <c r="Q345" s="751" t="s">
        <v>792</v>
      </c>
      <c r="R345" s="751">
        <f>+'Plan de Accion 2018'!AP244</f>
        <v>0</v>
      </c>
      <c r="S345" s="873">
        <f t="shared" si="132"/>
        <v>0</v>
      </c>
      <c r="T345" s="637" t="s">
        <v>792</v>
      </c>
      <c r="U345" s="644"/>
      <c r="V345" s="545">
        <f>+'Plan de Accion 2018'!AV244</f>
        <v>1</v>
      </c>
      <c r="W345" s="767">
        <f>+'Plan de Accion 2018'!BQ244</f>
        <v>1</v>
      </c>
      <c r="X345" s="629">
        <f>IF(W345&gt;100%,100%,W345)</f>
        <v>1</v>
      </c>
      <c r="Y345" s="882">
        <f>+'Plan de Accion 2018'!AZ244</f>
        <v>0.5</v>
      </c>
      <c r="Z345" s="882">
        <f t="shared" si="133"/>
        <v>0.5</v>
      </c>
      <c r="AA345" s="883">
        <f>+Z345</f>
        <v>0.5</v>
      </c>
      <c r="AB345" s="644"/>
      <c r="AC345" s="547">
        <f>+'Plan de Accion 2018'!BF244</f>
        <v>1</v>
      </c>
      <c r="AD345" s="751">
        <f>+'Plan de Accion 2018'!BS244</f>
        <v>1</v>
      </c>
      <c r="AE345" s="629">
        <f>IF(AD345&gt;100%,100%,AD345)</f>
        <v>1</v>
      </c>
      <c r="AF345" s="751">
        <f>+'Plan de Accion 2018'!BJ244</f>
        <v>1</v>
      </c>
      <c r="AG345" s="637">
        <f t="shared" ref="AG345:AG363" si="134">IF(AF345&gt;100%,100%,AF345)</f>
        <v>1</v>
      </c>
      <c r="AH345" s="1458"/>
      <c r="AI345" s="1014"/>
      <c r="AJ345" s="1471"/>
      <c r="AK345" s="1446"/>
      <c r="AL345" s="321"/>
      <c r="AM345" s="1468"/>
      <c r="AN345" s="1446"/>
      <c r="AO345" s="321"/>
      <c r="AP345" s="1446"/>
      <c r="AQ345" s="1446"/>
      <c r="AR345" s="321"/>
      <c r="AS345" s="1446"/>
      <c r="AT345" s="1446"/>
      <c r="AU345" s="326"/>
      <c r="AV345" s="1452"/>
      <c r="AX345" s="1471"/>
      <c r="AY345" s="1446"/>
      <c r="AZ345" s="321"/>
      <c r="BA345" s="1468"/>
      <c r="BB345" s="1446"/>
      <c r="BC345" s="321"/>
      <c r="BD345" s="1446"/>
      <c r="BE345" s="1446"/>
      <c r="BF345" s="321"/>
      <c r="BG345" s="1446"/>
      <c r="BH345" s="1446"/>
      <c r="BI345" s="326"/>
      <c r="BJ345" s="1452"/>
      <c r="BL345" s="1471"/>
      <c r="BM345" s="1446"/>
      <c r="BN345" s="321"/>
      <c r="BO345" s="1468"/>
      <c r="BP345" s="1446"/>
      <c r="BQ345" s="321"/>
      <c r="BR345" s="1446"/>
      <c r="BS345" s="1446"/>
      <c r="BT345" s="321"/>
      <c r="BU345" s="1446"/>
      <c r="BV345" s="1446"/>
      <c r="BW345" s="326"/>
      <c r="BX345" s="1452"/>
      <c r="BZ345" s="1471"/>
      <c r="CA345" s="1446"/>
      <c r="CB345" s="321"/>
      <c r="CC345" s="1468"/>
      <c r="CD345" s="1446"/>
      <c r="CE345" s="321"/>
      <c r="CF345" s="1446"/>
      <c r="CG345" s="1446"/>
      <c r="CH345" s="321"/>
      <c r="CI345" s="1446"/>
      <c r="CJ345" s="1446"/>
      <c r="CK345" s="326"/>
      <c r="CL345" s="1452"/>
    </row>
    <row r="346" spans="2:90" s="542" customFormat="1" ht="22.5" customHeight="1" x14ac:dyDescent="0.2">
      <c r="B346" s="1392"/>
      <c r="C346" s="1397"/>
      <c r="D346" s="759" t="str">
        <f>+'Plan de Accion 2018'!G245</f>
        <v xml:space="preserve">Jornadas de capacitación para fortalecer competencias e incentivar a los servidores de la ADRES de servicio al ciudadano. </v>
      </c>
      <c r="E346" s="1349"/>
      <c r="F346" s="382" t="str">
        <f>+'Plan de Accion 2018'!S245</f>
        <v># Jornadas de capacitación</v>
      </c>
      <c r="G346" s="298"/>
      <c r="H346" s="547">
        <f>+'Plan de Accion 2018'!AB245</f>
        <v>0</v>
      </c>
      <c r="I346" s="751" t="str">
        <f>+'Plan de Accion 2018'!BM245</f>
        <v>No Prog ni Ejec</v>
      </c>
      <c r="J346" s="751" t="s">
        <v>792</v>
      </c>
      <c r="K346" s="751">
        <f>+'Plan de Accion 2018'!AF245</f>
        <v>0</v>
      </c>
      <c r="L346" s="873">
        <f t="shared" si="131"/>
        <v>0</v>
      </c>
      <c r="M346" s="849" t="s">
        <v>792</v>
      </c>
      <c r="N346" s="644"/>
      <c r="O346" s="547">
        <f>+'Plan de Accion 2018'!AL245</f>
        <v>0</v>
      </c>
      <c r="P346" s="751" t="str">
        <f>+'Plan de Accion 2018'!BO245</f>
        <v>No Prog ni Ejec</v>
      </c>
      <c r="Q346" s="751" t="s">
        <v>792</v>
      </c>
      <c r="R346" s="751">
        <f>+'Plan de Accion 2018'!AP245</f>
        <v>0</v>
      </c>
      <c r="S346" s="873">
        <f t="shared" si="132"/>
        <v>0</v>
      </c>
      <c r="T346" s="637" t="s">
        <v>792</v>
      </c>
      <c r="U346" s="644"/>
      <c r="V346" s="545">
        <f>+'Plan de Accion 2018'!AV245</f>
        <v>1</v>
      </c>
      <c r="W346" s="767">
        <f>+'Plan de Accion 2018'!BQ245</f>
        <v>1</v>
      </c>
      <c r="X346" s="629">
        <f>IF(W346&gt;100%,100%,W346)</f>
        <v>1</v>
      </c>
      <c r="Y346" s="882">
        <f>+'Plan de Accion 2018'!AZ245</f>
        <v>0.5</v>
      </c>
      <c r="Z346" s="882">
        <f t="shared" si="133"/>
        <v>0.5</v>
      </c>
      <c r="AA346" s="883">
        <f>+Z346</f>
        <v>0.5</v>
      </c>
      <c r="AB346" s="644"/>
      <c r="AC346" s="547">
        <f>+'Plan de Accion 2018'!BF245</f>
        <v>1</v>
      </c>
      <c r="AD346" s="751">
        <f>+'Plan de Accion 2018'!BS245</f>
        <v>1</v>
      </c>
      <c r="AE346" s="629">
        <f>IF(AD346&gt;100%,100%,AD346)</f>
        <v>1</v>
      </c>
      <c r="AF346" s="751">
        <f>+'Plan de Accion 2018'!BJ245</f>
        <v>1</v>
      </c>
      <c r="AG346" s="637">
        <f t="shared" si="134"/>
        <v>1</v>
      </c>
      <c r="AH346" s="1458"/>
      <c r="AI346" s="1014"/>
      <c r="AJ346" s="1471"/>
      <c r="AK346" s="1446"/>
      <c r="AL346" s="321"/>
      <c r="AM346" s="1468"/>
      <c r="AN346" s="1446"/>
      <c r="AO346" s="321"/>
      <c r="AP346" s="1446"/>
      <c r="AQ346" s="1446"/>
      <c r="AR346" s="321"/>
      <c r="AS346" s="1446"/>
      <c r="AT346" s="1446"/>
      <c r="AU346" s="326"/>
      <c r="AV346" s="1452"/>
      <c r="AX346" s="1471"/>
      <c r="AY346" s="1446"/>
      <c r="AZ346" s="321"/>
      <c r="BA346" s="1468"/>
      <c r="BB346" s="1446"/>
      <c r="BC346" s="321"/>
      <c r="BD346" s="1446"/>
      <c r="BE346" s="1446"/>
      <c r="BF346" s="321"/>
      <c r="BG346" s="1446"/>
      <c r="BH346" s="1446"/>
      <c r="BI346" s="326"/>
      <c r="BJ346" s="1452"/>
      <c r="BL346" s="1471"/>
      <c r="BM346" s="1446"/>
      <c r="BN346" s="321"/>
      <c r="BO346" s="1468"/>
      <c r="BP346" s="1446"/>
      <c r="BQ346" s="321"/>
      <c r="BR346" s="1446"/>
      <c r="BS346" s="1446"/>
      <c r="BT346" s="321"/>
      <c r="BU346" s="1446"/>
      <c r="BV346" s="1446"/>
      <c r="BW346" s="326"/>
      <c r="BX346" s="1452"/>
      <c r="BZ346" s="1471"/>
      <c r="CA346" s="1446"/>
      <c r="CB346" s="321"/>
      <c r="CC346" s="1468"/>
      <c r="CD346" s="1446"/>
      <c r="CE346" s="321"/>
      <c r="CF346" s="1446"/>
      <c r="CG346" s="1446"/>
      <c r="CH346" s="321"/>
      <c r="CI346" s="1446"/>
      <c r="CJ346" s="1446"/>
      <c r="CK346" s="326"/>
      <c r="CL346" s="1452"/>
    </row>
    <row r="347" spans="2:90" s="542" customFormat="1" ht="22.5" customHeight="1" x14ac:dyDescent="0.2">
      <c r="B347" s="1392"/>
      <c r="C347" s="1397"/>
      <c r="D347" s="759" t="str">
        <f>+'Plan de Accion 2018'!G252</f>
        <v>Charlas servidores de Atención al Ciudadano en actualización normativa y portafolio de la ADRES</v>
      </c>
      <c r="E347" s="1349"/>
      <c r="F347" s="382" t="str">
        <f>+'Plan de Accion 2018'!S252</f>
        <v># Charlas realizadas a servidores de Atención al Ciudadano en actualización normativa y portafolio de la ADRES</v>
      </c>
      <c r="G347" s="298"/>
      <c r="H347" s="547">
        <f>+'Plan de Accion 2018'!AB252</f>
        <v>0</v>
      </c>
      <c r="I347" s="751" t="str">
        <f>+'Plan de Accion 2018'!BM252</f>
        <v>No Prog ni Ejec</v>
      </c>
      <c r="J347" s="751" t="s">
        <v>792</v>
      </c>
      <c r="K347" s="751">
        <f>+'Plan de Accion 2018'!AF252</f>
        <v>0</v>
      </c>
      <c r="L347" s="873">
        <f t="shared" si="131"/>
        <v>0</v>
      </c>
      <c r="M347" s="849" t="s">
        <v>792</v>
      </c>
      <c r="N347" s="644"/>
      <c r="O347" s="547">
        <f>+'Plan de Accion 2018'!AL252</f>
        <v>0</v>
      </c>
      <c r="P347" s="751" t="str">
        <f>+'Plan de Accion 2018'!BO252</f>
        <v>No Prog ni Ejec</v>
      </c>
      <c r="Q347" s="751" t="s">
        <v>792</v>
      </c>
      <c r="R347" s="751">
        <f>+'Plan de Accion 2018'!AP252</f>
        <v>0</v>
      </c>
      <c r="S347" s="873">
        <f t="shared" si="132"/>
        <v>0</v>
      </c>
      <c r="T347" s="637" t="s">
        <v>792</v>
      </c>
      <c r="U347" s="644"/>
      <c r="V347" s="545">
        <f>+'Plan de Accion 2018'!AV252</f>
        <v>2</v>
      </c>
      <c r="W347" s="767">
        <f>+'Plan de Accion 2018'!BQ252</f>
        <v>1</v>
      </c>
      <c r="X347" s="629">
        <f>IF(W347&gt;100%,100%,W347)</f>
        <v>1</v>
      </c>
      <c r="Y347" s="882">
        <f>+'Plan de Accion 2018'!AZ252</f>
        <v>0.66666666666666663</v>
      </c>
      <c r="Z347" s="882">
        <f t="shared" si="133"/>
        <v>0.66666666666666663</v>
      </c>
      <c r="AA347" s="883">
        <f>+Z347</f>
        <v>0.66666666666666663</v>
      </c>
      <c r="AB347" s="644"/>
      <c r="AC347" s="547">
        <f>+'Plan de Accion 2018'!BF252</f>
        <v>1</v>
      </c>
      <c r="AD347" s="751">
        <f>+'Plan de Accion 2018'!BS252</f>
        <v>1</v>
      </c>
      <c r="AE347" s="629">
        <f>IF(AD347&gt;100%,100%,AD347)</f>
        <v>1</v>
      </c>
      <c r="AF347" s="751">
        <f>+'Plan de Accion 2018'!BJ252</f>
        <v>1</v>
      </c>
      <c r="AG347" s="637">
        <f t="shared" si="134"/>
        <v>1</v>
      </c>
      <c r="AH347" s="1458"/>
      <c r="AI347" s="1014"/>
      <c r="AJ347" s="1471"/>
      <c r="AK347" s="1446"/>
      <c r="AL347" s="321"/>
      <c r="AM347" s="1468"/>
      <c r="AN347" s="1446"/>
      <c r="AO347" s="321"/>
      <c r="AP347" s="1446"/>
      <c r="AQ347" s="1446"/>
      <c r="AR347" s="321"/>
      <c r="AS347" s="1446"/>
      <c r="AT347" s="1446"/>
      <c r="AU347" s="326"/>
      <c r="AV347" s="1452"/>
      <c r="AX347" s="1471"/>
      <c r="AY347" s="1446"/>
      <c r="AZ347" s="321"/>
      <c r="BA347" s="1468"/>
      <c r="BB347" s="1446"/>
      <c r="BC347" s="321"/>
      <c r="BD347" s="1446"/>
      <c r="BE347" s="1446"/>
      <c r="BF347" s="321"/>
      <c r="BG347" s="1446"/>
      <c r="BH347" s="1446"/>
      <c r="BI347" s="326"/>
      <c r="BJ347" s="1452"/>
      <c r="BL347" s="1471"/>
      <c r="BM347" s="1446"/>
      <c r="BN347" s="321"/>
      <c r="BO347" s="1468"/>
      <c r="BP347" s="1446"/>
      <c r="BQ347" s="321"/>
      <c r="BR347" s="1446"/>
      <c r="BS347" s="1446"/>
      <c r="BT347" s="321"/>
      <c r="BU347" s="1446"/>
      <c r="BV347" s="1446"/>
      <c r="BW347" s="326"/>
      <c r="BX347" s="1452"/>
      <c r="BZ347" s="1471"/>
      <c r="CA347" s="1446"/>
      <c r="CB347" s="321"/>
      <c r="CC347" s="1468"/>
      <c r="CD347" s="1446"/>
      <c r="CE347" s="321"/>
      <c r="CF347" s="1446"/>
      <c r="CG347" s="1446"/>
      <c r="CH347" s="321"/>
      <c r="CI347" s="1446"/>
      <c r="CJ347" s="1446"/>
      <c r="CK347" s="326"/>
      <c r="CL347" s="1452"/>
    </row>
    <row r="348" spans="2:90" s="542" customFormat="1" ht="22.5" customHeight="1" x14ac:dyDescent="0.2">
      <c r="B348" s="1392"/>
      <c r="C348" s="1397"/>
      <c r="D348" s="759" t="str">
        <f>+'Plan de Accion 2018'!G270</f>
        <v xml:space="preserve">Jornadas de capacitación </v>
      </c>
      <c r="E348" s="1349"/>
      <c r="F348" s="382" t="str">
        <f>+'Plan de Accion 2018'!S270</f>
        <v># participantes de planta en las jornadas de capacitación realizadas / # funcionarios de planta convocados a las jornadas de capacitación</v>
      </c>
      <c r="G348" s="298"/>
      <c r="H348" s="547">
        <f>+'Plan de Accion 2018'!AB270</f>
        <v>0</v>
      </c>
      <c r="I348" s="751" t="str">
        <f>+'Plan de Accion 2018'!BM270</f>
        <v>No Prog ni Ejec</v>
      </c>
      <c r="J348" s="751" t="s">
        <v>792</v>
      </c>
      <c r="K348" s="751">
        <f>+'Plan de Accion 2018'!AF270</f>
        <v>0</v>
      </c>
      <c r="L348" s="873">
        <f t="shared" si="131"/>
        <v>0</v>
      </c>
      <c r="M348" s="849" t="s">
        <v>792</v>
      </c>
      <c r="N348" s="644"/>
      <c r="O348" s="547">
        <f>+'Plan de Accion 2018'!AL270</f>
        <v>0.81182795698924726</v>
      </c>
      <c r="P348" s="751">
        <f>+'Plan de Accion 2018'!BO270</f>
        <v>0.81182795698924726</v>
      </c>
      <c r="Q348" s="629">
        <f>IF(P348&gt;100%,100%,P348)</f>
        <v>0.81182795698924726</v>
      </c>
      <c r="R348" s="751">
        <f>+'Plan de Accion 2018'!AP270</f>
        <v>0.81182795698924726</v>
      </c>
      <c r="S348" s="873">
        <f t="shared" si="132"/>
        <v>0.81182795698924726</v>
      </c>
      <c r="T348" s="637">
        <f>+S348</f>
        <v>0.81182795698924726</v>
      </c>
      <c r="U348" s="644"/>
      <c r="V348" s="545">
        <f>+'Plan de Accion 2018'!AV270</f>
        <v>0</v>
      </c>
      <c r="W348" s="767" t="str">
        <f>+'Plan de Accion 2018'!BQ270</f>
        <v>No Prog ni Ejec</v>
      </c>
      <c r="X348" s="751" t="s">
        <v>792</v>
      </c>
      <c r="Y348" s="882">
        <f>+'Plan de Accion 2018'!AZ270</f>
        <v>0.81182795698924726</v>
      </c>
      <c r="Z348" s="882">
        <f t="shared" si="133"/>
        <v>0.81182795698924726</v>
      </c>
      <c r="AA348" s="883">
        <f>+Z348</f>
        <v>0.81182795698924726</v>
      </c>
      <c r="AB348" s="644"/>
      <c r="AC348" s="1012">
        <f>+'Plan de Accion 2018'!BF270</f>
        <v>0.6056034482758621</v>
      </c>
      <c r="AD348" s="987" t="str">
        <f>+'Plan de Accion 2018'!BS270</f>
        <v>No Prog, Ejec=  0,605603448275862</v>
      </c>
      <c r="AE348" s="751" t="s">
        <v>792</v>
      </c>
      <c r="AF348" s="751">
        <f>+'Plan de Accion 2018'!BJ253</f>
        <v>1</v>
      </c>
      <c r="AG348" s="637">
        <f t="shared" si="134"/>
        <v>1</v>
      </c>
      <c r="AH348" s="1458"/>
      <c r="AI348" s="1014"/>
      <c r="AJ348" s="1471"/>
      <c r="AK348" s="1446"/>
      <c r="AL348" s="321"/>
      <c r="AM348" s="1468"/>
      <c r="AN348" s="1446"/>
      <c r="AO348" s="321"/>
      <c r="AP348" s="1446"/>
      <c r="AQ348" s="1446"/>
      <c r="AR348" s="321"/>
      <c r="AS348" s="1446"/>
      <c r="AT348" s="1446"/>
      <c r="AU348" s="326"/>
      <c r="AV348" s="1452"/>
      <c r="AX348" s="1471"/>
      <c r="AY348" s="1446"/>
      <c r="AZ348" s="321"/>
      <c r="BA348" s="1468"/>
      <c r="BB348" s="1446"/>
      <c r="BC348" s="321"/>
      <c r="BD348" s="1446"/>
      <c r="BE348" s="1446"/>
      <c r="BF348" s="321"/>
      <c r="BG348" s="1446"/>
      <c r="BH348" s="1446"/>
      <c r="BI348" s="326"/>
      <c r="BJ348" s="1452"/>
      <c r="BL348" s="1471"/>
      <c r="BM348" s="1446"/>
      <c r="BN348" s="321"/>
      <c r="BO348" s="1468"/>
      <c r="BP348" s="1446"/>
      <c r="BQ348" s="321"/>
      <c r="BR348" s="1446"/>
      <c r="BS348" s="1446"/>
      <c r="BT348" s="321"/>
      <c r="BU348" s="1446"/>
      <c r="BV348" s="1446"/>
      <c r="BW348" s="326"/>
      <c r="BX348" s="1452"/>
      <c r="BZ348" s="1471"/>
      <c r="CA348" s="1446"/>
      <c r="CB348" s="321"/>
      <c r="CC348" s="1468"/>
      <c r="CD348" s="1446"/>
      <c r="CE348" s="321"/>
      <c r="CF348" s="1446"/>
      <c r="CG348" s="1446"/>
      <c r="CH348" s="321"/>
      <c r="CI348" s="1446"/>
      <c r="CJ348" s="1446"/>
      <c r="CK348" s="326"/>
      <c r="CL348" s="1452"/>
    </row>
    <row r="349" spans="2:90" s="542" customFormat="1" ht="22.5" customHeight="1" x14ac:dyDescent="0.2">
      <c r="B349" s="1392"/>
      <c r="C349" s="1397"/>
      <c r="D349" s="759" t="str">
        <f>+'Plan de Accion 2018'!G271</f>
        <v xml:space="preserve">Jornada de capacitación </v>
      </c>
      <c r="E349" s="1349"/>
      <c r="F349" s="382" t="str">
        <f>+'Plan de Accion 2018'!S271</f>
        <v>Jornada de capacitación realizada a la Alta Dirección de la ADRES</v>
      </c>
      <c r="G349" s="298"/>
      <c r="H349" s="547">
        <f>+'Plan de Accion 2018'!AB271</f>
        <v>0</v>
      </c>
      <c r="I349" s="751" t="str">
        <f>+'Plan de Accion 2018'!BM271</f>
        <v>No Prog ni Ejec</v>
      </c>
      <c r="J349" s="751" t="s">
        <v>792</v>
      </c>
      <c r="K349" s="751">
        <f>+'Plan de Accion 2018'!AF271</f>
        <v>0</v>
      </c>
      <c r="L349" s="873">
        <f t="shared" si="131"/>
        <v>0</v>
      </c>
      <c r="M349" s="849" t="s">
        <v>792</v>
      </c>
      <c r="N349" s="644"/>
      <c r="O349" s="547">
        <f>+'Plan de Accion 2018'!AL271</f>
        <v>0</v>
      </c>
      <c r="P349" s="751" t="str">
        <f>+'Plan de Accion 2018'!BO271</f>
        <v>No Prog ni Ejec</v>
      </c>
      <c r="Q349" s="751" t="s">
        <v>792</v>
      </c>
      <c r="R349" s="751">
        <f>+'Plan de Accion 2018'!AP271</f>
        <v>0</v>
      </c>
      <c r="S349" s="873">
        <f t="shared" si="132"/>
        <v>0</v>
      </c>
      <c r="T349" s="637" t="s">
        <v>792</v>
      </c>
      <c r="U349" s="644"/>
      <c r="V349" s="545">
        <f>+'Plan de Accion 2018'!AV271</f>
        <v>0</v>
      </c>
      <c r="W349" s="767" t="str">
        <f>+'Plan de Accion 2018'!BQ271</f>
        <v>No Prog ni Ejec</v>
      </c>
      <c r="X349" s="751" t="s">
        <v>792</v>
      </c>
      <c r="Y349" s="882">
        <f>+'Plan de Accion 2018'!AZ271</f>
        <v>0</v>
      </c>
      <c r="Z349" s="882">
        <f t="shared" si="133"/>
        <v>0</v>
      </c>
      <c r="AA349" s="883" t="s">
        <v>792</v>
      </c>
      <c r="AB349" s="644"/>
      <c r="AC349" s="547">
        <f>+'Plan de Accion 2018'!BF271</f>
        <v>1</v>
      </c>
      <c r="AD349" s="751">
        <f>+'Plan de Accion 2018'!BS271</f>
        <v>1</v>
      </c>
      <c r="AE349" s="629">
        <f>IF(AD349&gt;100%,100%,AD349)</f>
        <v>1</v>
      </c>
      <c r="AF349" s="751">
        <f>+'Plan de Accion 2018'!BJ254</f>
        <v>1</v>
      </c>
      <c r="AG349" s="637">
        <f t="shared" si="134"/>
        <v>1</v>
      </c>
      <c r="AH349" s="1458"/>
      <c r="AI349" s="1014"/>
      <c r="AJ349" s="1471"/>
      <c r="AK349" s="1446"/>
      <c r="AL349" s="321"/>
      <c r="AM349" s="1468"/>
      <c r="AN349" s="1446"/>
      <c r="AO349" s="321"/>
      <c r="AP349" s="1446"/>
      <c r="AQ349" s="1446"/>
      <c r="AR349" s="321"/>
      <c r="AS349" s="1446"/>
      <c r="AT349" s="1446"/>
      <c r="AU349" s="326"/>
      <c r="AV349" s="1452"/>
      <c r="AX349" s="1471"/>
      <c r="AY349" s="1446"/>
      <c r="AZ349" s="321"/>
      <c r="BA349" s="1468"/>
      <c r="BB349" s="1446"/>
      <c r="BC349" s="321"/>
      <c r="BD349" s="1446"/>
      <c r="BE349" s="1446"/>
      <c r="BF349" s="321"/>
      <c r="BG349" s="1446"/>
      <c r="BH349" s="1446"/>
      <c r="BI349" s="326"/>
      <c r="BJ349" s="1452"/>
      <c r="BL349" s="1471"/>
      <c r="BM349" s="1446"/>
      <c r="BN349" s="321"/>
      <c r="BO349" s="1468"/>
      <c r="BP349" s="1446"/>
      <c r="BQ349" s="321"/>
      <c r="BR349" s="1446"/>
      <c r="BS349" s="1446"/>
      <c r="BT349" s="321"/>
      <c r="BU349" s="1446"/>
      <c r="BV349" s="1446"/>
      <c r="BW349" s="326"/>
      <c r="BX349" s="1452"/>
      <c r="BZ349" s="1471"/>
      <c r="CA349" s="1446"/>
      <c r="CB349" s="321"/>
      <c r="CC349" s="1468"/>
      <c r="CD349" s="1446"/>
      <c r="CE349" s="321"/>
      <c r="CF349" s="1446"/>
      <c r="CG349" s="1446"/>
      <c r="CH349" s="321"/>
      <c r="CI349" s="1446"/>
      <c r="CJ349" s="1446"/>
      <c r="CK349" s="326"/>
      <c r="CL349" s="1452"/>
    </row>
    <row r="350" spans="2:90" s="542" customFormat="1" ht="22.5" customHeight="1" x14ac:dyDescent="0.2">
      <c r="B350" s="1392"/>
      <c r="C350" s="1397"/>
      <c r="D350" s="759" t="str">
        <f>+'Plan de Accion 2018'!G272</f>
        <v>Documento técnico de Soporte de identificación de comportamientos deseables - Código de Integridad del Servidor Público.</v>
      </c>
      <c r="E350" s="1349"/>
      <c r="F350" s="382" t="str">
        <f>+'Plan de Accion 2018'!S272</f>
        <v># Códigos de Integridad del Servidor Público socializados y publicados en la página Web de la ADRES</v>
      </c>
      <c r="G350" s="298"/>
      <c r="H350" s="547">
        <f>+'Plan de Accion 2018'!AB272</f>
        <v>0</v>
      </c>
      <c r="I350" s="751" t="str">
        <f>+'Plan de Accion 2018'!BM272</f>
        <v>No Prog ni Ejec</v>
      </c>
      <c r="J350" s="751" t="s">
        <v>792</v>
      </c>
      <c r="K350" s="751">
        <f>+'Plan de Accion 2018'!AF272</f>
        <v>0</v>
      </c>
      <c r="L350" s="873">
        <f t="shared" si="131"/>
        <v>0</v>
      </c>
      <c r="M350" s="849" t="s">
        <v>792</v>
      </c>
      <c r="N350" s="644"/>
      <c r="O350" s="547">
        <f>+'Plan de Accion 2018'!AL272</f>
        <v>1</v>
      </c>
      <c r="P350" s="751">
        <f>+'Plan de Accion 2018'!BO272</f>
        <v>1</v>
      </c>
      <c r="Q350" s="629">
        <f>IF(P350&gt;100%,100%,P350)</f>
        <v>1</v>
      </c>
      <c r="R350" s="751">
        <f>+'Plan de Accion 2018'!AP272</f>
        <v>1</v>
      </c>
      <c r="S350" s="873">
        <f t="shared" si="132"/>
        <v>1</v>
      </c>
      <c r="T350" s="637">
        <f>+S350</f>
        <v>1</v>
      </c>
      <c r="U350" s="644"/>
      <c r="V350" s="545">
        <f>+'Plan de Accion 2018'!AV272</f>
        <v>0</v>
      </c>
      <c r="W350" s="767" t="str">
        <f>+'Plan de Accion 2018'!BQ272</f>
        <v>No Prog ni Ejec</v>
      </c>
      <c r="X350" s="751" t="s">
        <v>792</v>
      </c>
      <c r="Y350" s="882">
        <f>+'Plan de Accion 2018'!AZ272</f>
        <v>1</v>
      </c>
      <c r="Z350" s="882">
        <f t="shared" si="133"/>
        <v>1</v>
      </c>
      <c r="AA350" s="883">
        <f>+Z350</f>
        <v>1</v>
      </c>
      <c r="AB350" s="644"/>
      <c r="AC350" s="547">
        <f>+'Plan de Accion 2018'!BF272</f>
        <v>0</v>
      </c>
      <c r="AD350" s="751" t="str">
        <f>+'Plan de Accion 2018'!BS272</f>
        <v>No Prog ni Ejec</v>
      </c>
      <c r="AE350" s="751" t="s">
        <v>792</v>
      </c>
      <c r="AF350" s="751">
        <f>+'Plan de Accion 2018'!BJ255</f>
        <v>1</v>
      </c>
      <c r="AG350" s="637">
        <f t="shared" si="134"/>
        <v>1</v>
      </c>
      <c r="AH350" s="1458"/>
      <c r="AI350" s="1014"/>
      <c r="AJ350" s="1471"/>
      <c r="AK350" s="1446"/>
      <c r="AL350" s="321"/>
      <c r="AM350" s="1468"/>
      <c r="AN350" s="1446"/>
      <c r="AO350" s="321"/>
      <c r="AP350" s="1446"/>
      <c r="AQ350" s="1446"/>
      <c r="AR350" s="321"/>
      <c r="AS350" s="1446"/>
      <c r="AT350" s="1446"/>
      <c r="AU350" s="326"/>
      <c r="AV350" s="1452"/>
      <c r="AX350" s="1471"/>
      <c r="AY350" s="1446"/>
      <c r="AZ350" s="321"/>
      <c r="BA350" s="1468"/>
      <c r="BB350" s="1446"/>
      <c r="BC350" s="321"/>
      <c r="BD350" s="1446"/>
      <c r="BE350" s="1446"/>
      <c r="BF350" s="321"/>
      <c r="BG350" s="1446"/>
      <c r="BH350" s="1446"/>
      <c r="BI350" s="326"/>
      <c r="BJ350" s="1452"/>
      <c r="BL350" s="1471"/>
      <c r="BM350" s="1446"/>
      <c r="BN350" s="321"/>
      <c r="BO350" s="1468"/>
      <c r="BP350" s="1446"/>
      <c r="BQ350" s="321"/>
      <c r="BR350" s="1446"/>
      <c r="BS350" s="1446"/>
      <c r="BT350" s="321"/>
      <c r="BU350" s="1446"/>
      <c r="BV350" s="1446"/>
      <c r="BW350" s="326"/>
      <c r="BX350" s="1452"/>
      <c r="BZ350" s="1471"/>
      <c r="CA350" s="1446"/>
      <c r="CB350" s="321"/>
      <c r="CC350" s="1468"/>
      <c r="CD350" s="1446"/>
      <c r="CE350" s="321"/>
      <c r="CF350" s="1446"/>
      <c r="CG350" s="1446"/>
      <c r="CH350" s="321"/>
      <c r="CI350" s="1446"/>
      <c r="CJ350" s="1446"/>
      <c r="CK350" s="326"/>
      <c r="CL350" s="1452"/>
    </row>
    <row r="351" spans="2:90" s="542" customFormat="1" ht="22.5" customHeight="1" x14ac:dyDescent="0.2">
      <c r="B351" s="1392"/>
      <c r="C351" s="1397"/>
      <c r="D351" s="759" t="str">
        <f>+'Plan de Accion 2018'!G273</f>
        <v>Una (1) pieza comunicacional y una (1) actividad lúdica de promoción y divulgación</v>
      </c>
      <c r="E351" s="1349"/>
      <c r="F351" s="382" t="str">
        <f>+'Plan de Accion 2018'!S273</f>
        <v># piezas comunicacionales sobre comportamientos deseables socializadas a los colaboradores</v>
      </c>
      <c r="G351" s="298"/>
      <c r="H351" s="547">
        <f>+'Plan de Accion 2018'!AB273</f>
        <v>0</v>
      </c>
      <c r="I351" s="751" t="str">
        <f>+'Plan de Accion 2018'!BM273</f>
        <v>No Prog ni Ejec</v>
      </c>
      <c r="J351" s="751" t="s">
        <v>792</v>
      </c>
      <c r="K351" s="751">
        <f>+'Plan de Accion 2018'!AF273</f>
        <v>0</v>
      </c>
      <c r="L351" s="873">
        <f t="shared" si="131"/>
        <v>0</v>
      </c>
      <c r="M351" s="849" t="s">
        <v>792</v>
      </c>
      <c r="N351" s="644"/>
      <c r="O351" s="547">
        <f>+'Plan de Accion 2018'!AL273</f>
        <v>0</v>
      </c>
      <c r="P351" s="751">
        <f>+'Plan de Accion 2018'!BO273</f>
        <v>0</v>
      </c>
      <c r="Q351" s="629">
        <f>IF(P351&gt;100%,100%,P351)</f>
        <v>0</v>
      </c>
      <c r="R351" s="751">
        <f>+'Plan de Accion 2018'!AP273</f>
        <v>0</v>
      </c>
      <c r="S351" s="873">
        <f t="shared" si="132"/>
        <v>0</v>
      </c>
      <c r="T351" s="637">
        <f>+S351</f>
        <v>0</v>
      </c>
      <c r="U351" s="644"/>
      <c r="V351" s="545">
        <f>+'Plan de Accion 2018'!AV273</f>
        <v>1</v>
      </c>
      <c r="W351" s="767">
        <f>+'Plan de Accion 2018'!AZ273</f>
        <v>1</v>
      </c>
      <c r="X351" s="751">
        <f>+W351</f>
        <v>1</v>
      </c>
      <c r="Y351" s="882">
        <f>+'Plan de Accion 2018'!AZ273</f>
        <v>1</v>
      </c>
      <c r="Z351" s="882">
        <f t="shared" si="133"/>
        <v>1</v>
      </c>
      <c r="AA351" s="883">
        <f>+Z351</f>
        <v>1</v>
      </c>
      <c r="AB351" s="644"/>
      <c r="AC351" s="547">
        <f>+'Plan de Accion 2018'!BF273</f>
        <v>0</v>
      </c>
      <c r="AD351" s="751" t="str">
        <f>+'Plan de Accion 2018'!BS273</f>
        <v>No Prog ni Ejec</v>
      </c>
      <c r="AE351" s="751" t="s">
        <v>792</v>
      </c>
      <c r="AF351" s="751">
        <f>+'Plan de Accion 2018'!BJ256</f>
        <v>1</v>
      </c>
      <c r="AG351" s="637">
        <f t="shared" si="134"/>
        <v>1</v>
      </c>
      <c r="AH351" s="1458"/>
      <c r="AI351" s="1014"/>
      <c r="AJ351" s="1471"/>
      <c r="AK351" s="1446"/>
      <c r="AL351" s="321"/>
      <c r="AM351" s="1468"/>
      <c r="AN351" s="1446"/>
      <c r="AO351" s="321"/>
      <c r="AP351" s="1446"/>
      <c r="AQ351" s="1446"/>
      <c r="AR351" s="321"/>
      <c r="AS351" s="1446"/>
      <c r="AT351" s="1446"/>
      <c r="AU351" s="326"/>
      <c r="AV351" s="1452"/>
      <c r="AX351" s="1471"/>
      <c r="AY351" s="1446"/>
      <c r="AZ351" s="321"/>
      <c r="BA351" s="1468"/>
      <c r="BB351" s="1446"/>
      <c r="BC351" s="321"/>
      <c r="BD351" s="1446"/>
      <c r="BE351" s="1446"/>
      <c r="BF351" s="321"/>
      <c r="BG351" s="1446"/>
      <c r="BH351" s="1446"/>
      <c r="BI351" s="326"/>
      <c r="BJ351" s="1452"/>
      <c r="BL351" s="1471"/>
      <c r="BM351" s="1446"/>
      <c r="BN351" s="321"/>
      <c r="BO351" s="1468"/>
      <c r="BP351" s="1446"/>
      <c r="BQ351" s="321"/>
      <c r="BR351" s="1446"/>
      <c r="BS351" s="1446"/>
      <c r="BT351" s="321"/>
      <c r="BU351" s="1446"/>
      <c r="BV351" s="1446"/>
      <c r="BW351" s="326"/>
      <c r="BX351" s="1452"/>
      <c r="BZ351" s="1471"/>
      <c r="CA351" s="1446"/>
      <c r="CB351" s="321"/>
      <c r="CC351" s="1468"/>
      <c r="CD351" s="1446"/>
      <c r="CE351" s="321"/>
      <c r="CF351" s="1446"/>
      <c r="CG351" s="1446"/>
      <c r="CH351" s="321"/>
      <c r="CI351" s="1446"/>
      <c r="CJ351" s="1446"/>
      <c r="CK351" s="326"/>
      <c r="CL351" s="1452"/>
    </row>
    <row r="352" spans="2:90" s="542" customFormat="1" ht="22.5" customHeight="1" x14ac:dyDescent="0.2">
      <c r="B352" s="1392"/>
      <c r="C352" s="1397"/>
      <c r="D352" s="1350" t="str">
        <f>+'Plan de Accion 2018'!G274</f>
        <v>Documento lúdico Código de Integridad</v>
      </c>
      <c r="E352" s="1349"/>
      <c r="F352" s="382" t="str">
        <f>+'Plan de Accion 2018'!S274</f>
        <v># actividades lúdicas de promoción y divulgación  comportamientos deseables realizadas</v>
      </c>
      <c r="G352" s="298"/>
      <c r="H352" s="547">
        <f>+'Plan de Accion 2018'!AB274</f>
        <v>0</v>
      </c>
      <c r="I352" s="751" t="str">
        <f>+'Plan de Accion 2018'!BM274</f>
        <v>No Prog ni Ejec</v>
      </c>
      <c r="J352" s="751" t="s">
        <v>792</v>
      </c>
      <c r="K352" s="751">
        <f>+'Plan de Accion 2018'!AF274</f>
        <v>0</v>
      </c>
      <c r="L352" s="873">
        <f t="shared" si="131"/>
        <v>0</v>
      </c>
      <c r="M352" s="849" t="s">
        <v>792</v>
      </c>
      <c r="N352" s="644"/>
      <c r="O352" s="547">
        <f>+'Plan de Accion 2018'!AL274</f>
        <v>0</v>
      </c>
      <c r="P352" s="751" t="str">
        <f>+'Plan de Accion 2018'!BO274</f>
        <v>No Prog ni Ejec</v>
      </c>
      <c r="Q352" s="751" t="s">
        <v>792</v>
      </c>
      <c r="R352" s="751">
        <f>+'Plan de Accion 2018'!AP274</f>
        <v>0</v>
      </c>
      <c r="S352" s="873">
        <f t="shared" si="132"/>
        <v>0</v>
      </c>
      <c r="T352" s="637" t="s">
        <v>792</v>
      </c>
      <c r="U352" s="644"/>
      <c r="V352" s="545">
        <f>+'Plan de Accion 2018'!AV274</f>
        <v>1</v>
      </c>
      <c r="W352" s="767">
        <f>+'Plan de Accion 2018'!AZ274</f>
        <v>1</v>
      </c>
      <c r="X352" s="751">
        <f>+W352</f>
        <v>1</v>
      </c>
      <c r="Y352" s="882">
        <f>+'Plan de Accion 2018'!AZ274</f>
        <v>1</v>
      </c>
      <c r="Z352" s="882">
        <f t="shared" si="133"/>
        <v>1</v>
      </c>
      <c r="AA352" s="883">
        <f>+Z352</f>
        <v>1</v>
      </c>
      <c r="AB352" s="644"/>
      <c r="AC352" s="547">
        <f>+'Plan de Accion 2018'!BF274</f>
        <v>1</v>
      </c>
      <c r="AD352" s="751">
        <f>+'Plan de Accion 2018'!BS274</f>
        <v>1</v>
      </c>
      <c r="AE352" s="629">
        <f t="shared" ref="AE352:AE363" si="135">IF(AD352&gt;100%,100%,AD352)</f>
        <v>1</v>
      </c>
      <c r="AF352" s="751">
        <f>+'Plan de Accion 2018'!BJ257</f>
        <v>1</v>
      </c>
      <c r="AG352" s="637">
        <f t="shared" si="134"/>
        <v>1</v>
      </c>
      <c r="AH352" s="1458"/>
      <c r="AI352" s="1014"/>
      <c r="AJ352" s="1471"/>
      <c r="AK352" s="1446"/>
      <c r="AL352" s="321"/>
      <c r="AM352" s="1468"/>
      <c r="AN352" s="1446"/>
      <c r="AO352" s="321"/>
      <c r="AP352" s="1446"/>
      <c r="AQ352" s="1446"/>
      <c r="AR352" s="321"/>
      <c r="AS352" s="1446"/>
      <c r="AT352" s="1446"/>
      <c r="AU352" s="326"/>
      <c r="AV352" s="1452"/>
      <c r="AX352" s="1471"/>
      <c r="AY352" s="1446"/>
      <c r="AZ352" s="321"/>
      <c r="BA352" s="1468"/>
      <c r="BB352" s="1446"/>
      <c r="BC352" s="321"/>
      <c r="BD352" s="1446"/>
      <c r="BE352" s="1446"/>
      <c r="BF352" s="321"/>
      <c r="BG352" s="1446"/>
      <c r="BH352" s="1446"/>
      <c r="BI352" s="326"/>
      <c r="BJ352" s="1452"/>
      <c r="BL352" s="1471"/>
      <c r="BM352" s="1446"/>
      <c r="BN352" s="321"/>
      <c r="BO352" s="1468"/>
      <c r="BP352" s="1446"/>
      <c r="BQ352" s="321"/>
      <c r="BR352" s="1446"/>
      <c r="BS352" s="1446"/>
      <c r="BT352" s="321"/>
      <c r="BU352" s="1446"/>
      <c r="BV352" s="1446"/>
      <c r="BW352" s="326"/>
      <c r="BX352" s="1452"/>
      <c r="BZ352" s="1471"/>
      <c r="CA352" s="1446"/>
      <c r="CB352" s="321"/>
      <c r="CC352" s="1468"/>
      <c r="CD352" s="1446"/>
      <c r="CE352" s="321"/>
      <c r="CF352" s="1446"/>
      <c r="CG352" s="1446"/>
      <c r="CH352" s="321"/>
      <c r="CI352" s="1446"/>
      <c r="CJ352" s="1446"/>
      <c r="CK352" s="326"/>
      <c r="CL352" s="1452"/>
    </row>
    <row r="353" spans="2:90" s="542" customFormat="1" ht="22.5" customHeight="1" x14ac:dyDescent="0.2">
      <c r="B353" s="1392"/>
      <c r="C353" s="1397"/>
      <c r="D353" s="1351"/>
      <c r="E353" s="1349"/>
      <c r="F353" s="382" t="str">
        <f>+'Plan de Accion 2018'!S275</f>
        <v># Documentos lúdicos del Código de Integridad socializado a los colaboradores de la entidad.</v>
      </c>
      <c r="G353" s="298"/>
      <c r="H353" s="547">
        <f>+'Plan de Accion 2018'!AB275</f>
        <v>0</v>
      </c>
      <c r="I353" s="751" t="str">
        <f>+'Plan de Accion 2018'!BM275</f>
        <v>No Prog ni Ejec</v>
      </c>
      <c r="J353" s="751" t="s">
        <v>792</v>
      </c>
      <c r="K353" s="751">
        <f>+'Plan de Accion 2018'!AF275</f>
        <v>0</v>
      </c>
      <c r="L353" s="873">
        <f t="shared" si="131"/>
        <v>0</v>
      </c>
      <c r="M353" s="849" t="s">
        <v>792</v>
      </c>
      <c r="N353" s="644"/>
      <c r="O353" s="547">
        <f>+'Plan de Accion 2018'!AL275</f>
        <v>0</v>
      </c>
      <c r="P353" s="751" t="str">
        <f>+'Plan de Accion 2018'!BO275</f>
        <v>No Prog ni Ejec</v>
      </c>
      <c r="Q353" s="751" t="s">
        <v>792</v>
      </c>
      <c r="R353" s="751">
        <f>+'Plan de Accion 2018'!AP275</f>
        <v>0</v>
      </c>
      <c r="S353" s="873">
        <f t="shared" si="132"/>
        <v>0</v>
      </c>
      <c r="T353" s="637" t="s">
        <v>792</v>
      </c>
      <c r="U353" s="644"/>
      <c r="V353" s="545">
        <f>+'Plan de Accion 2018'!AV275</f>
        <v>0</v>
      </c>
      <c r="W353" s="767" t="str">
        <f>+'Plan de Accion 2018'!BQ275</f>
        <v>No Prog ni Ejec</v>
      </c>
      <c r="X353" s="751" t="s">
        <v>792</v>
      </c>
      <c r="Y353" s="882">
        <f>+'Plan de Accion 2018'!AZ275</f>
        <v>0</v>
      </c>
      <c r="Z353" s="882">
        <f t="shared" si="133"/>
        <v>0</v>
      </c>
      <c r="AA353" s="883" t="s">
        <v>792</v>
      </c>
      <c r="AB353" s="644"/>
      <c r="AC353" s="547">
        <f>+'Plan de Accion 2018'!BF275</f>
        <v>1</v>
      </c>
      <c r="AD353" s="751">
        <f>+'Plan de Accion 2018'!BS275</f>
        <v>1</v>
      </c>
      <c r="AE353" s="629">
        <f t="shared" si="135"/>
        <v>1</v>
      </c>
      <c r="AF353" s="751">
        <f>+'Plan de Accion 2018'!BJ258</f>
        <v>1</v>
      </c>
      <c r="AG353" s="637">
        <f t="shared" si="134"/>
        <v>1</v>
      </c>
      <c r="AH353" s="1458"/>
      <c r="AI353" s="1014"/>
      <c r="AJ353" s="1471"/>
      <c r="AK353" s="1446"/>
      <c r="AL353" s="321"/>
      <c r="AM353" s="1468"/>
      <c r="AN353" s="1446"/>
      <c r="AO353" s="321"/>
      <c r="AP353" s="1446"/>
      <c r="AQ353" s="1446"/>
      <c r="AR353" s="321"/>
      <c r="AS353" s="1446"/>
      <c r="AT353" s="1446"/>
      <c r="AU353" s="326"/>
      <c r="AV353" s="1452"/>
      <c r="AX353" s="1471"/>
      <c r="AY353" s="1446"/>
      <c r="AZ353" s="321"/>
      <c r="BA353" s="1468"/>
      <c r="BB353" s="1446"/>
      <c r="BC353" s="321"/>
      <c r="BD353" s="1446"/>
      <c r="BE353" s="1446"/>
      <c r="BF353" s="321"/>
      <c r="BG353" s="1446"/>
      <c r="BH353" s="1446"/>
      <c r="BI353" s="326"/>
      <c r="BJ353" s="1452"/>
      <c r="BL353" s="1471"/>
      <c r="BM353" s="1446"/>
      <c r="BN353" s="321"/>
      <c r="BO353" s="1468"/>
      <c r="BP353" s="1446"/>
      <c r="BQ353" s="321"/>
      <c r="BR353" s="1446"/>
      <c r="BS353" s="1446"/>
      <c r="BT353" s="321"/>
      <c r="BU353" s="1446"/>
      <c r="BV353" s="1446"/>
      <c r="BW353" s="326"/>
      <c r="BX353" s="1452"/>
      <c r="BZ353" s="1471"/>
      <c r="CA353" s="1446"/>
      <c r="CB353" s="321"/>
      <c r="CC353" s="1468"/>
      <c r="CD353" s="1446"/>
      <c r="CE353" s="321"/>
      <c r="CF353" s="1446"/>
      <c r="CG353" s="1446"/>
      <c r="CH353" s="321"/>
      <c r="CI353" s="1446"/>
      <c r="CJ353" s="1446"/>
      <c r="CK353" s="326"/>
      <c r="CL353" s="1452"/>
    </row>
    <row r="354" spans="2:90" s="542" customFormat="1" ht="22.5" customHeight="1" x14ac:dyDescent="0.2">
      <c r="B354" s="1392"/>
      <c r="C354" s="1397"/>
      <c r="D354" s="1350" t="str">
        <f>+'Plan de Accion 2018'!G276</f>
        <v>Una (1) jornada de sensibilización y 2 piezas comunicacionales de promoción y divulgación</v>
      </c>
      <c r="E354" s="1349"/>
      <c r="F354" s="382" t="str">
        <f>+'Plan de Accion 2018'!S276</f>
        <v># participantes de planta en las jornadas de sensibilización realizadas / # funcionarios de planta de planta</v>
      </c>
      <c r="G354" s="298"/>
      <c r="H354" s="547">
        <f>+'Plan de Accion 2018'!AB276</f>
        <v>0</v>
      </c>
      <c r="I354" s="751" t="str">
        <f>+'Plan de Accion 2018'!BM276</f>
        <v>No Prog ni Ejec</v>
      </c>
      <c r="J354" s="751" t="s">
        <v>792</v>
      </c>
      <c r="K354" s="751">
        <f>+'Plan de Accion 2018'!AF276</f>
        <v>0</v>
      </c>
      <c r="L354" s="873">
        <f t="shared" si="131"/>
        <v>0</v>
      </c>
      <c r="M354" s="849" t="s">
        <v>792</v>
      </c>
      <c r="N354" s="644"/>
      <c r="O354" s="547">
        <f>+'Plan de Accion 2018'!AL276</f>
        <v>0.81182795698924726</v>
      </c>
      <c r="P354" s="751">
        <f>+'Plan de Accion 2018'!AP276</f>
        <v>0.81182795698924726</v>
      </c>
      <c r="Q354" s="629">
        <f>IF(P354&gt;100%,100%,P354)</f>
        <v>0.81182795698924726</v>
      </c>
      <c r="R354" s="751">
        <f>+'Plan de Accion 2018'!AP276</f>
        <v>0.81182795698924726</v>
      </c>
      <c r="S354" s="873">
        <f t="shared" si="132"/>
        <v>0.81182795698924726</v>
      </c>
      <c r="T354" s="637">
        <f>+S354</f>
        <v>0.81182795698924726</v>
      </c>
      <c r="U354" s="644"/>
      <c r="V354" s="545">
        <f>+'Plan de Accion 2018'!AV276</f>
        <v>0</v>
      </c>
      <c r="W354" s="767">
        <f>+'Plan de Accion 2018'!BQ276</f>
        <v>0</v>
      </c>
      <c r="X354" s="629">
        <f>IF(W354&gt;100%,100%,W354)</f>
        <v>0</v>
      </c>
      <c r="Y354" s="882">
        <f>+'Plan de Accion 2018'!AZ276</f>
        <v>0.81182795698924726</v>
      </c>
      <c r="Z354" s="882">
        <f t="shared" si="133"/>
        <v>0.81182795698924726</v>
      </c>
      <c r="AA354" s="883">
        <f>+Z354</f>
        <v>0.81182795698924726</v>
      </c>
      <c r="AB354" s="644"/>
      <c r="AC354" s="547">
        <f>+'Plan de Accion 2018'!BF276</f>
        <v>0.22702702702702704</v>
      </c>
      <c r="AD354" s="751">
        <f>+'Plan de Accion 2018'!BS276</f>
        <v>0.45405405405405408</v>
      </c>
      <c r="AE354" s="629">
        <f t="shared" si="135"/>
        <v>0.45405405405405408</v>
      </c>
      <c r="AF354" s="751">
        <f>+'Plan de Accion 2018'!BJ259</f>
        <v>1</v>
      </c>
      <c r="AG354" s="637">
        <f t="shared" si="134"/>
        <v>1</v>
      </c>
      <c r="AH354" s="1458"/>
      <c r="AI354" s="1014"/>
      <c r="AJ354" s="1471"/>
      <c r="AK354" s="1446"/>
      <c r="AL354" s="321"/>
      <c r="AM354" s="1468"/>
      <c r="AN354" s="1446"/>
      <c r="AO354" s="321"/>
      <c r="AP354" s="1446"/>
      <c r="AQ354" s="1446"/>
      <c r="AR354" s="321"/>
      <c r="AS354" s="1446"/>
      <c r="AT354" s="1446"/>
      <c r="AU354" s="326"/>
      <c r="AV354" s="1452"/>
      <c r="AX354" s="1471"/>
      <c r="AY354" s="1446"/>
      <c r="AZ354" s="321"/>
      <c r="BA354" s="1468"/>
      <c r="BB354" s="1446"/>
      <c r="BC354" s="321"/>
      <c r="BD354" s="1446"/>
      <c r="BE354" s="1446"/>
      <c r="BF354" s="321"/>
      <c r="BG354" s="1446"/>
      <c r="BH354" s="1446"/>
      <c r="BI354" s="326"/>
      <c r="BJ354" s="1452"/>
      <c r="BL354" s="1471"/>
      <c r="BM354" s="1446"/>
      <c r="BN354" s="321"/>
      <c r="BO354" s="1468"/>
      <c r="BP354" s="1446"/>
      <c r="BQ354" s="321"/>
      <c r="BR354" s="1446"/>
      <c r="BS354" s="1446"/>
      <c r="BT354" s="321"/>
      <c r="BU354" s="1446"/>
      <c r="BV354" s="1446"/>
      <c r="BW354" s="326"/>
      <c r="BX354" s="1452"/>
      <c r="BZ354" s="1471"/>
      <c r="CA354" s="1446"/>
      <c r="CB354" s="321"/>
      <c r="CC354" s="1468"/>
      <c r="CD354" s="1446"/>
      <c r="CE354" s="321"/>
      <c r="CF354" s="1446"/>
      <c r="CG354" s="1446"/>
      <c r="CH354" s="321"/>
      <c r="CI354" s="1446"/>
      <c r="CJ354" s="1446"/>
      <c r="CK354" s="326"/>
      <c r="CL354" s="1452"/>
    </row>
    <row r="355" spans="2:90" s="542" customFormat="1" ht="22.5" customHeight="1" x14ac:dyDescent="0.2">
      <c r="B355" s="1392"/>
      <c r="C355" s="1397"/>
      <c r="D355" s="1351"/>
      <c r="E355" s="1349"/>
      <c r="F355" s="382" t="str">
        <f>+'Plan de Accion 2018'!S277</f>
        <v># piezas comunicacionales sobre la NO tolerancia con la corrupción socializadas a los colaboradores</v>
      </c>
      <c r="G355" s="298"/>
      <c r="H355" s="547">
        <f>+'Plan de Accion 2018'!AB277</f>
        <v>0</v>
      </c>
      <c r="I355" s="751" t="str">
        <f>+'Plan de Accion 2018'!BM277</f>
        <v>No Prog ni Ejec</v>
      </c>
      <c r="J355" s="751" t="s">
        <v>792</v>
      </c>
      <c r="K355" s="751">
        <f>+'Plan de Accion 2018'!AF277</f>
        <v>0</v>
      </c>
      <c r="L355" s="873">
        <f t="shared" si="131"/>
        <v>0</v>
      </c>
      <c r="M355" s="849" t="s">
        <v>792</v>
      </c>
      <c r="N355" s="644"/>
      <c r="O355" s="547">
        <f>+'Plan de Accion 2018'!AL277</f>
        <v>0</v>
      </c>
      <c r="P355" s="751" t="str">
        <f>+'Plan de Accion 2018'!BO277</f>
        <v>No Prog ni Ejec</v>
      </c>
      <c r="Q355" s="751" t="s">
        <v>792</v>
      </c>
      <c r="R355" s="751">
        <f>+'Plan de Accion 2018'!AP277</f>
        <v>0</v>
      </c>
      <c r="S355" s="873">
        <f t="shared" si="132"/>
        <v>0</v>
      </c>
      <c r="T355" s="637" t="s">
        <v>792</v>
      </c>
      <c r="U355" s="644"/>
      <c r="V355" s="545">
        <f>+'Plan de Accion 2018'!AV277</f>
        <v>1</v>
      </c>
      <c r="W355" s="767">
        <f>+'Plan de Accion 2018'!BQ277</f>
        <v>1</v>
      </c>
      <c r="X355" s="629">
        <f>IF(W355&gt;100%,100%,W355)</f>
        <v>1</v>
      </c>
      <c r="Y355" s="882">
        <f>+'Plan de Accion 2018'!AZ277</f>
        <v>0.5</v>
      </c>
      <c r="Z355" s="882">
        <f t="shared" si="133"/>
        <v>0.5</v>
      </c>
      <c r="AA355" s="883">
        <f>+Z355</f>
        <v>0.5</v>
      </c>
      <c r="AB355" s="644"/>
      <c r="AC355" s="547">
        <f>+'Plan de Accion 2018'!BF277</f>
        <v>0</v>
      </c>
      <c r="AD355" s="751">
        <f>+'Plan de Accion 2018'!BS277</f>
        <v>0</v>
      </c>
      <c r="AE355" s="629">
        <f t="shared" si="135"/>
        <v>0</v>
      </c>
      <c r="AF355" s="751">
        <f>+'Plan de Accion 2018'!BJ260</f>
        <v>0.99</v>
      </c>
      <c r="AG355" s="637">
        <f t="shared" si="134"/>
        <v>0.99</v>
      </c>
      <c r="AH355" s="1458"/>
      <c r="AI355" s="1014"/>
      <c r="AJ355" s="1471"/>
      <c r="AK355" s="1446"/>
      <c r="AL355" s="321"/>
      <c r="AM355" s="1468"/>
      <c r="AN355" s="1446"/>
      <c r="AO355" s="321"/>
      <c r="AP355" s="1446"/>
      <c r="AQ355" s="1446"/>
      <c r="AR355" s="321"/>
      <c r="AS355" s="1446"/>
      <c r="AT355" s="1446"/>
      <c r="AU355" s="326"/>
      <c r="AV355" s="1452"/>
      <c r="AX355" s="1471"/>
      <c r="AY355" s="1446"/>
      <c r="AZ355" s="321"/>
      <c r="BA355" s="1468"/>
      <c r="BB355" s="1446"/>
      <c r="BC355" s="321"/>
      <c r="BD355" s="1446"/>
      <c r="BE355" s="1446"/>
      <c r="BF355" s="321"/>
      <c r="BG355" s="1446"/>
      <c r="BH355" s="1446"/>
      <c r="BI355" s="326"/>
      <c r="BJ355" s="1452"/>
      <c r="BL355" s="1471"/>
      <c r="BM355" s="1446"/>
      <c r="BN355" s="321"/>
      <c r="BO355" s="1468"/>
      <c r="BP355" s="1446"/>
      <c r="BQ355" s="321"/>
      <c r="BR355" s="1446"/>
      <c r="BS355" s="1446"/>
      <c r="BT355" s="321"/>
      <c r="BU355" s="1446"/>
      <c r="BV355" s="1446"/>
      <c r="BW355" s="326"/>
      <c r="BX355" s="1452"/>
      <c r="BZ355" s="1471"/>
      <c r="CA355" s="1446"/>
      <c r="CB355" s="321"/>
      <c r="CC355" s="1468"/>
      <c r="CD355" s="1446"/>
      <c r="CE355" s="321"/>
      <c r="CF355" s="1446"/>
      <c r="CG355" s="1446"/>
      <c r="CH355" s="321"/>
      <c r="CI355" s="1446"/>
      <c r="CJ355" s="1446"/>
      <c r="CK355" s="326"/>
      <c r="CL355" s="1452"/>
    </row>
    <row r="356" spans="2:90" s="542" customFormat="1" ht="39" customHeight="1" x14ac:dyDescent="0.2">
      <c r="B356" s="1392"/>
      <c r="C356" s="1397"/>
      <c r="D356" s="759" t="str">
        <f>+'Plan de Accion 2018'!G299</f>
        <v>Actividades  relacionadas  con  todo  el  plan del SST</v>
      </c>
      <c r="E356" s="1349"/>
      <c r="F356" s="382" t="str">
        <f>+'Plan de Accion 2018'!S299</f>
        <v># Actividades realizadas / # actividades programadas</v>
      </c>
      <c r="G356" s="298"/>
      <c r="H356" s="547">
        <f>+'Plan de Accion 2018'!AB299</f>
        <v>0</v>
      </c>
      <c r="I356" s="751" t="str">
        <f>+'Plan de Accion 2018'!BM299</f>
        <v>No Prog ni Ejec</v>
      </c>
      <c r="J356" s="751" t="s">
        <v>792</v>
      </c>
      <c r="K356" s="751">
        <f>+'Plan de Accion 2018'!AF299</f>
        <v>0</v>
      </c>
      <c r="L356" s="873">
        <f t="shared" si="131"/>
        <v>0</v>
      </c>
      <c r="M356" s="849" t="s">
        <v>792</v>
      </c>
      <c r="N356" s="644"/>
      <c r="O356" s="547">
        <f>+'Plan de Accion 2018'!AL299</f>
        <v>0</v>
      </c>
      <c r="P356" s="751" t="str">
        <f>+'Plan de Accion 2018'!BO299</f>
        <v>No Prog ni Ejec</v>
      </c>
      <c r="Q356" s="751" t="s">
        <v>792</v>
      </c>
      <c r="R356" s="751">
        <f>+'Plan de Accion 2018'!AP299</f>
        <v>0</v>
      </c>
      <c r="S356" s="873">
        <f t="shared" si="132"/>
        <v>0</v>
      </c>
      <c r="T356" s="637" t="s">
        <v>792</v>
      </c>
      <c r="U356" s="644"/>
      <c r="V356" s="545">
        <f>+'Plan de Accion 2018'!AV299</f>
        <v>0</v>
      </c>
      <c r="W356" s="767" t="str">
        <f>+'Plan de Accion 2018'!BQ299</f>
        <v>No Prog ni Ejec</v>
      </c>
      <c r="X356" s="751" t="s">
        <v>792</v>
      </c>
      <c r="Y356" s="882">
        <f>+'Plan de Accion 2018'!AZ299</f>
        <v>0</v>
      </c>
      <c r="Z356" s="882">
        <f t="shared" si="133"/>
        <v>0</v>
      </c>
      <c r="AA356" s="883" t="s">
        <v>792</v>
      </c>
      <c r="AB356" s="644"/>
      <c r="AC356" s="547">
        <f>+'Plan de Accion 2018'!BF299</f>
        <v>0</v>
      </c>
      <c r="AD356" s="751" t="s">
        <v>792</v>
      </c>
      <c r="AE356" s="629" t="s">
        <v>792</v>
      </c>
      <c r="AF356" s="751" t="s">
        <v>792</v>
      </c>
      <c r="AG356" s="637" t="s">
        <v>792</v>
      </c>
      <c r="AH356" s="1458"/>
      <c r="AI356" s="1014"/>
      <c r="AJ356" s="1471"/>
      <c r="AK356" s="1446"/>
      <c r="AL356" s="321"/>
      <c r="AM356" s="1468"/>
      <c r="AN356" s="1446"/>
      <c r="AO356" s="321"/>
      <c r="AP356" s="1446"/>
      <c r="AQ356" s="1446"/>
      <c r="AR356" s="321"/>
      <c r="AS356" s="1446"/>
      <c r="AT356" s="1446"/>
      <c r="AU356" s="326"/>
      <c r="AV356" s="1452"/>
      <c r="AX356" s="1471"/>
      <c r="AY356" s="1446"/>
      <c r="AZ356" s="321"/>
      <c r="BA356" s="1468"/>
      <c r="BB356" s="1446"/>
      <c r="BC356" s="321"/>
      <c r="BD356" s="1446"/>
      <c r="BE356" s="1446"/>
      <c r="BF356" s="321"/>
      <c r="BG356" s="1446"/>
      <c r="BH356" s="1446"/>
      <c r="BI356" s="326"/>
      <c r="BJ356" s="1452"/>
      <c r="BL356" s="1471"/>
      <c r="BM356" s="1446"/>
      <c r="BN356" s="321"/>
      <c r="BO356" s="1468"/>
      <c r="BP356" s="1446"/>
      <c r="BQ356" s="321"/>
      <c r="BR356" s="1446"/>
      <c r="BS356" s="1446"/>
      <c r="BT356" s="321"/>
      <c r="BU356" s="1446"/>
      <c r="BV356" s="1446"/>
      <c r="BW356" s="326"/>
      <c r="BX356" s="1452"/>
      <c r="BZ356" s="1471"/>
      <c r="CA356" s="1446"/>
      <c r="CB356" s="321"/>
      <c r="CC356" s="1468"/>
      <c r="CD356" s="1446"/>
      <c r="CE356" s="321"/>
      <c r="CF356" s="1446"/>
      <c r="CG356" s="1446"/>
      <c r="CH356" s="321"/>
      <c r="CI356" s="1446"/>
      <c r="CJ356" s="1446"/>
      <c r="CK356" s="326"/>
      <c r="CL356" s="1452"/>
    </row>
    <row r="357" spans="2:90" s="542" customFormat="1" ht="39" customHeight="1" x14ac:dyDescent="0.2">
      <c r="B357" s="1392"/>
      <c r="C357" s="1397"/>
      <c r="D357" s="759" t="str">
        <f>+'Plan de Accion 2018'!G292</f>
        <v>Diagnóstico del SG-SST según resolución 1111 de 2017</v>
      </c>
      <c r="E357" s="1349"/>
      <c r="F357" s="382" t="str">
        <f>+'Plan de Accion 2018'!S292</f>
        <v># Documentos de diagnóstico elaborados</v>
      </c>
      <c r="G357" s="298"/>
      <c r="H357" s="547">
        <f>+'Plan de Accion 2018'!AB292</f>
        <v>0</v>
      </c>
      <c r="I357" s="751" t="str">
        <f>+'Plan de Accion 2018'!BM292</f>
        <v>No Prog ni Ejec</v>
      </c>
      <c r="J357" s="751" t="s">
        <v>792</v>
      </c>
      <c r="K357" s="751">
        <f>+'Plan de Accion 2018'!AF292</f>
        <v>0</v>
      </c>
      <c r="L357" s="873">
        <f t="shared" si="131"/>
        <v>0</v>
      </c>
      <c r="M357" s="849" t="s">
        <v>792</v>
      </c>
      <c r="N357" s="644"/>
      <c r="O357" s="547">
        <f>+'Plan de Accion 2018'!AL292</f>
        <v>0</v>
      </c>
      <c r="P357" s="751" t="str">
        <f>+'Plan de Accion 2018'!BO292</f>
        <v>No Prog ni Ejec</v>
      </c>
      <c r="Q357" s="751" t="s">
        <v>792</v>
      </c>
      <c r="R357" s="751">
        <f>+'Plan de Accion 2018'!AP292</f>
        <v>0</v>
      </c>
      <c r="S357" s="873">
        <f t="shared" si="132"/>
        <v>0</v>
      </c>
      <c r="T357" s="637" t="s">
        <v>792</v>
      </c>
      <c r="U357" s="644"/>
      <c r="V357" s="545">
        <f>+'Plan de Accion 2018'!AV292</f>
        <v>0</v>
      </c>
      <c r="W357" s="767" t="str">
        <f>+'Plan de Accion 2018'!BQ292</f>
        <v>No Prog ni Ejec</v>
      </c>
      <c r="X357" s="751" t="s">
        <v>792</v>
      </c>
      <c r="Y357" s="882">
        <f>+'Plan de Accion 2018'!AZ292</f>
        <v>0</v>
      </c>
      <c r="Z357" s="882">
        <f t="shared" si="133"/>
        <v>0</v>
      </c>
      <c r="AA357" s="883" t="s">
        <v>792</v>
      </c>
      <c r="AB357" s="644"/>
      <c r="AC357" s="547">
        <f>+'Plan de Accion 2018'!BF292</f>
        <v>1</v>
      </c>
      <c r="AD357" s="751">
        <f>+'Plan de Accion 2018'!BS292</f>
        <v>1</v>
      </c>
      <c r="AE357" s="629">
        <f t="shared" si="135"/>
        <v>1</v>
      </c>
      <c r="AF357" s="751">
        <f>+'Plan de Accion 2018'!BJ292</f>
        <v>1</v>
      </c>
      <c r="AG357" s="637">
        <f t="shared" si="134"/>
        <v>1</v>
      </c>
      <c r="AH357" s="1458"/>
      <c r="AI357" s="1014"/>
      <c r="AJ357" s="1471"/>
      <c r="AK357" s="1446"/>
      <c r="AL357" s="321"/>
      <c r="AM357" s="1468"/>
      <c r="AN357" s="1446"/>
      <c r="AO357" s="321"/>
      <c r="AP357" s="1446"/>
      <c r="AQ357" s="1446"/>
      <c r="AR357" s="321"/>
      <c r="AS357" s="1446"/>
      <c r="AT357" s="1446"/>
      <c r="AU357" s="326"/>
      <c r="AV357" s="1452"/>
      <c r="AX357" s="1471"/>
      <c r="AY357" s="1446"/>
      <c r="AZ357" s="321"/>
      <c r="BA357" s="1468"/>
      <c r="BB357" s="1446"/>
      <c r="BC357" s="321"/>
      <c r="BD357" s="1446"/>
      <c r="BE357" s="1446"/>
      <c r="BF357" s="321"/>
      <c r="BG357" s="1446"/>
      <c r="BH357" s="1446"/>
      <c r="BI357" s="326"/>
      <c r="BJ357" s="1452"/>
      <c r="BL357" s="1471"/>
      <c r="BM357" s="1446"/>
      <c r="BN357" s="321"/>
      <c r="BO357" s="1468"/>
      <c r="BP357" s="1446"/>
      <c r="BQ357" s="321"/>
      <c r="BR357" s="1446"/>
      <c r="BS357" s="1446"/>
      <c r="BT357" s="321"/>
      <c r="BU357" s="1446"/>
      <c r="BV357" s="1446"/>
      <c r="BW357" s="326"/>
      <c r="BX357" s="1452"/>
      <c r="BZ357" s="1471"/>
      <c r="CA357" s="1446"/>
      <c r="CB357" s="321"/>
      <c r="CC357" s="1468"/>
      <c r="CD357" s="1446"/>
      <c r="CE357" s="321"/>
      <c r="CF357" s="1446"/>
      <c r="CG357" s="1446"/>
      <c r="CH357" s="321"/>
      <c r="CI357" s="1446"/>
      <c r="CJ357" s="1446"/>
      <c r="CK357" s="326"/>
      <c r="CL357" s="1452"/>
    </row>
    <row r="358" spans="2:90" s="542" customFormat="1" ht="39" customHeight="1" x14ac:dyDescent="0.2">
      <c r="B358" s="1392"/>
      <c r="C358" s="1397"/>
      <c r="D358" s="759" t="str">
        <f>+'Plan de Accion 2018'!G293</f>
        <v>Política de SST firmadas</v>
      </c>
      <c r="E358" s="1349"/>
      <c r="F358" s="382" t="str">
        <f>+'Plan de Accion 2018'!S293</f>
        <v># Documentos de políticas de SST elaborados</v>
      </c>
      <c r="G358" s="298"/>
      <c r="H358" s="547">
        <f>+'Plan de Accion 2018'!AB293</f>
        <v>0</v>
      </c>
      <c r="I358" s="751" t="str">
        <f>+'Plan de Accion 2018'!BM293</f>
        <v>No Prog ni Ejec</v>
      </c>
      <c r="J358" s="751" t="s">
        <v>792</v>
      </c>
      <c r="K358" s="751">
        <f>+'Plan de Accion 2018'!AF293</f>
        <v>0</v>
      </c>
      <c r="L358" s="873">
        <f t="shared" si="131"/>
        <v>0</v>
      </c>
      <c r="M358" s="849" t="s">
        <v>792</v>
      </c>
      <c r="N358" s="644"/>
      <c r="O358" s="547">
        <f>+'Plan de Accion 2018'!AL293</f>
        <v>0</v>
      </c>
      <c r="P358" s="751" t="str">
        <f>+'Plan de Accion 2018'!BO293</f>
        <v>No Prog ni Ejec</v>
      </c>
      <c r="Q358" s="751" t="s">
        <v>792</v>
      </c>
      <c r="R358" s="751">
        <f>+'Plan de Accion 2018'!AP293</f>
        <v>0</v>
      </c>
      <c r="S358" s="873">
        <f t="shared" si="132"/>
        <v>0</v>
      </c>
      <c r="T358" s="637" t="s">
        <v>792</v>
      </c>
      <c r="U358" s="644"/>
      <c r="V358" s="545">
        <f>+'Plan de Accion 2018'!AV293</f>
        <v>0</v>
      </c>
      <c r="W358" s="767" t="str">
        <f>+'Plan de Accion 2018'!BQ293</f>
        <v>No Prog ni Ejec</v>
      </c>
      <c r="X358" s="751" t="s">
        <v>792</v>
      </c>
      <c r="Y358" s="882">
        <f>+'Plan de Accion 2018'!AZ293</f>
        <v>0</v>
      </c>
      <c r="Z358" s="882">
        <f t="shared" si="133"/>
        <v>0</v>
      </c>
      <c r="AA358" s="883" t="s">
        <v>792</v>
      </c>
      <c r="AB358" s="644"/>
      <c r="AC358" s="547">
        <f>+'Plan de Accion 2018'!BF293</f>
        <v>1</v>
      </c>
      <c r="AD358" s="751">
        <f>+'Plan de Accion 2018'!BS293</f>
        <v>1</v>
      </c>
      <c r="AE358" s="629">
        <f t="shared" si="135"/>
        <v>1</v>
      </c>
      <c r="AF358" s="751">
        <f>+'Plan de Accion 2018'!BJ293</f>
        <v>1</v>
      </c>
      <c r="AG358" s="637">
        <f t="shared" si="134"/>
        <v>1</v>
      </c>
      <c r="AH358" s="1458"/>
      <c r="AI358" s="1014"/>
      <c r="AJ358" s="1471"/>
      <c r="AK358" s="1446"/>
      <c r="AL358" s="321"/>
      <c r="AM358" s="1468"/>
      <c r="AN358" s="1446"/>
      <c r="AO358" s="321"/>
      <c r="AP358" s="1446"/>
      <c r="AQ358" s="1446"/>
      <c r="AR358" s="321"/>
      <c r="AS358" s="1446"/>
      <c r="AT358" s="1446"/>
      <c r="AU358" s="326"/>
      <c r="AV358" s="1452"/>
      <c r="AX358" s="1471"/>
      <c r="AY358" s="1446"/>
      <c r="AZ358" s="321"/>
      <c r="BA358" s="1468"/>
      <c r="BB358" s="1446"/>
      <c r="BC358" s="321"/>
      <c r="BD358" s="1446"/>
      <c r="BE358" s="1446"/>
      <c r="BF358" s="321"/>
      <c r="BG358" s="1446"/>
      <c r="BH358" s="1446"/>
      <c r="BI358" s="326"/>
      <c r="BJ358" s="1452"/>
      <c r="BL358" s="1471"/>
      <c r="BM358" s="1446"/>
      <c r="BN358" s="321"/>
      <c r="BO358" s="1468"/>
      <c r="BP358" s="1446"/>
      <c r="BQ358" s="321"/>
      <c r="BR358" s="1446"/>
      <c r="BS358" s="1446"/>
      <c r="BT358" s="321"/>
      <c r="BU358" s="1446"/>
      <c r="BV358" s="1446"/>
      <c r="BW358" s="326"/>
      <c r="BX358" s="1452"/>
      <c r="BZ358" s="1471"/>
      <c r="CA358" s="1446"/>
      <c r="CB358" s="321"/>
      <c r="CC358" s="1468"/>
      <c r="CD358" s="1446"/>
      <c r="CE358" s="321"/>
      <c r="CF358" s="1446"/>
      <c r="CG358" s="1446"/>
      <c r="CH358" s="321"/>
      <c r="CI358" s="1446"/>
      <c r="CJ358" s="1446"/>
      <c r="CK358" s="326"/>
      <c r="CL358" s="1452"/>
    </row>
    <row r="359" spans="2:90" s="542" customFormat="1" ht="39" customHeight="1" x14ac:dyDescent="0.2">
      <c r="B359" s="1392"/>
      <c r="C359" s="1397"/>
      <c r="D359" s="759" t="str">
        <f>+'Plan de Accion 2018'!G294</f>
        <v>Política de prevención de alcohol y drogas</v>
      </c>
      <c r="E359" s="1349"/>
      <c r="F359" s="382" t="str">
        <f>+'Plan de Accion 2018'!S294</f>
        <v># Documentos de políticas de prevención de Alcohol y drogas elaborados</v>
      </c>
      <c r="G359" s="298"/>
      <c r="H359" s="547">
        <f>+'Plan de Accion 2018'!AB294</f>
        <v>0</v>
      </c>
      <c r="I359" s="751" t="str">
        <f>+'Plan de Accion 2018'!BM294</f>
        <v>No Prog ni Ejec</v>
      </c>
      <c r="J359" s="751" t="s">
        <v>792</v>
      </c>
      <c r="K359" s="751">
        <f>+'Plan de Accion 2018'!AF294</f>
        <v>0</v>
      </c>
      <c r="L359" s="873">
        <f t="shared" si="131"/>
        <v>0</v>
      </c>
      <c r="M359" s="849" t="s">
        <v>792</v>
      </c>
      <c r="N359" s="644"/>
      <c r="O359" s="547">
        <f>+'Plan de Accion 2018'!AL294</f>
        <v>0</v>
      </c>
      <c r="P359" s="751" t="str">
        <f>+'Plan de Accion 2018'!BO294</f>
        <v>No Prog ni Ejec</v>
      </c>
      <c r="Q359" s="751" t="s">
        <v>792</v>
      </c>
      <c r="R359" s="751">
        <f>+'Plan de Accion 2018'!AP294</f>
        <v>0</v>
      </c>
      <c r="S359" s="873">
        <f t="shared" si="132"/>
        <v>0</v>
      </c>
      <c r="T359" s="637" t="s">
        <v>792</v>
      </c>
      <c r="U359" s="644"/>
      <c r="V359" s="545">
        <f>+'Plan de Accion 2018'!AV294</f>
        <v>0</v>
      </c>
      <c r="W359" s="767" t="str">
        <f>+'Plan de Accion 2018'!BQ294</f>
        <v>No Prog ni Ejec</v>
      </c>
      <c r="X359" s="751" t="s">
        <v>792</v>
      </c>
      <c r="Y359" s="882">
        <f>+'Plan de Accion 2018'!AZ294</f>
        <v>0</v>
      </c>
      <c r="Z359" s="882">
        <f t="shared" si="133"/>
        <v>0</v>
      </c>
      <c r="AA359" s="883" t="s">
        <v>792</v>
      </c>
      <c r="AB359" s="644"/>
      <c r="AC359" s="547">
        <f>+'Plan de Accion 2018'!BF294</f>
        <v>1</v>
      </c>
      <c r="AD359" s="751">
        <f>+'Plan de Accion 2018'!BS294</f>
        <v>1</v>
      </c>
      <c r="AE359" s="629">
        <f t="shared" si="135"/>
        <v>1</v>
      </c>
      <c r="AF359" s="751">
        <f>+'Plan de Accion 2018'!BJ294</f>
        <v>1</v>
      </c>
      <c r="AG359" s="637">
        <f t="shared" si="134"/>
        <v>1</v>
      </c>
      <c r="AH359" s="1458"/>
      <c r="AI359" s="1014"/>
      <c r="AJ359" s="1471"/>
      <c r="AK359" s="1446"/>
      <c r="AL359" s="321"/>
      <c r="AM359" s="1468"/>
      <c r="AN359" s="1446"/>
      <c r="AO359" s="321"/>
      <c r="AP359" s="1446"/>
      <c r="AQ359" s="1446"/>
      <c r="AR359" s="321"/>
      <c r="AS359" s="1446"/>
      <c r="AT359" s="1446"/>
      <c r="AU359" s="326"/>
      <c r="AV359" s="1452"/>
      <c r="AX359" s="1471"/>
      <c r="AY359" s="1446"/>
      <c r="AZ359" s="321"/>
      <c r="BA359" s="1468"/>
      <c r="BB359" s="1446"/>
      <c r="BC359" s="321"/>
      <c r="BD359" s="1446"/>
      <c r="BE359" s="1446"/>
      <c r="BF359" s="321"/>
      <c r="BG359" s="1446"/>
      <c r="BH359" s="1446"/>
      <c r="BI359" s="326"/>
      <c r="BJ359" s="1452"/>
      <c r="BL359" s="1471"/>
      <c r="BM359" s="1446"/>
      <c r="BN359" s="321"/>
      <c r="BO359" s="1468"/>
      <c r="BP359" s="1446"/>
      <c r="BQ359" s="321"/>
      <c r="BR359" s="1446"/>
      <c r="BS359" s="1446"/>
      <c r="BT359" s="321"/>
      <c r="BU359" s="1446"/>
      <c r="BV359" s="1446"/>
      <c r="BW359" s="326"/>
      <c r="BX359" s="1452"/>
      <c r="BZ359" s="1471"/>
      <c r="CA359" s="1446"/>
      <c r="CB359" s="321"/>
      <c r="CC359" s="1468"/>
      <c r="CD359" s="1446"/>
      <c r="CE359" s="321"/>
      <c r="CF359" s="1446"/>
      <c r="CG359" s="1446"/>
      <c r="CH359" s="321"/>
      <c r="CI359" s="1446"/>
      <c r="CJ359" s="1446"/>
      <c r="CK359" s="326"/>
      <c r="CL359" s="1452"/>
    </row>
    <row r="360" spans="2:90" s="542" customFormat="1" ht="39" customHeight="1" x14ac:dyDescent="0.2">
      <c r="B360" s="1392"/>
      <c r="C360" s="1397"/>
      <c r="D360" s="759" t="str">
        <f>+'Plan de Accion 2018'!G295</f>
        <v>Reglamento de higiene y seguridad industrial</v>
      </c>
      <c r="E360" s="1349"/>
      <c r="F360" s="382" t="str">
        <f>+'Plan de Accion 2018'!S295</f>
        <v># Reglamentos de higiene y seguridad industrial elaborados</v>
      </c>
      <c r="G360" s="298"/>
      <c r="H360" s="547">
        <f>+'Plan de Accion 2018'!AB295</f>
        <v>0</v>
      </c>
      <c r="I360" s="751" t="str">
        <f>+'Plan de Accion 2018'!BM295</f>
        <v>No Prog ni Ejec</v>
      </c>
      <c r="J360" s="751" t="s">
        <v>792</v>
      </c>
      <c r="K360" s="751">
        <f>+'Plan de Accion 2018'!AF295</f>
        <v>0</v>
      </c>
      <c r="L360" s="873">
        <f t="shared" si="131"/>
        <v>0</v>
      </c>
      <c r="M360" s="849" t="s">
        <v>792</v>
      </c>
      <c r="N360" s="644"/>
      <c r="O360" s="547">
        <f>+'Plan de Accion 2018'!AL295</f>
        <v>0</v>
      </c>
      <c r="P360" s="751" t="str">
        <f>+'Plan de Accion 2018'!BO295</f>
        <v>No Prog ni Ejec</v>
      </c>
      <c r="Q360" s="751" t="s">
        <v>792</v>
      </c>
      <c r="R360" s="751">
        <f>+'Plan de Accion 2018'!AP295</f>
        <v>0</v>
      </c>
      <c r="S360" s="873">
        <f t="shared" si="132"/>
        <v>0</v>
      </c>
      <c r="T360" s="637" t="s">
        <v>792</v>
      </c>
      <c r="U360" s="644"/>
      <c r="V360" s="545">
        <f>+'Plan de Accion 2018'!AV295</f>
        <v>0</v>
      </c>
      <c r="W360" s="767" t="str">
        <f>+'Plan de Accion 2018'!BQ295</f>
        <v>No Prog ni Ejec</v>
      </c>
      <c r="X360" s="751" t="s">
        <v>792</v>
      </c>
      <c r="Y360" s="882">
        <f>+'Plan de Accion 2018'!AZ295</f>
        <v>0</v>
      </c>
      <c r="Z360" s="882">
        <f t="shared" si="133"/>
        <v>0</v>
      </c>
      <c r="AA360" s="883" t="s">
        <v>792</v>
      </c>
      <c r="AB360" s="644"/>
      <c r="AC360" s="547">
        <f>+'Plan de Accion 2018'!BF295</f>
        <v>1</v>
      </c>
      <c r="AD360" s="751">
        <f>+'Plan de Accion 2018'!BS295</f>
        <v>1</v>
      </c>
      <c r="AE360" s="629">
        <f t="shared" si="135"/>
        <v>1</v>
      </c>
      <c r="AF360" s="751">
        <f>+'Plan de Accion 2018'!BJ295</f>
        <v>1</v>
      </c>
      <c r="AG360" s="637">
        <f t="shared" si="134"/>
        <v>1</v>
      </c>
      <c r="AH360" s="1458"/>
      <c r="AI360" s="1014"/>
      <c r="AJ360" s="1471"/>
      <c r="AK360" s="1446"/>
      <c r="AL360" s="321"/>
      <c r="AM360" s="1468"/>
      <c r="AN360" s="1446"/>
      <c r="AO360" s="321"/>
      <c r="AP360" s="1446"/>
      <c r="AQ360" s="1446"/>
      <c r="AR360" s="321"/>
      <c r="AS360" s="1446"/>
      <c r="AT360" s="1446"/>
      <c r="AU360" s="326"/>
      <c r="AV360" s="1452"/>
      <c r="AX360" s="1471"/>
      <c r="AY360" s="1446"/>
      <c r="AZ360" s="321"/>
      <c r="BA360" s="1468"/>
      <c r="BB360" s="1446"/>
      <c r="BC360" s="321"/>
      <c r="BD360" s="1446"/>
      <c r="BE360" s="1446"/>
      <c r="BF360" s="321"/>
      <c r="BG360" s="1446"/>
      <c r="BH360" s="1446"/>
      <c r="BI360" s="326"/>
      <c r="BJ360" s="1452"/>
      <c r="BL360" s="1471"/>
      <c r="BM360" s="1446"/>
      <c r="BN360" s="321"/>
      <c r="BO360" s="1468"/>
      <c r="BP360" s="1446"/>
      <c r="BQ360" s="321"/>
      <c r="BR360" s="1446"/>
      <c r="BS360" s="1446"/>
      <c r="BT360" s="321"/>
      <c r="BU360" s="1446"/>
      <c r="BV360" s="1446"/>
      <c r="BW360" s="326"/>
      <c r="BX360" s="1452"/>
      <c r="BZ360" s="1471"/>
      <c r="CA360" s="1446"/>
      <c r="CB360" s="321"/>
      <c r="CC360" s="1468"/>
      <c r="CD360" s="1446"/>
      <c r="CE360" s="321"/>
      <c r="CF360" s="1446"/>
      <c r="CG360" s="1446"/>
      <c r="CH360" s="321"/>
      <c r="CI360" s="1446"/>
      <c r="CJ360" s="1446"/>
      <c r="CK360" s="326"/>
      <c r="CL360" s="1452"/>
    </row>
    <row r="361" spans="2:90" s="542" customFormat="1" ht="39" customHeight="1" x14ac:dyDescent="0.2">
      <c r="B361" s="1392"/>
      <c r="C361" s="1397"/>
      <c r="D361" s="759" t="str">
        <f>+'Plan de Accion 2018'!G296</f>
        <v>Responsable del SST</v>
      </c>
      <c r="E361" s="1349"/>
      <c r="F361" s="382" t="str">
        <f>+'Plan de Accion 2018'!S296</f>
        <v xml:space="preserve"># Documentos elaborados con designación de responsable del SST
</v>
      </c>
      <c r="G361" s="298"/>
      <c r="H361" s="547">
        <f>+'Plan de Accion 2018'!AB296</f>
        <v>0</v>
      </c>
      <c r="I361" s="751" t="str">
        <f>+'Plan de Accion 2018'!BM296</f>
        <v>No Prog ni Ejec</v>
      </c>
      <c r="J361" s="751" t="s">
        <v>792</v>
      </c>
      <c r="K361" s="751">
        <f>+'Plan de Accion 2018'!AF296</f>
        <v>0</v>
      </c>
      <c r="L361" s="873">
        <f t="shared" si="131"/>
        <v>0</v>
      </c>
      <c r="M361" s="849" t="s">
        <v>792</v>
      </c>
      <c r="N361" s="644"/>
      <c r="O361" s="547">
        <f>+'Plan de Accion 2018'!AL296</f>
        <v>0</v>
      </c>
      <c r="P361" s="751" t="str">
        <f>+'Plan de Accion 2018'!BO296</f>
        <v>No Prog ni Ejec</v>
      </c>
      <c r="Q361" s="751" t="s">
        <v>792</v>
      </c>
      <c r="R361" s="751">
        <f>+'Plan de Accion 2018'!AP296</f>
        <v>0</v>
      </c>
      <c r="S361" s="873">
        <f t="shared" si="132"/>
        <v>0</v>
      </c>
      <c r="T361" s="637" t="s">
        <v>792</v>
      </c>
      <c r="U361" s="644"/>
      <c r="V361" s="545">
        <f>+'Plan de Accion 2018'!AV296</f>
        <v>0</v>
      </c>
      <c r="W361" s="767" t="str">
        <f>+'Plan de Accion 2018'!BQ296</f>
        <v>No Prog ni Ejec</v>
      </c>
      <c r="X361" s="751" t="s">
        <v>792</v>
      </c>
      <c r="Y361" s="882">
        <f>+'Plan de Accion 2018'!AZ296</f>
        <v>0</v>
      </c>
      <c r="Z361" s="882">
        <f t="shared" si="133"/>
        <v>0</v>
      </c>
      <c r="AA361" s="883" t="s">
        <v>792</v>
      </c>
      <c r="AB361" s="644"/>
      <c r="AC361" s="547">
        <f>+'Plan de Accion 2018'!BF296</f>
        <v>1</v>
      </c>
      <c r="AD361" s="751">
        <f>+'Plan de Accion 2018'!BS296</f>
        <v>1</v>
      </c>
      <c r="AE361" s="629">
        <f t="shared" si="135"/>
        <v>1</v>
      </c>
      <c r="AF361" s="751">
        <f>+'Plan de Accion 2018'!BJ296</f>
        <v>1</v>
      </c>
      <c r="AG361" s="637">
        <f t="shared" si="134"/>
        <v>1</v>
      </c>
      <c r="AH361" s="1458"/>
      <c r="AI361" s="1014"/>
      <c r="AJ361" s="1471"/>
      <c r="AK361" s="1446"/>
      <c r="AL361" s="321"/>
      <c r="AM361" s="1468"/>
      <c r="AN361" s="1446"/>
      <c r="AO361" s="321"/>
      <c r="AP361" s="1446"/>
      <c r="AQ361" s="1446"/>
      <c r="AR361" s="321"/>
      <c r="AS361" s="1446"/>
      <c r="AT361" s="1446"/>
      <c r="AU361" s="326"/>
      <c r="AV361" s="1452"/>
      <c r="AX361" s="1471"/>
      <c r="AY361" s="1446"/>
      <c r="AZ361" s="321"/>
      <c r="BA361" s="1468"/>
      <c r="BB361" s="1446"/>
      <c r="BC361" s="321"/>
      <c r="BD361" s="1446"/>
      <c r="BE361" s="1446"/>
      <c r="BF361" s="321"/>
      <c r="BG361" s="1446"/>
      <c r="BH361" s="1446"/>
      <c r="BI361" s="326"/>
      <c r="BJ361" s="1452"/>
      <c r="BL361" s="1471"/>
      <c r="BM361" s="1446"/>
      <c r="BN361" s="321"/>
      <c r="BO361" s="1468"/>
      <c r="BP361" s="1446"/>
      <c r="BQ361" s="321"/>
      <c r="BR361" s="1446"/>
      <c r="BS361" s="1446"/>
      <c r="BT361" s="321"/>
      <c r="BU361" s="1446"/>
      <c r="BV361" s="1446"/>
      <c r="BW361" s="326"/>
      <c r="BX361" s="1452"/>
      <c r="BZ361" s="1471"/>
      <c r="CA361" s="1446"/>
      <c r="CB361" s="321"/>
      <c r="CC361" s="1468"/>
      <c r="CD361" s="1446"/>
      <c r="CE361" s="321"/>
      <c r="CF361" s="1446"/>
      <c r="CG361" s="1446"/>
      <c r="CH361" s="321"/>
      <c r="CI361" s="1446"/>
      <c r="CJ361" s="1446"/>
      <c r="CK361" s="326"/>
      <c r="CL361" s="1452"/>
    </row>
    <row r="362" spans="2:90" s="542" customFormat="1" ht="39" customHeight="1" x14ac:dyDescent="0.2">
      <c r="B362" s="1392"/>
      <c r="C362" s="1397"/>
      <c r="D362" s="759" t="str">
        <f>+'Plan de Accion 2018'!G297</f>
        <v>Plan de emergencia</v>
      </c>
      <c r="E362" s="1349"/>
      <c r="F362" s="382" t="str">
        <f>+'Plan de Accion 2018'!S297</f>
        <v># Planes de emergencias elaborados</v>
      </c>
      <c r="G362" s="298"/>
      <c r="H362" s="547">
        <f>+'Plan de Accion 2018'!AB297</f>
        <v>0</v>
      </c>
      <c r="I362" s="751" t="str">
        <f>+'Plan de Accion 2018'!BM297</f>
        <v>No Prog ni Ejec</v>
      </c>
      <c r="J362" s="751" t="s">
        <v>792</v>
      </c>
      <c r="K362" s="751">
        <f>+'Plan de Accion 2018'!AF297</f>
        <v>0</v>
      </c>
      <c r="L362" s="873">
        <f t="shared" si="131"/>
        <v>0</v>
      </c>
      <c r="M362" s="849" t="s">
        <v>792</v>
      </c>
      <c r="N362" s="644"/>
      <c r="O362" s="547">
        <f>+'Plan de Accion 2018'!AL297</f>
        <v>0</v>
      </c>
      <c r="P362" s="751" t="str">
        <f>+'Plan de Accion 2018'!BO297</f>
        <v>No Prog ni Ejec</v>
      </c>
      <c r="Q362" s="751" t="s">
        <v>792</v>
      </c>
      <c r="R362" s="751">
        <f>+'Plan de Accion 2018'!AP297</f>
        <v>0</v>
      </c>
      <c r="S362" s="873">
        <f t="shared" si="132"/>
        <v>0</v>
      </c>
      <c r="T362" s="637" t="s">
        <v>792</v>
      </c>
      <c r="U362" s="644">
        <v>1</v>
      </c>
      <c r="V362" s="545">
        <f>+'Plan de Accion 2018'!AV297</f>
        <v>0</v>
      </c>
      <c r="W362" s="767" t="str">
        <f>+'Plan de Accion 2018'!BQ297</f>
        <v>No Prog ni Ejec</v>
      </c>
      <c r="X362" s="751" t="s">
        <v>792</v>
      </c>
      <c r="Y362" s="882">
        <f>+'Plan de Accion 2018'!AZ297</f>
        <v>0</v>
      </c>
      <c r="Z362" s="882">
        <f t="shared" si="133"/>
        <v>0</v>
      </c>
      <c r="AA362" s="883" t="s">
        <v>792</v>
      </c>
      <c r="AB362" s="644"/>
      <c r="AC362" s="547">
        <f>+'Plan de Accion 2018'!BF297</f>
        <v>1</v>
      </c>
      <c r="AD362" s="751">
        <f>+'Plan de Accion 2018'!BS297</f>
        <v>1</v>
      </c>
      <c r="AE362" s="629">
        <f t="shared" si="135"/>
        <v>1</v>
      </c>
      <c r="AF362" s="751">
        <f>+'Plan de Accion 2018'!BJ297</f>
        <v>1</v>
      </c>
      <c r="AG362" s="637">
        <f t="shared" si="134"/>
        <v>1</v>
      </c>
      <c r="AH362" s="1458"/>
      <c r="AI362" s="1014"/>
      <c r="AJ362" s="1471"/>
      <c r="AK362" s="1446"/>
      <c r="AL362" s="321"/>
      <c r="AM362" s="1468"/>
      <c r="AN362" s="1446"/>
      <c r="AO362" s="321"/>
      <c r="AP362" s="1446"/>
      <c r="AQ362" s="1446"/>
      <c r="AR362" s="321"/>
      <c r="AS362" s="1446"/>
      <c r="AT362" s="1446"/>
      <c r="AU362" s="326"/>
      <c r="AV362" s="1452"/>
      <c r="AX362" s="1471"/>
      <c r="AY362" s="1446"/>
      <c r="AZ362" s="321"/>
      <c r="BA362" s="1468"/>
      <c r="BB362" s="1446"/>
      <c r="BC362" s="321"/>
      <c r="BD362" s="1446"/>
      <c r="BE362" s="1446"/>
      <c r="BF362" s="321"/>
      <c r="BG362" s="1446"/>
      <c r="BH362" s="1446"/>
      <c r="BI362" s="326"/>
      <c r="BJ362" s="1452"/>
      <c r="BL362" s="1471"/>
      <c r="BM362" s="1446"/>
      <c r="BN362" s="321"/>
      <c r="BO362" s="1468"/>
      <c r="BP362" s="1446"/>
      <c r="BQ362" s="321"/>
      <c r="BR362" s="1446"/>
      <c r="BS362" s="1446"/>
      <c r="BT362" s="321"/>
      <c r="BU362" s="1446"/>
      <c r="BV362" s="1446"/>
      <c r="BW362" s="326"/>
      <c r="BX362" s="1452"/>
      <c r="BZ362" s="1471"/>
      <c r="CA362" s="1446"/>
      <c r="CB362" s="321"/>
      <c r="CC362" s="1468"/>
      <c r="CD362" s="1446"/>
      <c r="CE362" s="321"/>
      <c r="CF362" s="1446"/>
      <c r="CG362" s="1446"/>
      <c r="CH362" s="321"/>
      <c r="CI362" s="1446"/>
      <c r="CJ362" s="1446"/>
      <c r="CK362" s="326"/>
      <c r="CL362" s="1452"/>
    </row>
    <row r="363" spans="2:90" ht="57" x14ac:dyDescent="0.2">
      <c r="B363" s="1393"/>
      <c r="C363" s="1397"/>
      <c r="D363" s="754" t="str">
        <f>+'Plan de Accion 2018'!G122</f>
        <v>Plan de Bienestar</v>
      </c>
      <c r="E363" s="1349"/>
      <c r="F363" s="544" t="str">
        <f>+'Plan de Accion 2018'!S122</f>
        <v># Encuestas Efectivas al Cumplimiento del Objetivo / # Encuestas de Satisfacciones Realizadas</v>
      </c>
      <c r="H363" s="543">
        <f>+'Plan de Accion 2018'!AB122</f>
        <v>0.24</v>
      </c>
      <c r="I363" s="767">
        <f>+'Plan de Accion 2018'!BM122</f>
        <v>0.96</v>
      </c>
      <c r="J363" s="767">
        <f>IF(I363&gt;100%,100%,I363)</f>
        <v>0.96</v>
      </c>
      <c r="K363" s="767">
        <f>+'Plan de Accion 2018'!AF122</f>
        <v>0.24</v>
      </c>
      <c r="L363" s="873">
        <f t="shared" si="131"/>
        <v>0.24</v>
      </c>
      <c r="M363" s="682">
        <f t="shared" ref="M363" si="136">+L363</f>
        <v>0.24</v>
      </c>
      <c r="N363" s="644"/>
      <c r="O363" s="543">
        <f>+'Plan de Accion 2018'!AL122</f>
        <v>0.17708333333333334</v>
      </c>
      <c r="P363" s="767">
        <f>+'Plan de Accion 2018'!BO122</f>
        <v>0.70833333333333337</v>
      </c>
      <c r="Q363" s="629">
        <f>IF(P363&gt;100%,100%,P363)</f>
        <v>0.70833333333333337</v>
      </c>
      <c r="R363" s="751">
        <f>+'Plan de Accion 2018'!AP122</f>
        <v>0.41708333333333336</v>
      </c>
      <c r="S363" s="873">
        <f t="shared" si="132"/>
        <v>0.41708333333333336</v>
      </c>
      <c r="T363" s="637">
        <f>+S363</f>
        <v>0.41708333333333336</v>
      </c>
      <c r="U363" s="329"/>
      <c r="V363" s="543">
        <f>+'Plan de Accion 2018'!AV122</f>
        <v>0.19025157232704404</v>
      </c>
      <c r="W363" s="767">
        <f>+'Plan de Accion 2018'!BQ122</f>
        <v>0.76100628930817615</v>
      </c>
      <c r="X363" s="629">
        <f>IF(W363&gt;100%,100%,W363)</f>
        <v>0.76100628930817615</v>
      </c>
      <c r="Y363" s="882">
        <f>+'Plan de Accion 2018'!AZ122</f>
        <v>0.6073349056603774</v>
      </c>
      <c r="Z363" s="882">
        <f t="shared" si="133"/>
        <v>0.6073349056603774</v>
      </c>
      <c r="AA363" s="883">
        <f>+Z363</f>
        <v>0.6073349056603774</v>
      </c>
      <c r="AB363" s="644"/>
      <c r="AC363" s="543">
        <f>+'Plan de Accion 2018'!BF122</f>
        <v>0.20945945945945946</v>
      </c>
      <c r="AD363" s="767">
        <f>+'Plan de Accion 2018'!BS122</f>
        <v>0.83783783783783783</v>
      </c>
      <c r="AE363" s="629">
        <f t="shared" si="135"/>
        <v>0.83783783783783783</v>
      </c>
      <c r="AF363" s="767">
        <f>+'Plan de Accion 2018'!BJ122</f>
        <v>0.81679436511983683</v>
      </c>
      <c r="AG363" s="637">
        <f t="shared" si="134"/>
        <v>0.81679436511983683</v>
      </c>
      <c r="AH363" s="1458"/>
      <c r="AJ363" s="1471"/>
      <c r="AK363" s="1446"/>
      <c r="AL363" s="321"/>
      <c r="AM363" s="1468"/>
      <c r="AN363" s="1446"/>
      <c r="AO363" s="321"/>
      <c r="AP363" s="1446"/>
      <c r="AQ363" s="1446"/>
      <c r="AR363" s="321"/>
      <c r="AS363" s="1446"/>
      <c r="AT363" s="1446"/>
      <c r="AU363" s="326"/>
      <c r="AV363" s="1452"/>
      <c r="AX363" s="1471"/>
      <c r="AY363" s="1446"/>
      <c r="AZ363" s="321"/>
      <c r="BA363" s="1468"/>
      <c r="BB363" s="1446"/>
      <c r="BC363" s="321"/>
      <c r="BD363" s="1446"/>
      <c r="BE363" s="1446"/>
      <c r="BF363" s="321"/>
      <c r="BG363" s="1446"/>
      <c r="BH363" s="1446"/>
      <c r="BI363" s="326"/>
      <c r="BJ363" s="1452"/>
      <c r="BL363" s="1471"/>
      <c r="BM363" s="1446"/>
      <c r="BN363" s="321"/>
      <c r="BO363" s="1468"/>
      <c r="BP363" s="1446"/>
      <c r="BQ363" s="321"/>
      <c r="BR363" s="1446"/>
      <c r="BS363" s="1446"/>
      <c r="BT363" s="321"/>
      <c r="BU363" s="1446"/>
      <c r="BV363" s="1446"/>
      <c r="BW363" s="326"/>
      <c r="BX363" s="1452"/>
      <c r="BZ363" s="1471"/>
      <c r="CA363" s="1446"/>
      <c r="CB363" s="321"/>
      <c r="CC363" s="1468"/>
      <c r="CD363" s="1446"/>
      <c r="CE363" s="321"/>
      <c r="CF363" s="1446"/>
      <c r="CG363" s="1446"/>
      <c r="CH363" s="321"/>
      <c r="CI363" s="1446"/>
      <c r="CJ363" s="1446"/>
      <c r="CK363" s="326"/>
      <c r="CL363" s="1452"/>
    </row>
    <row r="364" spans="2:90" s="542" customFormat="1" ht="57" customHeight="1" x14ac:dyDescent="0.2">
      <c r="B364" s="1393"/>
      <c r="C364" s="1397"/>
      <c r="D364" s="755" t="str">
        <f>+'Plan de Accion 2018'!G123</f>
        <v>Olimpiadas Deportivas</v>
      </c>
      <c r="E364" s="1349"/>
      <c r="F364" s="544" t="str">
        <f>+'Plan de Accion 2018'!S123</f>
        <v># Funcionarios  participantes en las olimpiadas deportivas realizadas / 
# Total de Funcionarios  X # olimpiadas deportivas programadas</v>
      </c>
      <c r="G364" s="298"/>
      <c r="H364" s="543">
        <f>+'Plan de Accion 2018'!AB123</f>
        <v>0</v>
      </c>
      <c r="I364" s="767" t="str">
        <f>+'Plan de Accion 2018'!BM123</f>
        <v>No Prog ni Ejec</v>
      </c>
      <c r="J364" s="751" t="s">
        <v>792</v>
      </c>
      <c r="K364" s="767">
        <f>+'Plan de Accion 2018'!AF123</f>
        <v>0</v>
      </c>
      <c r="L364" s="873">
        <f t="shared" si="131"/>
        <v>0</v>
      </c>
      <c r="M364" s="849" t="s">
        <v>792</v>
      </c>
      <c r="N364" s="644"/>
      <c r="O364" s="543">
        <f>+'Plan de Accion 2018'!AL123</f>
        <v>0</v>
      </c>
      <c r="P364" s="767" t="str">
        <f>+'Plan de Accion 2018'!BO123</f>
        <v>No Prog ni Ejec</v>
      </c>
      <c r="Q364" s="751" t="s">
        <v>792</v>
      </c>
      <c r="R364" s="751">
        <f>+'Plan de Accion 2018'!AP123</f>
        <v>0</v>
      </c>
      <c r="S364" s="873">
        <f t="shared" si="132"/>
        <v>0</v>
      </c>
      <c r="T364" s="637" t="s">
        <v>792</v>
      </c>
      <c r="U364" s="329"/>
      <c r="V364" s="543">
        <f>+'Plan de Accion 2018'!AV123</f>
        <v>0.22500000000000001</v>
      </c>
      <c r="W364" s="767">
        <f>+'Plan de Accion 2018'!AZ123</f>
        <v>0.22500000000000001</v>
      </c>
      <c r="X364" s="751">
        <f>+W364</f>
        <v>0.22500000000000001</v>
      </c>
      <c r="Y364" s="882">
        <f>+'Plan de Accion 2018'!AZ123</f>
        <v>0.22500000000000001</v>
      </c>
      <c r="Z364" s="882">
        <f t="shared" si="133"/>
        <v>0.22500000000000001</v>
      </c>
      <c r="AA364" s="883">
        <f>+Z364</f>
        <v>0.22500000000000001</v>
      </c>
      <c r="AB364" s="644"/>
      <c r="AC364" s="543">
        <f>+'Plan de Accion 2018'!BF123</f>
        <v>0.22368421052631579</v>
      </c>
      <c r="AD364" s="767">
        <f>+'Plan de Accion 2018'!BS123</f>
        <v>0.22368421052631579</v>
      </c>
      <c r="AE364" s="629">
        <f t="shared" ref="AE364:AE375" si="137">IF(AD364&gt;100%,100%,AD364)</f>
        <v>0.22368421052631579</v>
      </c>
      <c r="AF364" s="767">
        <f>+'Plan de Accion 2018'!BJ123</f>
        <v>0.4486842105263158</v>
      </c>
      <c r="AG364" s="637">
        <f t="shared" ref="AG364:AG375" si="138">IF(AF364&gt;100%,100%,AF364)</f>
        <v>0.4486842105263158</v>
      </c>
      <c r="AH364" s="1458"/>
      <c r="AI364" s="1014"/>
      <c r="AJ364" s="1471"/>
      <c r="AK364" s="1446"/>
      <c r="AL364" s="321"/>
      <c r="AM364" s="1468"/>
      <c r="AN364" s="1446"/>
      <c r="AO364" s="321"/>
      <c r="AP364" s="1446"/>
      <c r="AQ364" s="1446"/>
      <c r="AR364" s="321"/>
      <c r="AS364" s="1446"/>
      <c r="AT364" s="1446"/>
      <c r="AU364" s="326"/>
      <c r="AV364" s="1452"/>
      <c r="AX364" s="1471"/>
      <c r="AY364" s="1446"/>
      <c r="AZ364" s="321"/>
      <c r="BA364" s="1468"/>
      <c r="BB364" s="1446"/>
      <c r="BC364" s="321"/>
      <c r="BD364" s="1446"/>
      <c r="BE364" s="1446"/>
      <c r="BF364" s="321"/>
      <c r="BG364" s="1446"/>
      <c r="BH364" s="1446"/>
      <c r="BI364" s="326"/>
      <c r="BJ364" s="1452"/>
      <c r="BL364" s="1471"/>
      <c r="BM364" s="1446"/>
      <c r="BN364" s="321"/>
      <c r="BO364" s="1468"/>
      <c r="BP364" s="1446"/>
      <c r="BQ364" s="321"/>
      <c r="BR364" s="1446"/>
      <c r="BS364" s="1446"/>
      <c r="BT364" s="321"/>
      <c r="BU364" s="1446"/>
      <c r="BV364" s="1446"/>
      <c r="BW364" s="326"/>
      <c r="BX364" s="1452"/>
      <c r="BZ364" s="1471"/>
      <c r="CA364" s="1446"/>
      <c r="CB364" s="321"/>
      <c r="CC364" s="1468"/>
      <c r="CD364" s="1446"/>
      <c r="CE364" s="321"/>
      <c r="CF364" s="1446"/>
      <c r="CG364" s="1446"/>
      <c r="CH364" s="321"/>
      <c r="CI364" s="1446"/>
      <c r="CJ364" s="1446"/>
      <c r="CK364" s="326"/>
      <c r="CL364" s="1452"/>
    </row>
    <row r="365" spans="2:90" s="542" customFormat="1" ht="85.5" x14ac:dyDescent="0.2">
      <c r="B365" s="1393"/>
      <c r="C365" s="1397"/>
      <c r="D365" s="755" t="str">
        <f>+'Plan de Accion 2018'!G124</f>
        <v>Caminatas Ecológicas</v>
      </c>
      <c r="E365" s="1349"/>
      <c r="F365" s="544" t="str">
        <f>+'Plan de Accion 2018'!S124</f>
        <v xml:space="preserve"># participantes en las caminatas ecológicas realizadas  / 
#  Participantes  proyectados X # caminatas ecológicas programadas </v>
      </c>
      <c r="G365" s="298"/>
      <c r="H365" s="543">
        <f>+'Plan de Accion 2018'!AB124</f>
        <v>0</v>
      </c>
      <c r="I365" s="767" t="str">
        <f>+'Plan de Accion 2018'!BM124</f>
        <v>No Prog ni Ejec</v>
      </c>
      <c r="J365" s="751" t="s">
        <v>792</v>
      </c>
      <c r="K365" s="767">
        <f>+'Plan de Accion 2018'!AF124</f>
        <v>0</v>
      </c>
      <c r="L365" s="873">
        <f t="shared" si="131"/>
        <v>0</v>
      </c>
      <c r="M365" s="849" t="s">
        <v>792</v>
      </c>
      <c r="N365" s="644"/>
      <c r="O365" s="543">
        <f>+'Plan de Accion 2018'!AL124</f>
        <v>0</v>
      </c>
      <c r="P365" s="767" t="str">
        <f>+'Plan de Accion 2018'!BO124</f>
        <v>No Prog ni Ejec</v>
      </c>
      <c r="Q365" s="751" t="s">
        <v>792</v>
      </c>
      <c r="R365" s="751">
        <f>+'Plan de Accion 2018'!AP124</f>
        <v>0</v>
      </c>
      <c r="S365" s="873">
        <f t="shared" si="132"/>
        <v>0</v>
      </c>
      <c r="T365" s="637" t="s">
        <v>792</v>
      </c>
      <c r="U365" s="329"/>
      <c r="V365" s="543">
        <f>+'Plan de Accion 2018'!AV124</f>
        <v>0</v>
      </c>
      <c r="W365" s="767" t="str">
        <f>+'Plan de Accion 2018'!BQ124</f>
        <v>No Prog ni Ejec</v>
      </c>
      <c r="X365" s="751" t="s">
        <v>792</v>
      </c>
      <c r="Y365" s="882">
        <f>+'Plan de Accion 2018'!AZ124</f>
        <v>0</v>
      </c>
      <c r="Z365" s="882">
        <f t="shared" si="133"/>
        <v>0</v>
      </c>
      <c r="AA365" s="883" t="s">
        <v>792</v>
      </c>
      <c r="AB365" s="644"/>
      <c r="AC365" s="543">
        <f>+'Plan de Accion 2018'!BF124</f>
        <v>0.91228070175438591</v>
      </c>
      <c r="AD365" s="767">
        <f>+'Plan de Accion 2018'!BS124</f>
        <v>0.91228070175438591</v>
      </c>
      <c r="AE365" s="629">
        <f t="shared" si="137"/>
        <v>0.91228070175438591</v>
      </c>
      <c r="AF365" s="767">
        <f>+'Plan de Accion 2018'!BJ124</f>
        <v>0.91228070175438591</v>
      </c>
      <c r="AG365" s="637">
        <f t="shared" si="138"/>
        <v>0.91228070175438591</v>
      </c>
      <c r="AH365" s="1458"/>
      <c r="AI365" s="1014"/>
      <c r="AJ365" s="1471"/>
      <c r="AK365" s="1446"/>
      <c r="AL365" s="321"/>
      <c r="AM365" s="1468"/>
      <c r="AN365" s="1446"/>
      <c r="AO365" s="321"/>
      <c r="AP365" s="1446"/>
      <c r="AQ365" s="1446"/>
      <c r="AR365" s="321"/>
      <c r="AS365" s="1446"/>
      <c r="AT365" s="1446"/>
      <c r="AU365" s="326"/>
      <c r="AV365" s="1452"/>
      <c r="AX365" s="1471"/>
      <c r="AY365" s="1446"/>
      <c r="AZ365" s="321"/>
      <c r="BA365" s="1468"/>
      <c r="BB365" s="1446"/>
      <c r="BC365" s="321"/>
      <c r="BD365" s="1446"/>
      <c r="BE365" s="1446"/>
      <c r="BF365" s="321"/>
      <c r="BG365" s="1446"/>
      <c r="BH365" s="1446"/>
      <c r="BI365" s="326"/>
      <c r="BJ365" s="1452"/>
      <c r="BL365" s="1471"/>
      <c r="BM365" s="1446"/>
      <c r="BN365" s="321"/>
      <c r="BO365" s="1468"/>
      <c r="BP365" s="1446"/>
      <c r="BQ365" s="321"/>
      <c r="BR365" s="1446"/>
      <c r="BS365" s="1446"/>
      <c r="BT365" s="321"/>
      <c r="BU365" s="1446"/>
      <c r="BV365" s="1446"/>
      <c r="BW365" s="326"/>
      <c r="BX365" s="1452"/>
      <c r="BZ365" s="1471"/>
      <c r="CA365" s="1446"/>
      <c r="CB365" s="321"/>
      <c r="CC365" s="1468"/>
      <c r="CD365" s="1446"/>
      <c r="CE365" s="321"/>
      <c r="CF365" s="1446"/>
      <c r="CG365" s="1446"/>
      <c r="CH365" s="321"/>
      <c r="CI365" s="1446"/>
      <c r="CJ365" s="1446"/>
      <c r="CK365" s="326"/>
      <c r="CL365" s="1452"/>
    </row>
    <row r="366" spans="2:90" s="542" customFormat="1" ht="85.5" x14ac:dyDescent="0.2">
      <c r="B366" s="1393"/>
      <c r="C366" s="1397"/>
      <c r="D366" s="755" t="str">
        <f>+'Plan de Accion 2018'!G125</f>
        <v>Vacaciones Recreativas</v>
      </c>
      <c r="E366" s="1349"/>
      <c r="F366" s="544" t="str">
        <f>+'Plan de Accion 2018'!S125</f>
        <v xml:space="preserve"># Hijos de funcionarios  participantes  durante la semana
/ Hijos de funcionarios proyectados en la semana
</v>
      </c>
      <c r="G366" s="298"/>
      <c r="H366" s="543">
        <f>+'Plan de Accion 2018'!AB125</f>
        <v>0</v>
      </c>
      <c r="I366" s="767" t="str">
        <f>+'Plan de Accion 2018'!BM125</f>
        <v>No Prog ni Ejec</v>
      </c>
      <c r="J366" s="751" t="s">
        <v>792</v>
      </c>
      <c r="K366" s="767">
        <f>+'Plan de Accion 2018'!AF125</f>
        <v>0</v>
      </c>
      <c r="L366" s="873">
        <f t="shared" si="131"/>
        <v>0</v>
      </c>
      <c r="M366" s="849" t="s">
        <v>792</v>
      </c>
      <c r="N366" s="644"/>
      <c r="O366" s="543">
        <f>+'Plan de Accion 2018'!AL125</f>
        <v>0</v>
      </c>
      <c r="P366" s="767" t="str">
        <f>+'Plan de Accion 2018'!BO125</f>
        <v>No Prog ni Ejec</v>
      </c>
      <c r="Q366" s="751" t="s">
        <v>792</v>
      </c>
      <c r="R366" s="751">
        <f>+'Plan de Accion 2018'!AP125</f>
        <v>0</v>
      </c>
      <c r="S366" s="873">
        <f t="shared" si="132"/>
        <v>0</v>
      </c>
      <c r="T366" s="637" t="s">
        <v>792</v>
      </c>
      <c r="U366" s="329"/>
      <c r="V366" s="543">
        <f>+'Plan de Accion 2018'!AV125</f>
        <v>0</v>
      </c>
      <c r="W366" s="767" t="str">
        <f>+'Plan de Accion 2018'!BQ125</f>
        <v>No Prog ni Ejec</v>
      </c>
      <c r="X366" s="751" t="s">
        <v>792</v>
      </c>
      <c r="Y366" s="882">
        <f>+'Plan de Accion 2018'!AZ125</f>
        <v>0</v>
      </c>
      <c r="Z366" s="882">
        <f t="shared" si="133"/>
        <v>0</v>
      </c>
      <c r="AA366" s="883" t="s">
        <v>792</v>
      </c>
      <c r="AB366" s="644"/>
      <c r="AC366" s="543">
        <f>+'Plan de Accion 2018'!BF125</f>
        <v>1</v>
      </c>
      <c r="AD366" s="767">
        <f>+'Plan de Accion 2018'!BS125</f>
        <v>1</v>
      </c>
      <c r="AE366" s="629">
        <f t="shared" si="137"/>
        <v>1</v>
      </c>
      <c r="AF366" s="767">
        <f>+'Plan de Accion 2018'!BJ125</f>
        <v>1</v>
      </c>
      <c r="AG366" s="637">
        <f t="shared" si="138"/>
        <v>1</v>
      </c>
      <c r="AH366" s="1458"/>
      <c r="AI366" s="1014"/>
      <c r="AJ366" s="1471"/>
      <c r="AK366" s="1446"/>
      <c r="AL366" s="321"/>
      <c r="AM366" s="1468"/>
      <c r="AN366" s="1446"/>
      <c r="AO366" s="321"/>
      <c r="AP366" s="1446"/>
      <c r="AQ366" s="1446"/>
      <c r="AR366" s="321"/>
      <c r="AS366" s="1446"/>
      <c r="AT366" s="1446"/>
      <c r="AU366" s="326"/>
      <c r="AV366" s="1452"/>
      <c r="AX366" s="1471"/>
      <c r="AY366" s="1446"/>
      <c r="AZ366" s="321"/>
      <c r="BA366" s="1468"/>
      <c r="BB366" s="1446"/>
      <c r="BC366" s="321"/>
      <c r="BD366" s="1446"/>
      <c r="BE366" s="1446"/>
      <c r="BF366" s="321"/>
      <c r="BG366" s="1446"/>
      <c r="BH366" s="1446"/>
      <c r="BI366" s="326"/>
      <c r="BJ366" s="1452"/>
      <c r="BL366" s="1471"/>
      <c r="BM366" s="1446"/>
      <c r="BN366" s="321"/>
      <c r="BO366" s="1468"/>
      <c r="BP366" s="1446"/>
      <c r="BQ366" s="321"/>
      <c r="BR366" s="1446"/>
      <c r="BS366" s="1446"/>
      <c r="BT366" s="321"/>
      <c r="BU366" s="1446"/>
      <c r="BV366" s="1446"/>
      <c r="BW366" s="326"/>
      <c r="BX366" s="1452"/>
      <c r="BZ366" s="1471"/>
      <c r="CA366" s="1446"/>
      <c r="CB366" s="321"/>
      <c r="CC366" s="1468"/>
      <c r="CD366" s="1446"/>
      <c r="CE366" s="321"/>
      <c r="CF366" s="1446"/>
      <c r="CG366" s="1446"/>
      <c r="CH366" s="321"/>
      <c r="CI366" s="1446"/>
      <c r="CJ366" s="1446"/>
      <c r="CK366" s="326"/>
      <c r="CL366" s="1452"/>
    </row>
    <row r="367" spans="2:90" s="542" customFormat="1" ht="57" customHeight="1" x14ac:dyDescent="0.2">
      <c r="B367" s="1393"/>
      <c r="C367" s="1397"/>
      <c r="D367" s="755" t="str">
        <f>+'Plan de Accion 2018'!G126</f>
        <v>Actividad lúdica para los niños</v>
      </c>
      <c r="E367" s="1349"/>
      <c r="F367" s="544" t="str">
        <f>+'Plan de Accion 2018'!S126</f>
        <v>#  pases entregados  / # pases proyectados</v>
      </c>
      <c r="G367" s="298"/>
      <c r="H367" s="543">
        <f>+'Plan de Accion 2018'!AB126</f>
        <v>0</v>
      </c>
      <c r="I367" s="767" t="str">
        <f>+'Plan de Accion 2018'!BM126</f>
        <v>No Prog ni Ejec</v>
      </c>
      <c r="J367" s="751" t="s">
        <v>792</v>
      </c>
      <c r="K367" s="767">
        <f>+'Plan de Accion 2018'!AF126</f>
        <v>0</v>
      </c>
      <c r="L367" s="873">
        <f t="shared" si="131"/>
        <v>0</v>
      </c>
      <c r="M367" s="849" t="s">
        <v>792</v>
      </c>
      <c r="N367" s="644"/>
      <c r="O367" s="543">
        <f>+'Plan de Accion 2018'!AL126</f>
        <v>0</v>
      </c>
      <c r="P367" s="767" t="str">
        <f>+'Plan de Accion 2018'!BO126</f>
        <v>No Prog ni Ejec</v>
      </c>
      <c r="Q367" s="751" t="s">
        <v>792</v>
      </c>
      <c r="R367" s="751">
        <f>+'Plan de Accion 2018'!AP126</f>
        <v>0</v>
      </c>
      <c r="S367" s="873">
        <f t="shared" si="132"/>
        <v>0</v>
      </c>
      <c r="T367" s="637" t="s">
        <v>792</v>
      </c>
      <c r="U367" s="329"/>
      <c r="V367" s="543">
        <f>+'Plan de Accion 2018'!AV126</f>
        <v>0</v>
      </c>
      <c r="W367" s="767" t="str">
        <f>+'Plan de Accion 2018'!BQ126</f>
        <v>No Prog ni Ejec</v>
      </c>
      <c r="X367" s="751" t="s">
        <v>792</v>
      </c>
      <c r="Y367" s="882">
        <f>+'Plan de Accion 2018'!AZ126</f>
        <v>0</v>
      </c>
      <c r="Z367" s="882">
        <f t="shared" si="133"/>
        <v>0</v>
      </c>
      <c r="AA367" s="883" t="s">
        <v>792</v>
      </c>
      <c r="AB367" s="644"/>
      <c r="AC367" s="543">
        <f>+'Plan de Accion 2018'!BF126</f>
        <v>0.97636363636363632</v>
      </c>
      <c r="AD367" s="767">
        <f>+'Plan de Accion 2018'!BS126</f>
        <v>0.97636363636363632</v>
      </c>
      <c r="AE367" s="629">
        <f t="shared" si="137"/>
        <v>0.97636363636363632</v>
      </c>
      <c r="AF367" s="767">
        <f>+'Plan de Accion 2018'!BJ126</f>
        <v>0.97636363636363632</v>
      </c>
      <c r="AG367" s="637">
        <f t="shared" si="138"/>
        <v>0.97636363636363632</v>
      </c>
      <c r="AH367" s="1458"/>
      <c r="AI367" s="1014"/>
      <c r="AJ367" s="1471"/>
      <c r="AK367" s="1446"/>
      <c r="AL367" s="321"/>
      <c r="AM367" s="1468"/>
      <c r="AN367" s="1446"/>
      <c r="AO367" s="321"/>
      <c r="AP367" s="1446"/>
      <c r="AQ367" s="1446"/>
      <c r="AR367" s="321"/>
      <c r="AS367" s="1446"/>
      <c r="AT367" s="1446"/>
      <c r="AU367" s="326"/>
      <c r="AV367" s="1452"/>
      <c r="AX367" s="1471"/>
      <c r="AY367" s="1446"/>
      <c r="AZ367" s="321"/>
      <c r="BA367" s="1468"/>
      <c r="BB367" s="1446"/>
      <c r="BC367" s="321"/>
      <c r="BD367" s="1446"/>
      <c r="BE367" s="1446"/>
      <c r="BF367" s="321"/>
      <c r="BG367" s="1446"/>
      <c r="BH367" s="1446"/>
      <c r="BI367" s="326"/>
      <c r="BJ367" s="1452"/>
      <c r="BL367" s="1471"/>
      <c r="BM367" s="1446"/>
      <c r="BN367" s="321"/>
      <c r="BO367" s="1468"/>
      <c r="BP367" s="1446"/>
      <c r="BQ367" s="321"/>
      <c r="BR367" s="1446"/>
      <c r="BS367" s="1446"/>
      <c r="BT367" s="321"/>
      <c r="BU367" s="1446"/>
      <c r="BV367" s="1446"/>
      <c r="BW367" s="326"/>
      <c r="BX367" s="1452"/>
      <c r="BZ367" s="1471"/>
      <c r="CA367" s="1446"/>
      <c r="CB367" s="321"/>
      <c r="CC367" s="1468"/>
      <c r="CD367" s="1446"/>
      <c r="CE367" s="321"/>
      <c r="CF367" s="1446"/>
      <c r="CG367" s="1446"/>
      <c r="CH367" s="321"/>
      <c r="CI367" s="1446"/>
      <c r="CJ367" s="1446"/>
      <c r="CK367" s="326"/>
      <c r="CL367" s="1452"/>
    </row>
    <row r="368" spans="2:90" s="542" customFormat="1" ht="57" x14ac:dyDescent="0.2">
      <c r="B368" s="1393"/>
      <c r="C368" s="1397"/>
      <c r="D368" s="755" t="str">
        <f>+'Plan de Accion 2018'!G127</f>
        <v>Actividades recreacionales que incluyan el grupo familiar</v>
      </c>
      <c r="E368" s="1349"/>
      <c r="F368" s="544" t="str">
        <f>+'Plan de Accion 2018'!S127</f>
        <v xml:space="preserve">#   participantes en las actividades / 
# participantes proyectados
</v>
      </c>
      <c r="G368" s="298"/>
      <c r="H368" s="543">
        <f>+'Plan de Accion 2018'!AB127</f>
        <v>0</v>
      </c>
      <c r="I368" s="767" t="str">
        <f>+'Plan de Accion 2018'!BM127</f>
        <v>No Prog ni Ejec</v>
      </c>
      <c r="J368" s="751" t="s">
        <v>792</v>
      </c>
      <c r="K368" s="767">
        <f>+'Plan de Accion 2018'!AF127</f>
        <v>0</v>
      </c>
      <c r="L368" s="873">
        <f t="shared" si="131"/>
        <v>0</v>
      </c>
      <c r="M368" s="849" t="s">
        <v>792</v>
      </c>
      <c r="N368" s="644"/>
      <c r="O368" s="543">
        <f>+'Plan de Accion 2018'!AL127</f>
        <v>0</v>
      </c>
      <c r="P368" s="767" t="str">
        <f>+'Plan de Accion 2018'!BO127</f>
        <v>No Prog ni Ejec</v>
      </c>
      <c r="Q368" s="751" t="s">
        <v>792</v>
      </c>
      <c r="R368" s="751">
        <f>+'Plan de Accion 2018'!AP127</f>
        <v>0</v>
      </c>
      <c r="S368" s="873">
        <f t="shared" si="132"/>
        <v>0</v>
      </c>
      <c r="T368" s="637" t="s">
        <v>792</v>
      </c>
      <c r="U368" s="329"/>
      <c r="V368" s="543">
        <f>+'Plan de Accion 2018'!AV127</f>
        <v>0</v>
      </c>
      <c r="W368" s="767" t="str">
        <f>+'Plan de Accion 2018'!BQ127</f>
        <v>No Prog ni Ejec</v>
      </c>
      <c r="X368" s="751" t="s">
        <v>792</v>
      </c>
      <c r="Y368" s="882">
        <f>+'Plan de Accion 2018'!AZ127</f>
        <v>0</v>
      </c>
      <c r="Z368" s="882">
        <f t="shared" si="133"/>
        <v>0</v>
      </c>
      <c r="AA368" s="883" t="s">
        <v>792</v>
      </c>
      <c r="AB368" s="644"/>
      <c r="AC368" s="543">
        <f>+'Plan de Accion 2018'!BF127</f>
        <v>0.96226415094339623</v>
      </c>
      <c r="AD368" s="767">
        <f>+'Plan de Accion 2018'!BS127</f>
        <v>0.96226415094339623</v>
      </c>
      <c r="AE368" s="629">
        <f t="shared" si="137"/>
        <v>0.96226415094339623</v>
      </c>
      <c r="AF368" s="767">
        <f>+'Plan de Accion 2018'!BJ127</f>
        <v>0.96226415094339623</v>
      </c>
      <c r="AG368" s="637">
        <f t="shared" si="138"/>
        <v>0.96226415094339623</v>
      </c>
      <c r="AH368" s="1458"/>
      <c r="AI368" s="1014"/>
      <c r="AJ368" s="1471"/>
      <c r="AK368" s="1446"/>
      <c r="AL368" s="321"/>
      <c r="AM368" s="1468"/>
      <c r="AN368" s="1446"/>
      <c r="AO368" s="321"/>
      <c r="AP368" s="1446"/>
      <c r="AQ368" s="1446"/>
      <c r="AR368" s="321"/>
      <c r="AS368" s="1446"/>
      <c r="AT368" s="1446"/>
      <c r="AU368" s="326"/>
      <c r="AV368" s="1452"/>
      <c r="AX368" s="1471"/>
      <c r="AY368" s="1446"/>
      <c r="AZ368" s="321"/>
      <c r="BA368" s="1468"/>
      <c r="BB368" s="1446"/>
      <c r="BC368" s="321"/>
      <c r="BD368" s="1446"/>
      <c r="BE368" s="1446"/>
      <c r="BF368" s="321"/>
      <c r="BG368" s="1446"/>
      <c r="BH368" s="1446"/>
      <c r="BI368" s="326"/>
      <c r="BJ368" s="1452"/>
      <c r="BL368" s="1471"/>
      <c r="BM368" s="1446"/>
      <c r="BN368" s="321"/>
      <c r="BO368" s="1468"/>
      <c r="BP368" s="1446"/>
      <c r="BQ368" s="321"/>
      <c r="BR368" s="1446"/>
      <c r="BS368" s="1446"/>
      <c r="BT368" s="321"/>
      <c r="BU368" s="1446"/>
      <c r="BV368" s="1446"/>
      <c r="BW368" s="326"/>
      <c r="BX368" s="1452"/>
      <c r="BZ368" s="1471"/>
      <c r="CA368" s="1446"/>
      <c r="CB368" s="321"/>
      <c r="CC368" s="1468"/>
      <c r="CD368" s="1446"/>
      <c r="CE368" s="321"/>
      <c r="CF368" s="1446"/>
      <c r="CG368" s="1446"/>
      <c r="CH368" s="321"/>
      <c r="CI368" s="1446"/>
      <c r="CJ368" s="1446"/>
      <c r="CK368" s="326"/>
      <c r="CL368" s="1452"/>
    </row>
    <row r="369" spans="2:90" s="542" customFormat="1" ht="57" x14ac:dyDescent="0.2">
      <c r="B369" s="1393"/>
      <c r="C369" s="1397"/>
      <c r="D369" s="755" t="str">
        <f>+'Plan de Accion 2018'!G128</f>
        <v xml:space="preserve">Rendición de cuentas interna
Día ADRES (día del aniversario ADRES)
</v>
      </c>
      <c r="E369" s="1349"/>
      <c r="F369" s="544" t="str">
        <f>+'Plan de Accion 2018'!S128</f>
        <v xml:space="preserve"># Funcionarios  participantes /
# Total  de funcionarios
</v>
      </c>
      <c r="G369" s="298"/>
      <c r="H369" s="543">
        <f>+'Plan de Accion 2018'!AB128</f>
        <v>0</v>
      </c>
      <c r="I369" s="767" t="str">
        <f>+'Plan de Accion 2018'!BM128</f>
        <v>No Prog ni Ejec</v>
      </c>
      <c r="J369" s="751" t="s">
        <v>792</v>
      </c>
      <c r="K369" s="767">
        <f>+'Plan de Accion 2018'!AF128</f>
        <v>0</v>
      </c>
      <c r="L369" s="873">
        <f t="shared" si="131"/>
        <v>0</v>
      </c>
      <c r="M369" s="849" t="s">
        <v>792</v>
      </c>
      <c r="N369" s="644"/>
      <c r="O369" s="543">
        <f>+'Plan de Accion 2018'!AL128</f>
        <v>0</v>
      </c>
      <c r="P369" s="767" t="str">
        <f>+'Plan de Accion 2018'!BO128</f>
        <v>No Prog ni Ejec</v>
      </c>
      <c r="Q369" s="751" t="s">
        <v>792</v>
      </c>
      <c r="R369" s="751">
        <f>+'Plan de Accion 2018'!AP128</f>
        <v>0</v>
      </c>
      <c r="S369" s="873">
        <f t="shared" si="132"/>
        <v>0</v>
      </c>
      <c r="T369" s="637" t="s">
        <v>792</v>
      </c>
      <c r="U369" s="329"/>
      <c r="V369" s="543">
        <f>+'Plan de Accion 2018'!AV128</f>
        <v>0.83870967741935487</v>
      </c>
      <c r="W369" s="767">
        <f>+'Plan de Accion 2018'!AZ128</f>
        <v>0.83870967741935487</v>
      </c>
      <c r="X369" s="751">
        <f>+W369</f>
        <v>0.83870967741935487</v>
      </c>
      <c r="Y369" s="882">
        <f>+'Plan de Accion 2018'!AZ128</f>
        <v>0.83870967741935487</v>
      </c>
      <c r="Z369" s="882">
        <f t="shared" si="133"/>
        <v>0.83870967741935487</v>
      </c>
      <c r="AA369" s="883">
        <f>+Z369</f>
        <v>0.83870967741935487</v>
      </c>
      <c r="AB369" s="644"/>
      <c r="AC369" s="543">
        <f>+'Plan de Accion 2018'!BF128</f>
        <v>0</v>
      </c>
      <c r="AD369" s="767">
        <f>+'Plan de Accion 2018'!BS128</f>
        <v>0</v>
      </c>
      <c r="AE369" s="629">
        <f t="shared" si="137"/>
        <v>0</v>
      </c>
      <c r="AF369" s="767">
        <f>+'Plan de Accion 2018'!BJ128</f>
        <v>0.83870967741935487</v>
      </c>
      <c r="AG369" s="637">
        <f t="shared" si="138"/>
        <v>0.83870967741935487</v>
      </c>
      <c r="AH369" s="1458"/>
      <c r="AI369" s="1014"/>
      <c r="AJ369" s="1471"/>
      <c r="AK369" s="1446"/>
      <c r="AL369" s="321"/>
      <c r="AM369" s="1468"/>
      <c r="AN369" s="1446"/>
      <c r="AO369" s="321"/>
      <c r="AP369" s="1446"/>
      <c r="AQ369" s="1446"/>
      <c r="AR369" s="321"/>
      <c r="AS369" s="1446"/>
      <c r="AT369" s="1446"/>
      <c r="AU369" s="326"/>
      <c r="AV369" s="1452"/>
      <c r="AX369" s="1471"/>
      <c r="AY369" s="1446"/>
      <c r="AZ369" s="321"/>
      <c r="BA369" s="1468"/>
      <c r="BB369" s="1446"/>
      <c r="BC369" s="321"/>
      <c r="BD369" s="1446"/>
      <c r="BE369" s="1446"/>
      <c r="BF369" s="321"/>
      <c r="BG369" s="1446"/>
      <c r="BH369" s="1446"/>
      <c r="BI369" s="326"/>
      <c r="BJ369" s="1452"/>
      <c r="BL369" s="1471"/>
      <c r="BM369" s="1446"/>
      <c r="BN369" s="321"/>
      <c r="BO369" s="1468"/>
      <c r="BP369" s="1446"/>
      <c r="BQ369" s="321"/>
      <c r="BR369" s="1446"/>
      <c r="BS369" s="1446"/>
      <c r="BT369" s="321"/>
      <c r="BU369" s="1446"/>
      <c r="BV369" s="1446"/>
      <c r="BW369" s="326"/>
      <c r="BX369" s="1452"/>
      <c r="BZ369" s="1471"/>
      <c r="CA369" s="1446"/>
      <c r="CB369" s="321"/>
      <c r="CC369" s="1468"/>
      <c r="CD369" s="1446"/>
      <c r="CE369" s="321"/>
      <c r="CF369" s="1446"/>
      <c r="CG369" s="1446"/>
      <c r="CH369" s="321"/>
      <c r="CI369" s="1446"/>
      <c r="CJ369" s="1446"/>
      <c r="CK369" s="326"/>
      <c r="CL369" s="1452"/>
    </row>
    <row r="370" spans="2:90" s="542" customFormat="1" ht="142.5" x14ac:dyDescent="0.2">
      <c r="B370" s="1393"/>
      <c r="C370" s="1397"/>
      <c r="D370" s="755" t="str">
        <f>+'Plan de Accion 2018'!G129</f>
        <v>Integración grupos de trabajo</v>
      </c>
      <c r="E370" s="1349"/>
      <c r="F370" s="544" t="str">
        <f>+'Plan de Accion 2018'!S129</f>
        <v xml:space="preserve"># Funcionarios Directores y lideres de grupos  participantes en las sesiones de integración de grupos de trabajo  / # total de Directores y lideres de grupos  X  # sesiones de integración de grupos de trabajo programadas
</v>
      </c>
      <c r="G370" s="298"/>
      <c r="H370" s="543">
        <f>+'Plan de Accion 2018'!AB129</f>
        <v>0</v>
      </c>
      <c r="I370" s="767" t="str">
        <f>+'Plan de Accion 2018'!BM129</f>
        <v>No Prog ni Ejec</v>
      </c>
      <c r="J370" s="751" t="s">
        <v>792</v>
      </c>
      <c r="K370" s="767">
        <f>+'Plan de Accion 2018'!AF129</f>
        <v>0</v>
      </c>
      <c r="L370" s="873">
        <f t="shared" si="131"/>
        <v>0</v>
      </c>
      <c r="M370" s="849" t="s">
        <v>792</v>
      </c>
      <c r="N370" s="644"/>
      <c r="O370" s="543">
        <f>+'Plan de Accion 2018'!AL129</f>
        <v>0</v>
      </c>
      <c r="P370" s="767" t="str">
        <f>+'Plan de Accion 2018'!BO129</f>
        <v>No Prog ni Ejec</v>
      </c>
      <c r="Q370" s="751" t="s">
        <v>792</v>
      </c>
      <c r="R370" s="751">
        <f>+'Plan de Accion 2018'!AP129</f>
        <v>0</v>
      </c>
      <c r="S370" s="873">
        <f t="shared" si="132"/>
        <v>0</v>
      </c>
      <c r="T370" s="637" t="s">
        <v>792</v>
      </c>
      <c r="U370" s="329"/>
      <c r="V370" s="543">
        <f>+'Plan de Accion 2018'!AV129</f>
        <v>0</v>
      </c>
      <c r="W370" s="767" t="str">
        <f>+'Plan de Accion 2018'!BQ129</f>
        <v>No Prog ni Ejec</v>
      </c>
      <c r="X370" s="751" t="s">
        <v>792</v>
      </c>
      <c r="Y370" s="882">
        <f>+'Plan de Accion 2018'!AZ129</f>
        <v>0</v>
      </c>
      <c r="Z370" s="882">
        <f t="shared" si="133"/>
        <v>0</v>
      </c>
      <c r="AA370" s="883" t="s">
        <v>792</v>
      </c>
      <c r="AB370" s="644"/>
      <c r="AC370" s="543">
        <f>+'Plan de Accion 2018'!BF129</f>
        <v>0.66666666666666663</v>
      </c>
      <c r="AD370" s="767">
        <f>+'Plan de Accion 2018'!BS129</f>
        <v>0.66666666666666663</v>
      </c>
      <c r="AE370" s="629">
        <f t="shared" si="137"/>
        <v>0.66666666666666663</v>
      </c>
      <c r="AF370" s="767">
        <f>+'Plan de Accion 2018'!BJ129</f>
        <v>0.66666666666666663</v>
      </c>
      <c r="AG370" s="637">
        <f t="shared" si="138"/>
        <v>0.66666666666666663</v>
      </c>
      <c r="AH370" s="1458"/>
      <c r="AI370" s="1014"/>
      <c r="AJ370" s="1471"/>
      <c r="AK370" s="1446"/>
      <c r="AL370" s="321"/>
      <c r="AM370" s="1468"/>
      <c r="AN370" s="1446"/>
      <c r="AO370" s="321"/>
      <c r="AP370" s="1446"/>
      <c r="AQ370" s="1446"/>
      <c r="AR370" s="321"/>
      <c r="AS370" s="1446"/>
      <c r="AT370" s="1446"/>
      <c r="AU370" s="326"/>
      <c r="AV370" s="1452"/>
      <c r="AX370" s="1471"/>
      <c r="AY370" s="1446"/>
      <c r="AZ370" s="321"/>
      <c r="BA370" s="1468"/>
      <c r="BB370" s="1446"/>
      <c r="BC370" s="321"/>
      <c r="BD370" s="1446"/>
      <c r="BE370" s="1446"/>
      <c r="BF370" s="321"/>
      <c r="BG370" s="1446"/>
      <c r="BH370" s="1446"/>
      <c r="BI370" s="326"/>
      <c r="BJ370" s="1452"/>
      <c r="BL370" s="1471"/>
      <c r="BM370" s="1446"/>
      <c r="BN370" s="321"/>
      <c r="BO370" s="1468"/>
      <c r="BP370" s="1446"/>
      <c r="BQ370" s="321"/>
      <c r="BR370" s="1446"/>
      <c r="BS370" s="1446"/>
      <c r="BT370" s="321"/>
      <c r="BU370" s="1446"/>
      <c r="BV370" s="1446"/>
      <c r="BW370" s="326"/>
      <c r="BX370" s="1452"/>
      <c r="BZ370" s="1471"/>
      <c r="CA370" s="1446"/>
      <c r="CB370" s="321"/>
      <c r="CC370" s="1468"/>
      <c r="CD370" s="1446"/>
      <c r="CE370" s="321"/>
      <c r="CF370" s="1446"/>
      <c r="CG370" s="1446"/>
      <c r="CH370" s="321"/>
      <c r="CI370" s="1446"/>
      <c r="CJ370" s="1446"/>
      <c r="CK370" s="326"/>
      <c r="CL370" s="1452"/>
    </row>
    <row r="371" spans="2:90" s="542" customFormat="1" ht="85.5" x14ac:dyDescent="0.2">
      <c r="B371" s="1393"/>
      <c r="C371" s="1397"/>
      <c r="D371" s="755" t="str">
        <f>+'Plan de Accion 2018'!G130</f>
        <v>Pausas activas</v>
      </c>
      <c r="E371" s="1349"/>
      <c r="F371" s="544" t="str">
        <f>+'Plan de Accion 2018'!S130</f>
        <v xml:space="preserve"># Funcionarios  participantes en las pausas activas  realizadas / # total  de funcionarios X # pausas activas  programadas  
</v>
      </c>
      <c r="G371" s="298"/>
      <c r="H371" s="543">
        <f>+'Plan de Accion 2018'!AB130</f>
        <v>0</v>
      </c>
      <c r="I371" s="767" t="str">
        <f>+'Plan de Accion 2018'!BM130</f>
        <v>No Prog ni Ejec</v>
      </c>
      <c r="J371" s="751" t="s">
        <v>792</v>
      </c>
      <c r="K371" s="767">
        <f>+'Plan de Accion 2018'!AF130</f>
        <v>0</v>
      </c>
      <c r="L371" s="873">
        <f t="shared" si="131"/>
        <v>0</v>
      </c>
      <c r="M371" s="849" t="s">
        <v>792</v>
      </c>
      <c r="N371" s="644"/>
      <c r="O371" s="543">
        <f>+'Plan de Accion 2018'!AL130</f>
        <v>0</v>
      </c>
      <c r="P371" s="767" t="str">
        <f>+'Plan de Accion 2018'!BO130</f>
        <v>No Prog ni Ejec</v>
      </c>
      <c r="Q371" s="751" t="s">
        <v>792</v>
      </c>
      <c r="R371" s="751">
        <f>+'Plan de Accion 2018'!AP130</f>
        <v>0</v>
      </c>
      <c r="S371" s="873">
        <f t="shared" si="132"/>
        <v>0</v>
      </c>
      <c r="T371" s="637" t="s">
        <v>792</v>
      </c>
      <c r="U371" s="329"/>
      <c r="V371" s="543">
        <f>+'Plan de Accion 2018'!AV130</f>
        <v>0</v>
      </c>
      <c r="W371" s="767" t="str">
        <f>+'Plan de Accion 2018'!BQ130</f>
        <v>No Prog ni Ejec</v>
      </c>
      <c r="X371" s="751" t="s">
        <v>792</v>
      </c>
      <c r="Y371" s="882">
        <f>+'Plan de Accion 2018'!AZ130</f>
        <v>0</v>
      </c>
      <c r="Z371" s="882">
        <f t="shared" si="133"/>
        <v>0</v>
      </c>
      <c r="AA371" s="883" t="s">
        <v>792</v>
      </c>
      <c r="AB371" s="644"/>
      <c r="AC371" s="543">
        <f>+'Plan de Accion 2018'!BF130</f>
        <v>0.30902255639097742</v>
      </c>
      <c r="AD371" s="767">
        <f>+'Plan de Accion 2018'!BS130</f>
        <v>0.30902255639097742</v>
      </c>
      <c r="AE371" s="629">
        <f t="shared" si="137"/>
        <v>0.30902255639097742</v>
      </c>
      <c r="AF371" s="767">
        <f>+'Plan de Accion 2018'!BJ130</f>
        <v>0.30902255639097742</v>
      </c>
      <c r="AG371" s="637">
        <f t="shared" si="138"/>
        <v>0.30902255639097742</v>
      </c>
      <c r="AH371" s="1458"/>
      <c r="AI371" s="1014"/>
      <c r="AJ371" s="1471"/>
      <c r="AK371" s="1446"/>
      <c r="AL371" s="321"/>
      <c r="AM371" s="1468"/>
      <c r="AN371" s="1446"/>
      <c r="AO371" s="321"/>
      <c r="AP371" s="1446"/>
      <c r="AQ371" s="1446"/>
      <c r="AR371" s="321"/>
      <c r="AS371" s="1446"/>
      <c r="AT371" s="1446"/>
      <c r="AU371" s="326"/>
      <c r="AV371" s="1452"/>
      <c r="AX371" s="1471"/>
      <c r="AY371" s="1446"/>
      <c r="AZ371" s="321"/>
      <c r="BA371" s="1468"/>
      <c r="BB371" s="1446"/>
      <c r="BC371" s="321"/>
      <c r="BD371" s="1446"/>
      <c r="BE371" s="1446"/>
      <c r="BF371" s="321"/>
      <c r="BG371" s="1446"/>
      <c r="BH371" s="1446"/>
      <c r="BI371" s="326"/>
      <c r="BJ371" s="1452"/>
      <c r="BL371" s="1471"/>
      <c r="BM371" s="1446"/>
      <c r="BN371" s="321"/>
      <c r="BO371" s="1468"/>
      <c r="BP371" s="1446"/>
      <c r="BQ371" s="321"/>
      <c r="BR371" s="1446"/>
      <c r="BS371" s="1446"/>
      <c r="BT371" s="321"/>
      <c r="BU371" s="1446"/>
      <c r="BV371" s="1446"/>
      <c r="BW371" s="326"/>
      <c r="BX371" s="1452"/>
      <c r="BZ371" s="1471"/>
      <c r="CA371" s="1446"/>
      <c r="CB371" s="321"/>
      <c r="CC371" s="1468"/>
      <c r="CD371" s="1446"/>
      <c r="CE371" s="321"/>
      <c r="CF371" s="1446"/>
      <c r="CG371" s="1446"/>
      <c r="CH371" s="321"/>
      <c r="CI371" s="1446"/>
      <c r="CJ371" s="1446"/>
      <c r="CK371" s="326"/>
      <c r="CL371" s="1452"/>
    </row>
    <row r="372" spans="2:90" s="542" customFormat="1" ht="71.25" x14ac:dyDescent="0.2">
      <c r="B372" s="1393"/>
      <c r="C372" s="1397"/>
      <c r="D372" s="755" t="str">
        <f>+'Plan de Accion 2018'!G131</f>
        <v>Charlas de superación y programación neurolingüística</v>
      </c>
      <c r="E372" s="1349"/>
      <c r="F372" s="544" t="str">
        <f>+'Plan de Accion 2018'!S131</f>
        <v xml:space="preserve"># Funcionarios  participantes en las charlas realizadas / 
# Funcionarios  proyectados X # charlas programadas 
</v>
      </c>
      <c r="G372" s="298"/>
      <c r="H372" s="543">
        <f>+'Plan de Accion 2018'!AB131</f>
        <v>0</v>
      </c>
      <c r="I372" s="767" t="str">
        <f>+'Plan de Accion 2018'!BM131</f>
        <v>No Prog ni Ejec</v>
      </c>
      <c r="J372" s="751" t="s">
        <v>792</v>
      </c>
      <c r="K372" s="767">
        <f>+'Plan de Accion 2018'!AF131</f>
        <v>0</v>
      </c>
      <c r="L372" s="873">
        <f t="shared" si="131"/>
        <v>0</v>
      </c>
      <c r="M372" s="849" t="s">
        <v>792</v>
      </c>
      <c r="N372" s="644"/>
      <c r="O372" s="543">
        <f>+'Plan de Accion 2018'!AL131</f>
        <v>0</v>
      </c>
      <c r="P372" s="767" t="str">
        <f>+'Plan de Accion 2018'!BO131</f>
        <v>No Prog ni Ejec</v>
      </c>
      <c r="Q372" s="751" t="s">
        <v>792</v>
      </c>
      <c r="R372" s="751">
        <f>+'Plan de Accion 2018'!AP131</f>
        <v>0</v>
      </c>
      <c r="S372" s="873">
        <f t="shared" si="132"/>
        <v>0</v>
      </c>
      <c r="T372" s="637" t="s">
        <v>792</v>
      </c>
      <c r="U372" s="329"/>
      <c r="V372" s="543">
        <f>+'Plan de Accion 2018'!AV131</f>
        <v>0</v>
      </c>
      <c r="W372" s="767" t="str">
        <f>+'Plan de Accion 2018'!BQ131</f>
        <v>No Prog ni Ejec</v>
      </c>
      <c r="X372" s="751" t="s">
        <v>792</v>
      </c>
      <c r="Y372" s="882">
        <f>+'Plan de Accion 2018'!AZ131</f>
        <v>0</v>
      </c>
      <c r="Z372" s="882">
        <f t="shared" si="133"/>
        <v>0</v>
      </c>
      <c r="AA372" s="883" t="s">
        <v>792</v>
      </c>
      <c r="AB372" s="644"/>
      <c r="AC372" s="543">
        <f>+'Plan de Accion 2018'!BF131</f>
        <v>0.38421052631578945</v>
      </c>
      <c r="AD372" s="767">
        <f>+'Plan de Accion 2018'!BS131</f>
        <v>0.38421052631578945</v>
      </c>
      <c r="AE372" s="629">
        <f t="shared" si="137"/>
        <v>0.38421052631578945</v>
      </c>
      <c r="AF372" s="767">
        <f>+'Plan de Accion 2018'!BJ131</f>
        <v>0.38421052631578945</v>
      </c>
      <c r="AG372" s="637">
        <f t="shared" si="138"/>
        <v>0.38421052631578945</v>
      </c>
      <c r="AH372" s="1458"/>
      <c r="AI372" s="1014"/>
      <c r="AJ372" s="1471"/>
      <c r="AK372" s="1446"/>
      <c r="AL372" s="321"/>
      <c r="AM372" s="1468"/>
      <c r="AN372" s="1446"/>
      <c r="AO372" s="321"/>
      <c r="AP372" s="1446"/>
      <c r="AQ372" s="1446"/>
      <c r="AR372" s="321"/>
      <c r="AS372" s="1446"/>
      <c r="AT372" s="1446"/>
      <c r="AU372" s="326"/>
      <c r="AV372" s="1452"/>
      <c r="AX372" s="1471"/>
      <c r="AY372" s="1446"/>
      <c r="AZ372" s="321"/>
      <c r="BA372" s="1468"/>
      <c r="BB372" s="1446"/>
      <c r="BC372" s="321"/>
      <c r="BD372" s="1446"/>
      <c r="BE372" s="1446"/>
      <c r="BF372" s="321"/>
      <c r="BG372" s="1446"/>
      <c r="BH372" s="1446"/>
      <c r="BI372" s="326"/>
      <c r="BJ372" s="1452"/>
      <c r="BL372" s="1471"/>
      <c r="BM372" s="1446"/>
      <c r="BN372" s="321"/>
      <c r="BO372" s="1468"/>
      <c r="BP372" s="1446"/>
      <c r="BQ372" s="321"/>
      <c r="BR372" s="1446"/>
      <c r="BS372" s="1446"/>
      <c r="BT372" s="321"/>
      <c r="BU372" s="1446"/>
      <c r="BV372" s="1446"/>
      <c r="BW372" s="326"/>
      <c r="BX372" s="1452"/>
      <c r="BZ372" s="1471"/>
      <c r="CA372" s="1446"/>
      <c r="CB372" s="321"/>
      <c r="CC372" s="1468"/>
      <c r="CD372" s="1446"/>
      <c r="CE372" s="321"/>
      <c r="CF372" s="1446"/>
      <c r="CG372" s="1446"/>
      <c r="CH372" s="321"/>
      <c r="CI372" s="1446"/>
      <c r="CJ372" s="1446"/>
      <c r="CK372" s="326"/>
      <c r="CL372" s="1452"/>
    </row>
    <row r="373" spans="2:90" s="542" customFormat="1" ht="85.5" x14ac:dyDescent="0.2">
      <c r="B373" s="1393"/>
      <c r="C373" s="1397"/>
      <c r="D373" s="755" t="str">
        <f>+'Plan de Accion 2018'!G132</f>
        <v>Plan prepensionados</v>
      </c>
      <c r="E373" s="1349"/>
      <c r="F373" s="544" t="str">
        <f>+'Plan de Accion 2018'!S132</f>
        <v xml:space="preserve"># Funcionarios prepensionados  participantes / 
# Total  de funcionarios prepensionados
</v>
      </c>
      <c r="G373" s="298"/>
      <c r="H373" s="543">
        <f>+'Plan de Accion 2018'!AB132</f>
        <v>0</v>
      </c>
      <c r="I373" s="767" t="str">
        <f>+'Plan de Accion 2018'!BM132</f>
        <v>No Prog ni Ejec</v>
      </c>
      <c r="J373" s="751" t="s">
        <v>792</v>
      </c>
      <c r="K373" s="767">
        <f>+'Plan de Accion 2018'!AF132</f>
        <v>0</v>
      </c>
      <c r="L373" s="873">
        <f t="shared" si="131"/>
        <v>0</v>
      </c>
      <c r="M373" s="849" t="s">
        <v>792</v>
      </c>
      <c r="N373" s="644"/>
      <c r="O373" s="543">
        <f>+'Plan de Accion 2018'!AL132</f>
        <v>0</v>
      </c>
      <c r="P373" s="767" t="str">
        <f>+'Plan de Accion 2018'!BO132</f>
        <v>No Prog ni Ejec</v>
      </c>
      <c r="Q373" s="751" t="s">
        <v>792</v>
      </c>
      <c r="R373" s="751">
        <f>+'Plan de Accion 2018'!AP132</f>
        <v>0</v>
      </c>
      <c r="S373" s="873">
        <f t="shared" si="132"/>
        <v>0</v>
      </c>
      <c r="T373" s="637" t="s">
        <v>792</v>
      </c>
      <c r="U373" s="329"/>
      <c r="V373" s="543">
        <f>+'Plan de Accion 2018'!AV132</f>
        <v>0</v>
      </c>
      <c r="W373" s="767" t="str">
        <f>+'Plan de Accion 2018'!BQ132</f>
        <v>No Prog ni Ejec</v>
      </c>
      <c r="X373" s="751" t="s">
        <v>792</v>
      </c>
      <c r="Y373" s="882">
        <f>+'Plan de Accion 2018'!AZ132</f>
        <v>0</v>
      </c>
      <c r="Z373" s="882">
        <f t="shared" si="133"/>
        <v>0</v>
      </c>
      <c r="AA373" s="883" t="s">
        <v>792</v>
      </c>
      <c r="AB373" s="644"/>
      <c r="AC373" s="543">
        <f>+'Plan de Accion 2018'!BF132</f>
        <v>0.66666666666666663</v>
      </c>
      <c r="AD373" s="767">
        <f>+'Plan de Accion 2018'!BS132</f>
        <v>0.66666666666666663</v>
      </c>
      <c r="AE373" s="629">
        <f t="shared" si="137"/>
        <v>0.66666666666666663</v>
      </c>
      <c r="AF373" s="767">
        <f>+'Plan de Accion 2018'!BJ132</f>
        <v>0.66666666666666663</v>
      </c>
      <c r="AG373" s="637">
        <f t="shared" si="138"/>
        <v>0.66666666666666663</v>
      </c>
      <c r="AH373" s="1458"/>
      <c r="AI373" s="1014"/>
      <c r="AJ373" s="1471"/>
      <c r="AK373" s="1446"/>
      <c r="AL373" s="321"/>
      <c r="AM373" s="1468"/>
      <c r="AN373" s="1446"/>
      <c r="AO373" s="321"/>
      <c r="AP373" s="1446"/>
      <c r="AQ373" s="1446"/>
      <c r="AR373" s="321"/>
      <c r="AS373" s="1446"/>
      <c r="AT373" s="1446"/>
      <c r="AU373" s="326"/>
      <c r="AV373" s="1452"/>
      <c r="AX373" s="1471"/>
      <c r="AY373" s="1446"/>
      <c r="AZ373" s="321"/>
      <c r="BA373" s="1468"/>
      <c r="BB373" s="1446"/>
      <c r="BC373" s="321"/>
      <c r="BD373" s="1446"/>
      <c r="BE373" s="1446"/>
      <c r="BF373" s="321"/>
      <c r="BG373" s="1446"/>
      <c r="BH373" s="1446"/>
      <c r="BI373" s="326"/>
      <c r="BJ373" s="1452"/>
      <c r="BL373" s="1471"/>
      <c r="BM373" s="1446"/>
      <c r="BN373" s="321"/>
      <c r="BO373" s="1468"/>
      <c r="BP373" s="1446"/>
      <c r="BQ373" s="321"/>
      <c r="BR373" s="1446"/>
      <c r="BS373" s="1446"/>
      <c r="BT373" s="321"/>
      <c r="BU373" s="1446"/>
      <c r="BV373" s="1446"/>
      <c r="BW373" s="326"/>
      <c r="BX373" s="1452"/>
      <c r="BZ373" s="1471"/>
      <c r="CA373" s="1446"/>
      <c r="CB373" s="321"/>
      <c r="CC373" s="1468"/>
      <c r="CD373" s="1446"/>
      <c r="CE373" s="321"/>
      <c r="CF373" s="1446"/>
      <c r="CG373" s="1446"/>
      <c r="CH373" s="321"/>
      <c r="CI373" s="1446"/>
      <c r="CJ373" s="1446"/>
      <c r="CK373" s="326"/>
      <c r="CL373" s="1452"/>
    </row>
    <row r="374" spans="2:90" s="542" customFormat="1" ht="57" x14ac:dyDescent="0.2">
      <c r="B374" s="1393"/>
      <c r="C374" s="1397"/>
      <c r="D374" s="755" t="str">
        <f>+'Plan de Accion 2018'!G133</f>
        <v>Actividad de cierre de gestión y socialización de los logros</v>
      </c>
      <c r="E374" s="1349"/>
      <c r="F374" s="544" t="str">
        <f>+'Plan de Accion 2018'!S133</f>
        <v xml:space="preserve"># Funcionarios  participantes / 
#Total de Funcionarios
</v>
      </c>
      <c r="G374" s="298"/>
      <c r="H374" s="543">
        <f>+'Plan de Accion 2018'!AB133</f>
        <v>0</v>
      </c>
      <c r="I374" s="767" t="str">
        <f>+'Plan de Accion 2018'!BM133</f>
        <v>No Prog ni Ejec</v>
      </c>
      <c r="J374" s="751" t="s">
        <v>792</v>
      </c>
      <c r="K374" s="767">
        <f>+'Plan de Accion 2018'!AF133</f>
        <v>0</v>
      </c>
      <c r="L374" s="873">
        <f t="shared" si="131"/>
        <v>0</v>
      </c>
      <c r="M374" s="849" t="s">
        <v>792</v>
      </c>
      <c r="N374" s="644"/>
      <c r="O374" s="543">
        <f>+'Plan de Accion 2018'!AL133</f>
        <v>0</v>
      </c>
      <c r="P374" s="767" t="str">
        <f>+'Plan de Accion 2018'!BO133</f>
        <v>No Prog ni Ejec</v>
      </c>
      <c r="Q374" s="751" t="s">
        <v>792</v>
      </c>
      <c r="R374" s="751">
        <f>+'Plan de Accion 2018'!AP133</f>
        <v>0</v>
      </c>
      <c r="S374" s="873">
        <f t="shared" si="132"/>
        <v>0</v>
      </c>
      <c r="T374" s="637" t="s">
        <v>792</v>
      </c>
      <c r="U374" s="329"/>
      <c r="V374" s="543">
        <f>+'Plan de Accion 2018'!AV133</f>
        <v>0</v>
      </c>
      <c r="W374" s="767" t="str">
        <f>+'Plan de Accion 2018'!BQ133</f>
        <v>No Prog ni Ejec</v>
      </c>
      <c r="X374" s="751" t="s">
        <v>792</v>
      </c>
      <c r="Y374" s="882">
        <f>+'Plan de Accion 2018'!AZ133</f>
        <v>0</v>
      </c>
      <c r="Z374" s="882">
        <f t="shared" si="133"/>
        <v>0</v>
      </c>
      <c r="AA374" s="883" t="s">
        <v>792</v>
      </c>
      <c r="AB374" s="644"/>
      <c r="AC374" s="543">
        <f>+'Plan de Accion 2018'!BF133</f>
        <v>1</v>
      </c>
      <c r="AD374" s="767">
        <f>+'Plan de Accion 2018'!BS133</f>
        <v>1</v>
      </c>
      <c r="AE374" s="629">
        <f t="shared" si="137"/>
        <v>1</v>
      </c>
      <c r="AF374" s="767">
        <f>+'Plan de Accion 2018'!BJ133</f>
        <v>1</v>
      </c>
      <c r="AG374" s="637">
        <f t="shared" si="138"/>
        <v>1</v>
      </c>
      <c r="AH374" s="1458"/>
      <c r="AI374" s="1014"/>
      <c r="AJ374" s="1471"/>
      <c r="AK374" s="1446"/>
      <c r="AL374" s="321"/>
      <c r="AM374" s="1468"/>
      <c r="AN374" s="1446"/>
      <c r="AO374" s="321"/>
      <c r="AP374" s="1446"/>
      <c r="AQ374" s="1446"/>
      <c r="AR374" s="321"/>
      <c r="AS374" s="1446"/>
      <c r="AT374" s="1446"/>
      <c r="AU374" s="326"/>
      <c r="AV374" s="1452"/>
      <c r="AX374" s="1471"/>
      <c r="AY374" s="1446"/>
      <c r="AZ374" s="321"/>
      <c r="BA374" s="1468"/>
      <c r="BB374" s="1446"/>
      <c r="BC374" s="321"/>
      <c r="BD374" s="1446"/>
      <c r="BE374" s="1446"/>
      <c r="BF374" s="321"/>
      <c r="BG374" s="1446"/>
      <c r="BH374" s="1446"/>
      <c r="BI374" s="326"/>
      <c r="BJ374" s="1452"/>
      <c r="BL374" s="1471"/>
      <c r="BM374" s="1446"/>
      <c r="BN374" s="321"/>
      <c r="BO374" s="1468"/>
      <c r="BP374" s="1446"/>
      <c r="BQ374" s="321"/>
      <c r="BR374" s="1446"/>
      <c r="BS374" s="1446"/>
      <c r="BT374" s="321"/>
      <c r="BU374" s="1446"/>
      <c r="BV374" s="1446"/>
      <c r="BW374" s="326"/>
      <c r="BX374" s="1452"/>
      <c r="BZ374" s="1471"/>
      <c r="CA374" s="1446"/>
      <c r="CB374" s="321"/>
      <c r="CC374" s="1468"/>
      <c r="CD374" s="1446"/>
      <c r="CE374" s="321"/>
      <c r="CF374" s="1446"/>
      <c r="CG374" s="1446"/>
      <c r="CH374" s="321"/>
      <c r="CI374" s="1446"/>
      <c r="CJ374" s="1446"/>
      <c r="CK374" s="326"/>
      <c r="CL374" s="1452"/>
    </row>
    <row r="375" spans="2:90" s="542" customFormat="1" ht="57" customHeight="1" x14ac:dyDescent="0.2">
      <c r="B375" s="1393"/>
      <c r="C375" s="1397"/>
      <c r="D375" s="755" t="str">
        <f>+'Plan de Accion 2018'!G134</f>
        <v>Resolución de  incentivos</v>
      </c>
      <c r="E375" s="1349"/>
      <c r="F375" s="544" t="str">
        <f>+'Plan de Accion 2018'!S134</f>
        <v xml:space="preserve"># Resoluciones firmadas
</v>
      </c>
      <c r="G375" s="298"/>
      <c r="H375" s="543">
        <f>+'Plan de Accion 2018'!AB134</f>
        <v>0</v>
      </c>
      <c r="I375" s="767" t="str">
        <f>+'Plan de Accion 2018'!BM134</f>
        <v>No Prog ni Ejec</v>
      </c>
      <c r="J375" s="751" t="s">
        <v>792</v>
      </c>
      <c r="K375" s="767">
        <f>+'Plan de Accion 2018'!AF134</f>
        <v>0</v>
      </c>
      <c r="L375" s="873">
        <f t="shared" si="131"/>
        <v>0</v>
      </c>
      <c r="M375" s="849" t="s">
        <v>792</v>
      </c>
      <c r="N375" s="644"/>
      <c r="O375" s="543">
        <f>+'Plan de Accion 2018'!AL134</f>
        <v>0</v>
      </c>
      <c r="P375" s="767" t="str">
        <f>+'Plan de Accion 2018'!BO134</f>
        <v>No Prog ni Ejec</v>
      </c>
      <c r="Q375" s="751" t="s">
        <v>792</v>
      </c>
      <c r="R375" s="751">
        <f>+'Plan de Accion 2018'!AP134</f>
        <v>0</v>
      </c>
      <c r="S375" s="873">
        <f t="shared" si="132"/>
        <v>0</v>
      </c>
      <c r="T375" s="637" t="s">
        <v>792</v>
      </c>
      <c r="U375" s="329"/>
      <c r="V375" s="543">
        <f>+'Plan de Accion 2018'!AV134</f>
        <v>0</v>
      </c>
      <c r="W375" s="767" t="str">
        <f>+'Plan de Accion 2018'!BQ134</f>
        <v>No Prog ni Ejec</v>
      </c>
      <c r="X375" s="629" t="s">
        <v>792</v>
      </c>
      <c r="Y375" s="882">
        <f>+'Plan de Accion 2018'!AZ134</f>
        <v>0</v>
      </c>
      <c r="Z375" s="882">
        <f t="shared" si="133"/>
        <v>0</v>
      </c>
      <c r="AA375" s="883" t="s">
        <v>792</v>
      </c>
      <c r="AB375" s="644"/>
      <c r="AC375" s="543">
        <f>+'Plan de Accion 2018'!BF134</f>
        <v>1</v>
      </c>
      <c r="AD375" s="767">
        <f>+'Plan de Accion 2018'!BS134</f>
        <v>1</v>
      </c>
      <c r="AE375" s="629">
        <f t="shared" si="137"/>
        <v>1</v>
      </c>
      <c r="AF375" s="767">
        <f>+'Plan de Accion 2018'!BJ134</f>
        <v>1</v>
      </c>
      <c r="AG375" s="637">
        <f t="shared" si="138"/>
        <v>1</v>
      </c>
      <c r="AH375" s="1458"/>
      <c r="AI375" s="1014"/>
      <c r="AJ375" s="1471"/>
      <c r="AK375" s="1446"/>
      <c r="AL375" s="321"/>
      <c r="AM375" s="1468"/>
      <c r="AN375" s="1446"/>
      <c r="AO375" s="321"/>
      <c r="AP375" s="1446"/>
      <c r="AQ375" s="1446"/>
      <c r="AR375" s="321"/>
      <c r="AS375" s="1446"/>
      <c r="AT375" s="1446"/>
      <c r="AU375" s="326"/>
      <c r="AV375" s="1452"/>
      <c r="AX375" s="1471"/>
      <c r="AY375" s="1446"/>
      <c r="AZ375" s="321"/>
      <c r="BA375" s="1468"/>
      <c r="BB375" s="1446"/>
      <c r="BC375" s="321"/>
      <c r="BD375" s="1446"/>
      <c r="BE375" s="1446"/>
      <c r="BF375" s="321"/>
      <c r="BG375" s="1446"/>
      <c r="BH375" s="1446"/>
      <c r="BI375" s="326"/>
      <c r="BJ375" s="1452"/>
      <c r="BL375" s="1471"/>
      <c r="BM375" s="1446"/>
      <c r="BN375" s="321"/>
      <c r="BO375" s="1468"/>
      <c r="BP375" s="1446"/>
      <c r="BQ375" s="321"/>
      <c r="BR375" s="1446"/>
      <c r="BS375" s="1446"/>
      <c r="BT375" s="321"/>
      <c r="BU375" s="1446"/>
      <c r="BV375" s="1446"/>
      <c r="BW375" s="326"/>
      <c r="BX375" s="1452"/>
      <c r="BZ375" s="1471"/>
      <c r="CA375" s="1446"/>
      <c r="CB375" s="321"/>
      <c r="CC375" s="1468"/>
      <c r="CD375" s="1446"/>
      <c r="CE375" s="321"/>
      <c r="CF375" s="1446"/>
      <c r="CG375" s="1446"/>
      <c r="CH375" s="321"/>
      <c r="CI375" s="1446"/>
      <c r="CJ375" s="1446"/>
      <c r="CK375" s="326"/>
      <c r="CL375" s="1452"/>
    </row>
    <row r="376" spans="2:90" ht="43.5" thickBot="1" x14ac:dyDescent="0.25">
      <c r="B376" s="1393"/>
      <c r="C376" s="1397"/>
      <c r="D376" s="754" t="str">
        <f>+'Plan de Accion 2018'!G155</f>
        <v>Actividades de promoción del  autocontrol para los funcionarios de ADRES.</v>
      </c>
      <c r="E376" s="768" t="str">
        <f>+'Plan de Accion 2018'!B155</f>
        <v>Oficina de Control Interno</v>
      </c>
      <c r="F376" s="544" t="str">
        <f>+'Plan de Accion 2018'!S155</f>
        <v>(Cantidad de Mensajes de autocontrol del mes/12) *100</v>
      </c>
      <c r="H376" s="543">
        <f>+'Plan de Accion 2018'!AB155</f>
        <v>0.25</v>
      </c>
      <c r="I376" s="767">
        <f>+'Plan de Accion 2018'!BM155</f>
        <v>1</v>
      </c>
      <c r="J376" s="767">
        <f>IF(I376&gt;100%,100%,I376)</f>
        <v>1</v>
      </c>
      <c r="K376" s="767">
        <f>+'Plan de Accion 2018'!AF155</f>
        <v>0.25</v>
      </c>
      <c r="L376" s="873">
        <f t="shared" si="131"/>
        <v>0.25</v>
      </c>
      <c r="M376" s="682">
        <f>+L376</f>
        <v>0.25</v>
      </c>
      <c r="N376" s="644"/>
      <c r="O376" s="748">
        <f>+'Plan de Accion 2018'!AL155</f>
        <v>0.25</v>
      </c>
      <c r="P376" s="875">
        <f>+'Plan de Accion 2018'!BO155</f>
        <v>1</v>
      </c>
      <c r="Q376" s="875">
        <f>IF(P376&gt;100%,100%,P376)</f>
        <v>1</v>
      </c>
      <c r="R376" s="751">
        <f>+'Plan de Accion 2018'!AP155</f>
        <v>0.5</v>
      </c>
      <c r="S376" s="873">
        <f t="shared" si="132"/>
        <v>0.5</v>
      </c>
      <c r="T376" s="637">
        <f>+S376</f>
        <v>0.5</v>
      </c>
      <c r="U376" s="329"/>
      <c r="V376" s="748">
        <f>+'Plan de Accion 2018'!AV155</f>
        <v>0.25</v>
      </c>
      <c r="W376" s="750">
        <f>+'Plan de Accion 2018'!BQ155</f>
        <v>1</v>
      </c>
      <c r="X376" s="629">
        <f>IF(W376&gt;100%,100%,W376)</f>
        <v>1</v>
      </c>
      <c r="Y376" s="882">
        <f>+'Plan de Accion 2018'!AZ155</f>
        <v>0.75</v>
      </c>
      <c r="Z376" s="882">
        <f t="shared" si="133"/>
        <v>0.75</v>
      </c>
      <c r="AA376" s="883">
        <f>+Z376</f>
        <v>0.75</v>
      </c>
      <c r="AB376" s="644"/>
      <c r="AC376" s="748">
        <f>+'Plan de Accion 2018'!BF155</f>
        <v>0.25</v>
      </c>
      <c r="AD376" s="750">
        <f>+'Plan de Accion 2018'!BS155</f>
        <v>1</v>
      </c>
      <c r="AE376" s="629">
        <f>IF(AD376&gt;100%,100%,AD376)</f>
        <v>1</v>
      </c>
      <c r="AF376" s="750">
        <f>+'Plan de Accion 2018'!BJ155</f>
        <v>1</v>
      </c>
      <c r="AG376" s="637">
        <f t="shared" ref="AG376:AG381" si="139">IF(AF376&gt;100%,100%,AF376)</f>
        <v>1</v>
      </c>
      <c r="AH376" s="1459"/>
      <c r="AJ376" s="1472"/>
      <c r="AK376" s="1447"/>
      <c r="AL376" s="321"/>
      <c r="AM376" s="1469"/>
      <c r="AN376" s="1447"/>
      <c r="AO376" s="321"/>
      <c r="AP376" s="1447"/>
      <c r="AQ376" s="1447"/>
      <c r="AR376" s="321"/>
      <c r="AS376" s="1447"/>
      <c r="AT376" s="1447"/>
      <c r="AU376" s="326"/>
      <c r="AV376" s="1453"/>
      <c r="AX376" s="1472"/>
      <c r="AY376" s="1447"/>
      <c r="AZ376" s="321"/>
      <c r="BA376" s="1469"/>
      <c r="BB376" s="1447"/>
      <c r="BC376" s="321"/>
      <c r="BD376" s="1447"/>
      <c r="BE376" s="1447"/>
      <c r="BF376" s="321"/>
      <c r="BG376" s="1447"/>
      <c r="BH376" s="1447"/>
      <c r="BI376" s="326"/>
      <c r="BJ376" s="1453"/>
      <c r="BL376" s="1472"/>
      <c r="BM376" s="1447"/>
      <c r="BN376" s="321"/>
      <c r="BO376" s="1469"/>
      <c r="BP376" s="1447"/>
      <c r="BQ376" s="321"/>
      <c r="BR376" s="1447"/>
      <c r="BS376" s="1447"/>
      <c r="BT376" s="321"/>
      <c r="BU376" s="1447"/>
      <c r="BV376" s="1447"/>
      <c r="BW376" s="326"/>
      <c r="BX376" s="1453"/>
      <c r="BZ376" s="1472"/>
      <c r="CA376" s="1447"/>
      <c r="CB376" s="321"/>
      <c r="CC376" s="1469"/>
      <c r="CD376" s="1447"/>
      <c r="CE376" s="321"/>
      <c r="CF376" s="1447"/>
      <c r="CG376" s="1447"/>
      <c r="CH376" s="321"/>
      <c r="CI376" s="1447"/>
      <c r="CJ376" s="1447"/>
      <c r="CK376" s="326"/>
      <c r="CL376" s="1453"/>
    </row>
    <row r="377" spans="2:90" s="542" customFormat="1" ht="43.5" customHeight="1" x14ac:dyDescent="0.2">
      <c r="B377" s="1395"/>
      <c r="C377" s="1397"/>
      <c r="D377" s="754" t="str">
        <f>+'Plan de Accion 2018'!G201</f>
        <v>Jornada de socialización de mapa de riesgos para ADRES</v>
      </c>
      <c r="E377" s="1423" t="str">
        <f>+'Plan de Accion 2018'!B201</f>
        <v>Oficina Asesora de Planeación y Control de Riesgos</v>
      </c>
      <c r="F377" s="544" t="str">
        <f>+'Plan de Accion 2018'!S201</f>
        <v># Jornada de socialización de mapa de riesgos para ADRES</v>
      </c>
      <c r="G377" s="298"/>
      <c r="H377" s="543">
        <f>+'Plan de Accion 2018'!AB201</f>
        <v>0</v>
      </c>
      <c r="I377" s="767" t="str">
        <f>+'Plan de Accion 2018'!BM201</f>
        <v>No Prog ni Ejec</v>
      </c>
      <c r="J377" s="767" t="s">
        <v>792</v>
      </c>
      <c r="K377" s="767">
        <f>+'Plan de Accion 2018'!AF201</f>
        <v>0</v>
      </c>
      <c r="L377" s="873">
        <f t="shared" si="131"/>
        <v>0</v>
      </c>
      <c r="M377" s="849" t="s">
        <v>792</v>
      </c>
      <c r="N377" s="644"/>
      <c r="O377" s="748">
        <f>+'Plan de Accion 2018'!AL201</f>
        <v>1</v>
      </c>
      <c r="P377" s="875">
        <f>+'Plan de Accion 2018'!BO201</f>
        <v>1</v>
      </c>
      <c r="Q377" s="875">
        <f>IF(P377&gt;100%,100%,P377)</f>
        <v>1</v>
      </c>
      <c r="R377" s="751">
        <f>+'Plan de Accion 2018'!AP201</f>
        <v>1</v>
      </c>
      <c r="S377" s="873">
        <f t="shared" si="132"/>
        <v>1</v>
      </c>
      <c r="T377" s="637">
        <f>+S377</f>
        <v>1</v>
      </c>
      <c r="U377" s="329"/>
      <c r="V377" s="748">
        <f>+'Plan de Accion 2018'!AV201</f>
        <v>0</v>
      </c>
      <c r="W377" s="750" t="str">
        <f>+'Plan de Accion 2018'!BQ201</f>
        <v>No Prog ni Ejec</v>
      </c>
      <c r="X377" s="751" t="s">
        <v>792</v>
      </c>
      <c r="Y377" s="882">
        <f>+'Plan de Accion 2018'!AZ201</f>
        <v>1</v>
      </c>
      <c r="Z377" s="882">
        <f t="shared" si="133"/>
        <v>1</v>
      </c>
      <c r="AA377" s="883">
        <f>+Z377</f>
        <v>1</v>
      </c>
      <c r="AB377" s="644"/>
      <c r="AC377" s="748">
        <f>+'Plan de Accion 2018'!BF201</f>
        <v>0</v>
      </c>
      <c r="AD377" s="750" t="str">
        <f>+'Plan de Accion 2018'!BS201</f>
        <v>No Prog ni Ejec</v>
      </c>
      <c r="AE377" s="751" t="s">
        <v>792</v>
      </c>
      <c r="AF377" s="750">
        <f>+'Plan de Accion 2018'!BJ201</f>
        <v>1</v>
      </c>
      <c r="AG377" s="637">
        <f t="shared" si="139"/>
        <v>1</v>
      </c>
      <c r="AH377" s="730"/>
      <c r="AI377" s="1014"/>
      <c r="AJ377" s="733"/>
      <c r="AK377" s="728"/>
      <c r="AL377" s="321"/>
      <c r="AM377" s="731"/>
      <c r="AN377" s="728"/>
      <c r="AO377" s="321"/>
      <c r="AP377" s="728"/>
      <c r="AQ377" s="728"/>
      <c r="AR377" s="321"/>
      <c r="AS377" s="728"/>
      <c r="AT377" s="728"/>
      <c r="AU377" s="326"/>
      <c r="AV377" s="729"/>
      <c r="AX377" s="733"/>
      <c r="AY377" s="728"/>
      <c r="AZ377" s="321"/>
      <c r="BA377" s="731"/>
      <c r="BB377" s="728"/>
      <c r="BC377" s="321"/>
      <c r="BD377" s="728"/>
      <c r="BE377" s="728"/>
      <c r="BF377" s="321"/>
      <c r="BG377" s="728"/>
      <c r="BH377" s="728"/>
      <c r="BI377" s="326"/>
      <c r="BJ377" s="729"/>
      <c r="BL377" s="733"/>
      <c r="BM377" s="728"/>
      <c r="BN377" s="321"/>
      <c r="BO377" s="731"/>
      <c r="BP377" s="728"/>
      <c r="BQ377" s="321"/>
      <c r="BR377" s="728"/>
      <c r="BS377" s="728"/>
      <c r="BT377" s="321"/>
      <c r="BU377" s="728"/>
      <c r="BV377" s="728"/>
      <c r="BW377" s="326"/>
      <c r="BX377" s="729"/>
      <c r="BZ377" s="733"/>
      <c r="CA377" s="728"/>
      <c r="CB377" s="321"/>
      <c r="CC377" s="731"/>
      <c r="CD377" s="728"/>
      <c r="CE377" s="321"/>
      <c r="CF377" s="728"/>
      <c r="CG377" s="728"/>
      <c r="CH377" s="321"/>
      <c r="CI377" s="728"/>
      <c r="CJ377" s="728"/>
      <c r="CK377" s="326"/>
      <c r="CL377" s="729"/>
    </row>
    <row r="378" spans="2:90" s="542" customFormat="1" ht="69.75" customHeight="1" x14ac:dyDescent="0.2">
      <c r="B378" s="1395"/>
      <c r="C378" s="1397"/>
      <c r="D378" s="837" t="str">
        <f>+'Plan de Accion 2018'!G192</f>
        <v>Política socializada a nivel interno</v>
      </c>
      <c r="E378" s="1423"/>
      <c r="F378" s="544" t="str">
        <f>+'Plan de Accion 2018'!S192</f>
        <v># Socializaciones de la Política de Administración de Riesgos realizadas a los funcionarios y contratistas de la ADRES</v>
      </c>
      <c r="G378" s="298"/>
      <c r="H378" s="543">
        <f>+'Plan de Accion 2018'!AB192</f>
        <v>0</v>
      </c>
      <c r="I378" s="844" t="str">
        <f>+'Plan de Accion 2018'!BM192</f>
        <v>No Prog ni Ejec</v>
      </c>
      <c r="J378" s="844" t="s">
        <v>792</v>
      </c>
      <c r="K378" s="844">
        <f>+'Plan de Accion 2018'!AF192</f>
        <v>0</v>
      </c>
      <c r="L378" s="873">
        <f t="shared" si="131"/>
        <v>0</v>
      </c>
      <c r="M378" s="849" t="s">
        <v>792</v>
      </c>
      <c r="N378" s="644"/>
      <c r="O378" s="836">
        <f>+'Plan de Accion 2018'!AL192</f>
        <v>0</v>
      </c>
      <c r="P378" s="874">
        <f>+'Plan de Accion 2018'!BO192</f>
        <v>0</v>
      </c>
      <c r="Q378" s="629">
        <f>IF(P378&gt;100%,100%,P378)</f>
        <v>0</v>
      </c>
      <c r="R378" s="835">
        <f>+'Plan de Accion 2018'!AP192</f>
        <v>0</v>
      </c>
      <c r="S378" s="873">
        <f t="shared" si="132"/>
        <v>0</v>
      </c>
      <c r="T378" s="637">
        <f t="shared" ref="T378" si="140">+S378</f>
        <v>0</v>
      </c>
      <c r="U378" s="329"/>
      <c r="V378" s="836">
        <f>+'Plan de Accion 2018'!AV192</f>
        <v>1</v>
      </c>
      <c r="W378" s="834">
        <f>+'Plan de Accion 2018'!AZ192</f>
        <v>1</v>
      </c>
      <c r="X378" s="629">
        <f>+W378</f>
        <v>1</v>
      </c>
      <c r="Y378" s="882">
        <f>+'Plan de Accion 2018'!AZ192</f>
        <v>1</v>
      </c>
      <c r="Z378" s="882">
        <f t="shared" si="133"/>
        <v>1</v>
      </c>
      <c r="AA378" s="883">
        <f>+Z378</f>
        <v>1</v>
      </c>
      <c r="AB378" s="644"/>
      <c r="AC378" s="836">
        <f>+'Plan de Accion 2018'!BF192</f>
        <v>0</v>
      </c>
      <c r="AD378" s="834" t="str">
        <f>+'Plan de Accion 2018'!BS192</f>
        <v>No Prog ni Ejec</v>
      </c>
      <c r="AE378" s="629" t="s">
        <v>792</v>
      </c>
      <c r="AF378" s="834">
        <f>+'Plan de Accion 2018'!BJ192</f>
        <v>1</v>
      </c>
      <c r="AG378" s="637">
        <f t="shared" si="139"/>
        <v>1</v>
      </c>
      <c r="AH378" s="841"/>
      <c r="AI378" s="1014"/>
      <c r="AJ378" s="843"/>
      <c r="AK378" s="839"/>
      <c r="AL378" s="321"/>
      <c r="AM378" s="842"/>
      <c r="AN378" s="839"/>
      <c r="AO378" s="321"/>
      <c r="AP378" s="839"/>
      <c r="AQ378" s="839"/>
      <c r="AR378" s="321"/>
      <c r="AS378" s="839"/>
      <c r="AT378" s="839"/>
      <c r="AU378" s="326"/>
      <c r="AV378" s="840"/>
      <c r="AX378" s="843"/>
      <c r="AY378" s="839"/>
      <c r="AZ378" s="321"/>
      <c r="BA378" s="842"/>
      <c r="BB378" s="839"/>
      <c r="BC378" s="321"/>
      <c r="BD378" s="839"/>
      <c r="BE378" s="839"/>
      <c r="BF378" s="321"/>
      <c r="BG378" s="839"/>
      <c r="BH378" s="839"/>
      <c r="BI378" s="326"/>
      <c r="BJ378" s="840"/>
      <c r="BL378" s="843"/>
      <c r="BM378" s="839"/>
      <c r="BN378" s="321"/>
      <c r="BO378" s="842"/>
      <c r="BP378" s="839"/>
      <c r="BQ378" s="321"/>
      <c r="BR378" s="839"/>
      <c r="BS378" s="839"/>
      <c r="BT378" s="321"/>
      <c r="BU378" s="839"/>
      <c r="BV378" s="839"/>
      <c r="BW378" s="326"/>
      <c r="BX378" s="840"/>
      <c r="BZ378" s="843"/>
      <c r="CA378" s="839"/>
      <c r="CB378" s="321"/>
      <c r="CC378" s="842"/>
      <c r="CD378" s="839"/>
      <c r="CE378" s="321"/>
      <c r="CF378" s="839"/>
      <c r="CG378" s="839"/>
      <c r="CH378" s="321"/>
      <c r="CI378" s="839"/>
      <c r="CJ378" s="839"/>
      <c r="CK378" s="326"/>
      <c r="CL378" s="840"/>
    </row>
    <row r="379" spans="2:90" s="542" customFormat="1" ht="69.75" customHeight="1" x14ac:dyDescent="0.2">
      <c r="B379" s="1395"/>
      <c r="C379" s="1397"/>
      <c r="D379" s="837" t="str">
        <f>+'Plan de Accion 2018'!G195</f>
        <v>Documentos internos socializados</v>
      </c>
      <c r="E379" s="1423"/>
      <c r="F379" s="544" t="str">
        <f>+'Plan de Accion 2018'!S195</f>
        <v>#socializaciones realizadas de documentos internos de la Metodología de Administración de Riesgos  / # total de socializaciones programadas</v>
      </c>
      <c r="G379" s="298"/>
      <c r="H379" s="543">
        <f>+'Plan de Accion 2018'!AB195</f>
        <v>0</v>
      </c>
      <c r="I379" s="844" t="str">
        <f>+'Plan de Accion 2018'!BM195</f>
        <v>No Prog ni Ejec</v>
      </c>
      <c r="J379" s="844" t="s">
        <v>792</v>
      </c>
      <c r="K379" s="844">
        <f>+'Plan de Accion 2018'!AF195</f>
        <v>0</v>
      </c>
      <c r="L379" s="873">
        <f t="shared" si="131"/>
        <v>0</v>
      </c>
      <c r="M379" s="849" t="s">
        <v>792</v>
      </c>
      <c r="N379" s="644"/>
      <c r="O379" s="836">
        <f>+'Plan de Accion 2018'!AL195</f>
        <v>0</v>
      </c>
      <c r="P379" s="834">
        <f>+'Plan de Accion 2018'!BO195</f>
        <v>0</v>
      </c>
      <c r="Q379" s="629">
        <f>IF(P379&gt;100%,100%,P379)</f>
        <v>0</v>
      </c>
      <c r="R379" s="835">
        <f>+'Plan de Accion 2018'!AP195</f>
        <v>0</v>
      </c>
      <c r="S379" s="873">
        <f t="shared" si="132"/>
        <v>0</v>
      </c>
      <c r="T379" s="637">
        <f t="shared" ref="T379" si="141">+S379</f>
        <v>0</v>
      </c>
      <c r="U379" s="329"/>
      <c r="V379" s="836">
        <f>+'Plan de Accion 2018'!AV195</f>
        <v>1</v>
      </c>
      <c r="W379" s="834">
        <f>+'Plan de Accion 2018'!AZ195</f>
        <v>1</v>
      </c>
      <c r="X379" s="629">
        <f>+W379</f>
        <v>1</v>
      </c>
      <c r="Y379" s="882">
        <f>+'Plan de Accion 2018'!AZ195</f>
        <v>1</v>
      </c>
      <c r="Z379" s="882">
        <f t="shared" si="133"/>
        <v>1</v>
      </c>
      <c r="AA379" s="883">
        <f>+Z379</f>
        <v>1</v>
      </c>
      <c r="AB379" s="644"/>
      <c r="AC379" s="836">
        <f>+'Plan de Accion 2018'!BF195</f>
        <v>0</v>
      </c>
      <c r="AD379" s="834" t="str">
        <f>+'Plan de Accion 2018'!BS195</f>
        <v>No Prog ni Ejec</v>
      </c>
      <c r="AE379" s="629" t="s">
        <v>792</v>
      </c>
      <c r="AF379" s="834">
        <f>+'Plan de Accion 2018'!BJ195</f>
        <v>1</v>
      </c>
      <c r="AG379" s="637">
        <f t="shared" si="139"/>
        <v>1</v>
      </c>
      <c r="AH379" s="841"/>
      <c r="AI379" s="1014"/>
      <c r="AJ379" s="843"/>
      <c r="AK379" s="839"/>
      <c r="AL379" s="321"/>
      <c r="AM379" s="842"/>
      <c r="AN379" s="839"/>
      <c r="AO379" s="321"/>
      <c r="AP379" s="839"/>
      <c r="AQ379" s="839"/>
      <c r="AR379" s="321"/>
      <c r="AS379" s="839"/>
      <c r="AT379" s="839"/>
      <c r="AU379" s="326"/>
      <c r="AV379" s="840"/>
      <c r="AX379" s="843"/>
      <c r="AY379" s="839"/>
      <c r="AZ379" s="321"/>
      <c r="BA379" s="842"/>
      <c r="BB379" s="839"/>
      <c r="BC379" s="321"/>
      <c r="BD379" s="839"/>
      <c r="BE379" s="839"/>
      <c r="BF379" s="321"/>
      <c r="BG379" s="839"/>
      <c r="BH379" s="839"/>
      <c r="BI379" s="326"/>
      <c r="BJ379" s="840"/>
      <c r="BL379" s="843"/>
      <c r="BM379" s="839"/>
      <c r="BN379" s="321"/>
      <c r="BO379" s="842"/>
      <c r="BP379" s="839"/>
      <c r="BQ379" s="321"/>
      <c r="BR379" s="839"/>
      <c r="BS379" s="839"/>
      <c r="BT379" s="321"/>
      <c r="BU379" s="839"/>
      <c r="BV379" s="839"/>
      <c r="BW379" s="326"/>
      <c r="BX379" s="840"/>
      <c r="BZ379" s="843"/>
      <c r="CA379" s="839"/>
      <c r="CB379" s="321"/>
      <c r="CC379" s="842"/>
      <c r="CD379" s="839"/>
      <c r="CE379" s="321"/>
      <c r="CF379" s="839"/>
      <c r="CG379" s="839"/>
      <c r="CH379" s="321"/>
      <c r="CI379" s="839"/>
      <c r="CJ379" s="839"/>
      <c r="CK379" s="326"/>
      <c r="CL379" s="840"/>
    </row>
    <row r="380" spans="2:90" s="542" customFormat="1" ht="57" x14ac:dyDescent="0.2">
      <c r="B380" s="1395"/>
      <c r="C380" s="1397"/>
      <c r="D380" s="852" t="str">
        <f>+'Plan de Accion 2018'!G203</f>
        <v>Jornadas de socialización de mapa de riesgos ajustado y/o actualizado.</v>
      </c>
      <c r="E380" s="1423"/>
      <c r="F380" s="790" t="str">
        <f>+'Plan de Accion 2018'!V203</f>
        <v>Socializar ajustes y actualizaciones a mapa de riesgos de corrupción cada vez que se realicen cambios.</v>
      </c>
      <c r="G380" s="298"/>
      <c r="H380" s="775">
        <f>+'Plan de Accion 2018'!AB203</f>
        <v>0</v>
      </c>
      <c r="I380" s="760" t="str">
        <f>+'Plan de Accion 2018'!BM203</f>
        <v>No Prog ni Ejec</v>
      </c>
      <c r="J380" s="750" t="s">
        <v>792</v>
      </c>
      <c r="K380" s="760">
        <f>+'Plan de Accion 2018'!AF203</f>
        <v>0</v>
      </c>
      <c r="L380" s="873">
        <f t="shared" si="131"/>
        <v>0</v>
      </c>
      <c r="M380" s="849" t="s">
        <v>792</v>
      </c>
      <c r="N380" s="644"/>
      <c r="O380" s="748">
        <f>+'Plan de Accion 2018'!AL203</f>
        <v>0</v>
      </c>
      <c r="P380" s="750" t="str">
        <f>+'Plan de Accion 2018'!BO203</f>
        <v>No Prog ni Ejec</v>
      </c>
      <c r="Q380" s="751" t="s">
        <v>792</v>
      </c>
      <c r="R380" s="751">
        <f>+'Plan de Accion 2018'!AP203</f>
        <v>0</v>
      </c>
      <c r="S380" s="873">
        <f t="shared" si="132"/>
        <v>0</v>
      </c>
      <c r="T380" s="637" t="s">
        <v>792</v>
      </c>
      <c r="U380" s="329"/>
      <c r="V380" s="748">
        <f>+'Plan de Accion 2018'!AV203</f>
        <v>0</v>
      </c>
      <c r="W380" s="750" t="s">
        <v>792</v>
      </c>
      <c r="X380" s="629" t="s">
        <v>792</v>
      </c>
      <c r="Y380" s="882">
        <f>+'Plan de Accion 2018'!AZ203</f>
        <v>0</v>
      </c>
      <c r="Z380" s="882">
        <f t="shared" si="133"/>
        <v>0</v>
      </c>
      <c r="AA380" s="883" t="s">
        <v>792</v>
      </c>
      <c r="AB380" s="644"/>
      <c r="AC380" s="748">
        <f>+'Plan de Accion 2018'!BF203</f>
        <v>1</v>
      </c>
      <c r="AD380" s="750">
        <f>+'Plan de Accion 2018'!BS203</f>
        <v>1</v>
      </c>
      <c r="AE380" s="629">
        <f>IF(AD380&gt;100%,100%,AD380)</f>
        <v>1</v>
      </c>
      <c r="AF380" s="750">
        <f>+'Plan de Accion 2018'!BJ203</f>
        <v>0.5</v>
      </c>
      <c r="AG380" s="637">
        <f t="shared" si="139"/>
        <v>0.5</v>
      </c>
      <c r="AH380" s="730"/>
      <c r="AI380" s="1014"/>
      <c r="AJ380" s="733"/>
      <c r="AK380" s="728"/>
      <c r="AL380" s="321"/>
      <c r="AM380" s="731"/>
      <c r="AN380" s="728"/>
      <c r="AO380" s="321"/>
      <c r="AP380" s="728"/>
      <c r="AQ380" s="728"/>
      <c r="AR380" s="321"/>
      <c r="AS380" s="728"/>
      <c r="AT380" s="728"/>
      <c r="AU380" s="326"/>
      <c r="AV380" s="729"/>
      <c r="AX380" s="733"/>
      <c r="AY380" s="728"/>
      <c r="AZ380" s="321"/>
      <c r="BA380" s="731"/>
      <c r="BB380" s="728"/>
      <c r="BC380" s="321"/>
      <c r="BD380" s="728"/>
      <c r="BE380" s="728"/>
      <c r="BF380" s="321"/>
      <c r="BG380" s="728"/>
      <c r="BH380" s="728"/>
      <c r="BI380" s="326"/>
      <c r="BJ380" s="729"/>
      <c r="BL380" s="733"/>
      <c r="BM380" s="728"/>
      <c r="BN380" s="321"/>
      <c r="BO380" s="731"/>
      <c r="BP380" s="728"/>
      <c r="BQ380" s="321"/>
      <c r="BR380" s="728"/>
      <c r="BS380" s="728"/>
      <c r="BT380" s="321"/>
      <c r="BU380" s="728"/>
      <c r="BV380" s="728"/>
      <c r="BW380" s="326"/>
      <c r="BX380" s="729"/>
      <c r="BZ380" s="733"/>
      <c r="CA380" s="728"/>
      <c r="CB380" s="321"/>
      <c r="CC380" s="731"/>
      <c r="CD380" s="728"/>
      <c r="CE380" s="321"/>
      <c r="CF380" s="728"/>
      <c r="CG380" s="728"/>
      <c r="CH380" s="321"/>
      <c r="CI380" s="728"/>
      <c r="CJ380" s="728"/>
      <c r="CK380" s="326"/>
      <c r="CL380" s="729"/>
    </row>
    <row r="381" spans="2:90" s="542" customFormat="1" ht="43.5" thickBot="1" x14ac:dyDescent="0.25">
      <c r="B381" s="1395"/>
      <c r="C381" s="1397"/>
      <c r="D381" s="754" t="str">
        <f>+'Plan de Accion 2018'!G229</f>
        <v>Jornada de Sensibilización sobre la importancia de la Rendición de Cuentas</v>
      </c>
      <c r="E381" s="768" t="str">
        <f>+'Plan de Accion 2018'!B229</f>
        <v>Dirección General</v>
      </c>
      <c r="F381" s="544" t="str">
        <f>+'Plan de Accion 2018'!S229</f>
        <v># Jornadas de rendición de Cuentas interna realizadas</v>
      </c>
      <c r="G381" s="298"/>
      <c r="H381" s="543">
        <f>+'Plan de Accion 2018'!AB229</f>
        <v>0</v>
      </c>
      <c r="I381" s="767" t="str">
        <f>+'Plan de Accion 2018'!BM229</f>
        <v>No Prog ni Ejec</v>
      </c>
      <c r="J381" s="767" t="s">
        <v>792</v>
      </c>
      <c r="K381" s="767">
        <f>+'Plan de Accion 2018'!AF229</f>
        <v>0</v>
      </c>
      <c r="L381" s="873">
        <f t="shared" si="131"/>
        <v>0</v>
      </c>
      <c r="M381" s="849" t="s">
        <v>792</v>
      </c>
      <c r="N381" s="644"/>
      <c r="O381" s="748">
        <f>+'Plan de Accion 2018'!AL229</f>
        <v>0</v>
      </c>
      <c r="P381" s="750" t="str">
        <f>+'Plan de Accion 2018'!BO229</f>
        <v>No Prog ni Ejec</v>
      </c>
      <c r="Q381" s="751" t="s">
        <v>792</v>
      </c>
      <c r="R381" s="751">
        <f>+'Plan de Accion 2018'!AP229</f>
        <v>0</v>
      </c>
      <c r="S381" s="873">
        <f t="shared" si="132"/>
        <v>0</v>
      </c>
      <c r="T381" s="753" t="s">
        <v>792</v>
      </c>
      <c r="U381" s="329"/>
      <c r="V381" s="748">
        <f>+'Plan de Accion 2018'!AV229</f>
        <v>0</v>
      </c>
      <c r="W381" s="750" t="str">
        <f>+'Plan de Accion 2018'!BQ229</f>
        <v>No Prog ni Ejec</v>
      </c>
      <c r="X381" s="751" t="s">
        <v>792</v>
      </c>
      <c r="Y381" s="880">
        <f>+'Plan de Accion 2018'!AZ229</f>
        <v>0</v>
      </c>
      <c r="Z381" s="880">
        <f t="shared" si="133"/>
        <v>0</v>
      </c>
      <c r="AA381" s="881" t="s">
        <v>792</v>
      </c>
      <c r="AB381" s="644"/>
      <c r="AC381" s="748">
        <f>+'Plan de Accion 2018'!BF229</f>
        <v>1</v>
      </c>
      <c r="AD381" s="750">
        <f>+'Plan de Accion 2018'!BS229</f>
        <v>1</v>
      </c>
      <c r="AE381" s="629">
        <f>IF(AD381&gt;100%,100%,AD381)</f>
        <v>1</v>
      </c>
      <c r="AF381" s="750">
        <f>+'Plan de Accion 2018'!BJ229</f>
        <v>1</v>
      </c>
      <c r="AG381" s="637">
        <f t="shared" si="139"/>
        <v>1</v>
      </c>
      <c r="AH381" s="730"/>
      <c r="AI381" s="1014"/>
      <c r="AJ381" s="733"/>
      <c r="AK381" s="728"/>
      <c r="AL381" s="321"/>
      <c r="AM381" s="731"/>
      <c r="AN381" s="728"/>
      <c r="AO381" s="321"/>
      <c r="AP381" s="728"/>
      <c r="AQ381" s="728"/>
      <c r="AR381" s="321"/>
      <c r="AS381" s="728"/>
      <c r="AT381" s="728"/>
      <c r="AU381" s="326"/>
      <c r="AV381" s="729"/>
      <c r="AX381" s="733"/>
      <c r="AY381" s="728"/>
      <c r="AZ381" s="321"/>
      <c r="BA381" s="731"/>
      <c r="BB381" s="728"/>
      <c r="BC381" s="321"/>
      <c r="BD381" s="728"/>
      <c r="BE381" s="728"/>
      <c r="BF381" s="321"/>
      <c r="BG381" s="728"/>
      <c r="BH381" s="728"/>
      <c r="BI381" s="326"/>
      <c r="BJ381" s="729"/>
      <c r="BL381" s="733"/>
      <c r="BM381" s="728"/>
      <c r="BN381" s="321"/>
      <c r="BO381" s="731"/>
      <c r="BP381" s="728"/>
      <c r="BQ381" s="321"/>
      <c r="BR381" s="728"/>
      <c r="BS381" s="728"/>
      <c r="BT381" s="321"/>
      <c r="BU381" s="728"/>
      <c r="BV381" s="728"/>
      <c r="BW381" s="326"/>
      <c r="BX381" s="729"/>
      <c r="BZ381" s="733"/>
      <c r="CA381" s="728"/>
      <c r="CB381" s="321"/>
      <c r="CC381" s="731"/>
      <c r="CD381" s="728"/>
      <c r="CE381" s="321"/>
      <c r="CF381" s="728"/>
      <c r="CG381" s="728"/>
      <c r="CH381" s="321"/>
      <c r="CI381" s="728"/>
      <c r="CJ381" s="728"/>
      <c r="CK381" s="326"/>
      <c r="CL381" s="729"/>
    </row>
    <row r="382" spans="2:90" ht="15.75" thickBot="1" x14ac:dyDescent="0.25">
      <c r="B382" s="1395"/>
      <c r="C382" s="1437" t="s">
        <v>813</v>
      </c>
      <c r="D382" s="1390"/>
      <c r="E382" s="1390"/>
      <c r="F382" s="1391"/>
      <c r="H382" s="346" t="s">
        <v>792</v>
      </c>
      <c r="I382" s="332">
        <f>SUM(I334:I381)/COUNT(I334:I381)</f>
        <v>1.0977777777777777</v>
      </c>
      <c r="J382" s="635">
        <f>IF(I382&gt;100%,100%,I382)</f>
        <v>1</v>
      </c>
      <c r="K382" s="332">
        <f>SUM(K334:K381)/COUNT(K334:K381)</f>
        <v>9.3541666666666676E-2</v>
      </c>
      <c r="L382" s="332">
        <f>SUM(L334:L381)/COUNT(L334:L381)</f>
        <v>3.1041666666666665E-2</v>
      </c>
      <c r="M382" s="334">
        <f>SUM(M334:M381)/COUNT(M334:M381)</f>
        <v>0.49666666666666665</v>
      </c>
      <c r="N382" s="692"/>
      <c r="O382" s="346" t="s">
        <v>792</v>
      </c>
      <c r="P382" s="635">
        <f>SUM(P334:P381)/COUNT(P334:P381)</f>
        <v>0.93319892473118282</v>
      </c>
      <c r="Q382" s="635">
        <f>SUM(Q334:Q381)/COUNT(Q334:Q381)</f>
        <v>0.63319892473118267</v>
      </c>
      <c r="R382" s="639">
        <f>SUM(R334:R381)/COUNT(R334:R381)</f>
        <v>0.34459873431899646</v>
      </c>
      <c r="S382" s="670">
        <f>SUM(S334:S381)/COUNT(S334:S381)</f>
        <v>0.11543206765232973</v>
      </c>
      <c r="T382" s="645">
        <f>SUM(T334:T381)/COUNT(T334:T381)</f>
        <v>0.55407392473118278</v>
      </c>
      <c r="U382" s="354"/>
      <c r="V382" s="346" t="s">
        <v>792</v>
      </c>
      <c r="W382" s="332">
        <f>SUM(W334:W381)/COUNT(W334:W381)</f>
        <v>0.8242720206477433</v>
      </c>
      <c r="X382" s="332">
        <f>SUM(X334:X379,X381)/COUNT(X334:X379,X381)</f>
        <v>0.8242720206477433</v>
      </c>
      <c r="Y382" s="651">
        <f>SUM(Y334:Y379,Y381)/COUNT(Y334:Y379,Y381)</f>
        <v>0.56542560696513322</v>
      </c>
      <c r="Z382" s="651">
        <f>SUM(Z334:Z379,Z381)/COUNT(Z334:Z379,Z381)</f>
        <v>0.33138305377364374</v>
      </c>
      <c r="AA382" s="617">
        <f>SUM(AA334:AA379,AA381)/COUNT(AA334:AA379,AA381)</f>
        <v>0.77875017636806276</v>
      </c>
      <c r="AB382" s="692"/>
      <c r="AC382" s="346" t="s">
        <v>792</v>
      </c>
      <c r="AD382" s="332">
        <f>SUM(AD334:AD381)/COUNT(AD334:AD381)</f>
        <v>0.75061196386600382</v>
      </c>
      <c r="AE382" s="332">
        <f>SUM(AE334:AE381)/COUNT(AE334:AE381)</f>
        <v>0.75061196386600382</v>
      </c>
      <c r="AF382" s="653">
        <f>SUM(AF334:AF381)/COUNT(AF334:AF381)</f>
        <v>1.1322838092082939</v>
      </c>
      <c r="AG382" s="619">
        <f>SUM(AG334:AG381)/COUNT(AG334:AG381)</f>
        <v>0.86745361321414294</v>
      </c>
      <c r="AH382" s="323"/>
      <c r="AJ382" s="325"/>
      <c r="AK382" s="325"/>
      <c r="AL382" s="321"/>
      <c r="AM382" s="393"/>
      <c r="AN382" s="325"/>
      <c r="AO382" s="321"/>
      <c r="AP382" s="325"/>
      <c r="AQ382" s="325"/>
      <c r="AR382" s="321"/>
      <c r="AS382" s="325"/>
      <c r="AT382" s="325"/>
      <c r="AU382" s="326"/>
      <c r="AV382" s="327"/>
      <c r="AX382" s="325"/>
      <c r="AY382" s="325"/>
      <c r="AZ382" s="321"/>
      <c r="BA382" s="393"/>
      <c r="BB382" s="325"/>
      <c r="BC382" s="321"/>
      <c r="BD382" s="325"/>
      <c r="BE382" s="325"/>
      <c r="BF382" s="321"/>
      <c r="BG382" s="325"/>
      <c r="BH382" s="325"/>
      <c r="BI382" s="326"/>
      <c r="BJ382" s="327"/>
      <c r="BL382" s="325"/>
      <c r="BM382" s="325"/>
      <c r="BN382" s="321"/>
      <c r="BO382" s="393"/>
      <c r="BP382" s="325"/>
      <c r="BQ382" s="321"/>
      <c r="BR382" s="325"/>
      <c r="BS382" s="325"/>
      <c r="BT382" s="321"/>
      <c r="BU382" s="325"/>
      <c r="BV382" s="325"/>
      <c r="BW382" s="326"/>
      <c r="BX382" s="327"/>
      <c r="BZ382" s="325"/>
      <c r="CA382" s="325"/>
      <c r="CB382" s="321"/>
      <c r="CC382" s="393"/>
      <c r="CD382" s="325"/>
      <c r="CE382" s="321"/>
      <c r="CF382" s="325"/>
      <c r="CG382" s="325"/>
      <c r="CH382" s="321"/>
      <c r="CI382" s="325"/>
      <c r="CJ382" s="325"/>
      <c r="CK382" s="326"/>
      <c r="CL382" s="327"/>
    </row>
    <row r="383" spans="2:90" ht="20.25" thickBot="1" x14ac:dyDescent="0.3">
      <c r="B383" s="1378" t="s">
        <v>814</v>
      </c>
      <c r="C383" s="1379"/>
      <c r="D383" s="1379"/>
      <c r="E383" s="1379"/>
      <c r="F383" s="1380"/>
      <c r="H383" s="365" t="str">
        <f>+H382</f>
        <v>N.A</v>
      </c>
      <c r="I383" s="366">
        <f>+I382</f>
        <v>1.0977777777777777</v>
      </c>
      <c r="J383" s="632">
        <f>IF(I383&gt;100%,100%,I383)</f>
        <v>1</v>
      </c>
      <c r="K383" s="366">
        <f>+K382</f>
        <v>9.3541666666666676E-2</v>
      </c>
      <c r="L383" s="366">
        <f>+L382</f>
        <v>3.1041666666666665E-2</v>
      </c>
      <c r="M383" s="367">
        <f>+M382</f>
        <v>0.49666666666666665</v>
      </c>
      <c r="N383" s="695"/>
      <c r="O383" s="365" t="str">
        <f t="shared" ref="O383:T383" si="142">+O382</f>
        <v>N.A</v>
      </c>
      <c r="P383" s="366">
        <f t="shared" si="142"/>
        <v>0.93319892473118282</v>
      </c>
      <c r="Q383" s="636">
        <f t="shared" si="142"/>
        <v>0.63319892473118267</v>
      </c>
      <c r="R383" s="632">
        <f t="shared" si="142"/>
        <v>0.34459873431899646</v>
      </c>
      <c r="S383" s="366">
        <f t="shared" si="142"/>
        <v>0.11543206765232973</v>
      </c>
      <c r="T383" s="367">
        <f t="shared" si="142"/>
        <v>0.55407392473118278</v>
      </c>
      <c r="U383" s="364"/>
      <c r="V383" s="365" t="str">
        <f t="shared" ref="V383:X383" si="143">+V382</f>
        <v>N.A</v>
      </c>
      <c r="W383" s="366">
        <f>+W382</f>
        <v>0.8242720206477433</v>
      </c>
      <c r="X383" s="366">
        <f t="shared" si="143"/>
        <v>0.8242720206477433</v>
      </c>
      <c r="Y383" s="652">
        <f>+Y382</f>
        <v>0.56542560696513322</v>
      </c>
      <c r="Z383" s="652">
        <f>+Z382</f>
        <v>0.33138305377364374</v>
      </c>
      <c r="AA383" s="618">
        <f>+AA382</f>
        <v>0.77875017636806276</v>
      </c>
      <c r="AB383" s="695"/>
      <c r="AC383" s="365" t="str">
        <f>+AC382</f>
        <v>N.A</v>
      </c>
      <c r="AD383" s="366">
        <f>+AD382</f>
        <v>0.75061196386600382</v>
      </c>
      <c r="AE383" s="366">
        <f>+AE382</f>
        <v>0.75061196386600382</v>
      </c>
      <c r="AF383" s="654">
        <f>+AF382</f>
        <v>1.1322838092082939</v>
      </c>
      <c r="AG383" s="620">
        <f>+AG382</f>
        <v>0.86745361321414294</v>
      </c>
      <c r="AJ383" s="383"/>
      <c r="AK383" s="392" t="e">
        <f>SUM(AK334:AK382)/COUNT(AK334:AK382)</f>
        <v>#REF!</v>
      </c>
      <c r="AL383" s="385"/>
      <c r="AM383" s="383"/>
      <c r="AN383" s="384" t="e">
        <f>SUM(AN334:AN382)/COUNT(AN334:AN382)</f>
        <v>#REF!</v>
      </c>
      <c r="AO383" s="385"/>
      <c r="AP383" s="383"/>
      <c r="AQ383" s="384" t="e">
        <f>SUM(AQ334:AQ382)/COUNT(AQ334:AQ382)</f>
        <v>#REF!</v>
      </c>
      <c r="AR383" s="385"/>
      <c r="AS383" s="383"/>
      <c r="AT383" s="384" t="e">
        <f>SUM(AT334:AT382)/COUNT(AT334:AT382)</f>
        <v>#REF!</v>
      </c>
      <c r="AX383" s="383"/>
      <c r="AY383" s="392" t="e">
        <f>SUM(AY334:AY382)/COUNT(AY334:AY382)</f>
        <v>#REF!</v>
      </c>
      <c r="AZ383" s="385"/>
      <c r="BA383" s="383"/>
      <c r="BB383" s="384" t="e">
        <f>SUM(BB334:BB382)/COUNT(BB334:BB382)</f>
        <v>#REF!</v>
      </c>
      <c r="BC383" s="385"/>
      <c r="BD383" s="383"/>
      <c r="BE383" s="384" t="e">
        <f>SUM(BE334:BE382)/COUNT(BE334:BE382)</f>
        <v>#REF!</v>
      </c>
      <c r="BF383" s="385"/>
      <c r="BG383" s="383"/>
      <c r="BH383" s="384" t="e">
        <f>SUM(BH334:BH382)/COUNT(BH334:BH382)</f>
        <v>#REF!</v>
      </c>
      <c r="BL383" s="383"/>
      <c r="BM383" s="392" t="e">
        <f>SUM(BM334:BM382)/COUNT(BM334:BM382)</f>
        <v>#REF!</v>
      </c>
      <c r="BN383" s="385"/>
      <c r="BO383" s="383"/>
      <c r="BP383" s="384" t="e">
        <f>SUM(BP334:BP382)/COUNT(BP334:BP382)</f>
        <v>#REF!</v>
      </c>
      <c r="BQ383" s="385"/>
      <c r="BR383" s="383"/>
      <c r="BS383" s="384" t="e">
        <f>SUM(BS334:BS382)/COUNT(BS334:BS382)</f>
        <v>#REF!</v>
      </c>
      <c r="BT383" s="385"/>
      <c r="BU383" s="383"/>
      <c r="BV383" s="384" t="e">
        <f>SUM(BV334:BV382)/COUNT(BV334:BV382)</f>
        <v>#REF!</v>
      </c>
      <c r="BZ383" s="383"/>
      <c r="CA383" s="392" t="e">
        <f>SUM(CA334:CA382)/COUNT(CA334:CA382)</f>
        <v>#REF!</v>
      </c>
      <c r="CB383" s="385"/>
      <c r="CC383" s="383"/>
      <c r="CD383" s="384" t="e">
        <f>SUM(CD334:CD382)/COUNT(CD334:CD382)</f>
        <v>#REF!</v>
      </c>
      <c r="CE383" s="385"/>
      <c r="CF383" s="383"/>
      <c r="CG383" s="384" t="e">
        <f>SUM(CG334:CG382)/COUNT(CG334:CG382)</f>
        <v>#REF!</v>
      </c>
      <c r="CH383" s="385"/>
      <c r="CI383" s="383"/>
      <c r="CJ383" s="384" t="e">
        <f>SUM(CJ334:CJ382)/COUNT(CJ334:CJ382)</f>
        <v>#REF!</v>
      </c>
    </row>
    <row r="384" spans="2:90" ht="25.5" thickBot="1" x14ac:dyDescent="0.35">
      <c r="B384" s="1378" t="s">
        <v>1174</v>
      </c>
      <c r="C384" s="1379"/>
      <c r="D384" s="1379"/>
      <c r="E384" s="1379"/>
      <c r="F384" s="1380"/>
      <c r="H384" s="397" t="str">
        <f>+H383</f>
        <v>N.A</v>
      </c>
      <c r="I384" s="398">
        <f>(I119+I238+I333+I383)/4</f>
        <v>1.0234910345824073</v>
      </c>
      <c r="J384" s="683">
        <f>IF(I384&gt;100%,100%,I384)</f>
        <v>1</v>
      </c>
      <c r="K384" s="672">
        <f>+(K119+K238+K333+K383)/4</f>
        <v>0.148365258902872</v>
      </c>
      <c r="L384" s="672">
        <f>+(L119+L238+L333+L383)/4</f>
        <v>0.132740258902872</v>
      </c>
      <c r="M384" s="399">
        <f>+(M119+M238+M333+M383)/4</f>
        <v>0.326850651850213</v>
      </c>
      <c r="N384" s="697"/>
      <c r="O384" s="613" t="str">
        <f>+O383</f>
        <v>N.A</v>
      </c>
      <c r="P384" s="614">
        <f>+(P119+P238+P333+P383)/4</f>
        <v>0.96193377857835816</v>
      </c>
      <c r="Q384" s="614">
        <f>+(Q119+Q238+Q333+Q383)/4</f>
        <v>0.72760858249801519</v>
      </c>
      <c r="R384" s="640">
        <f>+(R119+R238+R333+R383)/4</f>
        <v>0.37909473289488987</v>
      </c>
      <c r="S384" s="672">
        <f>+(S119+S238+S333+S383)/4</f>
        <v>0.26190144015304523</v>
      </c>
      <c r="T384" s="399">
        <f>+(T119+T238+T333+T383)/4</f>
        <v>0.50947886297327383</v>
      </c>
      <c r="U384" s="612"/>
      <c r="V384" s="613" t="str">
        <f>+V383</f>
        <v>N.A</v>
      </c>
      <c r="W384" s="615">
        <f>+(W119+W238+W333+W383)/4</f>
        <v>0.76503204679245396</v>
      </c>
      <c r="X384" s="614">
        <f>+(X119+X238+X333+X383)/4</f>
        <v>0.75066800379878351</v>
      </c>
      <c r="Y384" s="878">
        <f>+(Y119+Y238+Y333+Y383)/4</f>
        <v>0.53243468604959343</v>
      </c>
      <c r="Z384" s="878">
        <f>+(Z119+Z238+Z333+Z383)/4</f>
        <v>0.45908095637638741</v>
      </c>
      <c r="AA384" s="879">
        <f>+(AA119+AA238+AA333+AA383)/4</f>
        <v>0.6685179610915023</v>
      </c>
      <c r="AB384" s="697"/>
      <c r="AC384" s="613" t="str">
        <f>+AC383</f>
        <v>N.A</v>
      </c>
      <c r="AD384" s="615">
        <f>+(AD119+AD238+AD333+AD383)/4</f>
        <v>0.98444446253590479</v>
      </c>
      <c r="AE384" s="615">
        <f>+(AE119+AE238+AE333+AE383)/4</f>
        <v>0.77030415052972501</v>
      </c>
      <c r="AF384" s="640">
        <f>+(AF119+AF238+AF333+AF383)/4</f>
        <v>1.2117747839450259</v>
      </c>
      <c r="AG384" s="399">
        <f>+(AG119+AG238+AG333+AG383)/4</f>
        <v>0.8340834163980585</v>
      </c>
      <c r="BE384" s="300"/>
      <c r="BF384" s="300"/>
    </row>
    <row r="385" spans="2:35" ht="25.5" thickBot="1" x14ac:dyDescent="0.35">
      <c r="B385" s="1378" t="s">
        <v>1175</v>
      </c>
      <c r="C385" s="1379"/>
      <c r="D385" s="1379"/>
      <c r="E385" s="1379"/>
      <c r="F385" s="1380"/>
      <c r="H385" s="397" t="str">
        <f>+H384</f>
        <v>N.A</v>
      </c>
      <c r="I385" s="398">
        <f>SUM(I15:I42,I44:I69,I71:I84,I86:I108,I110:I117,I120:I182,I184:I205,I207:I214,I216:I226,I228:I236,I239:I302,I304:I306,I308:I321,I323:I331,I334:I381)/COUNT(I15:I42,I44:I69,I71:I84,I86:I108,I110:I117,I120:I182,I184:I205,I207:I214,I216:I226,I228:I236,I239:I302,I304:I306,I308:I321,I323:I331,I334:I381)</f>
        <v>0.91467846624354077</v>
      </c>
      <c r="J385" s="683">
        <f>IF(I385&gt;100%,100%,I385)</f>
        <v>0.91467846624354077</v>
      </c>
      <c r="K385" s="672">
        <f>SUM(K15:K42,K44:K63,K65:K69,K71:K83,K86:K108,K110:K117,K120:K182,K184:K205,K207:K214,K216:K226,K228:K236,K239:K302,K304:K306,K308:K321,K323:K331,K334:K381)/COUNT(K15:K42,K44:K63,K65:K69,K71:K83,K86:K108,K110:K117,K120:K182,K184:K205,K207:K214,K216:K226,K228:K236,K239:K302,K304:K306,K308:K321,K323:K331,K334:K381)</f>
        <v>0.14003674147214257</v>
      </c>
      <c r="L385" s="672">
        <f>SUM(L15:L42,L44:L63,L65:L69,L71:L83,L86:L108,L110:L117,L120:L182,L184:L205,L207:L214,L216:L226,L228:L236,L239:L302,L304:L306,L308:L321,L323:L331,L334:L381)/COUNT(L15:L42,L44:L63,L65:L69,L71:L83,L86:L108,L110:L117,L120:L182,L184:L205,L207:L214,L216:L226,L228:L236,L239:L302,L304:L306,L308:L321,L323:L331,L334:L381)</f>
        <v>0.13110817004357114</v>
      </c>
      <c r="M385" s="672">
        <f>SUM(M15:M42,M44:M63,M65:M69,M71:M83,M86:M108,M110:M117,M120:M182,M184:M205,M207:M214,M216:M226,M228:M236,M239:M302,M304:M306,M308:M321,M323:M331,M334:M381)/COUNT(M15:M42,M44:M63,M65:M69,M71:M83,M86:M108,M110:M117,M120:M182,M184:M205,M207:M214,M216:M226,M228:M236,M239:M302,M304:M306,M308:M321,M323:M331,M334:M381)</f>
        <v>0.26181044990802338</v>
      </c>
      <c r="N385" s="697"/>
      <c r="O385" s="613" t="str">
        <f>+O384</f>
        <v>N.A</v>
      </c>
      <c r="P385" s="398">
        <f>SUM(P15:P42,P44:P69,P71:P84,P86:P108,P110:P117,P120:P123,P125:P182,P184:P205,P207:P214,P216:P226,P228:P236,P239:P302,P304:P306,P308:P321,P323:P331,P334:P381)/COUNT(P15:P42,P44:P69,P71:P84,P86:P108,P110:P117,P120:P123,P125:P182,P184:P205,P207:P214,P216:P226,P228:P236,P239:P302,P304:P306,P308:P321,P323:P331,P334:P381)</f>
        <v>0.84120714602303537</v>
      </c>
      <c r="Q385" s="398">
        <f>SUM(Q15:Q42,Q44:Q69,Q71:Q84,Q86:Q108,Q110:Q117,Q120:Q123,Q125:Q182,Q184:Q205,Q207:Q214,Q216:Q226,Q228:Q236,Q239:Q302,Q304:Q306,Q308:Q321,Q323:Q331,Q334:Q381)/COUNT(Q15:Q42,Q44:Q69,Q71:Q84,Q86:Q108,Q110:Q117,Q120:Q123,Q125:Q182,Q184:Q205,Q207:Q214,Q216:Q226,Q228:Q236,Q239:Q302,Q304:Q306,Q308:Q321,Q323:Q331,Q334:Q381)</f>
        <v>0.76478424113620402</v>
      </c>
      <c r="R385" s="634">
        <f>SUM(R15:R42,R44:R63,R65:R69,R71:R84,R86:R108,R110:R117,R120:R123,R125:R182,R184:R205,R207:R214,R216:R226,R228:R236,R239:R302,R304:R306,R308:R321,R323:R331,R334:R381)/COUNT(R15:R42,R44:R63,R65:R69,R71:R84,R86:R108,R110:R117,R120:R123,R125:R182,R184:R205,R207:R214,R216:R226,R228:R236,R239:R302,R304:R306,R308:R321,R323:R331,R334:R381)</f>
        <v>0.3279644615420802</v>
      </c>
      <c r="S385" s="398">
        <f>SUM(S15:S42,S44:S63,S65:S69,S71:S84,S86:S108,S110:S117,S120:S123,S125:S182,S184:S205,S207:S214,S216:S226,S228:S236,S239:S302,S304:S306,S308:S321,S323:S331,S334:S381)/COUNT(S15:S42,S44:S63,S65:S69,S71:S84,S86:S108,S110:S117,S120:S123,S125:S182,S184:S205,S207:S214,S216:S226,S228:S236,S239:S302,S304:S306,S308:S321,S323:S331,S334:S381)</f>
        <v>0.28759302334911785</v>
      </c>
      <c r="T385" s="641">
        <f>SUM(T15:T42,T44:T63,T65:T69,T71:T84,T86:T108,T110:T117,T120:T123,T125:T182,T184:T205,T207:T214,T216:T226,T228:T236,T239:T302,T304:T306,T308:T321,T323:T331,T334:T381)/COUNT(T15:T42,T44:T63,T65:T69,T71:T84,T86:T108,T110:T117,T120:T123,T125:T182,T184:T205,T207:T214,T216:T226,T228:T236,T239:T302,T304:T306,T308:T321,T323:T331,T334:T381)</f>
        <v>0.48443863064976117</v>
      </c>
      <c r="U385" s="612"/>
      <c r="V385" s="613" t="str">
        <f>+V384</f>
        <v>N.A</v>
      </c>
      <c r="W385" s="398">
        <f>SUM(W15:W42,W44:W69,W71:W84,W86:W108,W110:W117,W120:W123,W125:W182,W184:W205,W207:W214,W216:W226,W228:W236,W239:W302,W304:W306,W308:W321,W323:W331,W334:W381)/COUNT(W15:W42,W44:W69,W71:W84,W86:W108,W110:W117,W120:W123,W125:W182,W184:W205,W207:W214,W216:W226,W228:W236,W239:W302,W304:W306,W308:W321,W323:W331,W334:W381)</f>
        <v>0.82152964424279529</v>
      </c>
      <c r="X385" s="398">
        <f>SUM(X15:X42,X44:X69,X71:X84,X86:X108,X110:X117,X120:X123,X125:X182,X184:X205,X207:X214,X216:X226,X228:X236,X239:X302,X304:X306,X308:X321,X323:X331,X334:X381)/COUNT(X15:X42,X44:X69,X71:X84,X86:X108,X110:X117,X120:X123,X125:X182,X184:X205,X207:X214,X216:X226,X228:X236,X239:X302,X304:X306,X308:X321,X323:X331,X334:X381)</f>
        <v>0.74385321251102243</v>
      </c>
      <c r="Y385" s="878">
        <f>SUM(Y15:Y42,Y44:Y63,Y65:Y69,Y71:Y83,Y86:Y108,Y110:Y117,Y120:Y123,Y125:Y182,Y184:Y205,Y207:Y214,Y216:Y226,Y228:Y236,Y239:Y302,Y304:Y306,Y308:Y321,Y323:Y331,Y334:Y381)/COUNT(Y15:Y42,Y44:Y63,Y65:Y69,Y71:Y83,Y86:Y108,Y110:Y117,Y120:Y123,Y125:Y182,Y184:Y205,Y207:Y214,Y216:Y226,Y228:Y236,Y239:Y302,Y304:Y306,Y308:Y321,Y323:Y331,Y334:Y381)</f>
        <v>0.52890334847196097</v>
      </c>
      <c r="Z385" s="878">
        <f>SUM(Z15:Z42,Z44:Z63,Z65:Z69,Z71:Z83,Z86:Z108,Z110:Z117,Z120:Z123,Z125:Z182,Z184:Z205,Z207:Z214,Z216:Z226,Z228:Z236,Z239:Z302,Z304:Z306,Z308:Z321,Z323:Z331,Z334:Z381)/COUNT(Z15:Z42,Z44:Z63,Z65:Z69,Z71:Z83,Z86:Z108,Z110:Z117,Z120:Z123,Z125:Z182,Z184:Z205,Z207:Z214,Z216:Z226,Z228:Z236,Z239:Z302,Z304:Z306,Z308:Z321,Z323:Z331,Z334:Z381)</f>
        <v>0.48250515746784972</v>
      </c>
      <c r="AA385" s="879">
        <f>SUM(AA15:AA42,AA44:AA63,AA65:AA69,AA71:AA83,AA86:AA108,AA110:AA117,AA120:AA123,AA125:AA182,AA184:AA205,AA207:AA214,AA216:AA226,AA228:AA236,AA239:AA302,AA304:AA306,AA308:AA321,AA323:AA331,AA334:AA381)/COUNT(AA15:AA42,AA44:AA63,AA65:AA69,AA71:AA83,AA86:AA108,AA110:AA117,AA120:AA123,AA125:AA182,AA184:AA205,AA207:AA214,AA216:AA226,AA228:AA236,AA239:AA302,AA304:AA306,AA308:AA321,AA323:AA331,AA334:AA381)</f>
        <v>0.64659149345348765</v>
      </c>
      <c r="AB385" s="697"/>
      <c r="AC385" s="613" t="str">
        <f>+AC384</f>
        <v>N.A</v>
      </c>
      <c r="AD385" s="398">
        <f>SUM(AD15:AD42,AD44:AD69,AD71:AD84,AD86:AD108,AD110:AD117,AD120:AD123,AD125:AD182,AD184:AD205,AD207:AD214,AD216:AD226,AD228:AD236,AD239:AD302,AD304:AD306,AD308:AD321,AD323:AD331,AD334:AD381)/COUNT(AD15:AD42,AD44:AD69,AD71:AD84,AD86:AD108,AD110:AD117,AD120:AD123,AD125:AD182,AD184:AD205,AD207:AD214,AD216:AD226,AD228:AD236,AD239:AD302,AD304:AD306,AD308:AD321,AD323:AD331,AD334:AD381)</f>
        <v>1.0397100141586821</v>
      </c>
      <c r="AE385" s="398">
        <f>SUM(AE15:AE42,AE44:AE69,AE71:AE84,AE86:AE108,AE110:AE117,AE120:AE123,AE125:AE182,AE184:AE205,AE207:AE214,AE216:AE226,AE228:AE236,AE239:AE302,AE304:AE306,AE308:AE321,AE323:AE331,AE334:AE381)/COUNT(AE15:AE42,AE44:AE69,AE71:AE84,AE86:AE108,AE110:AE117,AE120:AE123,AE125:AE182,AE184:AE205,AE207:AE214,AE216:AE226,AE228:AE236,AE239:AE302,AE304:AE306,AE308:AE321,AE323:AE331,AE334:AE381)</f>
        <v>0.78032777326253167</v>
      </c>
      <c r="AF385" s="640">
        <f>SUM(AF15:AF42,AF44:AF63,AF65:AF69,AF71:AF83,AF86:AF108,AF110:AF117,AF120:AF123,AF125:AF182,AF184:AF205,AF207:AF214,AF216:AF226,AF228:AF236,AF239:AF302,AF304:AF306,AF308:AF321,AF323:AF331,AF334:AF381)/COUNT(AF15:AF42,AF44:AF63,AF65:AF69,AF71:AF83,AF86:AF108,AF110:AF117,AF120:AF123,AF125:AF182,AF184:AF205,AF207:AF214,AF216:AF226,AF228:AF236,AF239:AF302,AF304:AF306,AF308:AF321,AF323:AF331,AF334:AF381)</f>
        <v>1.1969600854240163</v>
      </c>
      <c r="AG385" s="399">
        <f>SUM(AG15:AG42,AG44:AG63,AG65:AG69,AG71:AG83,AG86:AG108,AG110:AG117,AG120:AG123,AG125:AG182,AG184:AG205,AG207:AG214,AG216:AG226,AG228:AG236,AG239:AG302,AG304:AG306,AG308:AG321,AG323:AG331,AG334:AG381)/COUNT(AG15:AG42,AG44:AG63,AG65:AG69,AG71:AG83,AG86:AG108,AG110:AG117,AG120:AG123,AG125:AG182,AG184:AG205,AG207:AG214,AG216:AG226,AG228:AG236,AG239:AG302,AG304:AG306,AG308:AG321,AG323:AG331,AG334:AG381)</f>
        <v>0.83578162834223146</v>
      </c>
    </row>
    <row r="386" spans="2:35" s="542" customFormat="1" ht="25.5" thickBot="1" x14ac:dyDescent="0.35">
      <c r="B386" s="1378" t="s">
        <v>1176</v>
      </c>
      <c r="C386" s="1379"/>
      <c r="D386" s="1379"/>
      <c r="E386" s="1379"/>
      <c r="F386" s="1380"/>
      <c r="G386" s="298"/>
      <c r="H386" s="397" t="str">
        <f>+H385</f>
        <v>N.A</v>
      </c>
      <c r="I386" s="398">
        <f>SUM(I120:I182,I184:I205,I207:I214,I216:I226,I228:I236,I239:I302,I304:I306,I308:I321,I323:I331,I334:I381)/COUNT(I120:I182,I184:I205,I207:I214,I216:I226,I228:I236,I239:I302,I304:I306,I308:I321,I323:I331,I334:I381)</f>
        <v>1.0308740583564331</v>
      </c>
      <c r="J386" s="683">
        <f>IF(I386&gt;100%,100%,I386)</f>
        <v>1</v>
      </c>
      <c r="K386" s="672">
        <f>SUM(K120:K182,K184:K205,K207:K214,K216:K226,K228:K236,K239:K302,K304:K306,K308:K321,K323:K331,K334:K381)/COUNT(K120:K182,K184:K205,K207:K214,K216:K226,K228:K236,K239:K302,K304:K306,K308:K321,K323:K331,K334:K381)</f>
        <v>0.14946991100904486</v>
      </c>
      <c r="L386" s="672">
        <f>SUM(L120:L182,L184:L205,L207:L214,L216:L226,L228:L236,L239:L302,L304:L306,L308:L321,L323:L331,L334:L381)/COUNT(L120:L182,L184:L205,L207:L214,L216:L226,L228:L236,L239:L302,L304:L306,L308:L321,L323:L331,L334:L381)</f>
        <v>0.13742171823796051</v>
      </c>
      <c r="M386" s="399">
        <f>SUM(M120:M182,M184:M205,M207:M214,M216:M226,M228:M236,M239:M302,M304:M306,M308:M321,M323:M331,M334:M381)/COUNT(M120:M182,M184:M205,M207:M214,M216:M226,M228:M236,M239:M302,M304:M306,M308:M321,M323:M331,M334:M381)</f>
        <v>0.34936090557991928</v>
      </c>
      <c r="N386" s="697"/>
      <c r="O386" s="613" t="str">
        <f>+O385</f>
        <v>N.A</v>
      </c>
      <c r="P386" s="398">
        <f>SUM(P120:P182,P184:P205,P207:P214,P216:P226,P228:P236,P239:P302,P304:P306,P308:P321,P323:P331,P334:P381)/COUNT(P120:P182,P184:P205,P207:P214,P216:P226,P228:P236,P239:P302,P304:P306,P308:P321,P323:P331,P334:P381)</f>
        <v>0.93051374008303622</v>
      </c>
      <c r="Q386" s="398">
        <f>SUM(Q120:Q182,Q184:Q205,Q207:Q214,Q216:Q226,Q228:Q236,Q239:Q302,Q304:Q306,Q308:Q321,Q323:Q331,Q334:Q381)/COUNT(Q120:Q182,Q184:Q205,Q207:Q214,Q216:Q226,Q228:Q236,Q239:Q302,Q304:Q306,Q308:Q321,Q323:Q331,Q334:Q381)</f>
        <v>0.8395874606882705</v>
      </c>
      <c r="R386" s="634">
        <f>SUM(R120:R182,R184:R205,R207:R214,R216:R226,R228:R236,R239:R302,R304:R306,R308:R321,R323:R331,R334:R381)/COUNT(R120:R182,R184:R205,R207:R214,R216:R226,R228:R236,R239:R302,R304:R306,R308:R321,R323:R331,R334:R381)</f>
        <v>0.35673035523299096</v>
      </c>
      <c r="S386" s="398">
        <f>SUM(S120:S182,S184:S205,S207:S214,S216:S226,S228:S236,S239:S302,S304:S306,S308:S321,S323:S331,S334:S381)/COUNT(S120:S182,S184:S205,S207:S214,S216:S226,S228:S236,S239:S302,S304:S306,S308:S321,S323:S331,S334:S381)</f>
        <v>0.3023096565488777</v>
      </c>
      <c r="T386" s="641">
        <f>SUM(T120:T182,T184:T205,T207:T214,T216:T226,T228:T236,T239:T302,T304:T306,T308:T321,T323:T331,T334:T381)/COUNT(T120:T182,T184:T205,T207:T214,T216:T226,T228:T236,T239:T302,T304:T306,T308:T321,T323:T331,T334:T381)</f>
        <v>0.56929323768869788</v>
      </c>
      <c r="U386" s="612"/>
      <c r="V386" s="613" t="str">
        <f>+V385</f>
        <v>N.A</v>
      </c>
      <c r="W386" s="398">
        <f>SUM(W120:W182,W184:W205,W207:W214,W216:W226,W228:W236,W239:W302,W304:W306,W308:W321,W323:W331,W334:W381)/COUNT(W120:W182,W184:W205,W207:W214,W216:W226,W228:W236,W239:W302,W304:W306,W308:W321,W323:W331,W334:W381)</f>
        <v>0.89646446514401767</v>
      </c>
      <c r="X386" s="398">
        <f>SUM(X120:X182,X184:X205,X207:X214,X216:X226,X228:X236,X239:X302,X304:X306,X308:X321,X323:X331,X334:X380)/COUNT(X120:X182,X184:X205,X207:X214,X216:X226,X228:X236,X239:X302,X304:X306,X308:X321,X323:X331,X334:X381)</f>
        <v>0.80750134009795849</v>
      </c>
      <c r="Y386" s="878">
        <f>SUM(Y120:Y182,Y184:Y205,Y207:Y214,Y216:Y226,Y228:Y236,Y239:Y302,Y304:Y306,Y308:Y321,Y323:Y331,Y334:Y381)/COUNT(Y120:Y182,Y184:Y205,Y207:Y214,Y216:Y226,Y228:Y236,Y239:Y302,Y304:Y306,Y308:Y321,Y323:Y331,Y334:Y381)</f>
        <v>0.57107332732198524</v>
      </c>
      <c r="Z386" s="878">
        <f>SUM(Z120:Z182,Z184:Z205,Z207:Z214,Z216:Z226,Z228:Z236,Z239:Z302,Z304:Z306,Z308:Z321,Z323:Z331,Z334:Z381)/COUNT(Z120:Z182,Z184:Z205,Z207:Z214,Z216:Z226,Z228:Z236,Z239:Z302,Z304:Z306,Z308:Z321,Z323:Z331,Z334:Z381)</f>
        <v>0.50471415861245994</v>
      </c>
      <c r="AA386" s="879">
        <f>SUM(AA120:AA182,AA184:AA205,AA207:AA214,AA216:AA226,AA228:AA236,AA239:AA302,AA304:AA306,AA308:AA321,AA323:AA331,AA334:AA381)/COUNT(AA120:AA177,AA184:AA205,AA207:AA214,AA216:AA226,AA228:AA236,AA239:AA302,AA304:AA306,AA308:AA321,AA323:AA331,AA334:AA381)</f>
        <v>0.72561999792284426</v>
      </c>
      <c r="AB386" s="697"/>
      <c r="AC386" s="613" t="str">
        <f>+AC385</f>
        <v>N.A</v>
      </c>
      <c r="AD386" s="398">
        <f>SUM(AD120:AD182,AD184:AD205,AD207:AD214,AD216:AD226,AD228:AD236,AD239:AD302,AD304:AD306,AD308:AD321,AD323:AD331,AD334:AD381)/COUNT(AD120:AD182,AD184:AD205,AD207:AD214,AD216:AD226,AD228:AD236,AD239:AD302,AD304:AD306,AD308:AD321,AD323:AD331,AD334:AD381)</f>
        <v>1.0133609533178138</v>
      </c>
      <c r="AE386" s="398">
        <f>SUM(AE120:AE182,AE184:AE205,AE207:AE214,AE216:AE226,AE228:AE236,AE239:AE302,AE304:AE306,AE308:AE321,AE323:AE331,AE334:AE381)/COUNT(AE120:AE182,AE184:AE205,AE207:AE214,AE216:AE226,AE228:AE236,AE239:AE302,AE304:AE306,AE308:AE321,AE323:AE331,AE334:AE381)</f>
        <v>0.81538232343169581</v>
      </c>
      <c r="AF386" s="640">
        <f>SUM(AF120:AF182,AF184:AF205,AF207:AF214,AF216:AF226,AF228:AF236,AF239:AF302,AF304:AF306,AF308:AF321,AF323:AF331,AF334:AF381)/COUNT(AF120:AF182,AF184:AF205,AF207:AF214,AF216:AF226,AF228:AF236,AF239:AF302,AF304:AF306,AF308:AF321,AF323:AF331,AF334:AF381)</f>
        <v>1.3793915675937334</v>
      </c>
      <c r="AG386" s="399">
        <f>SUM(AG120:AG182,AG184:AG205,AG207:AG214,AG216:AG226,AG228:AG236,AG239:AG302,AG304:AG306,AG308:AG321,AG323:AG331,AG334:AG381)/COUNT(AG120:AG182,AG184:AG205,AG207:AG214,AG216:AG226,AG228:AG236,AG239:AG302,AG304:AG306,AG308:AG321,AG323:AG331,AG334:AG381)</f>
        <v>0.88567228701531608</v>
      </c>
      <c r="AI386" s="1014"/>
    </row>
    <row r="387" spans="2:35" s="299" customFormat="1" ht="24.75" x14ac:dyDescent="0.3">
      <c r="B387" s="622"/>
      <c r="C387" s="622"/>
      <c r="D387" s="622"/>
      <c r="E387" s="622"/>
      <c r="F387" s="622"/>
      <c r="G387" s="298"/>
      <c r="H387" s="623"/>
      <c r="I387" s="542"/>
      <c r="J387" s="542"/>
      <c r="K387" s="542"/>
      <c r="L387" s="542"/>
      <c r="M387" s="542"/>
      <c r="N387" s="697"/>
      <c r="O387" s="623"/>
      <c r="P387" s="542"/>
      <c r="Q387" s="542"/>
      <c r="R387" s="542"/>
      <c r="S387" s="542"/>
      <c r="T387" s="542"/>
      <c r="U387" s="612"/>
      <c r="V387" s="623"/>
      <c r="W387" s="542"/>
      <c r="X387" s="542"/>
      <c r="Y387" s="542"/>
      <c r="Z387" s="542"/>
      <c r="AA387" s="542"/>
      <c r="AB387" s="697"/>
      <c r="AC387" s="623"/>
      <c r="AD387" s="542"/>
      <c r="AE387" s="542"/>
      <c r="AF387" s="542"/>
      <c r="AG387" s="542"/>
      <c r="AI387" s="1018"/>
    </row>
    <row r="388" spans="2:35" ht="24.75" customHeight="1" x14ac:dyDescent="0.25">
      <c r="B388" s="616" t="s">
        <v>1180</v>
      </c>
      <c r="C388" s="394"/>
      <c r="D388" s="394"/>
      <c r="E388" s="394"/>
      <c r="F388" s="395"/>
      <c r="I388" s="542"/>
      <c r="K388" s="542"/>
      <c r="R388" s="542"/>
      <c r="AD388" s="542"/>
      <c r="AF388" s="542"/>
    </row>
    <row r="389" spans="2:35" x14ac:dyDescent="0.2">
      <c r="B389" s="394"/>
      <c r="C389" s="394"/>
      <c r="D389" s="394"/>
      <c r="E389" s="394"/>
      <c r="F389" s="395"/>
    </row>
    <row r="390" spans="2:35" x14ac:dyDescent="0.2">
      <c r="B390" s="394"/>
      <c r="C390" s="394"/>
      <c r="D390" s="394"/>
      <c r="E390" s="394"/>
      <c r="F390" s="395"/>
    </row>
    <row r="391" spans="2:35" x14ac:dyDescent="0.2">
      <c r="T391" s="303"/>
    </row>
    <row r="392" spans="2:35" ht="18" x14ac:dyDescent="0.25">
      <c r="B392" s="396"/>
      <c r="C392" s="396"/>
      <c r="D392" s="396"/>
      <c r="E392" s="396"/>
      <c r="I392" s="303"/>
      <c r="J392" s="303"/>
      <c r="K392" s="303"/>
      <c r="L392" s="303"/>
      <c r="M392" s="303"/>
    </row>
    <row r="393" spans="2:35" ht="18" x14ac:dyDescent="0.25">
      <c r="B393" s="396"/>
      <c r="C393" s="396"/>
      <c r="D393" s="396"/>
      <c r="E393" s="396"/>
      <c r="G393" s="297"/>
      <c r="H393" s="297"/>
      <c r="N393" s="698"/>
      <c r="U393" s="297"/>
      <c r="AB393" s="698"/>
    </row>
    <row r="394" spans="2:35" ht="18" x14ac:dyDescent="0.25">
      <c r="B394" s="396"/>
      <c r="C394" s="396"/>
      <c r="D394" s="396"/>
      <c r="E394" s="396"/>
      <c r="G394" s="297"/>
      <c r="H394" s="297"/>
      <c r="N394" s="698"/>
      <c r="U394" s="297"/>
      <c r="AB394" s="698"/>
    </row>
  </sheetData>
  <autoFilter ref="B14:CL386" xr:uid="{00000000-0009-0000-0000-000004000000}"/>
  <mergeCells count="534">
    <mergeCell ref="E71:E84"/>
    <mergeCell ref="L94:L97"/>
    <mergeCell ref="L99:L101"/>
    <mergeCell ref="AA99:AA101"/>
    <mergeCell ref="E146:E150"/>
    <mergeCell ref="E156:E163"/>
    <mergeCell ref="E151:E154"/>
    <mergeCell ref="B119:F119"/>
    <mergeCell ref="D151:D153"/>
    <mergeCell ref="C109:F109"/>
    <mergeCell ref="D158:D159"/>
    <mergeCell ref="C120:C182"/>
    <mergeCell ref="C118:F118"/>
    <mergeCell ref="B15:B118"/>
    <mergeCell ref="E40:E41"/>
    <mergeCell ref="F40:F41"/>
    <mergeCell ref="C15:C42"/>
    <mergeCell ref="C43:F43"/>
    <mergeCell ref="E15:E34"/>
    <mergeCell ref="F74:F76"/>
    <mergeCell ref="F83:F84"/>
    <mergeCell ref="F86:F89"/>
    <mergeCell ref="F93:F108"/>
    <mergeCell ref="C85:F85"/>
    <mergeCell ref="E44:E69"/>
    <mergeCell ref="C44:C69"/>
    <mergeCell ref="C71:C84"/>
    <mergeCell ref="Z94:Z97"/>
    <mergeCell ref="X99:X101"/>
    <mergeCell ref="Z99:Z101"/>
    <mergeCell ref="R104:R105"/>
    <mergeCell ref="S104:S105"/>
    <mergeCell ref="T104:T105"/>
    <mergeCell ref="V104:V105"/>
    <mergeCell ref="W104:W105"/>
    <mergeCell ref="X104:X105"/>
    <mergeCell ref="Y104:Y105"/>
    <mergeCell ref="Z104:Z105"/>
    <mergeCell ref="X94:X97"/>
    <mergeCell ref="W94:W97"/>
    <mergeCell ref="W99:W101"/>
    <mergeCell ref="Y99:Y101"/>
    <mergeCell ref="V94:V97"/>
    <mergeCell ref="V99:V101"/>
    <mergeCell ref="H104:H105"/>
    <mergeCell ref="I104:I105"/>
    <mergeCell ref="J104:J105"/>
    <mergeCell ref="K104:K105"/>
    <mergeCell ref="L104:L105"/>
    <mergeCell ref="BZ260:BZ262"/>
    <mergeCell ref="AD99:AD101"/>
    <mergeCell ref="AF99:AF101"/>
    <mergeCell ref="AS260:AS262"/>
    <mergeCell ref="AT260:AT262"/>
    <mergeCell ref="AJ260:AJ262"/>
    <mergeCell ref="AK260:AK262"/>
    <mergeCell ref="AM260:AM262"/>
    <mergeCell ref="AC104:AC105"/>
    <mergeCell ref="AD104:AD105"/>
    <mergeCell ref="AE104:AE105"/>
    <mergeCell ref="AF104:AF105"/>
    <mergeCell ref="AG104:AG105"/>
    <mergeCell ref="BO260:BO262"/>
    <mergeCell ref="BP260:BP262"/>
    <mergeCell ref="BR260:BR262"/>
    <mergeCell ref="BS260:BS262"/>
    <mergeCell ref="BU260:BU262"/>
    <mergeCell ref="BV260:BV262"/>
    <mergeCell ref="AQ260:AQ262"/>
    <mergeCell ref="BH257:BH259"/>
    <mergeCell ref="BL257:BL259"/>
    <mergeCell ref="BM257:BM259"/>
    <mergeCell ref="BO257:BO259"/>
    <mergeCell ref="AH334:AH376"/>
    <mergeCell ref="CG334:CG376"/>
    <mergeCell ref="CI334:CI376"/>
    <mergeCell ref="CJ334:CJ376"/>
    <mergeCell ref="AJ334:AJ376"/>
    <mergeCell ref="AK334:AK376"/>
    <mergeCell ref="AM334:AM376"/>
    <mergeCell ref="AN334:AN376"/>
    <mergeCell ref="AP334:AP376"/>
    <mergeCell ref="AQ334:AQ376"/>
    <mergeCell ref="AS334:AS376"/>
    <mergeCell ref="AT334:AT376"/>
    <mergeCell ref="AV334:AV376"/>
    <mergeCell ref="BD334:BD376"/>
    <mergeCell ref="BE334:BE376"/>
    <mergeCell ref="BG334:BG376"/>
    <mergeCell ref="BH334:BH376"/>
    <mergeCell ref="BJ334:BJ376"/>
    <mergeCell ref="AX334:AX376"/>
    <mergeCell ref="CJ260:CJ262"/>
    <mergeCell ref="BR257:BR259"/>
    <mergeCell ref="AY257:AY259"/>
    <mergeCell ref="BA257:BA259"/>
    <mergeCell ref="CL334:CL376"/>
    <mergeCell ref="BU334:BU376"/>
    <mergeCell ref="BV334:BV376"/>
    <mergeCell ref="BX334:BX376"/>
    <mergeCell ref="BZ334:BZ376"/>
    <mergeCell ref="CA334:CA376"/>
    <mergeCell ref="CC334:CC376"/>
    <mergeCell ref="CD334:CD376"/>
    <mergeCell ref="AY334:AY376"/>
    <mergeCell ref="BA334:BA376"/>
    <mergeCell ref="CF334:CF376"/>
    <mergeCell ref="BL334:BL376"/>
    <mergeCell ref="BM334:BM376"/>
    <mergeCell ref="BO334:BO376"/>
    <mergeCell ref="BP334:BP376"/>
    <mergeCell ref="BR334:BR376"/>
    <mergeCell ref="BS334:BS376"/>
    <mergeCell ref="BB334:BB376"/>
    <mergeCell ref="AC99:AC101"/>
    <mergeCell ref="AX260:AX262"/>
    <mergeCell ref="AY260:AY262"/>
    <mergeCell ref="BA260:BA262"/>
    <mergeCell ref="CI260:CI262"/>
    <mergeCell ref="CA260:CA262"/>
    <mergeCell ref="CC260:CC262"/>
    <mergeCell ref="CD260:CD262"/>
    <mergeCell ref="CF260:CF262"/>
    <mergeCell ref="CG260:CG262"/>
    <mergeCell ref="AN257:AN259"/>
    <mergeCell ref="AP257:AP259"/>
    <mergeCell ref="AQ257:AQ259"/>
    <mergeCell ref="AS257:AS259"/>
    <mergeCell ref="AT257:AT259"/>
    <mergeCell ref="AX257:AX259"/>
    <mergeCell ref="BD260:BD262"/>
    <mergeCell ref="BB260:BB262"/>
    <mergeCell ref="AJ257:AJ259"/>
    <mergeCell ref="AK257:AK259"/>
    <mergeCell ref="AM257:AM259"/>
    <mergeCell ref="AN260:AN262"/>
    <mergeCell ref="AP260:AP262"/>
    <mergeCell ref="BP257:BP259"/>
    <mergeCell ref="BB257:BB259"/>
    <mergeCell ref="BD257:BD259"/>
    <mergeCell ref="BE257:BE259"/>
    <mergeCell ref="BG257:BG259"/>
    <mergeCell ref="BE260:BE262"/>
    <mergeCell ref="BG260:BG262"/>
    <mergeCell ref="BH260:BH262"/>
    <mergeCell ref="BL260:BL262"/>
    <mergeCell ref="BM260:BM262"/>
    <mergeCell ref="CF257:CF259"/>
    <mergeCell ref="CG257:CG259"/>
    <mergeCell ref="CI257:CI259"/>
    <mergeCell ref="CJ257:CJ259"/>
    <mergeCell ref="BS257:BS259"/>
    <mergeCell ref="BU257:BU259"/>
    <mergeCell ref="BV257:BV259"/>
    <mergeCell ref="BZ257:BZ259"/>
    <mergeCell ref="CA257:CA259"/>
    <mergeCell ref="CC257:CC259"/>
    <mergeCell ref="CD257:CD259"/>
    <mergeCell ref="CL248:CL252"/>
    <mergeCell ref="CA248:CA252"/>
    <mergeCell ref="CC248:CC252"/>
    <mergeCell ref="CD248:CD252"/>
    <mergeCell ref="CF248:CF252"/>
    <mergeCell ref="CG248:CG252"/>
    <mergeCell ref="CI248:CI252"/>
    <mergeCell ref="BR248:BR252"/>
    <mergeCell ref="BS248:BS252"/>
    <mergeCell ref="BU248:BU252"/>
    <mergeCell ref="BV248:BV252"/>
    <mergeCell ref="BX248:BX252"/>
    <mergeCell ref="BZ248:BZ252"/>
    <mergeCell ref="BE248:BE252"/>
    <mergeCell ref="BG248:BG252"/>
    <mergeCell ref="AP248:AP252"/>
    <mergeCell ref="AQ248:AQ252"/>
    <mergeCell ref="AS248:AS252"/>
    <mergeCell ref="AT248:AT252"/>
    <mergeCell ref="AV248:AV252"/>
    <mergeCell ref="AX248:AX252"/>
    <mergeCell ref="CJ248:CJ252"/>
    <mergeCell ref="BH248:BH252"/>
    <mergeCell ref="BJ248:BJ252"/>
    <mergeCell ref="BL248:BL252"/>
    <mergeCell ref="BM248:BM252"/>
    <mergeCell ref="BO248:BO252"/>
    <mergeCell ref="BP248:BP252"/>
    <mergeCell ref="AH248:AH252"/>
    <mergeCell ref="AJ248:AJ252"/>
    <mergeCell ref="AK248:AK252"/>
    <mergeCell ref="AM248:AM252"/>
    <mergeCell ref="AN248:AN252"/>
    <mergeCell ref="AY248:AY252"/>
    <mergeCell ref="BA248:BA252"/>
    <mergeCell ref="BB248:BB252"/>
    <mergeCell ref="BD248:BD252"/>
    <mergeCell ref="BL239:BL247"/>
    <mergeCell ref="BM239:BM247"/>
    <mergeCell ref="BO239:BO247"/>
    <mergeCell ref="BP239:BP247"/>
    <mergeCell ref="BR239:BR247"/>
    <mergeCell ref="BS239:BS247"/>
    <mergeCell ref="BB239:BB247"/>
    <mergeCell ref="BD239:BD247"/>
    <mergeCell ref="BE239:BE247"/>
    <mergeCell ref="BG239:BG247"/>
    <mergeCell ref="CD239:CD247"/>
    <mergeCell ref="CF239:CF247"/>
    <mergeCell ref="CG239:CG247"/>
    <mergeCell ref="CI239:CI247"/>
    <mergeCell ref="CJ239:CJ247"/>
    <mergeCell ref="CL239:CL247"/>
    <mergeCell ref="BU239:BU247"/>
    <mergeCell ref="BV239:BV247"/>
    <mergeCell ref="BX239:BX247"/>
    <mergeCell ref="BZ239:BZ247"/>
    <mergeCell ref="CA239:CA247"/>
    <mergeCell ref="CC239:CC247"/>
    <mergeCell ref="AH239:AH247"/>
    <mergeCell ref="BJ239:BJ247"/>
    <mergeCell ref="AS239:AS247"/>
    <mergeCell ref="AT239:AT247"/>
    <mergeCell ref="AV239:AV247"/>
    <mergeCell ref="AX239:AX247"/>
    <mergeCell ref="AY239:AY247"/>
    <mergeCell ref="BA239:BA247"/>
    <mergeCell ref="AJ239:AJ247"/>
    <mergeCell ref="AK239:AK247"/>
    <mergeCell ref="AM239:AM247"/>
    <mergeCell ref="AN239:AN247"/>
    <mergeCell ref="AP239:AP247"/>
    <mergeCell ref="AQ239:AQ247"/>
    <mergeCell ref="BH239:BH247"/>
    <mergeCell ref="AN155:AN177"/>
    <mergeCell ref="AP155:AP177"/>
    <mergeCell ref="AQ155:AQ177"/>
    <mergeCell ref="AS155:AS177"/>
    <mergeCell ref="AT155:AT177"/>
    <mergeCell ref="AX155:AX177"/>
    <mergeCell ref="AJ155:AJ177"/>
    <mergeCell ref="AK155:AK177"/>
    <mergeCell ref="AM155:AM177"/>
    <mergeCell ref="BH155:BH177"/>
    <mergeCell ref="BL155:BL177"/>
    <mergeCell ref="BM155:BM177"/>
    <mergeCell ref="BO155:BO177"/>
    <mergeCell ref="BP155:BP177"/>
    <mergeCell ref="BR155:BR177"/>
    <mergeCell ref="AY155:AY177"/>
    <mergeCell ref="BA155:BA177"/>
    <mergeCell ref="BB155:BB177"/>
    <mergeCell ref="BD155:BD177"/>
    <mergeCell ref="BE155:BE177"/>
    <mergeCell ref="BG155:BG177"/>
    <mergeCell ref="CF155:CF177"/>
    <mergeCell ref="CG155:CG177"/>
    <mergeCell ref="CI155:CI177"/>
    <mergeCell ref="CJ155:CJ177"/>
    <mergeCell ref="BS155:BS177"/>
    <mergeCell ref="BU155:BU177"/>
    <mergeCell ref="BV155:BV177"/>
    <mergeCell ref="BZ155:BZ177"/>
    <mergeCell ref="CA155:CA177"/>
    <mergeCell ref="CC155:CC177"/>
    <mergeCell ref="CD155:CD177"/>
    <mergeCell ref="CL123:CL144"/>
    <mergeCell ref="CA123:CA144"/>
    <mergeCell ref="CC123:CC144"/>
    <mergeCell ref="CD123:CD144"/>
    <mergeCell ref="CF123:CF144"/>
    <mergeCell ref="CG123:CG144"/>
    <mergeCell ref="CI123:CI144"/>
    <mergeCell ref="BR123:BR144"/>
    <mergeCell ref="BS123:BS144"/>
    <mergeCell ref="BU123:BU144"/>
    <mergeCell ref="BV123:BV144"/>
    <mergeCell ref="BX123:BX144"/>
    <mergeCell ref="BZ123:BZ144"/>
    <mergeCell ref="BE123:BE144"/>
    <mergeCell ref="BG123:BG144"/>
    <mergeCell ref="AP123:AP144"/>
    <mergeCell ref="AQ123:AQ144"/>
    <mergeCell ref="AS123:AS144"/>
    <mergeCell ref="AT123:AT144"/>
    <mergeCell ref="AV123:AV144"/>
    <mergeCell ref="AX123:AX144"/>
    <mergeCell ref="CJ123:CJ144"/>
    <mergeCell ref="BH123:BH144"/>
    <mergeCell ref="BJ123:BJ144"/>
    <mergeCell ref="BL123:BL144"/>
    <mergeCell ref="BM123:BM144"/>
    <mergeCell ref="BO123:BO144"/>
    <mergeCell ref="BP123:BP144"/>
    <mergeCell ref="AH123:AH144"/>
    <mergeCell ref="AJ123:AJ144"/>
    <mergeCell ref="AK123:AK144"/>
    <mergeCell ref="AM123:AM144"/>
    <mergeCell ref="AN123:AN144"/>
    <mergeCell ref="AY123:AY144"/>
    <mergeCell ref="BA123:BA144"/>
    <mergeCell ref="BB123:BB144"/>
    <mergeCell ref="BD123:BD144"/>
    <mergeCell ref="CL120:CL122"/>
    <mergeCell ref="BX120:BX122"/>
    <mergeCell ref="BZ120:BZ122"/>
    <mergeCell ref="CA120:CA122"/>
    <mergeCell ref="CC120:CC122"/>
    <mergeCell ref="CD120:CD122"/>
    <mergeCell ref="CF120:CF122"/>
    <mergeCell ref="BO120:BO122"/>
    <mergeCell ref="BP120:BP122"/>
    <mergeCell ref="BR120:BR122"/>
    <mergeCell ref="BS120:BS122"/>
    <mergeCell ref="BU120:BU122"/>
    <mergeCell ref="BV120:BV122"/>
    <mergeCell ref="CG120:CG122"/>
    <mergeCell ref="CI120:CI122"/>
    <mergeCell ref="CJ120:CJ122"/>
    <mergeCell ref="BE120:BE122"/>
    <mergeCell ref="BG120:BG122"/>
    <mergeCell ref="BH120:BH122"/>
    <mergeCell ref="BJ120:BJ122"/>
    <mergeCell ref="BL120:BL122"/>
    <mergeCell ref="BM120:BM122"/>
    <mergeCell ref="BR45:BR47"/>
    <mergeCell ref="BS45:BS47"/>
    <mergeCell ref="BU45:BU47"/>
    <mergeCell ref="BP45:BP47"/>
    <mergeCell ref="BG45:BG47"/>
    <mergeCell ref="BH45:BH47"/>
    <mergeCell ref="BM45:BM47"/>
    <mergeCell ref="BO45:BO47"/>
    <mergeCell ref="BE45:BE47"/>
    <mergeCell ref="BL45:BL47"/>
    <mergeCell ref="CG45:CG47"/>
    <mergeCell ref="CI45:CI47"/>
    <mergeCell ref="CJ45:CJ47"/>
    <mergeCell ref="BV45:BV47"/>
    <mergeCell ref="BZ45:BZ47"/>
    <mergeCell ref="CA45:CA47"/>
    <mergeCell ref="CC45:CC47"/>
    <mergeCell ref="CD45:CD47"/>
    <mergeCell ref="CF45:CF47"/>
    <mergeCell ref="AY120:AY122"/>
    <mergeCell ref="BA120:BA122"/>
    <mergeCell ref="AY45:AY47"/>
    <mergeCell ref="BA45:BA47"/>
    <mergeCell ref="BB120:BB122"/>
    <mergeCell ref="BD120:BD122"/>
    <mergeCell ref="AM120:AM122"/>
    <mergeCell ref="AN120:AN122"/>
    <mergeCell ref="AP120:AP122"/>
    <mergeCell ref="AQ120:AQ122"/>
    <mergeCell ref="AS120:AS122"/>
    <mergeCell ref="AT120:AT122"/>
    <mergeCell ref="AV120:AV122"/>
    <mergeCell ref="BD45:BD47"/>
    <mergeCell ref="AH120:AH122"/>
    <mergeCell ref="AJ120:AJ122"/>
    <mergeCell ref="AK120:AK122"/>
    <mergeCell ref="AX120:AX122"/>
    <mergeCell ref="H94:H97"/>
    <mergeCell ref="H99:H101"/>
    <mergeCell ref="D116:D117"/>
    <mergeCell ref="D86:D88"/>
    <mergeCell ref="E110:E114"/>
    <mergeCell ref="R94:R97"/>
    <mergeCell ref="S94:S97"/>
    <mergeCell ref="R99:R101"/>
    <mergeCell ref="S99:S101"/>
    <mergeCell ref="Q99:Q101"/>
    <mergeCell ref="Y94:Y97"/>
    <mergeCell ref="AD94:AD97"/>
    <mergeCell ref="K94:K97"/>
    <mergeCell ref="K99:K101"/>
    <mergeCell ref="I94:I97"/>
    <mergeCell ref="O94:O97"/>
    <mergeCell ref="P94:P97"/>
    <mergeCell ref="Q94:Q97"/>
    <mergeCell ref="I99:I101"/>
    <mergeCell ref="O99:O101"/>
    <mergeCell ref="AK45:AK47"/>
    <mergeCell ref="AM45:AM47"/>
    <mergeCell ref="AN45:AN47"/>
    <mergeCell ref="AP45:AP47"/>
    <mergeCell ref="AQ45:AQ47"/>
    <mergeCell ref="BB45:BB47"/>
    <mergeCell ref="AJ45:AJ47"/>
    <mergeCell ref="AS45:AS47"/>
    <mergeCell ref="AT45:AT47"/>
    <mergeCell ref="AX45:AX47"/>
    <mergeCell ref="AX13:BJ13"/>
    <mergeCell ref="AH16:AH44"/>
    <mergeCell ref="AX16:AX44"/>
    <mergeCell ref="AY16:AY44"/>
    <mergeCell ref="BA16:BA44"/>
    <mergeCell ref="AJ16:AJ44"/>
    <mergeCell ref="AK16:AK44"/>
    <mergeCell ref="AM16:AM44"/>
    <mergeCell ref="AN16:AN44"/>
    <mergeCell ref="AP16:AP44"/>
    <mergeCell ref="AQ16:AQ44"/>
    <mergeCell ref="BB16:BB44"/>
    <mergeCell ref="BD16:BD44"/>
    <mergeCell ref="BE16:BE44"/>
    <mergeCell ref="BG16:BG44"/>
    <mergeCell ref="BH16:BH44"/>
    <mergeCell ref="BJ16:BJ44"/>
    <mergeCell ref="AS16:AS44"/>
    <mergeCell ref="AT16:AT44"/>
    <mergeCell ref="AV16:AV44"/>
    <mergeCell ref="H13:AH13"/>
    <mergeCell ref="AJ13:AV13"/>
    <mergeCell ref="W14:X14"/>
    <mergeCell ref="AD14:AE14"/>
    <mergeCell ref="BL13:BX13"/>
    <mergeCell ref="BZ13:CL13"/>
    <mergeCell ref="D44:D64"/>
    <mergeCell ref="F44:F64"/>
    <mergeCell ref="C70:F70"/>
    <mergeCell ref="D15:D17"/>
    <mergeCell ref="CG16:CG44"/>
    <mergeCell ref="CI16:CI44"/>
    <mergeCell ref="CJ16:CJ44"/>
    <mergeCell ref="CL16:CL44"/>
    <mergeCell ref="BU16:BU44"/>
    <mergeCell ref="BV16:BV44"/>
    <mergeCell ref="BX16:BX44"/>
    <mergeCell ref="BZ16:BZ44"/>
    <mergeCell ref="CA16:CA44"/>
    <mergeCell ref="CC16:CC44"/>
    <mergeCell ref="CD16:CD44"/>
    <mergeCell ref="CF16:CF44"/>
    <mergeCell ref="BL16:BL44"/>
    <mergeCell ref="BM16:BM44"/>
    <mergeCell ref="BO16:BO44"/>
    <mergeCell ref="BP16:BP44"/>
    <mergeCell ref="BR16:BR44"/>
    <mergeCell ref="BS16:BS44"/>
    <mergeCell ref="C228:C236"/>
    <mergeCell ref="D228:D236"/>
    <mergeCell ref="D223:D226"/>
    <mergeCell ref="B384:F384"/>
    <mergeCell ref="C303:F303"/>
    <mergeCell ref="C307:F307"/>
    <mergeCell ref="C322:F322"/>
    <mergeCell ref="E324:E331"/>
    <mergeCell ref="D324:D325"/>
    <mergeCell ref="C308:C321"/>
    <mergeCell ref="C323:C331"/>
    <mergeCell ref="B383:F383"/>
    <mergeCell ref="E308:E321"/>
    <mergeCell ref="C304:C306"/>
    <mergeCell ref="E257:E277"/>
    <mergeCell ref="E377:E380"/>
    <mergeCell ref="B333:F333"/>
    <mergeCell ref="B334:B382"/>
    <mergeCell ref="C382:F382"/>
    <mergeCell ref="C332:F332"/>
    <mergeCell ref="B239:B332"/>
    <mergeCell ref="C334:C381"/>
    <mergeCell ref="E239:E242"/>
    <mergeCell ref="E243:E246"/>
    <mergeCell ref="B385:F385"/>
    <mergeCell ref="C207:C214"/>
    <mergeCell ref="E207:E214"/>
    <mergeCell ref="E116:E117"/>
    <mergeCell ref="C110:C117"/>
    <mergeCell ref="E86:E107"/>
    <mergeCell ref="C86:C108"/>
    <mergeCell ref="C216:C226"/>
    <mergeCell ref="E216:E226"/>
    <mergeCell ref="C227:F227"/>
    <mergeCell ref="D200:D201"/>
    <mergeCell ref="F200:F201"/>
    <mergeCell ref="E166:E177"/>
    <mergeCell ref="C183:F183"/>
    <mergeCell ref="E184:E198"/>
    <mergeCell ref="E199:E205"/>
    <mergeCell ref="D188:D189"/>
    <mergeCell ref="C206:F206"/>
    <mergeCell ref="F110:F117"/>
    <mergeCell ref="E247:E250"/>
    <mergeCell ref="E286:E290"/>
    <mergeCell ref="E278:E285"/>
    <mergeCell ref="E251:E256"/>
    <mergeCell ref="E291:E302"/>
    <mergeCell ref="B386:F386"/>
    <mergeCell ref="W1:AH3"/>
    <mergeCell ref="D2:E2"/>
    <mergeCell ref="F2:V2"/>
    <mergeCell ref="D3:E3"/>
    <mergeCell ref="G3:P3"/>
    <mergeCell ref="R3:U3"/>
    <mergeCell ref="B238:F238"/>
    <mergeCell ref="C237:F237"/>
    <mergeCell ref="B120:B237"/>
    <mergeCell ref="C184:C205"/>
    <mergeCell ref="C215:F215"/>
    <mergeCell ref="D208:D210"/>
    <mergeCell ref="F22:F37"/>
    <mergeCell ref="B1:C3"/>
    <mergeCell ref="D1:E1"/>
    <mergeCell ref="C239:C302"/>
    <mergeCell ref="F1:V1"/>
    <mergeCell ref="F65:F69"/>
    <mergeCell ref="B5:C5"/>
    <mergeCell ref="I14:J14"/>
    <mergeCell ref="K14:M14"/>
    <mergeCell ref="D129:D130"/>
    <mergeCell ref="D5:E5"/>
    <mergeCell ref="E334:E375"/>
    <mergeCell ref="D144:D145"/>
    <mergeCell ref="E120:E145"/>
    <mergeCell ref="D352:D353"/>
    <mergeCell ref="D354:D355"/>
    <mergeCell ref="AF14:AG14"/>
    <mergeCell ref="AE94:AE97"/>
    <mergeCell ref="AG94:AG97"/>
    <mergeCell ref="AE99:AE101"/>
    <mergeCell ref="AG99:AG101"/>
    <mergeCell ref="P99:P101"/>
    <mergeCell ref="R14:T14"/>
    <mergeCell ref="T94:T97"/>
    <mergeCell ref="T99:T101"/>
    <mergeCell ref="M104:M105"/>
    <mergeCell ref="O104:O105"/>
    <mergeCell ref="P104:P105"/>
    <mergeCell ref="AF94:AF97"/>
    <mergeCell ref="AC94:AC97"/>
    <mergeCell ref="Q104:Q105"/>
    <mergeCell ref="Y14:AA14"/>
    <mergeCell ref="AA94:AA97"/>
    <mergeCell ref="P14:Q14"/>
    <mergeCell ref="AA104:AA105"/>
  </mergeCells>
  <conditionalFormatting sqref="AM257:AM259 AP257:AP259 AS239:AS247 BA257:BA259 BD257:BD259 BG239:BG247 BO257:BO259 BR257:BR259 BU239:BU247 CC257:CC259 CF257:CF259 CI239:CI247 AP123:AP237 AS123:AS237 AJ123:AJ237 AM123:AM237 BA123:BA237 AX123:AX237 BD123:BD237 BG120:BG237 BZ123:BZ237 BO123:BO237 BL123:BL237 BR123:BR237 BU120:BU237 CC123:CC237 CF123:CF237 CI120:CI237 AJ257:AJ332 AX257:AX332 BL257:BL332 BZ257:BZ332 BA16:BA70 AJ16:AJ70 AP16:AP70 AX16:AX70 BD16:BD70 BG16:BG70 BL16:BL70 BR16:BR70 BZ16:BZ70 CF16:CF70 AM16:AM70 BO16:BO70 CC16:CC70 AS16:AS70 BU16:BU70 CI16:CI70 AS334:AS381 BG334:BG381 BU334:BU381 CI334:CI381 AJ334:AJ381 AX334:AX381 BL334:BL381 BZ334:BZ381">
    <cfRule type="expression" dxfId="17735" priority="33211" stopIfTrue="1">
      <formula>AND(IF(AJ16&gt;=#REF!,AJ16&lt;&gt;"N/A"))</formula>
    </cfRule>
    <cfRule type="expression" dxfId="17734" priority="33212" stopIfTrue="1">
      <formula>AND(IF(AJ16&lt;#REF!,AJ16&gt;=#REF!,AJ16&lt;&gt;"N/A"))</formula>
    </cfRule>
    <cfRule type="expression" dxfId="17733" priority="33213" stopIfTrue="1">
      <formula>AND(IF(AJ16&lt;#REF!,AJ16&lt;&gt;"N/A"))</formula>
    </cfRule>
  </conditionalFormatting>
  <conditionalFormatting sqref="H43 AJ248:AJ256 AP248:AP256 AS248:AS256 AJ382 AP382 AS382 AX248:AX256 BD248:BD256 BG248:BG256 AX382 BD382 BG382 BL248:BL256 BR248:BR256 BU248:BU256 BL382 BR382 BU382 BZ248:BZ256 CF248:CF256 CI248:CI256 BZ382 CF382 CI382">
    <cfRule type="expression" dxfId="17732" priority="33214" stopIfTrue="1">
      <formula>AND(IF(H43&gt;=#REF!,H43&lt;&gt;"N/A"))</formula>
    </cfRule>
    <cfRule type="expression" dxfId="17731" priority="33215" stopIfTrue="1">
      <formula>AND(IF(H43&lt;#REF!,H43&gt;=#REF!,H43&lt;&gt;"N/A"))</formula>
    </cfRule>
    <cfRule type="expression" dxfId="17730" priority="33216" stopIfTrue="1">
      <formula>AND(IF(H43&lt;#REF!,H43&lt;&gt;"N/A"))</formula>
    </cfRule>
  </conditionalFormatting>
  <conditionalFormatting sqref="AP239:AP247 AM239:AM247 BD239:BD247 BA239:BA247 BR239:BR247 BO239:BO247 CF239:CF247 CC239:CC247">
    <cfRule type="expression" dxfId="17729" priority="33205" stopIfTrue="1">
      <formula>AND(IF(AM239&gt;=#REF!,AM239&lt;&gt;"N/A"))</formula>
    </cfRule>
    <cfRule type="expression" dxfId="17728" priority="33206" stopIfTrue="1">
      <formula>AND(IF(AM239&lt;#REF!,AM239&gt;=#REF!,AM239&lt;&gt;"N/A"))</formula>
    </cfRule>
    <cfRule type="expression" dxfId="17727" priority="33207" stopIfTrue="1">
      <formula>AND(IF(AM239&lt;#REF!,AM239&lt;&gt;"N/A"))</formula>
    </cfRule>
  </conditionalFormatting>
  <conditionalFormatting sqref="AJ15">
    <cfRule type="expression" dxfId="17726" priority="33160" stopIfTrue="1">
      <formula>AND(IF(AJ15&gt;=#REF!,AJ15&lt;&gt;"N/A"))</formula>
    </cfRule>
    <cfRule type="expression" dxfId="17725" priority="33161" stopIfTrue="1">
      <formula>AND(IF(AJ15&lt;#REF!,AJ15&gt;=#REF!,AJ15&lt;&gt;"N/A"))</formula>
    </cfRule>
    <cfRule type="expression" dxfId="17724" priority="33162" stopIfTrue="1">
      <formula>AND(IF(AJ15&lt;#REF!,AJ15&lt;&gt;"N/A"))</formula>
    </cfRule>
  </conditionalFormatting>
  <conditionalFormatting sqref="AS257:AS259">
    <cfRule type="expression" dxfId="17723" priority="33142" stopIfTrue="1">
      <formula>AND(IF(AS257&gt;=#REF!,AS257&lt;&gt;"N/A"))</formula>
    </cfRule>
    <cfRule type="expression" dxfId="17722" priority="33143" stopIfTrue="1">
      <formula>AND(IF(AS257&lt;#REF!,AS257&gt;=#REF!,AS257&lt;&gt;"N/A"))</formula>
    </cfRule>
    <cfRule type="expression" dxfId="17721" priority="33144" stopIfTrue="1">
      <formula>AND(IF(AS257&lt;#REF!,AS257&lt;&gt;"N/A"))</formula>
    </cfRule>
  </conditionalFormatting>
  <conditionalFormatting sqref="AM248:AM256">
    <cfRule type="expression" dxfId="17720" priority="33145" stopIfTrue="1">
      <formula>AND(IF(AM248&gt;=#REF!,AM248&lt;&gt;"N/A"))</formula>
    </cfRule>
    <cfRule type="expression" dxfId="17719" priority="33146" stopIfTrue="1">
      <formula>AND(IF(AM248&lt;#REF!,AM248&gt;=#REF!,AM248&lt;&gt;"N/A"))</formula>
    </cfRule>
    <cfRule type="expression" dxfId="17718" priority="33147" stopIfTrue="1">
      <formula>AND(IF(AM248&lt;#REF!,AM248&lt;&gt;"N/A"))</formula>
    </cfRule>
  </conditionalFormatting>
  <conditionalFormatting sqref="AJ239:AJ247">
    <cfRule type="expression" dxfId="17717" priority="33148" stopIfTrue="1">
      <formula>AND(IF(AJ239&gt;=#REF!,AJ239&lt;&gt;"N/A"))</formula>
    </cfRule>
    <cfRule type="expression" dxfId="17716" priority="33149" stopIfTrue="1">
      <formula>AND(IF(AJ239&lt;#REF!,AJ239&gt;=#REF!,AJ239&lt;&gt;"N/A"))</formula>
    </cfRule>
    <cfRule type="expression" dxfId="17715" priority="33150" stopIfTrue="1">
      <formula>AND(IF(AJ239&lt;#REF!,AJ239&lt;&gt;"N/A"))</formula>
    </cfRule>
  </conditionalFormatting>
  <conditionalFormatting sqref="AM382">
    <cfRule type="expression" dxfId="17714" priority="33136" stopIfTrue="1">
      <formula>AND(IF(AM382&gt;=#REF!,AM382&lt;&gt;"N/A"))</formula>
    </cfRule>
    <cfRule type="expression" dxfId="17713" priority="33137" stopIfTrue="1">
      <formula>AND(IF(AM382&lt;#REF!,AM382&gt;=#REF!,AM382&lt;&gt;"N/A"))</formula>
    </cfRule>
    <cfRule type="expression" dxfId="17712" priority="33138" stopIfTrue="1">
      <formula>AND(IF(AM382&lt;#REF!,AM382&lt;&gt;"N/A"))</formula>
    </cfRule>
  </conditionalFormatting>
  <conditionalFormatting sqref="AJ120:AJ122">
    <cfRule type="expression" dxfId="17711" priority="33130" stopIfTrue="1">
      <formula>AND(IF(AJ120&gt;=#REF!,AJ120&lt;&gt;"N/A"))</formula>
    </cfRule>
    <cfRule type="expression" dxfId="17710" priority="33131" stopIfTrue="1">
      <formula>AND(IF(AJ120&lt;#REF!,AJ120&gt;=#REF!,AJ120&lt;&gt;"N/A"))</formula>
    </cfRule>
    <cfRule type="expression" dxfId="17709" priority="33132" stopIfTrue="1">
      <formula>AND(IF(AJ120&lt;#REF!,AJ120&lt;&gt;"N/A"))</formula>
    </cfRule>
  </conditionalFormatting>
  <conditionalFormatting sqref="AS15">
    <cfRule type="expression" dxfId="17708" priority="33127" stopIfTrue="1">
      <formula>AND(IF(AS15&gt;=#REF!,AS15&lt;&gt;"N/A"))</formula>
    </cfRule>
    <cfRule type="expression" dxfId="17707" priority="33128" stopIfTrue="1">
      <formula>AND(IF(AS15&lt;#REF!,AS15&gt;=#REF!,AS15&lt;&gt;"N/A"))</formula>
    </cfRule>
    <cfRule type="expression" dxfId="17706" priority="33129" stopIfTrue="1">
      <formula>AND(IF(AS15&lt;#REF!,AS15&lt;&gt;"N/A"))</formula>
    </cfRule>
  </conditionalFormatting>
  <conditionalFormatting sqref="AM120:AM122">
    <cfRule type="expression" dxfId="17705" priority="33124" stopIfTrue="1">
      <formula>AND(IF(AM120&gt;=#REF!,AM120&lt;&gt;"N/A"))</formula>
    </cfRule>
    <cfRule type="expression" dxfId="17704" priority="33125" stopIfTrue="1">
      <formula>AND(IF(AM120&lt;#REF!,AM120&gt;=#REF!,AM120&lt;&gt;"N/A"))</formula>
    </cfRule>
    <cfRule type="expression" dxfId="17703" priority="33126" stopIfTrue="1">
      <formula>AND(IF(AM120&lt;#REF!,AM120&lt;&gt;"N/A"))</formula>
    </cfRule>
  </conditionalFormatting>
  <conditionalFormatting sqref="AP120:AP122">
    <cfRule type="expression" dxfId="17702" priority="33121" stopIfTrue="1">
      <formula>AND(IF(AP120&gt;=#REF!,AP120&lt;&gt;"N/A"))</formula>
    </cfRule>
    <cfRule type="expression" dxfId="17701" priority="33122" stopIfTrue="1">
      <formula>AND(IF(AP120&lt;#REF!,AP120&gt;=#REF!,AP120&lt;&gt;"N/A"))</formula>
    </cfRule>
    <cfRule type="expression" dxfId="17700" priority="33123" stopIfTrue="1">
      <formula>AND(IF(AP120&lt;#REF!,AP120&lt;&gt;"N/A"))</formula>
    </cfRule>
  </conditionalFormatting>
  <conditionalFormatting sqref="AS120:AS122">
    <cfRule type="expression" dxfId="17699" priority="33118" stopIfTrue="1">
      <formula>AND(IF(AS120&gt;=#REF!,AS120&lt;&gt;"N/A"))</formula>
    </cfRule>
    <cfRule type="expression" dxfId="17698" priority="33119" stopIfTrue="1">
      <formula>AND(IF(AS120&lt;#REF!,AS120&gt;=#REF!,AS120&lt;&gt;"N/A"))</formula>
    </cfRule>
    <cfRule type="expression" dxfId="17697" priority="33120" stopIfTrue="1">
      <formula>AND(IF(AS120&lt;#REF!,AS120&lt;&gt;"N/A"))</formula>
    </cfRule>
  </conditionalFormatting>
  <conditionalFormatting sqref="AX15">
    <cfRule type="expression" dxfId="17696" priority="33103" stopIfTrue="1">
      <formula>AND(IF(AX15&gt;=#REF!,AX15&lt;&gt;"N/A"))</formula>
    </cfRule>
    <cfRule type="expression" dxfId="17695" priority="33104" stopIfTrue="1">
      <formula>AND(IF(AX15&lt;#REF!,AX15&gt;=#REF!,AX15&lt;&gt;"N/A"))</formula>
    </cfRule>
    <cfRule type="expression" dxfId="17694" priority="33105" stopIfTrue="1">
      <formula>AND(IF(AX15&lt;#REF!,AX15&lt;&gt;"N/A"))</formula>
    </cfRule>
  </conditionalFormatting>
  <conditionalFormatting sqref="BG257:BG259">
    <cfRule type="expression" dxfId="17693" priority="33085" stopIfTrue="1">
      <formula>AND(IF(BG257&gt;=#REF!,BG257&lt;&gt;"N/A"))</formula>
    </cfRule>
    <cfRule type="expression" dxfId="17692" priority="33086" stopIfTrue="1">
      <formula>AND(IF(BG257&lt;#REF!,BG257&gt;=#REF!,BG257&lt;&gt;"N/A"))</formula>
    </cfRule>
    <cfRule type="expression" dxfId="17691" priority="33087" stopIfTrue="1">
      <formula>AND(IF(BG257&lt;#REF!,BG257&lt;&gt;"N/A"))</formula>
    </cfRule>
  </conditionalFormatting>
  <conditionalFormatting sqref="BA248:BA256">
    <cfRule type="expression" dxfId="17690" priority="33088" stopIfTrue="1">
      <formula>AND(IF(BA248&gt;=#REF!,BA248&lt;&gt;"N/A"))</formula>
    </cfRule>
    <cfRule type="expression" dxfId="17689" priority="33089" stopIfTrue="1">
      <formula>AND(IF(BA248&lt;#REF!,BA248&gt;=#REF!,BA248&lt;&gt;"N/A"))</formula>
    </cfRule>
    <cfRule type="expression" dxfId="17688" priority="33090" stopIfTrue="1">
      <formula>AND(IF(BA248&lt;#REF!,BA248&lt;&gt;"N/A"))</formula>
    </cfRule>
  </conditionalFormatting>
  <conditionalFormatting sqref="AX239:AX247">
    <cfRule type="expression" dxfId="17687" priority="33091" stopIfTrue="1">
      <formula>AND(IF(AX239&gt;=#REF!,AX239&lt;&gt;"N/A"))</formula>
    </cfRule>
    <cfRule type="expression" dxfId="17686" priority="33092" stopIfTrue="1">
      <formula>AND(IF(AX239&lt;#REF!,AX239&gt;=#REF!,AX239&lt;&gt;"N/A"))</formula>
    </cfRule>
    <cfRule type="expression" dxfId="17685" priority="33093" stopIfTrue="1">
      <formula>AND(IF(AX239&lt;#REF!,AX239&lt;&gt;"N/A"))</formula>
    </cfRule>
  </conditionalFormatting>
  <conditionalFormatting sqref="BA382">
    <cfRule type="expression" dxfId="17684" priority="33079" stopIfTrue="1">
      <formula>AND(IF(BA382&gt;=#REF!,BA382&lt;&gt;"N/A"))</formula>
    </cfRule>
    <cfRule type="expression" dxfId="17683" priority="33080" stopIfTrue="1">
      <formula>AND(IF(BA382&lt;#REF!,BA382&gt;=#REF!,BA382&lt;&gt;"N/A"))</formula>
    </cfRule>
    <cfRule type="expression" dxfId="17682" priority="33081" stopIfTrue="1">
      <formula>AND(IF(BA382&lt;#REF!,BA382&lt;&gt;"N/A"))</formula>
    </cfRule>
  </conditionalFormatting>
  <conditionalFormatting sqref="AX120:AX122">
    <cfRule type="expression" dxfId="17681" priority="33073" stopIfTrue="1">
      <formula>AND(IF(AX120&gt;=#REF!,AX120&lt;&gt;"N/A"))</formula>
    </cfRule>
    <cfRule type="expression" dxfId="17680" priority="33074" stopIfTrue="1">
      <formula>AND(IF(AX120&lt;#REF!,AX120&gt;=#REF!,AX120&lt;&gt;"N/A"))</formula>
    </cfRule>
    <cfRule type="expression" dxfId="17679" priority="33075" stopIfTrue="1">
      <formula>AND(IF(AX120&lt;#REF!,AX120&lt;&gt;"N/A"))</formula>
    </cfRule>
  </conditionalFormatting>
  <conditionalFormatting sqref="BG15">
    <cfRule type="expression" dxfId="17678" priority="33070" stopIfTrue="1">
      <formula>AND(IF(BG15&gt;=#REF!,BG15&lt;&gt;"N/A"))</formula>
    </cfRule>
    <cfRule type="expression" dxfId="17677" priority="33071" stopIfTrue="1">
      <formula>AND(IF(BG15&lt;#REF!,BG15&gt;=#REF!,BG15&lt;&gt;"N/A"))</formula>
    </cfRule>
    <cfRule type="expression" dxfId="17676" priority="33072" stopIfTrue="1">
      <formula>AND(IF(BG15&lt;#REF!,BG15&lt;&gt;"N/A"))</formula>
    </cfRule>
  </conditionalFormatting>
  <conditionalFormatting sqref="BA120:BA122">
    <cfRule type="expression" dxfId="17675" priority="33067" stopIfTrue="1">
      <formula>AND(IF(BA120&gt;=#REF!,BA120&lt;&gt;"N/A"))</formula>
    </cfRule>
    <cfRule type="expression" dxfId="17674" priority="33068" stopIfTrue="1">
      <formula>AND(IF(BA120&lt;#REF!,BA120&gt;=#REF!,BA120&lt;&gt;"N/A"))</formula>
    </cfRule>
    <cfRule type="expression" dxfId="17673" priority="33069" stopIfTrue="1">
      <formula>AND(IF(BA120&lt;#REF!,BA120&lt;&gt;"N/A"))</formula>
    </cfRule>
  </conditionalFormatting>
  <conditionalFormatting sqref="BD120:BD122">
    <cfRule type="expression" dxfId="17672" priority="33064" stopIfTrue="1">
      <formula>AND(IF(BD120&gt;=#REF!,BD120&lt;&gt;"N/A"))</formula>
    </cfRule>
    <cfRule type="expression" dxfId="17671" priority="33065" stopIfTrue="1">
      <formula>AND(IF(BD120&lt;#REF!,BD120&gt;=#REF!,BD120&lt;&gt;"N/A"))</formula>
    </cfRule>
    <cfRule type="expression" dxfId="17670" priority="33066" stopIfTrue="1">
      <formula>AND(IF(BD120&lt;#REF!,BD120&lt;&gt;"N/A"))</formula>
    </cfRule>
  </conditionalFormatting>
  <conditionalFormatting sqref="BL15">
    <cfRule type="expression" dxfId="17669" priority="33046" stopIfTrue="1">
      <formula>AND(IF(BL15&gt;=#REF!,BL15&lt;&gt;"N/A"))</formula>
    </cfRule>
    <cfRule type="expression" dxfId="17668" priority="33047" stopIfTrue="1">
      <formula>AND(IF(BL15&lt;#REF!,BL15&gt;=#REF!,BL15&lt;&gt;"N/A"))</formula>
    </cfRule>
    <cfRule type="expression" dxfId="17667" priority="33048" stopIfTrue="1">
      <formula>AND(IF(BL15&lt;#REF!,BL15&lt;&gt;"N/A"))</formula>
    </cfRule>
  </conditionalFormatting>
  <conditionalFormatting sqref="BU257:BU259">
    <cfRule type="expression" dxfId="17666" priority="33028" stopIfTrue="1">
      <formula>AND(IF(BU257&gt;=#REF!,BU257&lt;&gt;"N/A"))</formula>
    </cfRule>
    <cfRule type="expression" dxfId="17665" priority="33029" stopIfTrue="1">
      <formula>AND(IF(BU257&lt;#REF!,BU257&gt;=#REF!,BU257&lt;&gt;"N/A"))</formula>
    </cfRule>
    <cfRule type="expression" dxfId="17664" priority="33030" stopIfTrue="1">
      <formula>AND(IF(BU257&lt;#REF!,BU257&lt;&gt;"N/A"))</formula>
    </cfRule>
  </conditionalFormatting>
  <conditionalFormatting sqref="BO248:BO256">
    <cfRule type="expression" dxfId="17663" priority="33031" stopIfTrue="1">
      <formula>AND(IF(BO248&gt;=#REF!,BO248&lt;&gt;"N/A"))</formula>
    </cfRule>
    <cfRule type="expression" dxfId="17662" priority="33032" stopIfTrue="1">
      <formula>AND(IF(BO248&lt;#REF!,BO248&gt;=#REF!,BO248&lt;&gt;"N/A"))</formula>
    </cfRule>
    <cfRule type="expression" dxfId="17661" priority="33033" stopIfTrue="1">
      <formula>AND(IF(BO248&lt;#REF!,BO248&lt;&gt;"N/A"))</formula>
    </cfRule>
  </conditionalFormatting>
  <conditionalFormatting sqref="BL239:BL247">
    <cfRule type="expression" dxfId="17660" priority="33034" stopIfTrue="1">
      <formula>AND(IF(BL239&gt;=#REF!,BL239&lt;&gt;"N/A"))</formula>
    </cfRule>
    <cfRule type="expression" dxfId="17659" priority="33035" stopIfTrue="1">
      <formula>AND(IF(BL239&lt;#REF!,BL239&gt;=#REF!,BL239&lt;&gt;"N/A"))</formula>
    </cfRule>
    <cfRule type="expression" dxfId="17658" priority="33036" stopIfTrue="1">
      <formula>AND(IF(BL239&lt;#REF!,BL239&lt;&gt;"N/A"))</formula>
    </cfRule>
  </conditionalFormatting>
  <conditionalFormatting sqref="BO382">
    <cfRule type="expression" dxfId="17657" priority="33022" stopIfTrue="1">
      <formula>AND(IF(BO382&gt;=#REF!,BO382&lt;&gt;"N/A"))</formula>
    </cfRule>
    <cfRule type="expression" dxfId="17656" priority="33023" stopIfTrue="1">
      <formula>AND(IF(BO382&lt;#REF!,BO382&gt;=#REF!,BO382&lt;&gt;"N/A"))</formula>
    </cfRule>
    <cfRule type="expression" dxfId="17655" priority="33024" stopIfTrue="1">
      <formula>AND(IF(BO382&lt;#REF!,BO382&lt;&gt;"N/A"))</formula>
    </cfRule>
  </conditionalFormatting>
  <conditionalFormatting sqref="BL120:BL122">
    <cfRule type="expression" dxfId="17654" priority="33016" stopIfTrue="1">
      <formula>AND(IF(BL120&gt;=#REF!,BL120&lt;&gt;"N/A"))</formula>
    </cfRule>
    <cfRule type="expression" dxfId="17653" priority="33017" stopIfTrue="1">
      <formula>AND(IF(BL120&lt;#REF!,BL120&gt;=#REF!,BL120&lt;&gt;"N/A"))</formula>
    </cfRule>
    <cfRule type="expression" dxfId="17652" priority="33018" stopIfTrue="1">
      <formula>AND(IF(BL120&lt;#REF!,BL120&lt;&gt;"N/A"))</formula>
    </cfRule>
  </conditionalFormatting>
  <conditionalFormatting sqref="BU15">
    <cfRule type="expression" dxfId="17651" priority="33013" stopIfTrue="1">
      <formula>AND(IF(BU15&gt;=#REF!,BU15&lt;&gt;"N/A"))</formula>
    </cfRule>
    <cfRule type="expression" dxfId="17650" priority="33014" stopIfTrue="1">
      <formula>AND(IF(BU15&lt;#REF!,BU15&gt;=#REF!,BU15&lt;&gt;"N/A"))</formula>
    </cfRule>
    <cfRule type="expression" dxfId="17649" priority="33015" stopIfTrue="1">
      <formula>AND(IF(BU15&lt;#REF!,BU15&lt;&gt;"N/A"))</formula>
    </cfRule>
  </conditionalFormatting>
  <conditionalFormatting sqref="BO120:BO122">
    <cfRule type="expression" dxfId="17648" priority="33010" stopIfTrue="1">
      <formula>AND(IF(BO120&gt;=#REF!,BO120&lt;&gt;"N/A"))</formula>
    </cfRule>
    <cfRule type="expression" dxfId="17647" priority="33011" stopIfTrue="1">
      <formula>AND(IF(BO120&lt;#REF!,BO120&gt;=#REF!,BO120&lt;&gt;"N/A"))</formula>
    </cfRule>
    <cfRule type="expression" dxfId="17646" priority="33012" stopIfTrue="1">
      <formula>AND(IF(BO120&lt;#REF!,BO120&lt;&gt;"N/A"))</formula>
    </cfRule>
  </conditionalFormatting>
  <conditionalFormatting sqref="BR120:BR122">
    <cfRule type="expression" dxfId="17645" priority="33007" stopIfTrue="1">
      <formula>AND(IF(BR120&gt;=#REF!,BR120&lt;&gt;"N/A"))</formula>
    </cfRule>
    <cfRule type="expression" dxfId="17644" priority="33008" stopIfTrue="1">
      <formula>AND(IF(BR120&lt;#REF!,BR120&gt;=#REF!,BR120&lt;&gt;"N/A"))</formula>
    </cfRule>
    <cfRule type="expression" dxfId="17643" priority="33009" stopIfTrue="1">
      <formula>AND(IF(BR120&lt;#REF!,BR120&lt;&gt;"N/A"))</formula>
    </cfRule>
  </conditionalFormatting>
  <conditionalFormatting sqref="BZ15">
    <cfRule type="expression" dxfId="17642" priority="32989" stopIfTrue="1">
      <formula>AND(IF(BZ15&gt;=#REF!,BZ15&lt;&gt;"N/A"))</formula>
    </cfRule>
    <cfRule type="expression" dxfId="17641" priority="32990" stopIfTrue="1">
      <formula>AND(IF(BZ15&lt;#REF!,BZ15&gt;=#REF!,BZ15&lt;&gt;"N/A"))</formula>
    </cfRule>
    <cfRule type="expression" dxfId="17640" priority="32991" stopIfTrue="1">
      <formula>AND(IF(BZ15&lt;#REF!,BZ15&lt;&gt;"N/A"))</formula>
    </cfRule>
  </conditionalFormatting>
  <conditionalFormatting sqref="CI257:CI259">
    <cfRule type="expression" dxfId="17639" priority="32971" stopIfTrue="1">
      <formula>AND(IF(CI257&gt;=#REF!,CI257&lt;&gt;"N/A"))</formula>
    </cfRule>
    <cfRule type="expression" dxfId="17638" priority="32972" stopIfTrue="1">
      <formula>AND(IF(CI257&lt;#REF!,CI257&gt;=#REF!,CI257&lt;&gt;"N/A"))</formula>
    </cfRule>
    <cfRule type="expression" dxfId="17637" priority="32973" stopIfTrue="1">
      <formula>AND(IF(CI257&lt;#REF!,CI257&lt;&gt;"N/A"))</formula>
    </cfRule>
  </conditionalFormatting>
  <conditionalFormatting sqref="CC248:CC256">
    <cfRule type="expression" dxfId="17636" priority="32974" stopIfTrue="1">
      <formula>AND(IF(CC248&gt;=#REF!,CC248&lt;&gt;"N/A"))</formula>
    </cfRule>
    <cfRule type="expression" dxfId="17635" priority="32975" stopIfTrue="1">
      <formula>AND(IF(CC248&lt;#REF!,CC248&gt;=#REF!,CC248&lt;&gt;"N/A"))</formula>
    </cfRule>
    <cfRule type="expression" dxfId="17634" priority="32976" stopIfTrue="1">
      <formula>AND(IF(CC248&lt;#REF!,CC248&lt;&gt;"N/A"))</formula>
    </cfRule>
  </conditionalFormatting>
  <conditionalFormatting sqref="BZ239:BZ247">
    <cfRule type="expression" dxfId="17633" priority="32977" stopIfTrue="1">
      <formula>AND(IF(BZ239&gt;=#REF!,BZ239&lt;&gt;"N/A"))</formula>
    </cfRule>
    <cfRule type="expression" dxfId="17632" priority="32978" stopIfTrue="1">
      <formula>AND(IF(BZ239&lt;#REF!,BZ239&gt;=#REF!,BZ239&lt;&gt;"N/A"))</formula>
    </cfRule>
    <cfRule type="expression" dxfId="17631" priority="32979" stopIfTrue="1">
      <formula>AND(IF(BZ239&lt;#REF!,BZ239&lt;&gt;"N/A"))</formula>
    </cfRule>
  </conditionalFormatting>
  <conditionalFormatting sqref="CC382">
    <cfRule type="expression" dxfId="17630" priority="32965" stopIfTrue="1">
      <formula>AND(IF(CC382&gt;=#REF!,CC382&lt;&gt;"N/A"))</formula>
    </cfRule>
    <cfRule type="expression" dxfId="17629" priority="32966" stopIfTrue="1">
      <formula>AND(IF(CC382&lt;#REF!,CC382&gt;=#REF!,CC382&lt;&gt;"N/A"))</formula>
    </cfRule>
    <cfRule type="expression" dxfId="17628" priority="32967" stopIfTrue="1">
      <formula>AND(IF(CC382&lt;#REF!,CC382&lt;&gt;"N/A"))</formula>
    </cfRule>
  </conditionalFormatting>
  <conditionalFormatting sqref="BZ120:BZ122">
    <cfRule type="expression" dxfId="17627" priority="32959" stopIfTrue="1">
      <formula>AND(IF(BZ120&gt;=#REF!,BZ120&lt;&gt;"N/A"))</formula>
    </cfRule>
    <cfRule type="expression" dxfId="17626" priority="32960" stopIfTrue="1">
      <formula>AND(IF(BZ120&lt;#REF!,BZ120&gt;=#REF!,BZ120&lt;&gt;"N/A"))</formula>
    </cfRule>
    <cfRule type="expression" dxfId="17625" priority="32961" stopIfTrue="1">
      <formula>AND(IF(BZ120&lt;#REF!,BZ120&lt;&gt;"N/A"))</formula>
    </cfRule>
  </conditionalFormatting>
  <conditionalFormatting sqref="CI15">
    <cfRule type="expression" dxfId="17624" priority="32956" stopIfTrue="1">
      <formula>AND(IF(CI15&gt;=#REF!,CI15&lt;&gt;"N/A"))</formula>
    </cfRule>
    <cfRule type="expression" dxfId="17623" priority="32957" stopIfTrue="1">
      <formula>AND(IF(CI15&lt;#REF!,CI15&gt;=#REF!,CI15&lt;&gt;"N/A"))</formula>
    </cfRule>
    <cfRule type="expression" dxfId="17622" priority="32958" stopIfTrue="1">
      <formula>AND(IF(CI15&lt;#REF!,CI15&lt;&gt;"N/A"))</formula>
    </cfRule>
  </conditionalFormatting>
  <conditionalFormatting sqref="CC120:CC122">
    <cfRule type="expression" dxfId="17621" priority="32953" stopIfTrue="1">
      <formula>AND(IF(CC120&gt;=#REF!,CC120&lt;&gt;"N/A"))</formula>
    </cfRule>
    <cfRule type="expression" dxfId="17620" priority="32954" stopIfTrue="1">
      <formula>AND(IF(CC120&lt;#REF!,CC120&gt;=#REF!,CC120&lt;&gt;"N/A"))</formula>
    </cfRule>
    <cfRule type="expression" dxfId="17619" priority="32955" stopIfTrue="1">
      <formula>AND(IF(CC120&lt;#REF!,CC120&lt;&gt;"N/A"))</formula>
    </cfRule>
  </conditionalFormatting>
  <conditionalFormatting sqref="CF120:CF122">
    <cfRule type="expression" dxfId="17618" priority="32950" stopIfTrue="1">
      <formula>AND(IF(CF120&gt;=#REF!,CF120&lt;&gt;"N/A"))</formula>
    </cfRule>
    <cfRule type="expression" dxfId="17617" priority="32951" stopIfTrue="1">
      <formula>AND(IF(CF120&lt;#REF!,CF120&gt;=#REF!,CF120&lt;&gt;"N/A"))</formula>
    </cfRule>
    <cfRule type="expression" dxfId="17616" priority="32952" stopIfTrue="1">
      <formula>AND(IF(CF120&lt;#REF!,CF120&lt;&gt;"N/A"))</formula>
    </cfRule>
  </conditionalFormatting>
  <conditionalFormatting sqref="AC70">
    <cfRule type="expression" dxfId="17615" priority="31555" stopIfTrue="1">
      <formula>AND(IF(AC70&gt;=#REF!,AC70&lt;&gt;"N/A"))</formula>
    </cfRule>
    <cfRule type="expression" dxfId="17614" priority="31556" stopIfTrue="1">
      <formula>AND(IF(AC70&lt;#REF!,AC70&gt;=#REF!,AC70&lt;&gt;"N/A"))</formula>
    </cfRule>
    <cfRule type="expression" dxfId="17613" priority="31557" stopIfTrue="1">
      <formula>AND(IF(AC70&lt;#REF!,AC70&lt;&gt;"N/A"))</formula>
    </cfRule>
  </conditionalFormatting>
  <conditionalFormatting sqref="V43">
    <cfRule type="expression" dxfId="17612" priority="31666" stopIfTrue="1">
      <formula>AND(IF(V43&gt;=#REF!,V43&lt;&gt;"N/A"))</formula>
    </cfRule>
    <cfRule type="expression" dxfId="17611" priority="31667" stopIfTrue="1">
      <formula>AND(IF(V43&lt;#REF!,V43&gt;=#REF!,V43&lt;&gt;"N/A"))</formula>
    </cfRule>
    <cfRule type="expression" dxfId="17610" priority="31668" stopIfTrue="1">
      <formula>AND(IF(V43&lt;#REF!,V43&lt;&gt;"N/A"))</formula>
    </cfRule>
  </conditionalFormatting>
  <conditionalFormatting sqref="V70">
    <cfRule type="expression" dxfId="17609" priority="31669" stopIfTrue="1">
      <formula>AND(IF(V70&gt;=#REF!,V70&lt;&gt;"N/A"))</formula>
    </cfRule>
    <cfRule type="expression" dxfId="17608" priority="31670" stopIfTrue="1">
      <formula>AND(IF(V70&lt;#REF!,V70&gt;=#REF!,V70&lt;&gt;"N/A"))</formula>
    </cfRule>
    <cfRule type="expression" dxfId="17607" priority="31671" stopIfTrue="1">
      <formula>AND(IF(V70&lt;#REF!,V70&lt;&gt;"N/A"))</formula>
    </cfRule>
  </conditionalFormatting>
  <conditionalFormatting sqref="AC43">
    <cfRule type="expression" dxfId="17606" priority="31552" stopIfTrue="1">
      <formula>AND(IF(AC43&gt;=#REF!,AC43&lt;&gt;"N/A"))</formula>
    </cfRule>
    <cfRule type="expression" dxfId="17605" priority="31553" stopIfTrue="1">
      <formula>AND(IF(AC43&lt;#REF!,AC43&gt;=#REF!,AC43&lt;&gt;"N/A"))</formula>
    </cfRule>
    <cfRule type="expression" dxfId="17604" priority="31554" stopIfTrue="1">
      <formula>AND(IF(AC43&lt;#REF!,AC43&lt;&gt;"N/A"))</formula>
    </cfRule>
  </conditionalFormatting>
  <conditionalFormatting sqref="O43">
    <cfRule type="expression" dxfId="17603" priority="30758" stopIfTrue="1">
      <formula>AND(IF(O43&gt;=#REF!,O43&lt;&gt;"N/A"))</formula>
    </cfRule>
    <cfRule type="expression" dxfId="17602" priority="30759" stopIfTrue="1">
      <formula>AND(IF(O43&lt;#REF!,O43&gt;=#REF!,O43&lt;&gt;"N/A"))</formula>
    </cfRule>
    <cfRule type="expression" dxfId="17601" priority="30760" stopIfTrue="1">
      <formula>AND(IF(O43&lt;#REF!,O43&lt;&gt;"N/A"))</formula>
    </cfRule>
  </conditionalFormatting>
  <conditionalFormatting sqref="Q16:Q30 AE15:AE30 AG15:AG30 AA84 AE120:AE125 AG120:AG125 I15:I21 J17:J30 Q120:Q125 J37:J38 Q37:Q38 X37:X38 AG37:AG38 AE37:AE38 J155:J156 Q155:Q156 X155:X156 AG155:AG156 AE155:AE156 J42 Q42 X42 AE42 AG42 J34:J35 AG34:AG35 AE34:AE35 X34:X35 Q34:Q35 J363 J108:J114 J331:J334 J320:J328 J376 J151:J152 Q151:Q152 AG151:AG152 AE151:AE152 X151:X152 J277:J282 I287 Q277:Q282 P287 W287 AD287 AF287 X277:X282 AE277:AE282 AG277:AG282 J303:J304 J243:J244 J247:J248 J251:J252 J257:J264 AG286:AG287 AE286:AE287 X286:X287 Q286:Q287 J286:J287 AE177 AG177 X177 J177 AE164 AG164 X164 Q164 J164 J183:J240 J144 Q144 AG144 AE144 X144 P179 AD179 AF179 I179:J179 AD140:AD141 AF140:AF141 AG141 AE141 AD163:AG163 I140:J141 I163:J163 P140:Q141 P163:Q163 W141:X141 W163:X163 I143 I147:J148 P143 P147:P148 W143 W147:X148 AD143 AD147:AD148 AF143 AF147:AF148 AF150 AD150 W150:X150 P150 I150:J150 J166 Q166 X166 AG166 AE166 J382:J386 J71:J79 P299 W292:X294 AD292:AG298 P292:Q294 I292:J299 W140 W179:X179 X120:X125 X15:X29 J44:J69 Q44:Q69 X44:X69 AE44:AE69 AG44:AG69 J83:J103 I364:I375 I38 W364:W375 W38 AD364:AG375 AD38:AG38 P364:Q375 P38:Q38 J306:J308 J116:J125">
    <cfRule type="cellIs" dxfId="17600" priority="26670" operator="between">
      <formula>0.76</formula>
      <formula>0.95</formula>
    </cfRule>
    <cfRule type="cellIs" dxfId="17599" priority="26671" operator="between">
      <formula>0.51</formula>
      <formula>0.75</formula>
    </cfRule>
    <cfRule type="cellIs" dxfId="17598" priority="26672" operator="greaterThan">
      <formula>1</formula>
    </cfRule>
    <cfRule type="cellIs" dxfId="17597" priority="26673" operator="between">
      <formula>0.95</formula>
      <formula>1</formula>
    </cfRule>
    <cfRule type="cellIs" dxfId="17596" priority="26674" stopIfTrue="1" operator="between">
      <formula>0</formula>
      <formula>0.5</formula>
    </cfRule>
  </conditionalFormatting>
  <conditionalFormatting sqref="I22">
    <cfRule type="cellIs" dxfId="17595" priority="26665" operator="between">
      <formula>0.76</formula>
      <formula>0.95</formula>
    </cfRule>
    <cfRule type="cellIs" dxfId="17594" priority="26666" operator="between">
      <formula>0.51</formula>
      <formula>0.75</formula>
    </cfRule>
    <cfRule type="cellIs" dxfId="17593" priority="26667" operator="greaterThan">
      <formula>1</formula>
    </cfRule>
    <cfRule type="cellIs" dxfId="17592" priority="26668" operator="between">
      <formula>0.95</formula>
      <formula>1</formula>
    </cfRule>
    <cfRule type="cellIs" dxfId="17591" priority="26669" stopIfTrue="1" operator="between">
      <formula>0</formula>
      <formula>0.5</formula>
    </cfRule>
  </conditionalFormatting>
  <conditionalFormatting sqref="I23">
    <cfRule type="cellIs" dxfId="17590" priority="26660" operator="between">
      <formula>0.76</formula>
      <formula>0.95</formula>
    </cfRule>
    <cfRule type="cellIs" dxfId="17589" priority="26661" operator="between">
      <formula>0.51</formula>
      <formula>0.75</formula>
    </cfRule>
    <cfRule type="cellIs" dxfId="17588" priority="26662" operator="greaterThan">
      <formula>1</formula>
    </cfRule>
    <cfRule type="cellIs" dxfId="17587" priority="26663" operator="between">
      <formula>0.95</formula>
      <formula>1</formula>
    </cfRule>
    <cfRule type="cellIs" dxfId="17586" priority="26664" stopIfTrue="1" operator="between">
      <formula>0</formula>
      <formula>0.5</formula>
    </cfRule>
  </conditionalFormatting>
  <conditionalFormatting sqref="I25">
    <cfRule type="cellIs" dxfId="17585" priority="26655" operator="between">
      <formula>0.76</formula>
      <formula>0.95</formula>
    </cfRule>
    <cfRule type="cellIs" dxfId="17584" priority="26656" operator="between">
      <formula>0.51</formula>
      <formula>0.75</formula>
    </cfRule>
    <cfRule type="cellIs" dxfId="17583" priority="26657" operator="greaterThan">
      <formula>1</formula>
    </cfRule>
    <cfRule type="cellIs" dxfId="17582" priority="26658" operator="between">
      <formula>0.95</formula>
      <formula>1</formula>
    </cfRule>
    <cfRule type="cellIs" dxfId="17581" priority="26659" stopIfTrue="1" operator="between">
      <formula>0</formula>
      <formula>0.5</formula>
    </cfRule>
  </conditionalFormatting>
  <conditionalFormatting sqref="I26">
    <cfRule type="cellIs" dxfId="17580" priority="26650" operator="between">
      <formula>0.76</formula>
      <formula>0.95</formula>
    </cfRule>
    <cfRule type="cellIs" dxfId="17579" priority="26651" operator="between">
      <formula>0.51</formula>
      <formula>0.75</formula>
    </cfRule>
    <cfRule type="cellIs" dxfId="17578" priority="26652" operator="greaterThan">
      <formula>1</formula>
    </cfRule>
    <cfRule type="cellIs" dxfId="17577" priority="26653" operator="between">
      <formula>0.95</formula>
      <formula>1</formula>
    </cfRule>
    <cfRule type="cellIs" dxfId="17576" priority="26654" stopIfTrue="1" operator="between">
      <formula>0</formula>
      <formula>0.5</formula>
    </cfRule>
  </conditionalFormatting>
  <conditionalFormatting sqref="I27">
    <cfRule type="cellIs" dxfId="17575" priority="26645" operator="between">
      <formula>0.76</formula>
      <formula>0.95</formula>
    </cfRule>
    <cfRule type="cellIs" dxfId="17574" priority="26646" operator="between">
      <formula>0.51</formula>
      <formula>0.75</formula>
    </cfRule>
    <cfRule type="cellIs" dxfId="17573" priority="26647" operator="greaterThan">
      <formula>1</formula>
    </cfRule>
    <cfRule type="cellIs" dxfId="17572" priority="26648" operator="between">
      <formula>0.95</formula>
      <formula>1</formula>
    </cfRule>
    <cfRule type="cellIs" dxfId="17571" priority="26649" stopIfTrue="1" operator="between">
      <formula>0</formula>
      <formula>0.5</formula>
    </cfRule>
  </conditionalFormatting>
  <conditionalFormatting sqref="I28">
    <cfRule type="cellIs" dxfId="17570" priority="26640" operator="between">
      <formula>0.76</formula>
      <formula>0.95</formula>
    </cfRule>
    <cfRule type="cellIs" dxfId="17569" priority="26641" operator="between">
      <formula>0.51</formula>
      <formula>0.75</formula>
    </cfRule>
    <cfRule type="cellIs" dxfId="17568" priority="26642" operator="greaterThan">
      <formula>1</formula>
    </cfRule>
    <cfRule type="cellIs" dxfId="17567" priority="26643" operator="between">
      <formula>0.95</formula>
      <formula>1</formula>
    </cfRule>
    <cfRule type="cellIs" dxfId="17566" priority="26644" stopIfTrue="1" operator="between">
      <formula>0</formula>
      <formula>0.5</formula>
    </cfRule>
  </conditionalFormatting>
  <conditionalFormatting sqref="I29">
    <cfRule type="cellIs" dxfId="17565" priority="26635" operator="between">
      <formula>0.76</formula>
      <formula>0.95</formula>
    </cfRule>
    <cfRule type="cellIs" dxfId="17564" priority="26636" operator="between">
      <formula>0.51</formula>
      <formula>0.75</formula>
    </cfRule>
    <cfRule type="cellIs" dxfId="17563" priority="26637" operator="greaterThan">
      <formula>1</formula>
    </cfRule>
    <cfRule type="cellIs" dxfId="17562" priority="26638" operator="between">
      <formula>0.95</formula>
      <formula>1</formula>
    </cfRule>
    <cfRule type="cellIs" dxfId="17561" priority="26639" stopIfTrue="1" operator="between">
      <formula>0</formula>
      <formula>0.5</formula>
    </cfRule>
  </conditionalFormatting>
  <conditionalFormatting sqref="I30">
    <cfRule type="cellIs" dxfId="17560" priority="26630" operator="between">
      <formula>0.76</formula>
      <formula>0.95</formula>
    </cfRule>
    <cfRule type="cellIs" dxfId="17559" priority="26631" operator="between">
      <formula>0.51</formula>
      <formula>0.75</formula>
    </cfRule>
    <cfRule type="cellIs" dxfId="17558" priority="26632" operator="greaterThan">
      <formula>1</formula>
    </cfRule>
    <cfRule type="cellIs" dxfId="17557" priority="26633" operator="between">
      <formula>0.95</formula>
      <formula>1</formula>
    </cfRule>
    <cfRule type="cellIs" dxfId="17556" priority="26634" stopIfTrue="1" operator="between">
      <formula>0</formula>
      <formula>0.5</formula>
    </cfRule>
  </conditionalFormatting>
  <conditionalFormatting sqref="I34">
    <cfRule type="cellIs" dxfId="17555" priority="26625" operator="between">
      <formula>0.76</formula>
      <formula>0.95</formula>
    </cfRule>
    <cfRule type="cellIs" dxfId="17554" priority="26626" operator="between">
      <formula>0.51</formula>
      <formula>0.75</formula>
    </cfRule>
    <cfRule type="cellIs" dxfId="17553" priority="26627" operator="greaterThan">
      <formula>1</formula>
    </cfRule>
    <cfRule type="cellIs" dxfId="17552" priority="26628" operator="between">
      <formula>0.95</formula>
      <formula>1</formula>
    </cfRule>
    <cfRule type="cellIs" dxfId="17551" priority="26629" stopIfTrue="1" operator="between">
      <formula>0</formula>
      <formula>0.5</formula>
    </cfRule>
  </conditionalFormatting>
  <conditionalFormatting sqref="I42">
    <cfRule type="cellIs" dxfId="17550" priority="26610" operator="between">
      <formula>0.76</formula>
      <formula>0.95</formula>
    </cfRule>
    <cfRule type="cellIs" dxfId="17549" priority="26611" operator="between">
      <formula>0.51</formula>
      <formula>0.75</formula>
    </cfRule>
    <cfRule type="cellIs" dxfId="17548" priority="26612" operator="greaterThan">
      <formula>1</formula>
    </cfRule>
    <cfRule type="cellIs" dxfId="17547" priority="26613" operator="between">
      <formula>0.95</formula>
      <formula>1</formula>
    </cfRule>
    <cfRule type="cellIs" dxfId="17546" priority="26614" stopIfTrue="1" operator="between">
      <formula>0</formula>
      <formula>0.5</formula>
    </cfRule>
  </conditionalFormatting>
  <conditionalFormatting sqref="I43">
    <cfRule type="cellIs" dxfId="17545" priority="26605" operator="between">
      <formula>0.76</formula>
      <formula>0.95</formula>
    </cfRule>
    <cfRule type="cellIs" dxfId="17544" priority="26606" operator="between">
      <formula>0.51</formula>
      <formula>0.75</formula>
    </cfRule>
    <cfRule type="cellIs" dxfId="17543" priority="26607" operator="greaterThan">
      <formula>1</formula>
    </cfRule>
    <cfRule type="cellIs" dxfId="17542" priority="26608" operator="between">
      <formula>0.95</formula>
      <formula>1</formula>
    </cfRule>
    <cfRule type="cellIs" dxfId="17541" priority="26609" stopIfTrue="1" operator="between">
      <formula>0</formula>
      <formula>0.5</formula>
    </cfRule>
  </conditionalFormatting>
  <conditionalFormatting sqref="I45">
    <cfRule type="cellIs" dxfId="17540" priority="26595" operator="between">
      <formula>0.76</formula>
      <formula>0.95</formula>
    </cfRule>
    <cfRule type="cellIs" dxfId="17539" priority="26596" operator="between">
      <formula>0.51</formula>
      <formula>0.75</formula>
    </cfRule>
    <cfRule type="cellIs" dxfId="17538" priority="26597" operator="greaterThan">
      <formula>1</formula>
    </cfRule>
    <cfRule type="cellIs" dxfId="17537" priority="26598" operator="between">
      <formula>0.95</formula>
      <formula>1</formula>
    </cfRule>
    <cfRule type="cellIs" dxfId="17536" priority="26599" stopIfTrue="1" operator="between">
      <formula>0</formula>
      <formula>0.5</formula>
    </cfRule>
  </conditionalFormatting>
  <conditionalFormatting sqref="I44">
    <cfRule type="cellIs" dxfId="17535" priority="26590" operator="between">
      <formula>0.76</formula>
      <formula>0.95</formula>
    </cfRule>
    <cfRule type="cellIs" dxfId="17534" priority="26591" operator="between">
      <formula>0.51</formula>
      <formula>0.75</formula>
    </cfRule>
    <cfRule type="cellIs" dxfId="17533" priority="26592" operator="greaterThan">
      <formula>1</formula>
    </cfRule>
    <cfRule type="cellIs" dxfId="17532" priority="26593" operator="between">
      <formula>0.95</formula>
      <formula>1</formula>
    </cfRule>
    <cfRule type="cellIs" dxfId="17531" priority="26594" stopIfTrue="1" operator="between">
      <formula>0</formula>
      <formula>0.5</formula>
    </cfRule>
  </conditionalFormatting>
  <conditionalFormatting sqref="I46">
    <cfRule type="cellIs" dxfId="17530" priority="26585" operator="between">
      <formula>0.76</formula>
      <formula>0.95</formula>
    </cfRule>
    <cfRule type="cellIs" dxfId="17529" priority="26586" operator="between">
      <formula>0.51</formula>
      <formula>0.75</formula>
    </cfRule>
    <cfRule type="cellIs" dxfId="17528" priority="26587" operator="greaterThan">
      <formula>1</formula>
    </cfRule>
    <cfRule type="cellIs" dxfId="17527" priority="26588" operator="between">
      <formula>0.95</formula>
      <formula>1</formula>
    </cfRule>
    <cfRule type="cellIs" dxfId="17526" priority="26589" stopIfTrue="1" operator="between">
      <formula>0</formula>
      <formula>0.5</formula>
    </cfRule>
  </conditionalFormatting>
  <conditionalFormatting sqref="I47">
    <cfRule type="cellIs" dxfId="17525" priority="26580" operator="between">
      <formula>0.76</formula>
      <formula>0.95</formula>
    </cfRule>
    <cfRule type="cellIs" dxfId="17524" priority="26581" operator="between">
      <formula>0.51</formula>
      <formula>0.75</formula>
    </cfRule>
    <cfRule type="cellIs" dxfId="17523" priority="26582" operator="greaterThan">
      <formula>1</formula>
    </cfRule>
    <cfRule type="cellIs" dxfId="17522" priority="26583" operator="between">
      <formula>0.95</formula>
      <formula>1</formula>
    </cfRule>
    <cfRule type="cellIs" dxfId="17521" priority="26584" stopIfTrue="1" operator="between">
      <formula>0</formula>
      <formula>0.5</formula>
    </cfRule>
  </conditionalFormatting>
  <conditionalFormatting sqref="I48">
    <cfRule type="cellIs" dxfId="17520" priority="26575" operator="between">
      <formula>0.76</formula>
      <formula>0.95</formula>
    </cfRule>
    <cfRule type="cellIs" dxfId="17519" priority="26576" operator="between">
      <formula>0.51</formula>
      <formula>0.75</formula>
    </cfRule>
    <cfRule type="cellIs" dxfId="17518" priority="26577" operator="greaterThan">
      <formula>1</formula>
    </cfRule>
    <cfRule type="cellIs" dxfId="17517" priority="26578" operator="between">
      <formula>0.95</formula>
      <formula>1</formula>
    </cfRule>
    <cfRule type="cellIs" dxfId="17516" priority="26579" stopIfTrue="1" operator="between">
      <formula>0</formula>
      <formula>0.5</formula>
    </cfRule>
  </conditionalFormatting>
  <conditionalFormatting sqref="I49">
    <cfRule type="cellIs" dxfId="17515" priority="26570" operator="between">
      <formula>0.76</formula>
      <formula>0.95</formula>
    </cfRule>
    <cfRule type="cellIs" dxfId="17514" priority="26571" operator="between">
      <formula>0.51</formula>
      <formula>0.75</formula>
    </cfRule>
    <cfRule type="cellIs" dxfId="17513" priority="26572" operator="greaterThan">
      <formula>1</formula>
    </cfRule>
    <cfRule type="cellIs" dxfId="17512" priority="26573" operator="between">
      <formula>0.95</formula>
      <formula>1</formula>
    </cfRule>
    <cfRule type="cellIs" dxfId="17511" priority="26574" stopIfTrue="1" operator="between">
      <formula>0</formula>
      <formula>0.5</formula>
    </cfRule>
  </conditionalFormatting>
  <conditionalFormatting sqref="I50">
    <cfRule type="cellIs" dxfId="17510" priority="26565" operator="between">
      <formula>0.76</formula>
      <formula>0.95</formula>
    </cfRule>
    <cfRule type="cellIs" dxfId="17509" priority="26566" operator="between">
      <formula>0.51</formula>
      <formula>0.75</formula>
    </cfRule>
    <cfRule type="cellIs" dxfId="17508" priority="26567" operator="greaterThan">
      <formula>1</formula>
    </cfRule>
    <cfRule type="cellIs" dxfId="17507" priority="26568" operator="between">
      <formula>0.95</formula>
      <formula>1</formula>
    </cfRule>
    <cfRule type="cellIs" dxfId="17506" priority="26569" stopIfTrue="1" operator="between">
      <formula>0</formula>
      <formula>0.5</formula>
    </cfRule>
  </conditionalFormatting>
  <conditionalFormatting sqref="I51">
    <cfRule type="cellIs" dxfId="17505" priority="26560" operator="between">
      <formula>0.76</formula>
      <formula>0.95</formula>
    </cfRule>
    <cfRule type="cellIs" dxfId="17504" priority="26561" operator="between">
      <formula>0.51</formula>
      <formula>0.75</formula>
    </cfRule>
    <cfRule type="cellIs" dxfId="17503" priority="26562" operator="greaterThan">
      <formula>1</formula>
    </cfRule>
    <cfRule type="cellIs" dxfId="17502" priority="26563" operator="between">
      <formula>0.95</formula>
      <formula>1</formula>
    </cfRule>
    <cfRule type="cellIs" dxfId="17501" priority="26564" stopIfTrue="1" operator="between">
      <formula>0</formula>
      <formula>0.5</formula>
    </cfRule>
  </conditionalFormatting>
  <conditionalFormatting sqref="I52">
    <cfRule type="cellIs" dxfId="17500" priority="26555" operator="between">
      <formula>0.76</formula>
      <formula>0.95</formula>
    </cfRule>
    <cfRule type="cellIs" dxfId="17499" priority="26556" operator="between">
      <formula>0.51</formula>
      <formula>0.75</formula>
    </cfRule>
    <cfRule type="cellIs" dxfId="17498" priority="26557" operator="greaterThan">
      <formula>1</formula>
    </cfRule>
    <cfRule type="cellIs" dxfId="17497" priority="26558" operator="between">
      <formula>0.95</formula>
      <formula>1</formula>
    </cfRule>
    <cfRule type="cellIs" dxfId="17496" priority="26559" stopIfTrue="1" operator="between">
      <formula>0</formula>
      <formula>0.5</formula>
    </cfRule>
  </conditionalFormatting>
  <conditionalFormatting sqref="I54">
    <cfRule type="cellIs" dxfId="17495" priority="26550" operator="between">
      <formula>0.76</formula>
      <formula>0.95</formula>
    </cfRule>
    <cfRule type="cellIs" dxfId="17494" priority="26551" operator="between">
      <formula>0.51</formula>
      <formula>0.75</formula>
    </cfRule>
    <cfRule type="cellIs" dxfId="17493" priority="26552" operator="greaterThan">
      <formula>1</formula>
    </cfRule>
    <cfRule type="cellIs" dxfId="17492" priority="26553" operator="between">
      <formula>0.95</formula>
      <formula>1</formula>
    </cfRule>
    <cfRule type="cellIs" dxfId="17491" priority="26554" stopIfTrue="1" operator="between">
      <formula>0</formula>
      <formula>0.5</formula>
    </cfRule>
  </conditionalFormatting>
  <conditionalFormatting sqref="I53">
    <cfRule type="cellIs" dxfId="17490" priority="26545" operator="between">
      <formula>0.76</formula>
      <formula>0.95</formula>
    </cfRule>
    <cfRule type="cellIs" dxfId="17489" priority="26546" operator="between">
      <formula>0.51</formula>
      <formula>0.75</formula>
    </cfRule>
    <cfRule type="cellIs" dxfId="17488" priority="26547" operator="greaterThan">
      <formula>1</formula>
    </cfRule>
    <cfRule type="cellIs" dxfId="17487" priority="26548" operator="between">
      <formula>0.95</formula>
      <formula>1</formula>
    </cfRule>
    <cfRule type="cellIs" dxfId="17486" priority="26549" stopIfTrue="1" operator="between">
      <formula>0</formula>
      <formula>0.5</formula>
    </cfRule>
  </conditionalFormatting>
  <conditionalFormatting sqref="I55">
    <cfRule type="cellIs" dxfId="17485" priority="26540" operator="between">
      <formula>0.76</formula>
      <formula>0.95</formula>
    </cfRule>
    <cfRule type="cellIs" dxfId="17484" priority="26541" operator="between">
      <formula>0.51</formula>
      <formula>0.75</formula>
    </cfRule>
    <cfRule type="cellIs" dxfId="17483" priority="26542" operator="greaterThan">
      <formula>1</formula>
    </cfRule>
    <cfRule type="cellIs" dxfId="17482" priority="26543" operator="between">
      <formula>0.95</formula>
      <formula>1</formula>
    </cfRule>
    <cfRule type="cellIs" dxfId="17481" priority="26544" stopIfTrue="1" operator="between">
      <formula>0</formula>
      <formula>0.5</formula>
    </cfRule>
  </conditionalFormatting>
  <conditionalFormatting sqref="I56">
    <cfRule type="cellIs" dxfId="17480" priority="26535" operator="between">
      <formula>0.76</formula>
      <formula>0.95</formula>
    </cfRule>
    <cfRule type="cellIs" dxfId="17479" priority="26536" operator="between">
      <formula>0.51</formula>
      <formula>0.75</formula>
    </cfRule>
    <cfRule type="cellIs" dxfId="17478" priority="26537" operator="greaterThan">
      <formula>1</formula>
    </cfRule>
    <cfRule type="cellIs" dxfId="17477" priority="26538" operator="between">
      <formula>0.95</formula>
      <formula>1</formula>
    </cfRule>
    <cfRule type="cellIs" dxfId="17476" priority="26539" stopIfTrue="1" operator="between">
      <formula>0</formula>
      <formula>0.5</formula>
    </cfRule>
  </conditionalFormatting>
  <conditionalFormatting sqref="I57">
    <cfRule type="cellIs" dxfId="17475" priority="26530" operator="between">
      <formula>0.76</formula>
      <formula>0.95</formula>
    </cfRule>
    <cfRule type="cellIs" dxfId="17474" priority="26531" operator="between">
      <formula>0.51</formula>
      <formula>0.75</formula>
    </cfRule>
    <cfRule type="cellIs" dxfId="17473" priority="26532" operator="greaterThan">
      <formula>1</formula>
    </cfRule>
    <cfRule type="cellIs" dxfId="17472" priority="26533" operator="between">
      <formula>0.95</formula>
      <formula>1</formula>
    </cfRule>
    <cfRule type="cellIs" dxfId="17471" priority="26534" stopIfTrue="1" operator="between">
      <formula>0</formula>
      <formula>0.5</formula>
    </cfRule>
  </conditionalFormatting>
  <conditionalFormatting sqref="I58">
    <cfRule type="cellIs" dxfId="17470" priority="26525" operator="between">
      <formula>0.76</formula>
      <formula>0.95</formula>
    </cfRule>
    <cfRule type="cellIs" dxfId="17469" priority="26526" operator="between">
      <formula>0.51</formula>
      <formula>0.75</formula>
    </cfRule>
    <cfRule type="cellIs" dxfId="17468" priority="26527" operator="greaterThan">
      <formula>1</formula>
    </cfRule>
    <cfRule type="cellIs" dxfId="17467" priority="26528" operator="between">
      <formula>0.95</formula>
      <formula>1</formula>
    </cfRule>
    <cfRule type="cellIs" dxfId="17466" priority="26529" stopIfTrue="1" operator="between">
      <formula>0</formula>
      <formula>0.5</formula>
    </cfRule>
  </conditionalFormatting>
  <conditionalFormatting sqref="I59">
    <cfRule type="cellIs" dxfId="17465" priority="26520" operator="between">
      <formula>0.76</formula>
      <formula>0.95</formula>
    </cfRule>
    <cfRule type="cellIs" dxfId="17464" priority="26521" operator="between">
      <formula>0.51</formula>
      <formula>0.75</formula>
    </cfRule>
    <cfRule type="cellIs" dxfId="17463" priority="26522" operator="greaterThan">
      <formula>1</formula>
    </cfRule>
    <cfRule type="cellIs" dxfId="17462" priority="26523" operator="between">
      <formula>0.95</formula>
      <formula>1</formula>
    </cfRule>
    <cfRule type="cellIs" dxfId="17461" priority="26524" stopIfTrue="1" operator="between">
      <formula>0</formula>
      <formula>0.5</formula>
    </cfRule>
  </conditionalFormatting>
  <conditionalFormatting sqref="I60">
    <cfRule type="cellIs" dxfId="17460" priority="26515" operator="between">
      <formula>0.76</formula>
      <formula>0.95</formula>
    </cfRule>
    <cfRule type="cellIs" dxfId="17459" priority="26516" operator="between">
      <formula>0.51</formula>
      <formula>0.75</formula>
    </cfRule>
    <cfRule type="cellIs" dxfId="17458" priority="26517" operator="greaterThan">
      <formula>1</formula>
    </cfRule>
    <cfRule type="cellIs" dxfId="17457" priority="26518" operator="between">
      <formula>0.95</formula>
      <formula>1</formula>
    </cfRule>
    <cfRule type="cellIs" dxfId="17456" priority="26519" stopIfTrue="1" operator="between">
      <formula>0</formula>
      <formula>0.5</formula>
    </cfRule>
  </conditionalFormatting>
  <conditionalFormatting sqref="I61">
    <cfRule type="cellIs" dxfId="17455" priority="26510" operator="between">
      <formula>0.76</formula>
      <formula>0.95</formula>
    </cfRule>
    <cfRule type="cellIs" dxfId="17454" priority="26511" operator="between">
      <formula>0.51</formula>
      <formula>0.75</formula>
    </cfRule>
    <cfRule type="cellIs" dxfId="17453" priority="26512" operator="greaterThan">
      <formula>1</formula>
    </cfRule>
    <cfRule type="cellIs" dxfId="17452" priority="26513" operator="between">
      <formula>0.95</formula>
      <formula>1</formula>
    </cfRule>
    <cfRule type="cellIs" dxfId="17451" priority="26514" stopIfTrue="1" operator="between">
      <formula>0</formula>
      <formula>0.5</formula>
    </cfRule>
  </conditionalFormatting>
  <conditionalFormatting sqref="I62">
    <cfRule type="cellIs" dxfId="17450" priority="26505" operator="between">
      <formula>0.76</formula>
      <formula>0.95</formula>
    </cfRule>
    <cfRule type="cellIs" dxfId="17449" priority="26506" operator="between">
      <formula>0.51</formula>
      <formula>0.75</formula>
    </cfRule>
    <cfRule type="cellIs" dxfId="17448" priority="26507" operator="greaterThan">
      <formula>1</formula>
    </cfRule>
    <cfRule type="cellIs" dxfId="17447" priority="26508" operator="between">
      <formula>0.95</formula>
      <formula>1</formula>
    </cfRule>
    <cfRule type="cellIs" dxfId="17446" priority="26509" stopIfTrue="1" operator="between">
      <formula>0</formula>
      <formula>0.5</formula>
    </cfRule>
  </conditionalFormatting>
  <conditionalFormatting sqref="I63">
    <cfRule type="cellIs" dxfId="17445" priority="26500" operator="between">
      <formula>0.76</formula>
      <formula>0.95</formula>
    </cfRule>
    <cfRule type="cellIs" dxfId="17444" priority="26501" operator="between">
      <formula>0.51</formula>
      <formula>0.75</formula>
    </cfRule>
    <cfRule type="cellIs" dxfId="17443" priority="26502" operator="greaterThan">
      <formula>1</formula>
    </cfRule>
    <cfRule type="cellIs" dxfId="17442" priority="26503" operator="between">
      <formula>0.95</formula>
      <formula>1</formula>
    </cfRule>
    <cfRule type="cellIs" dxfId="17441" priority="26504" stopIfTrue="1" operator="between">
      <formula>0</formula>
      <formula>0.5</formula>
    </cfRule>
  </conditionalFormatting>
  <conditionalFormatting sqref="I64">
    <cfRule type="cellIs" dxfId="17440" priority="26495" operator="between">
      <formula>0.76</formula>
      <formula>0.95</formula>
    </cfRule>
    <cfRule type="cellIs" dxfId="17439" priority="26496" operator="between">
      <formula>0.51</formula>
      <formula>0.75</formula>
    </cfRule>
    <cfRule type="cellIs" dxfId="17438" priority="26497" operator="greaterThan">
      <formula>1</formula>
    </cfRule>
    <cfRule type="cellIs" dxfId="17437" priority="26498" operator="between">
      <formula>0.95</formula>
      <formula>1</formula>
    </cfRule>
    <cfRule type="cellIs" dxfId="17436" priority="26499" stopIfTrue="1" operator="between">
      <formula>0</formula>
      <formula>0.5</formula>
    </cfRule>
  </conditionalFormatting>
  <conditionalFormatting sqref="I65">
    <cfRule type="cellIs" dxfId="17435" priority="26485" operator="between">
      <formula>0.76</formula>
      <formula>0.95</formula>
    </cfRule>
    <cfRule type="cellIs" dxfId="17434" priority="26486" operator="between">
      <formula>0.51</formula>
      <formula>0.75</formula>
    </cfRule>
    <cfRule type="cellIs" dxfId="17433" priority="26487" operator="greaterThan">
      <formula>1</formula>
    </cfRule>
    <cfRule type="cellIs" dxfId="17432" priority="26488" operator="between">
      <formula>0.95</formula>
      <formula>1</formula>
    </cfRule>
    <cfRule type="cellIs" dxfId="17431" priority="26489" stopIfTrue="1" operator="between">
      <formula>0</formula>
      <formula>0.5</formula>
    </cfRule>
  </conditionalFormatting>
  <conditionalFormatting sqref="I66">
    <cfRule type="cellIs" dxfId="17430" priority="26480" operator="between">
      <formula>0.76</formula>
      <formula>0.95</formula>
    </cfRule>
    <cfRule type="cellIs" dxfId="17429" priority="26481" operator="between">
      <formula>0.51</formula>
      <formula>0.75</formula>
    </cfRule>
    <cfRule type="cellIs" dxfId="17428" priority="26482" operator="greaterThan">
      <formula>1</formula>
    </cfRule>
    <cfRule type="cellIs" dxfId="17427" priority="26483" operator="between">
      <formula>0.95</formula>
      <formula>1</formula>
    </cfRule>
    <cfRule type="cellIs" dxfId="17426" priority="26484" stopIfTrue="1" operator="between">
      <formula>0</formula>
      <formula>0.5</formula>
    </cfRule>
  </conditionalFormatting>
  <conditionalFormatting sqref="I67">
    <cfRule type="cellIs" dxfId="17425" priority="26475" operator="between">
      <formula>0.76</formula>
      <formula>0.95</formula>
    </cfRule>
    <cfRule type="cellIs" dxfId="17424" priority="26476" operator="between">
      <formula>0.51</formula>
      <formula>0.75</formula>
    </cfRule>
    <cfRule type="cellIs" dxfId="17423" priority="26477" operator="greaterThan">
      <formula>1</formula>
    </cfRule>
    <cfRule type="cellIs" dxfId="17422" priority="26478" operator="between">
      <formula>0.95</formula>
      <formula>1</formula>
    </cfRule>
    <cfRule type="cellIs" dxfId="17421" priority="26479" stopIfTrue="1" operator="between">
      <formula>0</formula>
      <formula>0.5</formula>
    </cfRule>
  </conditionalFormatting>
  <conditionalFormatting sqref="I68">
    <cfRule type="cellIs" dxfId="17420" priority="26470" operator="between">
      <formula>0.76</formula>
      <formula>0.95</formula>
    </cfRule>
    <cfRule type="cellIs" dxfId="17419" priority="26471" operator="between">
      <formula>0.51</formula>
      <formula>0.75</formula>
    </cfRule>
    <cfRule type="cellIs" dxfId="17418" priority="26472" operator="greaterThan">
      <formula>1</formula>
    </cfRule>
    <cfRule type="cellIs" dxfId="17417" priority="26473" operator="between">
      <formula>0.95</formula>
      <formula>1</formula>
    </cfRule>
    <cfRule type="cellIs" dxfId="17416" priority="26474" stopIfTrue="1" operator="between">
      <formula>0</formula>
      <formula>0.5</formula>
    </cfRule>
  </conditionalFormatting>
  <conditionalFormatting sqref="I69">
    <cfRule type="cellIs" dxfId="17415" priority="26465" operator="between">
      <formula>0.76</formula>
      <formula>0.95</formula>
    </cfRule>
    <cfRule type="cellIs" dxfId="17414" priority="26466" operator="between">
      <formula>0.51</formula>
      <formula>0.75</formula>
    </cfRule>
    <cfRule type="cellIs" dxfId="17413" priority="26467" operator="greaterThan">
      <formula>1</formula>
    </cfRule>
    <cfRule type="cellIs" dxfId="17412" priority="26468" operator="between">
      <formula>0.95</formula>
      <formula>1</formula>
    </cfRule>
    <cfRule type="cellIs" dxfId="17411" priority="26469" stopIfTrue="1" operator="between">
      <formula>0</formula>
      <formula>0.5</formula>
    </cfRule>
  </conditionalFormatting>
  <conditionalFormatting sqref="I70">
    <cfRule type="cellIs" dxfId="17410" priority="26460" operator="between">
      <formula>0.76</formula>
      <formula>0.95</formula>
    </cfRule>
    <cfRule type="cellIs" dxfId="17409" priority="26461" operator="between">
      <formula>0.51</formula>
      <formula>0.75</formula>
    </cfRule>
    <cfRule type="cellIs" dxfId="17408" priority="26462" operator="greaterThan">
      <formula>1</formula>
    </cfRule>
    <cfRule type="cellIs" dxfId="17407" priority="26463" operator="between">
      <formula>0.95</formula>
      <formula>1</formula>
    </cfRule>
    <cfRule type="cellIs" dxfId="17406" priority="26464" stopIfTrue="1" operator="between">
      <formula>0</formula>
      <formula>0.5</formula>
    </cfRule>
  </conditionalFormatting>
  <conditionalFormatting sqref="I71">
    <cfRule type="cellIs" dxfId="17405" priority="26455" operator="between">
      <formula>0.76</formula>
      <formula>0.95</formula>
    </cfRule>
    <cfRule type="cellIs" dxfId="17404" priority="26456" operator="between">
      <formula>0.51</formula>
      <formula>0.75</formula>
    </cfRule>
    <cfRule type="cellIs" dxfId="17403" priority="26457" operator="greaterThan">
      <formula>1</formula>
    </cfRule>
    <cfRule type="cellIs" dxfId="17402" priority="26458" operator="between">
      <formula>0.95</formula>
      <formula>1</formula>
    </cfRule>
    <cfRule type="cellIs" dxfId="17401" priority="26459" stopIfTrue="1" operator="between">
      <formula>0</formula>
      <formula>0.5</formula>
    </cfRule>
  </conditionalFormatting>
  <conditionalFormatting sqref="I72">
    <cfRule type="cellIs" dxfId="17400" priority="26450" operator="between">
      <formula>0.76</formula>
      <formula>0.95</formula>
    </cfRule>
    <cfRule type="cellIs" dxfId="17399" priority="26451" operator="between">
      <formula>0.51</formula>
      <formula>0.75</formula>
    </cfRule>
    <cfRule type="cellIs" dxfId="17398" priority="26452" operator="greaterThan">
      <formula>1</formula>
    </cfRule>
    <cfRule type="cellIs" dxfId="17397" priority="26453" operator="between">
      <formula>0.95</formula>
      <formula>1</formula>
    </cfRule>
    <cfRule type="cellIs" dxfId="17396" priority="26454" stopIfTrue="1" operator="between">
      <formula>0</formula>
      <formula>0.5</formula>
    </cfRule>
  </conditionalFormatting>
  <conditionalFormatting sqref="I73">
    <cfRule type="cellIs" dxfId="17395" priority="26445" operator="between">
      <formula>0.76</formula>
      <formula>0.95</formula>
    </cfRule>
    <cfRule type="cellIs" dxfId="17394" priority="26446" operator="between">
      <formula>0.51</formula>
      <formula>0.75</formula>
    </cfRule>
    <cfRule type="cellIs" dxfId="17393" priority="26447" operator="greaterThan">
      <formula>1</formula>
    </cfRule>
    <cfRule type="cellIs" dxfId="17392" priority="26448" operator="between">
      <formula>0.95</formula>
      <formula>1</formula>
    </cfRule>
    <cfRule type="cellIs" dxfId="17391" priority="26449" stopIfTrue="1" operator="between">
      <formula>0</formula>
      <formula>0.5</formula>
    </cfRule>
  </conditionalFormatting>
  <conditionalFormatting sqref="I74">
    <cfRule type="cellIs" dxfId="17390" priority="26440" operator="between">
      <formula>0.76</formula>
      <formula>0.95</formula>
    </cfRule>
    <cfRule type="cellIs" dxfId="17389" priority="26441" operator="between">
      <formula>0.51</formula>
      <formula>0.75</formula>
    </cfRule>
    <cfRule type="cellIs" dxfId="17388" priority="26442" operator="greaterThan">
      <formula>1</formula>
    </cfRule>
    <cfRule type="cellIs" dxfId="17387" priority="26443" operator="between">
      <formula>0.95</formula>
      <formula>1</formula>
    </cfRule>
    <cfRule type="cellIs" dxfId="17386" priority="26444" stopIfTrue="1" operator="between">
      <formula>0</formula>
      <formula>0.5</formula>
    </cfRule>
  </conditionalFormatting>
  <conditionalFormatting sqref="I75">
    <cfRule type="cellIs" dxfId="17385" priority="26435" operator="between">
      <formula>0.76</formula>
      <formula>0.95</formula>
    </cfRule>
    <cfRule type="cellIs" dxfId="17384" priority="26436" operator="between">
      <formula>0.51</formula>
      <formula>0.75</formula>
    </cfRule>
    <cfRule type="cellIs" dxfId="17383" priority="26437" operator="greaterThan">
      <formula>1</formula>
    </cfRule>
    <cfRule type="cellIs" dxfId="17382" priority="26438" operator="between">
      <formula>0.95</formula>
      <formula>1</formula>
    </cfRule>
    <cfRule type="cellIs" dxfId="17381" priority="26439" stopIfTrue="1" operator="between">
      <formula>0</formula>
      <formula>0.5</formula>
    </cfRule>
  </conditionalFormatting>
  <conditionalFormatting sqref="I76">
    <cfRule type="cellIs" dxfId="17380" priority="26430" operator="between">
      <formula>0.76</formula>
      <formula>0.95</formula>
    </cfRule>
    <cfRule type="cellIs" dxfId="17379" priority="26431" operator="between">
      <formula>0.51</formula>
      <formula>0.75</formula>
    </cfRule>
    <cfRule type="cellIs" dxfId="17378" priority="26432" operator="greaterThan">
      <formula>1</formula>
    </cfRule>
    <cfRule type="cellIs" dxfId="17377" priority="26433" operator="between">
      <formula>0.95</formula>
      <formula>1</formula>
    </cfRule>
    <cfRule type="cellIs" dxfId="17376" priority="26434" stopIfTrue="1" operator="between">
      <formula>0</formula>
      <formula>0.5</formula>
    </cfRule>
  </conditionalFormatting>
  <conditionalFormatting sqref="I77">
    <cfRule type="cellIs" dxfId="17375" priority="26425" operator="between">
      <formula>0.76</formula>
      <formula>0.95</formula>
    </cfRule>
    <cfRule type="cellIs" dxfId="17374" priority="26426" operator="between">
      <formula>0.51</formula>
      <formula>0.75</formula>
    </cfRule>
    <cfRule type="cellIs" dxfId="17373" priority="26427" operator="greaterThan">
      <formula>1</formula>
    </cfRule>
    <cfRule type="cellIs" dxfId="17372" priority="26428" operator="between">
      <formula>0.95</formula>
      <formula>1</formula>
    </cfRule>
    <cfRule type="cellIs" dxfId="17371" priority="26429" stopIfTrue="1" operator="between">
      <formula>0</formula>
      <formula>0.5</formula>
    </cfRule>
  </conditionalFormatting>
  <conditionalFormatting sqref="I83">
    <cfRule type="cellIs" dxfId="17370" priority="26420" operator="between">
      <formula>0.76</formula>
      <formula>0.95</formula>
    </cfRule>
    <cfRule type="cellIs" dxfId="17369" priority="26421" operator="between">
      <formula>0.51</formula>
      <formula>0.75</formula>
    </cfRule>
    <cfRule type="cellIs" dxfId="17368" priority="26422" operator="greaterThan">
      <formula>1</formula>
    </cfRule>
    <cfRule type="cellIs" dxfId="17367" priority="26423" operator="between">
      <formula>0.95</formula>
      <formula>1</formula>
    </cfRule>
    <cfRule type="cellIs" dxfId="17366" priority="26424" stopIfTrue="1" operator="between">
      <formula>0</formula>
      <formula>0.5</formula>
    </cfRule>
  </conditionalFormatting>
  <conditionalFormatting sqref="I84">
    <cfRule type="cellIs" dxfId="17365" priority="26415" operator="between">
      <formula>0.76</formula>
      <formula>0.95</formula>
    </cfRule>
    <cfRule type="cellIs" dxfId="17364" priority="26416" operator="between">
      <formula>0.51</formula>
      <formula>0.75</formula>
    </cfRule>
    <cfRule type="cellIs" dxfId="17363" priority="26417" operator="greaterThan">
      <formula>1</formula>
    </cfRule>
    <cfRule type="cellIs" dxfId="17362" priority="26418" operator="between">
      <formula>0.95</formula>
      <formula>1</formula>
    </cfRule>
    <cfRule type="cellIs" dxfId="17361" priority="26419" stopIfTrue="1" operator="between">
      <formula>0</formula>
      <formula>0.5</formula>
    </cfRule>
  </conditionalFormatting>
  <conditionalFormatting sqref="I85">
    <cfRule type="cellIs" dxfId="17360" priority="26410" operator="between">
      <formula>0.76</formula>
      <formula>0.95</formula>
    </cfRule>
    <cfRule type="cellIs" dxfId="17359" priority="26411" operator="between">
      <formula>0.51</formula>
      <formula>0.75</formula>
    </cfRule>
    <cfRule type="cellIs" dxfId="17358" priority="26412" operator="greaterThan">
      <formula>1</formula>
    </cfRule>
    <cfRule type="cellIs" dxfId="17357" priority="26413" operator="between">
      <formula>0.95</formula>
      <formula>1</formula>
    </cfRule>
    <cfRule type="cellIs" dxfId="17356" priority="26414" stopIfTrue="1" operator="between">
      <formula>0</formula>
      <formula>0.5</formula>
    </cfRule>
  </conditionalFormatting>
  <conditionalFormatting sqref="I86">
    <cfRule type="cellIs" dxfId="17355" priority="26405" operator="between">
      <formula>0.76</formula>
      <formula>0.95</formula>
    </cfRule>
    <cfRule type="cellIs" dxfId="17354" priority="26406" operator="between">
      <formula>0.51</formula>
      <formula>0.75</formula>
    </cfRule>
    <cfRule type="cellIs" dxfId="17353" priority="26407" operator="greaterThan">
      <formula>1</formula>
    </cfRule>
    <cfRule type="cellIs" dxfId="17352" priority="26408" operator="between">
      <formula>0.95</formula>
      <formula>1</formula>
    </cfRule>
    <cfRule type="cellIs" dxfId="17351" priority="26409" stopIfTrue="1" operator="between">
      <formula>0</formula>
      <formula>0.5</formula>
    </cfRule>
  </conditionalFormatting>
  <conditionalFormatting sqref="I89">
    <cfRule type="cellIs" dxfId="17350" priority="26400" operator="between">
      <formula>0.76</formula>
      <formula>0.95</formula>
    </cfRule>
    <cfRule type="cellIs" dxfId="17349" priority="26401" operator="between">
      <formula>0.51</formula>
      <formula>0.75</formula>
    </cfRule>
    <cfRule type="cellIs" dxfId="17348" priority="26402" operator="greaterThan">
      <formula>1</formula>
    </cfRule>
    <cfRule type="cellIs" dxfId="17347" priority="26403" operator="between">
      <formula>0.95</formula>
      <formula>1</formula>
    </cfRule>
    <cfRule type="cellIs" dxfId="17346" priority="26404" stopIfTrue="1" operator="between">
      <formula>0</formula>
      <formula>0.5</formula>
    </cfRule>
  </conditionalFormatting>
  <conditionalFormatting sqref="I90">
    <cfRule type="cellIs" dxfId="17345" priority="26395" operator="between">
      <formula>0.76</formula>
      <formula>0.95</formula>
    </cfRule>
    <cfRule type="cellIs" dxfId="17344" priority="26396" operator="between">
      <formula>0.51</formula>
      <formula>0.75</formula>
    </cfRule>
    <cfRule type="cellIs" dxfId="17343" priority="26397" operator="greaterThan">
      <formula>1</formula>
    </cfRule>
    <cfRule type="cellIs" dxfId="17342" priority="26398" operator="between">
      <formula>0.95</formula>
      <formula>1</formula>
    </cfRule>
    <cfRule type="cellIs" dxfId="17341" priority="26399" stopIfTrue="1" operator="between">
      <formula>0</formula>
      <formula>0.5</formula>
    </cfRule>
  </conditionalFormatting>
  <conditionalFormatting sqref="I91">
    <cfRule type="cellIs" dxfId="17340" priority="26390" operator="between">
      <formula>0.76</formula>
      <formula>0.95</formula>
    </cfRule>
    <cfRule type="cellIs" dxfId="17339" priority="26391" operator="between">
      <formula>0.51</formula>
      <formula>0.75</formula>
    </cfRule>
    <cfRule type="cellIs" dxfId="17338" priority="26392" operator="greaterThan">
      <formula>1</formula>
    </cfRule>
    <cfRule type="cellIs" dxfId="17337" priority="26393" operator="between">
      <formula>0.95</formula>
      <formula>1</formula>
    </cfRule>
    <cfRule type="cellIs" dxfId="17336" priority="26394" stopIfTrue="1" operator="between">
      <formula>0</formula>
      <formula>0.5</formula>
    </cfRule>
  </conditionalFormatting>
  <conditionalFormatting sqref="I92">
    <cfRule type="cellIs" dxfId="17335" priority="26385" operator="between">
      <formula>0.76</formula>
      <formula>0.95</formula>
    </cfRule>
    <cfRule type="cellIs" dxfId="17334" priority="26386" operator="between">
      <formula>0.51</formula>
      <formula>0.75</formula>
    </cfRule>
    <cfRule type="cellIs" dxfId="17333" priority="26387" operator="greaterThan">
      <formula>1</formula>
    </cfRule>
    <cfRule type="cellIs" dxfId="17332" priority="26388" operator="between">
      <formula>0.95</formula>
      <formula>1</formula>
    </cfRule>
    <cfRule type="cellIs" dxfId="17331" priority="26389" stopIfTrue="1" operator="between">
      <formula>0</formula>
      <formula>0.5</formula>
    </cfRule>
  </conditionalFormatting>
  <conditionalFormatting sqref="I93">
    <cfRule type="cellIs" dxfId="17330" priority="26380" operator="between">
      <formula>0.76</formula>
      <formula>0.95</formula>
    </cfRule>
    <cfRule type="cellIs" dxfId="17329" priority="26381" operator="between">
      <formula>0.51</formula>
      <formula>0.75</formula>
    </cfRule>
    <cfRule type="cellIs" dxfId="17328" priority="26382" operator="greaterThan">
      <formula>1</formula>
    </cfRule>
    <cfRule type="cellIs" dxfId="17327" priority="26383" operator="between">
      <formula>0.95</formula>
      <formula>1</formula>
    </cfRule>
    <cfRule type="cellIs" dxfId="17326" priority="26384" stopIfTrue="1" operator="between">
      <formula>0</formula>
      <formula>0.5</formula>
    </cfRule>
  </conditionalFormatting>
  <conditionalFormatting sqref="I94">
    <cfRule type="cellIs" dxfId="17325" priority="26375" operator="between">
      <formula>0.76</formula>
      <formula>0.95</formula>
    </cfRule>
    <cfRule type="cellIs" dxfId="17324" priority="26376" operator="between">
      <formula>0.51</formula>
      <formula>0.75</formula>
    </cfRule>
    <cfRule type="cellIs" dxfId="17323" priority="26377" operator="greaterThan">
      <formula>1</formula>
    </cfRule>
    <cfRule type="cellIs" dxfId="17322" priority="26378" operator="between">
      <formula>0.95</formula>
      <formula>1</formula>
    </cfRule>
    <cfRule type="cellIs" dxfId="17321" priority="26379" stopIfTrue="1" operator="between">
      <formula>0</formula>
      <formula>0.5</formula>
    </cfRule>
  </conditionalFormatting>
  <conditionalFormatting sqref="I99">
    <cfRule type="cellIs" dxfId="17320" priority="26370" operator="between">
      <formula>0.76</formula>
      <formula>0.95</formula>
    </cfRule>
    <cfRule type="cellIs" dxfId="17319" priority="26371" operator="between">
      <formula>0.51</formula>
      <formula>0.75</formula>
    </cfRule>
    <cfRule type="cellIs" dxfId="17318" priority="26372" operator="greaterThan">
      <formula>1</formula>
    </cfRule>
    <cfRule type="cellIs" dxfId="17317" priority="26373" operator="between">
      <formula>0.95</formula>
      <formula>1</formula>
    </cfRule>
    <cfRule type="cellIs" dxfId="17316" priority="26374" stopIfTrue="1" operator="between">
      <formula>0</formula>
      <formula>0.5</formula>
    </cfRule>
  </conditionalFormatting>
  <conditionalFormatting sqref="I102">
    <cfRule type="cellIs" dxfId="17315" priority="26365" operator="between">
      <formula>0.76</formula>
      <formula>0.95</formula>
    </cfRule>
    <cfRule type="cellIs" dxfId="17314" priority="26366" operator="between">
      <formula>0.51</formula>
      <formula>0.75</formula>
    </cfRule>
    <cfRule type="cellIs" dxfId="17313" priority="26367" operator="greaterThan">
      <formula>1</formula>
    </cfRule>
    <cfRule type="cellIs" dxfId="17312" priority="26368" operator="between">
      <formula>0.95</formula>
      <formula>1</formula>
    </cfRule>
    <cfRule type="cellIs" dxfId="17311" priority="26369" stopIfTrue="1" operator="between">
      <formula>0</formula>
      <formula>0.5</formula>
    </cfRule>
  </conditionalFormatting>
  <conditionalFormatting sqref="I103">
    <cfRule type="cellIs" dxfId="17310" priority="26360" operator="between">
      <formula>0.76</formula>
      <formula>0.95</formula>
    </cfRule>
    <cfRule type="cellIs" dxfId="17309" priority="26361" operator="between">
      <formula>0.51</formula>
      <formula>0.75</formula>
    </cfRule>
    <cfRule type="cellIs" dxfId="17308" priority="26362" operator="greaterThan">
      <formula>1</formula>
    </cfRule>
    <cfRule type="cellIs" dxfId="17307" priority="26363" operator="between">
      <formula>0.95</formula>
      <formula>1</formula>
    </cfRule>
    <cfRule type="cellIs" dxfId="17306" priority="26364" stopIfTrue="1" operator="between">
      <formula>0</formula>
      <formula>0.5</formula>
    </cfRule>
  </conditionalFormatting>
  <conditionalFormatting sqref="I107">
    <cfRule type="cellIs" dxfId="17305" priority="26355" operator="between">
      <formula>0.76</formula>
      <formula>0.95</formula>
    </cfRule>
    <cfRule type="cellIs" dxfId="17304" priority="26356" operator="between">
      <formula>0.51</formula>
      <formula>0.75</formula>
    </cfRule>
    <cfRule type="cellIs" dxfId="17303" priority="26357" operator="greaterThan">
      <formula>1</formula>
    </cfRule>
    <cfRule type="cellIs" dxfId="17302" priority="26358" operator="between">
      <formula>0.95</formula>
      <formula>1</formula>
    </cfRule>
    <cfRule type="cellIs" dxfId="17301" priority="26359" stopIfTrue="1" operator="between">
      <formula>0</formula>
      <formula>0.5</formula>
    </cfRule>
  </conditionalFormatting>
  <conditionalFormatting sqref="I108">
    <cfRule type="cellIs" dxfId="17300" priority="26350" operator="between">
      <formula>0.76</formula>
      <formula>0.95</formula>
    </cfRule>
    <cfRule type="cellIs" dxfId="17299" priority="26351" operator="between">
      <formula>0.51</formula>
      <formula>0.75</formula>
    </cfRule>
    <cfRule type="cellIs" dxfId="17298" priority="26352" operator="greaterThan">
      <formula>1</formula>
    </cfRule>
    <cfRule type="cellIs" dxfId="17297" priority="26353" operator="between">
      <formula>0.95</formula>
      <formula>1</formula>
    </cfRule>
    <cfRule type="cellIs" dxfId="17296" priority="26354" stopIfTrue="1" operator="between">
      <formula>0</formula>
      <formula>0.5</formula>
    </cfRule>
  </conditionalFormatting>
  <conditionalFormatting sqref="I109">
    <cfRule type="cellIs" dxfId="17295" priority="26345" operator="between">
      <formula>0.76</formula>
      <formula>0.95</formula>
    </cfRule>
    <cfRule type="cellIs" dxfId="17294" priority="26346" operator="between">
      <formula>0.51</formula>
      <formula>0.75</formula>
    </cfRule>
    <cfRule type="cellIs" dxfId="17293" priority="26347" operator="greaterThan">
      <formula>1</formula>
    </cfRule>
    <cfRule type="cellIs" dxfId="17292" priority="26348" operator="between">
      <formula>0.95</formula>
      <formula>1</formula>
    </cfRule>
    <cfRule type="cellIs" dxfId="17291" priority="26349" stopIfTrue="1" operator="between">
      <formula>0</formula>
      <formula>0.5</formula>
    </cfRule>
  </conditionalFormatting>
  <conditionalFormatting sqref="I110">
    <cfRule type="cellIs" dxfId="17290" priority="26340" operator="between">
      <formula>0.76</formula>
      <formula>0.95</formula>
    </cfRule>
    <cfRule type="cellIs" dxfId="17289" priority="26341" operator="between">
      <formula>0.51</formula>
      <formula>0.75</formula>
    </cfRule>
    <cfRule type="cellIs" dxfId="17288" priority="26342" operator="greaterThan">
      <formula>1</formula>
    </cfRule>
    <cfRule type="cellIs" dxfId="17287" priority="26343" operator="between">
      <formula>0.95</formula>
      <formula>1</formula>
    </cfRule>
    <cfRule type="cellIs" dxfId="17286" priority="26344" stopIfTrue="1" operator="between">
      <formula>0</formula>
      <formula>0.5</formula>
    </cfRule>
  </conditionalFormatting>
  <conditionalFormatting sqref="I112">
    <cfRule type="cellIs" dxfId="17285" priority="26335" operator="between">
      <formula>0.76</formula>
      <formula>0.95</formula>
    </cfRule>
    <cfRule type="cellIs" dxfId="17284" priority="26336" operator="between">
      <formula>0.51</formula>
      <formula>0.75</formula>
    </cfRule>
    <cfRule type="cellIs" dxfId="17283" priority="26337" operator="greaterThan">
      <formula>1</formula>
    </cfRule>
    <cfRule type="cellIs" dxfId="17282" priority="26338" operator="between">
      <formula>0.95</formula>
      <formula>1</formula>
    </cfRule>
    <cfRule type="cellIs" dxfId="17281" priority="26339" stopIfTrue="1" operator="between">
      <formula>0</formula>
      <formula>0.5</formula>
    </cfRule>
  </conditionalFormatting>
  <conditionalFormatting sqref="I113">
    <cfRule type="cellIs" dxfId="17280" priority="26325" operator="between">
      <formula>0.76</formula>
      <formula>0.95</formula>
    </cfRule>
    <cfRule type="cellIs" dxfId="17279" priority="26326" operator="between">
      <formula>0.51</formula>
      <formula>0.75</formula>
    </cfRule>
    <cfRule type="cellIs" dxfId="17278" priority="26327" operator="greaterThan">
      <formula>1</formula>
    </cfRule>
    <cfRule type="cellIs" dxfId="17277" priority="26328" operator="between">
      <formula>0.95</formula>
      <formula>1</formula>
    </cfRule>
    <cfRule type="cellIs" dxfId="17276" priority="26329" stopIfTrue="1" operator="between">
      <formula>0</formula>
      <formula>0.5</formula>
    </cfRule>
  </conditionalFormatting>
  <conditionalFormatting sqref="I116">
    <cfRule type="cellIs" dxfId="17275" priority="26315" operator="between">
      <formula>0.76</formula>
      <formula>0.95</formula>
    </cfRule>
    <cfRule type="cellIs" dxfId="17274" priority="26316" operator="between">
      <formula>0.51</formula>
      <formula>0.75</formula>
    </cfRule>
    <cfRule type="cellIs" dxfId="17273" priority="26317" operator="greaterThan">
      <formula>1</formula>
    </cfRule>
    <cfRule type="cellIs" dxfId="17272" priority="26318" operator="between">
      <formula>0.95</formula>
      <formula>1</formula>
    </cfRule>
    <cfRule type="cellIs" dxfId="17271" priority="26319" stopIfTrue="1" operator="between">
      <formula>0</formula>
      <formula>0.5</formula>
    </cfRule>
  </conditionalFormatting>
  <conditionalFormatting sqref="I118">
    <cfRule type="cellIs" dxfId="17270" priority="26305" operator="between">
      <formula>0.76</formula>
      <formula>0.95</formula>
    </cfRule>
    <cfRule type="cellIs" dxfId="17269" priority="26306" operator="between">
      <formula>0.51</formula>
      <formula>0.75</formula>
    </cfRule>
    <cfRule type="cellIs" dxfId="17268" priority="26307" operator="greaterThan">
      <formula>1</formula>
    </cfRule>
    <cfRule type="cellIs" dxfId="17267" priority="26308" operator="between">
      <formula>0.95</formula>
      <formula>1</formula>
    </cfRule>
    <cfRule type="cellIs" dxfId="17266" priority="26309" stopIfTrue="1" operator="between">
      <formula>0</formula>
      <formula>0.5</formula>
    </cfRule>
  </conditionalFormatting>
  <conditionalFormatting sqref="I119">
    <cfRule type="cellIs" dxfId="17265" priority="26300" operator="between">
      <formula>0.76</formula>
      <formula>0.95</formula>
    </cfRule>
    <cfRule type="cellIs" dxfId="17264" priority="26301" operator="between">
      <formula>0.51</formula>
      <formula>0.75</formula>
    </cfRule>
    <cfRule type="cellIs" dxfId="17263" priority="26302" operator="greaterThan">
      <formula>1</formula>
    </cfRule>
    <cfRule type="cellIs" dxfId="17262" priority="26303" operator="between">
      <formula>0.95</formula>
      <formula>1</formula>
    </cfRule>
    <cfRule type="cellIs" dxfId="17261" priority="26304" stopIfTrue="1" operator="between">
      <formula>0</formula>
      <formula>0.5</formula>
    </cfRule>
  </conditionalFormatting>
  <conditionalFormatting sqref="I120">
    <cfRule type="cellIs" dxfId="17260" priority="26295" operator="between">
      <formula>0.76</formula>
      <formula>0.95</formula>
    </cfRule>
    <cfRule type="cellIs" dxfId="17259" priority="26296" operator="between">
      <formula>0.51</formula>
      <formula>0.75</formula>
    </cfRule>
    <cfRule type="cellIs" dxfId="17258" priority="26297" operator="greaterThan">
      <formula>1</formula>
    </cfRule>
    <cfRule type="cellIs" dxfId="17257" priority="26298" operator="between">
      <formula>0.95</formula>
      <formula>1</formula>
    </cfRule>
    <cfRule type="cellIs" dxfId="17256" priority="26299" stopIfTrue="1" operator="between">
      <formula>0</formula>
      <formula>0.5</formula>
    </cfRule>
  </conditionalFormatting>
  <conditionalFormatting sqref="I121">
    <cfRule type="cellIs" dxfId="17255" priority="26290" operator="between">
      <formula>0.76</formula>
      <formula>0.95</formula>
    </cfRule>
    <cfRule type="cellIs" dxfId="17254" priority="26291" operator="between">
      <formula>0.51</formula>
      <formula>0.75</formula>
    </cfRule>
    <cfRule type="cellIs" dxfId="17253" priority="26292" operator="greaterThan">
      <formula>1</formula>
    </cfRule>
    <cfRule type="cellIs" dxfId="17252" priority="26293" operator="between">
      <formula>0.95</formula>
      <formula>1</formula>
    </cfRule>
    <cfRule type="cellIs" dxfId="17251" priority="26294" stopIfTrue="1" operator="between">
      <formula>0</formula>
      <formula>0.5</formula>
    </cfRule>
  </conditionalFormatting>
  <conditionalFormatting sqref="I122">
    <cfRule type="cellIs" dxfId="17250" priority="26285" operator="between">
      <formula>0.76</formula>
      <formula>0.95</formula>
    </cfRule>
    <cfRule type="cellIs" dxfId="17249" priority="26286" operator="between">
      <formula>0.51</formula>
      <formula>0.75</formula>
    </cfRule>
    <cfRule type="cellIs" dxfId="17248" priority="26287" operator="greaterThan">
      <formula>1</formula>
    </cfRule>
    <cfRule type="cellIs" dxfId="17247" priority="26288" operator="between">
      <formula>0.95</formula>
      <formula>1</formula>
    </cfRule>
    <cfRule type="cellIs" dxfId="17246" priority="26289" stopIfTrue="1" operator="between">
      <formula>0</formula>
      <formula>0.5</formula>
    </cfRule>
  </conditionalFormatting>
  <conditionalFormatting sqref="I123">
    <cfRule type="cellIs" dxfId="17245" priority="26280" operator="between">
      <formula>0.76</formula>
      <formula>0.95</formula>
    </cfRule>
    <cfRule type="cellIs" dxfId="17244" priority="26281" operator="between">
      <formula>0.51</formula>
      <formula>0.75</formula>
    </cfRule>
    <cfRule type="cellIs" dxfId="17243" priority="26282" operator="greaterThan">
      <formula>1</formula>
    </cfRule>
    <cfRule type="cellIs" dxfId="17242" priority="26283" operator="between">
      <formula>0.95</formula>
      <formula>1</formula>
    </cfRule>
    <cfRule type="cellIs" dxfId="17241" priority="26284" stopIfTrue="1" operator="between">
      <formula>0</formula>
      <formula>0.5</formula>
    </cfRule>
  </conditionalFormatting>
  <conditionalFormatting sqref="I124">
    <cfRule type="cellIs" dxfId="17240" priority="26275" operator="between">
      <formula>0.76</formula>
      <formula>0.95</formula>
    </cfRule>
    <cfRule type="cellIs" dxfId="17239" priority="26276" operator="between">
      <formula>0.51</formula>
      <formula>0.75</formula>
    </cfRule>
    <cfRule type="cellIs" dxfId="17238" priority="26277" operator="greaterThan">
      <formula>1</formula>
    </cfRule>
    <cfRule type="cellIs" dxfId="17237" priority="26278" operator="between">
      <formula>0.95</formula>
      <formula>1</formula>
    </cfRule>
    <cfRule type="cellIs" dxfId="17236" priority="26279" stopIfTrue="1" operator="between">
      <formula>0</formula>
      <formula>0.5</formula>
    </cfRule>
  </conditionalFormatting>
  <conditionalFormatting sqref="I144">
    <cfRule type="cellIs" dxfId="17235" priority="26270" operator="between">
      <formula>0.76</formula>
      <formula>0.95</formula>
    </cfRule>
    <cfRule type="cellIs" dxfId="17234" priority="26271" operator="between">
      <formula>0.51</formula>
      <formula>0.75</formula>
    </cfRule>
    <cfRule type="cellIs" dxfId="17233" priority="26272" operator="greaterThan">
      <formula>1</formula>
    </cfRule>
    <cfRule type="cellIs" dxfId="17232" priority="26273" operator="between">
      <formula>0.95</formula>
      <formula>1</formula>
    </cfRule>
    <cfRule type="cellIs" dxfId="17231" priority="26274" stopIfTrue="1" operator="between">
      <formula>0</formula>
      <formula>0.5</formula>
    </cfRule>
  </conditionalFormatting>
  <conditionalFormatting sqref="I151">
    <cfRule type="cellIs" dxfId="17230" priority="26265" operator="between">
      <formula>0.76</formula>
      <formula>0.95</formula>
    </cfRule>
    <cfRule type="cellIs" dxfId="17229" priority="26266" operator="between">
      <formula>0.51</formula>
      <formula>0.75</formula>
    </cfRule>
    <cfRule type="cellIs" dxfId="17228" priority="26267" operator="greaterThan">
      <formula>1</formula>
    </cfRule>
    <cfRule type="cellIs" dxfId="17227" priority="26268" operator="between">
      <formula>0.95</formula>
      <formula>1</formula>
    </cfRule>
    <cfRule type="cellIs" dxfId="17226" priority="26269" stopIfTrue="1" operator="between">
      <formula>0</formula>
      <formula>0.5</formula>
    </cfRule>
  </conditionalFormatting>
  <conditionalFormatting sqref="I152">
    <cfRule type="cellIs" dxfId="17225" priority="26260" operator="between">
      <formula>0.76</formula>
      <formula>0.95</formula>
    </cfRule>
    <cfRule type="cellIs" dxfId="17224" priority="26261" operator="between">
      <formula>0.51</formula>
      <formula>0.75</formula>
    </cfRule>
    <cfRule type="cellIs" dxfId="17223" priority="26262" operator="greaterThan">
      <formula>1</formula>
    </cfRule>
    <cfRule type="cellIs" dxfId="17222" priority="26263" operator="between">
      <formula>0.95</formula>
      <formula>1</formula>
    </cfRule>
    <cfRule type="cellIs" dxfId="17221" priority="26264" stopIfTrue="1" operator="between">
      <formula>0</formula>
      <formula>0.5</formula>
    </cfRule>
  </conditionalFormatting>
  <conditionalFormatting sqref="I155">
    <cfRule type="cellIs" dxfId="17220" priority="26250" operator="between">
      <formula>0.76</formula>
      <formula>0.95</formula>
    </cfRule>
    <cfRule type="cellIs" dxfId="17219" priority="26251" operator="between">
      <formula>0.51</formula>
      <formula>0.75</formula>
    </cfRule>
    <cfRule type="cellIs" dxfId="17218" priority="26252" operator="greaterThan">
      <formula>1</formula>
    </cfRule>
    <cfRule type="cellIs" dxfId="17217" priority="26253" operator="between">
      <formula>0.95</formula>
      <formula>1</formula>
    </cfRule>
    <cfRule type="cellIs" dxfId="17216" priority="26254" stopIfTrue="1" operator="between">
      <formula>0</formula>
      <formula>0.5</formula>
    </cfRule>
  </conditionalFormatting>
  <conditionalFormatting sqref="I166">
    <cfRule type="cellIs" dxfId="17215" priority="26245" operator="between">
      <formula>0.76</formula>
      <formula>0.95</formula>
    </cfRule>
    <cfRule type="cellIs" dxfId="17214" priority="26246" operator="between">
      <formula>0.51</formula>
      <formula>0.75</formula>
    </cfRule>
    <cfRule type="cellIs" dxfId="17213" priority="26247" operator="greaterThan">
      <formula>1</formula>
    </cfRule>
    <cfRule type="cellIs" dxfId="17212" priority="26248" operator="between">
      <formula>0.95</formula>
      <formula>1</formula>
    </cfRule>
    <cfRule type="cellIs" dxfId="17211" priority="26249" stopIfTrue="1" operator="between">
      <formula>0</formula>
      <formula>0.5</formula>
    </cfRule>
  </conditionalFormatting>
  <conditionalFormatting sqref="I177">
    <cfRule type="cellIs" dxfId="17210" priority="26240" operator="between">
      <formula>0.76</formula>
      <formula>0.95</formula>
    </cfRule>
    <cfRule type="cellIs" dxfId="17209" priority="26241" operator="between">
      <formula>0.51</formula>
      <formula>0.75</formula>
    </cfRule>
    <cfRule type="cellIs" dxfId="17208" priority="26242" operator="greaterThan">
      <formula>1</formula>
    </cfRule>
    <cfRule type="cellIs" dxfId="17207" priority="26243" operator="between">
      <formula>0.95</formula>
      <formula>1</formula>
    </cfRule>
    <cfRule type="cellIs" dxfId="17206" priority="26244" stopIfTrue="1" operator="between">
      <formula>0</formula>
      <formula>0.5</formula>
    </cfRule>
  </conditionalFormatting>
  <conditionalFormatting sqref="I183">
    <cfRule type="cellIs" dxfId="17205" priority="26235" operator="between">
      <formula>0.76</formula>
      <formula>0.95</formula>
    </cfRule>
    <cfRule type="cellIs" dxfId="17204" priority="26236" operator="between">
      <formula>0.51</formula>
      <formula>0.75</formula>
    </cfRule>
    <cfRule type="cellIs" dxfId="17203" priority="26237" operator="greaterThan">
      <formula>1</formula>
    </cfRule>
    <cfRule type="cellIs" dxfId="17202" priority="26238" operator="between">
      <formula>0.95</formula>
      <formula>1</formula>
    </cfRule>
    <cfRule type="cellIs" dxfId="17201" priority="26239" stopIfTrue="1" operator="between">
      <formula>0</formula>
      <formula>0.5</formula>
    </cfRule>
  </conditionalFormatting>
  <conditionalFormatting sqref="I184">
    <cfRule type="cellIs" dxfId="17200" priority="26230" operator="between">
      <formula>0.76</formula>
      <formula>0.95</formula>
    </cfRule>
    <cfRule type="cellIs" dxfId="17199" priority="26231" operator="between">
      <formula>0.51</formula>
      <formula>0.75</formula>
    </cfRule>
    <cfRule type="cellIs" dxfId="17198" priority="26232" operator="greaterThan">
      <formula>1</formula>
    </cfRule>
    <cfRule type="cellIs" dxfId="17197" priority="26233" operator="between">
      <formula>0.95</formula>
      <formula>1</formula>
    </cfRule>
    <cfRule type="cellIs" dxfId="17196" priority="26234" stopIfTrue="1" operator="between">
      <formula>0</formula>
      <formula>0.5</formula>
    </cfRule>
  </conditionalFormatting>
  <conditionalFormatting sqref="I185">
    <cfRule type="cellIs" dxfId="17195" priority="26225" operator="between">
      <formula>0.76</formula>
      <formula>0.95</formula>
    </cfRule>
    <cfRule type="cellIs" dxfId="17194" priority="26226" operator="between">
      <formula>0.51</formula>
      <formula>0.75</formula>
    </cfRule>
    <cfRule type="cellIs" dxfId="17193" priority="26227" operator="greaterThan">
      <formula>1</formula>
    </cfRule>
    <cfRule type="cellIs" dxfId="17192" priority="26228" operator="between">
      <formula>0.95</formula>
      <formula>1</formula>
    </cfRule>
    <cfRule type="cellIs" dxfId="17191" priority="26229" stopIfTrue="1" operator="between">
      <formula>0</formula>
      <formula>0.5</formula>
    </cfRule>
  </conditionalFormatting>
  <conditionalFormatting sqref="I186">
    <cfRule type="cellIs" dxfId="17190" priority="26220" operator="between">
      <formula>0.76</formula>
      <formula>0.95</formula>
    </cfRule>
    <cfRule type="cellIs" dxfId="17189" priority="26221" operator="between">
      <formula>0.51</formula>
      <formula>0.75</formula>
    </cfRule>
    <cfRule type="cellIs" dxfId="17188" priority="26222" operator="greaterThan">
      <formula>1</formula>
    </cfRule>
    <cfRule type="cellIs" dxfId="17187" priority="26223" operator="between">
      <formula>0.95</formula>
      <formula>1</formula>
    </cfRule>
    <cfRule type="cellIs" dxfId="17186" priority="26224" stopIfTrue="1" operator="between">
      <formula>0</formula>
      <formula>0.5</formula>
    </cfRule>
  </conditionalFormatting>
  <conditionalFormatting sqref="I187">
    <cfRule type="cellIs" dxfId="17185" priority="26215" operator="between">
      <formula>0.76</formula>
      <formula>0.95</formula>
    </cfRule>
    <cfRule type="cellIs" dxfId="17184" priority="26216" operator="between">
      <formula>0.51</formula>
      <formula>0.75</formula>
    </cfRule>
    <cfRule type="cellIs" dxfId="17183" priority="26217" operator="greaterThan">
      <formula>1</formula>
    </cfRule>
    <cfRule type="cellIs" dxfId="17182" priority="26218" operator="between">
      <formula>0.95</formula>
      <formula>1</formula>
    </cfRule>
    <cfRule type="cellIs" dxfId="17181" priority="26219" stopIfTrue="1" operator="between">
      <formula>0</formula>
      <formula>0.5</formula>
    </cfRule>
  </conditionalFormatting>
  <conditionalFormatting sqref="I188">
    <cfRule type="cellIs" dxfId="17180" priority="26210" operator="between">
      <formula>0.76</formula>
      <formula>0.95</formula>
    </cfRule>
    <cfRule type="cellIs" dxfId="17179" priority="26211" operator="between">
      <formula>0.51</formula>
      <formula>0.75</formula>
    </cfRule>
    <cfRule type="cellIs" dxfId="17178" priority="26212" operator="greaterThan">
      <formula>1</formula>
    </cfRule>
    <cfRule type="cellIs" dxfId="17177" priority="26213" operator="between">
      <formula>0.95</formula>
      <formula>1</formula>
    </cfRule>
    <cfRule type="cellIs" dxfId="17176" priority="26214" stopIfTrue="1" operator="between">
      <formula>0</formula>
      <formula>0.5</formula>
    </cfRule>
  </conditionalFormatting>
  <conditionalFormatting sqref="I189">
    <cfRule type="cellIs" dxfId="17175" priority="26205" operator="between">
      <formula>0.76</formula>
      <formula>0.95</formula>
    </cfRule>
    <cfRule type="cellIs" dxfId="17174" priority="26206" operator="between">
      <formula>0.51</formula>
      <formula>0.75</formula>
    </cfRule>
    <cfRule type="cellIs" dxfId="17173" priority="26207" operator="greaterThan">
      <formula>1</formula>
    </cfRule>
    <cfRule type="cellIs" dxfId="17172" priority="26208" operator="between">
      <formula>0.95</formula>
      <formula>1</formula>
    </cfRule>
    <cfRule type="cellIs" dxfId="17171" priority="26209" stopIfTrue="1" operator="between">
      <formula>0</formula>
      <formula>0.5</formula>
    </cfRule>
  </conditionalFormatting>
  <conditionalFormatting sqref="I190">
    <cfRule type="cellIs" dxfId="17170" priority="26200" operator="between">
      <formula>0.76</formula>
      <formula>0.95</formula>
    </cfRule>
    <cfRule type="cellIs" dxfId="17169" priority="26201" operator="between">
      <formula>0.51</formula>
      <formula>0.75</formula>
    </cfRule>
    <cfRule type="cellIs" dxfId="17168" priority="26202" operator="greaterThan">
      <formula>1</formula>
    </cfRule>
    <cfRule type="cellIs" dxfId="17167" priority="26203" operator="between">
      <formula>0.95</formula>
      <formula>1</formula>
    </cfRule>
    <cfRule type="cellIs" dxfId="17166" priority="26204" stopIfTrue="1" operator="between">
      <formula>0</formula>
      <formula>0.5</formula>
    </cfRule>
  </conditionalFormatting>
  <conditionalFormatting sqref="I191">
    <cfRule type="cellIs" dxfId="17165" priority="26195" operator="between">
      <formula>0.76</formula>
      <formula>0.95</formula>
    </cfRule>
    <cfRule type="cellIs" dxfId="17164" priority="26196" operator="between">
      <formula>0.51</formula>
      <formula>0.75</formula>
    </cfRule>
    <cfRule type="cellIs" dxfId="17163" priority="26197" operator="greaterThan">
      <formula>1</formula>
    </cfRule>
    <cfRule type="cellIs" dxfId="17162" priority="26198" operator="between">
      <formula>0.95</formula>
      <formula>1</formula>
    </cfRule>
    <cfRule type="cellIs" dxfId="17161" priority="26199" stopIfTrue="1" operator="between">
      <formula>0</formula>
      <formula>0.5</formula>
    </cfRule>
  </conditionalFormatting>
  <conditionalFormatting sqref="I192">
    <cfRule type="cellIs" dxfId="17160" priority="26190" operator="between">
      <formula>0.76</formula>
      <formula>0.95</formula>
    </cfRule>
    <cfRule type="cellIs" dxfId="17159" priority="26191" operator="between">
      <formula>0.51</formula>
      <formula>0.75</formula>
    </cfRule>
    <cfRule type="cellIs" dxfId="17158" priority="26192" operator="greaterThan">
      <formula>1</formula>
    </cfRule>
    <cfRule type="cellIs" dxfId="17157" priority="26193" operator="between">
      <formula>0.95</formula>
      <formula>1</formula>
    </cfRule>
    <cfRule type="cellIs" dxfId="17156" priority="26194" stopIfTrue="1" operator="between">
      <formula>0</formula>
      <formula>0.5</formula>
    </cfRule>
  </conditionalFormatting>
  <conditionalFormatting sqref="I193">
    <cfRule type="cellIs" dxfId="17155" priority="26185" operator="between">
      <formula>0.76</formula>
      <formula>0.95</formula>
    </cfRule>
    <cfRule type="cellIs" dxfId="17154" priority="26186" operator="between">
      <formula>0.51</formula>
      <formula>0.75</formula>
    </cfRule>
    <cfRule type="cellIs" dxfId="17153" priority="26187" operator="greaterThan">
      <formula>1</formula>
    </cfRule>
    <cfRule type="cellIs" dxfId="17152" priority="26188" operator="between">
      <formula>0.95</formula>
      <formula>1</formula>
    </cfRule>
    <cfRule type="cellIs" dxfId="17151" priority="26189" stopIfTrue="1" operator="between">
      <formula>0</formula>
      <formula>0.5</formula>
    </cfRule>
  </conditionalFormatting>
  <conditionalFormatting sqref="I194">
    <cfRule type="cellIs" dxfId="17150" priority="26180" operator="between">
      <formula>0.76</formula>
      <formula>0.95</formula>
    </cfRule>
    <cfRule type="cellIs" dxfId="17149" priority="26181" operator="between">
      <formula>0.51</formula>
      <formula>0.75</formula>
    </cfRule>
    <cfRule type="cellIs" dxfId="17148" priority="26182" operator="greaterThan">
      <formula>1</formula>
    </cfRule>
    <cfRule type="cellIs" dxfId="17147" priority="26183" operator="between">
      <formula>0.95</formula>
      <formula>1</formula>
    </cfRule>
    <cfRule type="cellIs" dxfId="17146" priority="26184" stopIfTrue="1" operator="between">
      <formula>0</formula>
      <formula>0.5</formula>
    </cfRule>
  </conditionalFormatting>
  <conditionalFormatting sqref="I195">
    <cfRule type="cellIs" dxfId="17145" priority="26175" operator="between">
      <formula>0.76</formula>
      <formula>0.95</formula>
    </cfRule>
    <cfRule type="cellIs" dxfId="17144" priority="26176" operator="between">
      <formula>0.51</formula>
      <formula>0.75</formula>
    </cfRule>
    <cfRule type="cellIs" dxfId="17143" priority="26177" operator="greaterThan">
      <formula>1</formula>
    </cfRule>
    <cfRule type="cellIs" dxfId="17142" priority="26178" operator="between">
      <formula>0.95</formula>
      <formula>1</formula>
    </cfRule>
    <cfRule type="cellIs" dxfId="17141" priority="26179" stopIfTrue="1" operator="between">
      <formula>0</formula>
      <formula>0.5</formula>
    </cfRule>
  </conditionalFormatting>
  <conditionalFormatting sqref="I196">
    <cfRule type="cellIs" dxfId="17140" priority="26170" operator="between">
      <formula>0.76</formula>
      <formula>0.95</formula>
    </cfRule>
    <cfRule type="cellIs" dxfId="17139" priority="26171" operator="between">
      <formula>0.51</formula>
      <formula>0.75</formula>
    </cfRule>
    <cfRule type="cellIs" dxfId="17138" priority="26172" operator="greaterThan">
      <formula>1</formula>
    </cfRule>
    <cfRule type="cellIs" dxfId="17137" priority="26173" operator="between">
      <formula>0.95</formula>
      <formula>1</formula>
    </cfRule>
    <cfRule type="cellIs" dxfId="17136" priority="26174" stopIfTrue="1" operator="between">
      <formula>0</formula>
      <formula>0.5</formula>
    </cfRule>
  </conditionalFormatting>
  <conditionalFormatting sqref="I197">
    <cfRule type="cellIs" dxfId="17135" priority="26165" operator="between">
      <formula>0.76</formula>
      <formula>0.95</formula>
    </cfRule>
    <cfRule type="cellIs" dxfId="17134" priority="26166" operator="between">
      <formula>0.51</formula>
      <formula>0.75</formula>
    </cfRule>
    <cfRule type="cellIs" dxfId="17133" priority="26167" operator="greaterThan">
      <formula>1</formula>
    </cfRule>
    <cfRule type="cellIs" dxfId="17132" priority="26168" operator="between">
      <formula>0.95</formula>
      <formula>1</formula>
    </cfRule>
    <cfRule type="cellIs" dxfId="17131" priority="26169" stopIfTrue="1" operator="between">
      <formula>0</formula>
      <formula>0.5</formula>
    </cfRule>
  </conditionalFormatting>
  <conditionalFormatting sqref="I198">
    <cfRule type="cellIs" dxfId="17130" priority="26160" operator="between">
      <formula>0.76</formula>
      <formula>0.95</formula>
    </cfRule>
    <cfRule type="cellIs" dxfId="17129" priority="26161" operator="between">
      <formula>0.51</formula>
      <formula>0.75</formula>
    </cfRule>
    <cfRule type="cellIs" dxfId="17128" priority="26162" operator="greaterThan">
      <formula>1</formula>
    </cfRule>
    <cfRule type="cellIs" dxfId="17127" priority="26163" operator="between">
      <formula>0.95</formula>
      <formula>1</formula>
    </cfRule>
    <cfRule type="cellIs" dxfId="17126" priority="26164" stopIfTrue="1" operator="between">
      <formula>0</formula>
      <formula>0.5</formula>
    </cfRule>
  </conditionalFormatting>
  <conditionalFormatting sqref="I199">
    <cfRule type="cellIs" dxfId="17125" priority="26155" operator="between">
      <formula>0.76</formula>
      <formula>0.95</formula>
    </cfRule>
    <cfRule type="cellIs" dxfId="17124" priority="26156" operator="between">
      <formula>0.51</formula>
      <formula>0.75</formula>
    </cfRule>
    <cfRule type="cellIs" dxfId="17123" priority="26157" operator="greaterThan">
      <formula>1</formula>
    </cfRule>
    <cfRule type="cellIs" dxfId="17122" priority="26158" operator="between">
      <formula>0.95</formula>
      <formula>1</formula>
    </cfRule>
    <cfRule type="cellIs" dxfId="17121" priority="26159" stopIfTrue="1" operator="between">
      <formula>0</formula>
      <formula>0.5</formula>
    </cfRule>
  </conditionalFormatting>
  <conditionalFormatting sqref="I200">
    <cfRule type="cellIs" dxfId="17120" priority="26150" operator="between">
      <formula>0.76</formula>
      <formula>0.95</formula>
    </cfRule>
    <cfRule type="cellIs" dxfId="17119" priority="26151" operator="between">
      <formula>0.51</formula>
      <formula>0.75</formula>
    </cfRule>
    <cfRule type="cellIs" dxfId="17118" priority="26152" operator="greaterThan">
      <formula>1</formula>
    </cfRule>
    <cfRule type="cellIs" dxfId="17117" priority="26153" operator="between">
      <formula>0.95</formula>
      <formula>1</formula>
    </cfRule>
    <cfRule type="cellIs" dxfId="17116" priority="26154" stopIfTrue="1" operator="between">
      <formula>0</formula>
      <formula>0.5</formula>
    </cfRule>
  </conditionalFormatting>
  <conditionalFormatting sqref="I202">
    <cfRule type="cellIs" dxfId="17115" priority="26145" operator="between">
      <formula>0.76</formula>
      <formula>0.95</formula>
    </cfRule>
    <cfRule type="cellIs" dxfId="17114" priority="26146" operator="between">
      <formula>0.51</formula>
      <formula>0.75</formula>
    </cfRule>
    <cfRule type="cellIs" dxfId="17113" priority="26147" operator="greaterThan">
      <formula>1</formula>
    </cfRule>
    <cfRule type="cellIs" dxfId="17112" priority="26148" operator="between">
      <formula>0.95</formula>
      <formula>1</formula>
    </cfRule>
    <cfRule type="cellIs" dxfId="17111" priority="26149" stopIfTrue="1" operator="between">
      <formula>0</formula>
      <formula>0.5</formula>
    </cfRule>
  </conditionalFormatting>
  <conditionalFormatting sqref="I203">
    <cfRule type="cellIs" dxfId="17110" priority="26140" operator="between">
      <formula>0.76</formula>
      <formula>0.95</formula>
    </cfRule>
    <cfRule type="cellIs" dxfId="17109" priority="26141" operator="between">
      <formula>0.51</formula>
      <formula>0.75</formula>
    </cfRule>
    <cfRule type="cellIs" dxfId="17108" priority="26142" operator="greaterThan">
      <formula>1</formula>
    </cfRule>
    <cfRule type="cellIs" dxfId="17107" priority="26143" operator="between">
      <formula>0.95</formula>
      <formula>1</formula>
    </cfRule>
    <cfRule type="cellIs" dxfId="17106" priority="26144" stopIfTrue="1" operator="between">
      <formula>0</formula>
      <formula>0.5</formula>
    </cfRule>
  </conditionalFormatting>
  <conditionalFormatting sqref="I204">
    <cfRule type="cellIs" dxfId="17105" priority="26135" operator="between">
      <formula>0.76</formula>
      <formula>0.95</formula>
    </cfRule>
    <cfRule type="cellIs" dxfId="17104" priority="26136" operator="between">
      <formula>0.51</formula>
      <formula>0.75</formula>
    </cfRule>
    <cfRule type="cellIs" dxfId="17103" priority="26137" operator="greaterThan">
      <formula>1</formula>
    </cfRule>
    <cfRule type="cellIs" dxfId="17102" priority="26138" operator="between">
      <formula>0.95</formula>
      <formula>1</formula>
    </cfRule>
    <cfRule type="cellIs" dxfId="17101" priority="26139" stopIfTrue="1" operator="between">
      <formula>0</formula>
      <formula>0.5</formula>
    </cfRule>
  </conditionalFormatting>
  <conditionalFormatting sqref="I205">
    <cfRule type="cellIs" dxfId="17100" priority="26130" operator="between">
      <formula>0.76</formula>
      <formula>0.95</formula>
    </cfRule>
    <cfRule type="cellIs" dxfId="17099" priority="26131" operator="between">
      <formula>0.51</formula>
      <formula>0.75</formula>
    </cfRule>
    <cfRule type="cellIs" dxfId="17098" priority="26132" operator="greaterThan">
      <formula>1</formula>
    </cfRule>
    <cfRule type="cellIs" dxfId="17097" priority="26133" operator="between">
      <formula>0.95</formula>
      <formula>1</formula>
    </cfRule>
    <cfRule type="cellIs" dxfId="17096" priority="26134" stopIfTrue="1" operator="between">
      <formula>0</formula>
      <formula>0.5</formula>
    </cfRule>
  </conditionalFormatting>
  <conditionalFormatting sqref="I206">
    <cfRule type="cellIs" dxfId="17095" priority="26125" operator="between">
      <formula>0.76</formula>
      <formula>0.95</formula>
    </cfRule>
    <cfRule type="cellIs" dxfId="17094" priority="26126" operator="between">
      <formula>0.51</formula>
      <formula>0.75</formula>
    </cfRule>
    <cfRule type="cellIs" dxfId="17093" priority="26127" operator="greaterThan">
      <formula>1</formula>
    </cfRule>
    <cfRule type="cellIs" dxfId="17092" priority="26128" operator="between">
      <formula>0.95</formula>
      <formula>1</formula>
    </cfRule>
    <cfRule type="cellIs" dxfId="17091" priority="26129" stopIfTrue="1" operator="between">
      <formula>0</formula>
      <formula>0.5</formula>
    </cfRule>
  </conditionalFormatting>
  <conditionalFormatting sqref="I207">
    <cfRule type="cellIs" dxfId="17090" priority="26120" operator="between">
      <formula>0.76</formula>
      <formula>0.95</formula>
    </cfRule>
    <cfRule type="cellIs" dxfId="17089" priority="26121" operator="between">
      <formula>0.51</formula>
      <formula>0.75</formula>
    </cfRule>
    <cfRule type="cellIs" dxfId="17088" priority="26122" operator="greaterThan">
      <formula>1</formula>
    </cfRule>
    <cfRule type="cellIs" dxfId="17087" priority="26123" operator="between">
      <formula>0.95</formula>
      <formula>1</formula>
    </cfRule>
    <cfRule type="cellIs" dxfId="17086" priority="26124" stopIfTrue="1" operator="between">
      <formula>0</formula>
      <formula>0.5</formula>
    </cfRule>
  </conditionalFormatting>
  <conditionalFormatting sqref="I208">
    <cfRule type="cellIs" dxfId="17085" priority="26115" operator="between">
      <formula>0.76</formula>
      <formula>0.95</formula>
    </cfRule>
    <cfRule type="cellIs" dxfId="17084" priority="26116" operator="between">
      <formula>0.51</formula>
      <formula>0.75</formula>
    </cfRule>
    <cfRule type="cellIs" dxfId="17083" priority="26117" operator="greaterThan">
      <formula>1</formula>
    </cfRule>
    <cfRule type="cellIs" dxfId="17082" priority="26118" operator="between">
      <formula>0.95</formula>
      <formula>1</formula>
    </cfRule>
    <cfRule type="cellIs" dxfId="17081" priority="26119" stopIfTrue="1" operator="between">
      <formula>0</formula>
      <formula>0.5</formula>
    </cfRule>
  </conditionalFormatting>
  <conditionalFormatting sqref="I209">
    <cfRule type="cellIs" dxfId="17080" priority="26110" operator="between">
      <formula>0.76</formula>
      <formula>0.95</formula>
    </cfRule>
    <cfRule type="cellIs" dxfId="17079" priority="26111" operator="between">
      <formula>0.51</formula>
      <formula>0.75</formula>
    </cfRule>
    <cfRule type="cellIs" dxfId="17078" priority="26112" operator="greaterThan">
      <formula>1</formula>
    </cfRule>
    <cfRule type="cellIs" dxfId="17077" priority="26113" operator="between">
      <formula>0.95</formula>
      <formula>1</formula>
    </cfRule>
    <cfRule type="cellIs" dxfId="17076" priority="26114" stopIfTrue="1" operator="between">
      <formula>0</formula>
      <formula>0.5</formula>
    </cfRule>
  </conditionalFormatting>
  <conditionalFormatting sqref="I210">
    <cfRule type="cellIs" dxfId="17075" priority="26105" operator="between">
      <formula>0.76</formula>
      <formula>0.95</formula>
    </cfRule>
    <cfRule type="cellIs" dxfId="17074" priority="26106" operator="between">
      <formula>0.51</formula>
      <formula>0.75</formula>
    </cfRule>
    <cfRule type="cellIs" dxfId="17073" priority="26107" operator="greaterThan">
      <formula>1</formula>
    </cfRule>
    <cfRule type="cellIs" dxfId="17072" priority="26108" operator="between">
      <formula>0.95</formula>
      <formula>1</formula>
    </cfRule>
    <cfRule type="cellIs" dxfId="17071" priority="26109" stopIfTrue="1" operator="between">
      <formula>0</formula>
      <formula>0.5</formula>
    </cfRule>
  </conditionalFormatting>
  <conditionalFormatting sqref="I211">
    <cfRule type="cellIs" dxfId="17070" priority="26100" operator="between">
      <formula>0.76</formula>
      <formula>0.95</formula>
    </cfRule>
    <cfRule type="cellIs" dxfId="17069" priority="26101" operator="between">
      <formula>0.51</formula>
      <formula>0.75</formula>
    </cfRule>
    <cfRule type="cellIs" dxfId="17068" priority="26102" operator="greaterThan">
      <formula>1</formula>
    </cfRule>
    <cfRule type="cellIs" dxfId="17067" priority="26103" operator="between">
      <formula>0.95</formula>
      <formula>1</formula>
    </cfRule>
    <cfRule type="cellIs" dxfId="17066" priority="26104" stopIfTrue="1" operator="between">
      <formula>0</formula>
      <formula>0.5</formula>
    </cfRule>
  </conditionalFormatting>
  <conditionalFormatting sqref="I212">
    <cfRule type="cellIs" dxfId="17065" priority="26095" operator="between">
      <formula>0.76</formula>
      <formula>0.95</formula>
    </cfRule>
    <cfRule type="cellIs" dxfId="17064" priority="26096" operator="between">
      <formula>0.51</formula>
      <formula>0.75</formula>
    </cfRule>
    <cfRule type="cellIs" dxfId="17063" priority="26097" operator="greaterThan">
      <formula>1</formula>
    </cfRule>
    <cfRule type="cellIs" dxfId="17062" priority="26098" operator="between">
      <formula>0.95</formula>
      <formula>1</formula>
    </cfRule>
    <cfRule type="cellIs" dxfId="17061" priority="26099" stopIfTrue="1" operator="between">
      <formula>0</formula>
      <formula>0.5</formula>
    </cfRule>
  </conditionalFormatting>
  <conditionalFormatting sqref="I213">
    <cfRule type="cellIs" dxfId="17060" priority="26090" operator="between">
      <formula>0.76</formula>
      <formula>0.95</formula>
    </cfRule>
    <cfRule type="cellIs" dxfId="17059" priority="26091" operator="between">
      <formula>0.51</formula>
      <formula>0.75</formula>
    </cfRule>
    <cfRule type="cellIs" dxfId="17058" priority="26092" operator="greaterThan">
      <formula>1</formula>
    </cfRule>
    <cfRule type="cellIs" dxfId="17057" priority="26093" operator="between">
      <formula>0.95</formula>
      <formula>1</formula>
    </cfRule>
    <cfRule type="cellIs" dxfId="17056" priority="26094" stopIfTrue="1" operator="between">
      <formula>0</formula>
      <formula>0.5</formula>
    </cfRule>
  </conditionalFormatting>
  <conditionalFormatting sqref="I214">
    <cfRule type="cellIs" dxfId="17055" priority="26085" operator="between">
      <formula>0.76</formula>
      <formula>0.95</formula>
    </cfRule>
    <cfRule type="cellIs" dxfId="17054" priority="26086" operator="between">
      <formula>0.51</formula>
      <formula>0.75</formula>
    </cfRule>
    <cfRule type="cellIs" dxfId="17053" priority="26087" operator="greaterThan">
      <formula>1</formula>
    </cfRule>
    <cfRule type="cellIs" dxfId="17052" priority="26088" operator="between">
      <formula>0.95</formula>
      <formula>1</formula>
    </cfRule>
    <cfRule type="cellIs" dxfId="17051" priority="26089" stopIfTrue="1" operator="between">
      <formula>0</formula>
      <formula>0.5</formula>
    </cfRule>
  </conditionalFormatting>
  <conditionalFormatting sqref="I215">
    <cfRule type="cellIs" dxfId="17050" priority="26080" operator="between">
      <formula>0.76</formula>
      <formula>0.95</formula>
    </cfRule>
    <cfRule type="cellIs" dxfId="17049" priority="26081" operator="between">
      <formula>0.51</formula>
      <formula>0.75</formula>
    </cfRule>
    <cfRule type="cellIs" dxfId="17048" priority="26082" operator="greaterThan">
      <formula>1</formula>
    </cfRule>
    <cfRule type="cellIs" dxfId="17047" priority="26083" operator="between">
      <formula>0.95</formula>
      <formula>1</formula>
    </cfRule>
    <cfRule type="cellIs" dxfId="17046" priority="26084" stopIfTrue="1" operator="between">
      <formula>0</formula>
      <formula>0.5</formula>
    </cfRule>
  </conditionalFormatting>
  <conditionalFormatting sqref="I216">
    <cfRule type="cellIs" dxfId="17045" priority="26075" operator="between">
      <formula>0.76</formula>
      <formula>0.95</formula>
    </cfRule>
    <cfRule type="cellIs" dxfId="17044" priority="26076" operator="between">
      <formula>0.51</formula>
      <formula>0.75</formula>
    </cfRule>
    <cfRule type="cellIs" dxfId="17043" priority="26077" operator="greaterThan">
      <formula>1</formula>
    </cfRule>
    <cfRule type="cellIs" dxfId="17042" priority="26078" operator="between">
      <formula>0.95</formula>
      <formula>1</formula>
    </cfRule>
    <cfRule type="cellIs" dxfId="17041" priority="26079" stopIfTrue="1" operator="between">
      <formula>0</formula>
      <formula>0.5</formula>
    </cfRule>
  </conditionalFormatting>
  <conditionalFormatting sqref="I217">
    <cfRule type="cellIs" dxfId="17040" priority="26070" operator="between">
      <formula>0.76</formula>
      <formula>0.95</formula>
    </cfRule>
    <cfRule type="cellIs" dxfId="17039" priority="26071" operator="between">
      <formula>0.51</formula>
      <formula>0.75</formula>
    </cfRule>
    <cfRule type="cellIs" dxfId="17038" priority="26072" operator="greaterThan">
      <formula>1</formula>
    </cfRule>
    <cfRule type="cellIs" dxfId="17037" priority="26073" operator="between">
      <formula>0.95</formula>
      <formula>1</formula>
    </cfRule>
    <cfRule type="cellIs" dxfId="17036" priority="26074" stopIfTrue="1" operator="between">
      <formula>0</formula>
      <formula>0.5</formula>
    </cfRule>
  </conditionalFormatting>
  <conditionalFormatting sqref="I218">
    <cfRule type="cellIs" dxfId="17035" priority="26065" operator="between">
      <formula>0.76</formula>
      <formula>0.95</formula>
    </cfRule>
    <cfRule type="cellIs" dxfId="17034" priority="26066" operator="between">
      <formula>0.51</formula>
      <formula>0.75</formula>
    </cfRule>
    <cfRule type="cellIs" dxfId="17033" priority="26067" operator="greaterThan">
      <formula>1</formula>
    </cfRule>
    <cfRule type="cellIs" dxfId="17032" priority="26068" operator="between">
      <formula>0.95</formula>
      <formula>1</formula>
    </cfRule>
    <cfRule type="cellIs" dxfId="17031" priority="26069" stopIfTrue="1" operator="between">
      <formula>0</formula>
      <formula>0.5</formula>
    </cfRule>
  </conditionalFormatting>
  <conditionalFormatting sqref="I219">
    <cfRule type="cellIs" dxfId="17030" priority="26060" operator="between">
      <formula>0.76</formula>
      <formula>0.95</formula>
    </cfRule>
    <cfRule type="cellIs" dxfId="17029" priority="26061" operator="between">
      <formula>0.51</formula>
      <formula>0.75</formula>
    </cfRule>
    <cfRule type="cellIs" dxfId="17028" priority="26062" operator="greaterThan">
      <formula>1</formula>
    </cfRule>
    <cfRule type="cellIs" dxfId="17027" priority="26063" operator="between">
      <formula>0.95</formula>
      <formula>1</formula>
    </cfRule>
    <cfRule type="cellIs" dxfId="17026" priority="26064" stopIfTrue="1" operator="between">
      <formula>0</formula>
      <formula>0.5</formula>
    </cfRule>
  </conditionalFormatting>
  <conditionalFormatting sqref="I220">
    <cfRule type="cellIs" dxfId="17025" priority="26055" operator="between">
      <formula>0.76</formula>
      <formula>0.95</formula>
    </cfRule>
    <cfRule type="cellIs" dxfId="17024" priority="26056" operator="between">
      <formula>0.51</formula>
      <formula>0.75</formula>
    </cfRule>
    <cfRule type="cellIs" dxfId="17023" priority="26057" operator="greaterThan">
      <formula>1</formula>
    </cfRule>
    <cfRule type="cellIs" dxfId="17022" priority="26058" operator="between">
      <formula>0.95</formula>
      <formula>1</formula>
    </cfRule>
    <cfRule type="cellIs" dxfId="17021" priority="26059" stopIfTrue="1" operator="between">
      <formula>0</formula>
      <formula>0.5</formula>
    </cfRule>
  </conditionalFormatting>
  <conditionalFormatting sqref="I221">
    <cfRule type="cellIs" dxfId="17020" priority="26050" operator="between">
      <formula>0.76</formula>
      <formula>0.95</formula>
    </cfRule>
    <cfRule type="cellIs" dxfId="17019" priority="26051" operator="between">
      <formula>0.51</formula>
      <formula>0.75</formula>
    </cfRule>
    <cfRule type="cellIs" dxfId="17018" priority="26052" operator="greaterThan">
      <formula>1</formula>
    </cfRule>
    <cfRule type="cellIs" dxfId="17017" priority="26053" operator="between">
      <formula>0.95</formula>
      <formula>1</formula>
    </cfRule>
    <cfRule type="cellIs" dxfId="17016" priority="26054" stopIfTrue="1" operator="between">
      <formula>0</formula>
      <formula>0.5</formula>
    </cfRule>
  </conditionalFormatting>
  <conditionalFormatting sqref="I222">
    <cfRule type="cellIs" dxfId="17015" priority="26045" operator="between">
      <formula>0.76</formula>
      <formula>0.95</formula>
    </cfRule>
    <cfRule type="cellIs" dxfId="17014" priority="26046" operator="between">
      <formula>0.51</formula>
      <formula>0.75</formula>
    </cfRule>
    <cfRule type="cellIs" dxfId="17013" priority="26047" operator="greaterThan">
      <formula>1</formula>
    </cfRule>
    <cfRule type="cellIs" dxfId="17012" priority="26048" operator="between">
      <formula>0.95</formula>
      <formula>1</formula>
    </cfRule>
    <cfRule type="cellIs" dxfId="17011" priority="26049" stopIfTrue="1" operator="between">
      <formula>0</formula>
      <formula>0.5</formula>
    </cfRule>
  </conditionalFormatting>
  <conditionalFormatting sqref="I223">
    <cfRule type="cellIs" dxfId="17010" priority="26040" operator="between">
      <formula>0.76</formula>
      <formula>0.95</formula>
    </cfRule>
    <cfRule type="cellIs" dxfId="17009" priority="26041" operator="between">
      <formula>0.51</formula>
      <formula>0.75</formula>
    </cfRule>
    <cfRule type="cellIs" dxfId="17008" priority="26042" operator="greaterThan">
      <formula>1</formula>
    </cfRule>
    <cfRule type="cellIs" dxfId="17007" priority="26043" operator="between">
      <formula>0.95</formula>
      <formula>1</formula>
    </cfRule>
    <cfRule type="cellIs" dxfId="17006" priority="26044" stopIfTrue="1" operator="between">
      <formula>0</formula>
      <formula>0.5</formula>
    </cfRule>
  </conditionalFormatting>
  <conditionalFormatting sqref="I224">
    <cfRule type="cellIs" dxfId="17005" priority="26035" operator="between">
      <formula>0.76</formula>
      <formula>0.95</formula>
    </cfRule>
    <cfRule type="cellIs" dxfId="17004" priority="26036" operator="between">
      <formula>0.51</formula>
      <formula>0.75</formula>
    </cfRule>
    <cfRule type="cellIs" dxfId="17003" priority="26037" operator="greaterThan">
      <formula>1</formula>
    </cfRule>
    <cfRule type="cellIs" dxfId="17002" priority="26038" operator="between">
      <formula>0.95</formula>
      <formula>1</formula>
    </cfRule>
    <cfRule type="cellIs" dxfId="17001" priority="26039" stopIfTrue="1" operator="between">
      <formula>0</formula>
      <formula>0.5</formula>
    </cfRule>
  </conditionalFormatting>
  <conditionalFormatting sqref="I225">
    <cfRule type="cellIs" dxfId="17000" priority="26030" operator="between">
      <formula>0.76</formula>
      <formula>0.95</formula>
    </cfRule>
    <cfRule type="cellIs" dxfId="16999" priority="26031" operator="between">
      <formula>0.51</formula>
      <formula>0.75</formula>
    </cfRule>
    <cfRule type="cellIs" dxfId="16998" priority="26032" operator="greaterThan">
      <formula>1</formula>
    </cfRule>
    <cfRule type="cellIs" dxfId="16997" priority="26033" operator="between">
      <formula>0.95</formula>
      <formula>1</formula>
    </cfRule>
    <cfRule type="cellIs" dxfId="16996" priority="26034" stopIfTrue="1" operator="between">
      <formula>0</formula>
      <formula>0.5</formula>
    </cfRule>
  </conditionalFormatting>
  <conditionalFormatting sqref="I226">
    <cfRule type="cellIs" dxfId="16995" priority="26025" operator="between">
      <formula>0.76</formula>
      <formula>0.95</formula>
    </cfRule>
    <cfRule type="cellIs" dxfId="16994" priority="26026" operator="between">
      <formula>0.51</formula>
      <formula>0.75</formula>
    </cfRule>
    <cfRule type="cellIs" dxfId="16993" priority="26027" operator="greaterThan">
      <formula>1</formula>
    </cfRule>
    <cfRule type="cellIs" dxfId="16992" priority="26028" operator="between">
      <formula>0.95</formula>
      <formula>1</formula>
    </cfRule>
    <cfRule type="cellIs" dxfId="16991" priority="26029" stopIfTrue="1" operator="between">
      <formula>0</formula>
      <formula>0.5</formula>
    </cfRule>
  </conditionalFormatting>
  <conditionalFormatting sqref="I227">
    <cfRule type="cellIs" dxfId="16990" priority="26020" operator="between">
      <formula>0.76</formula>
      <formula>0.95</formula>
    </cfRule>
    <cfRule type="cellIs" dxfId="16989" priority="26021" operator="between">
      <formula>0.51</formula>
      <formula>0.75</formula>
    </cfRule>
    <cfRule type="cellIs" dxfId="16988" priority="26022" operator="greaterThan">
      <formula>1</formula>
    </cfRule>
    <cfRule type="cellIs" dxfId="16987" priority="26023" operator="between">
      <formula>0.95</formula>
      <formula>1</formula>
    </cfRule>
    <cfRule type="cellIs" dxfId="16986" priority="26024" stopIfTrue="1" operator="between">
      <formula>0</formula>
      <formula>0.5</formula>
    </cfRule>
  </conditionalFormatting>
  <conditionalFormatting sqref="I228">
    <cfRule type="cellIs" dxfId="16985" priority="26015" operator="between">
      <formula>0.76</formula>
      <formula>0.95</formula>
    </cfRule>
    <cfRule type="cellIs" dxfId="16984" priority="26016" operator="between">
      <formula>0.51</formula>
      <formula>0.75</formula>
    </cfRule>
    <cfRule type="cellIs" dxfId="16983" priority="26017" operator="greaterThan">
      <formula>1</formula>
    </cfRule>
    <cfRule type="cellIs" dxfId="16982" priority="26018" operator="between">
      <formula>0.95</formula>
      <formula>1</formula>
    </cfRule>
    <cfRule type="cellIs" dxfId="16981" priority="26019" stopIfTrue="1" operator="between">
      <formula>0</formula>
      <formula>0.5</formula>
    </cfRule>
  </conditionalFormatting>
  <conditionalFormatting sqref="I229">
    <cfRule type="cellIs" dxfId="16980" priority="26010" operator="between">
      <formula>0.76</formula>
      <formula>0.95</formula>
    </cfRule>
    <cfRule type="cellIs" dxfId="16979" priority="26011" operator="between">
      <formula>0.51</formula>
      <formula>0.75</formula>
    </cfRule>
    <cfRule type="cellIs" dxfId="16978" priority="26012" operator="greaterThan">
      <formula>1</formula>
    </cfRule>
    <cfRule type="cellIs" dxfId="16977" priority="26013" operator="between">
      <formula>0.95</formula>
      <formula>1</formula>
    </cfRule>
    <cfRule type="cellIs" dxfId="16976" priority="26014" stopIfTrue="1" operator="between">
      <formula>0</formula>
      <formula>0.5</formula>
    </cfRule>
  </conditionalFormatting>
  <conditionalFormatting sqref="I230">
    <cfRule type="cellIs" dxfId="16975" priority="26005" operator="between">
      <formula>0.76</formula>
      <formula>0.95</formula>
    </cfRule>
    <cfRule type="cellIs" dxfId="16974" priority="26006" operator="between">
      <formula>0.51</formula>
      <formula>0.75</formula>
    </cfRule>
    <cfRule type="cellIs" dxfId="16973" priority="26007" operator="greaterThan">
      <formula>1</formula>
    </cfRule>
    <cfRule type="cellIs" dxfId="16972" priority="26008" operator="between">
      <formula>0.95</formula>
      <formula>1</formula>
    </cfRule>
    <cfRule type="cellIs" dxfId="16971" priority="26009" stopIfTrue="1" operator="between">
      <formula>0</formula>
      <formula>0.5</formula>
    </cfRule>
  </conditionalFormatting>
  <conditionalFormatting sqref="I231">
    <cfRule type="cellIs" dxfId="16970" priority="26000" operator="between">
      <formula>0.76</formula>
      <formula>0.95</formula>
    </cfRule>
    <cfRule type="cellIs" dxfId="16969" priority="26001" operator="between">
      <formula>0.51</formula>
      <formula>0.75</formula>
    </cfRule>
    <cfRule type="cellIs" dxfId="16968" priority="26002" operator="greaterThan">
      <formula>1</formula>
    </cfRule>
    <cfRule type="cellIs" dxfId="16967" priority="26003" operator="between">
      <formula>0.95</formula>
      <formula>1</formula>
    </cfRule>
    <cfRule type="cellIs" dxfId="16966" priority="26004" stopIfTrue="1" operator="between">
      <formula>0</formula>
      <formula>0.5</formula>
    </cfRule>
  </conditionalFormatting>
  <conditionalFormatting sqref="I232">
    <cfRule type="cellIs" dxfId="16965" priority="25995" operator="between">
      <formula>0.76</formula>
      <formula>0.95</formula>
    </cfRule>
    <cfRule type="cellIs" dxfId="16964" priority="25996" operator="between">
      <formula>0.51</formula>
      <formula>0.75</formula>
    </cfRule>
    <cfRule type="cellIs" dxfId="16963" priority="25997" operator="greaterThan">
      <formula>1</formula>
    </cfRule>
    <cfRule type="cellIs" dxfId="16962" priority="25998" operator="between">
      <formula>0.95</formula>
      <formula>1</formula>
    </cfRule>
    <cfRule type="cellIs" dxfId="16961" priority="25999" stopIfTrue="1" operator="between">
      <formula>0</formula>
      <formula>0.5</formula>
    </cfRule>
  </conditionalFormatting>
  <conditionalFormatting sqref="I233">
    <cfRule type="cellIs" dxfId="16960" priority="25985" operator="between">
      <formula>0.76</formula>
      <formula>0.95</formula>
    </cfRule>
    <cfRule type="cellIs" dxfId="16959" priority="25986" operator="between">
      <formula>0.51</formula>
      <formula>0.75</formula>
    </cfRule>
    <cfRule type="cellIs" dxfId="16958" priority="25987" operator="greaterThan">
      <formula>1</formula>
    </cfRule>
    <cfRule type="cellIs" dxfId="16957" priority="25988" operator="between">
      <formula>0.95</formula>
      <formula>1</formula>
    </cfRule>
    <cfRule type="cellIs" dxfId="16956" priority="25989" stopIfTrue="1" operator="between">
      <formula>0</formula>
      <formula>0.5</formula>
    </cfRule>
  </conditionalFormatting>
  <conditionalFormatting sqref="I234">
    <cfRule type="cellIs" dxfId="16955" priority="25980" operator="between">
      <formula>0.76</formula>
      <formula>0.95</formula>
    </cfRule>
    <cfRule type="cellIs" dxfId="16954" priority="25981" operator="between">
      <formula>0.51</formula>
      <formula>0.75</formula>
    </cfRule>
    <cfRule type="cellIs" dxfId="16953" priority="25982" operator="greaterThan">
      <formula>1</formula>
    </cfRule>
    <cfRule type="cellIs" dxfId="16952" priority="25983" operator="between">
      <formula>0.95</formula>
      <formula>1</formula>
    </cfRule>
    <cfRule type="cellIs" dxfId="16951" priority="25984" stopIfTrue="1" operator="between">
      <formula>0</formula>
      <formula>0.5</formula>
    </cfRule>
  </conditionalFormatting>
  <conditionalFormatting sqref="I235">
    <cfRule type="cellIs" dxfId="16950" priority="25975" operator="between">
      <formula>0.76</formula>
      <formula>0.95</formula>
    </cfRule>
    <cfRule type="cellIs" dxfId="16949" priority="25976" operator="between">
      <formula>0.51</formula>
      <formula>0.75</formula>
    </cfRule>
    <cfRule type="cellIs" dxfId="16948" priority="25977" operator="greaterThan">
      <formula>1</formula>
    </cfRule>
    <cfRule type="cellIs" dxfId="16947" priority="25978" operator="between">
      <formula>0.95</formula>
      <formula>1</formula>
    </cfRule>
    <cfRule type="cellIs" dxfId="16946" priority="25979" stopIfTrue="1" operator="between">
      <formula>0</formula>
      <formula>0.5</formula>
    </cfRule>
  </conditionalFormatting>
  <conditionalFormatting sqref="I236">
    <cfRule type="cellIs" dxfId="16945" priority="25970" operator="between">
      <formula>0.76</formula>
      <formula>0.95</formula>
    </cfRule>
    <cfRule type="cellIs" dxfId="16944" priority="25971" operator="between">
      <formula>0.51</formula>
      <formula>0.75</formula>
    </cfRule>
    <cfRule type="cellIs" dxfId="16943" priority="25972" operator="greaterThan">
      <formula>1</formula>
    </cfRule>
    <cfRule type="cellIs" dxfId="16942" priority="25973" operator="between">
      <formula>0.95</formula>
      <formula>1</formula>
    </cfRule>
    <cfRule type="cellIs" dxfId="16941" priority="25974" stopIfTrue="1" operator="between">
      <formula>0</formula>
      <formula>0.5</formula>
    </cfRule>
  </conditionalFormatting>
  <conditionalFormatting sqref="I237">
    <cfRule type="cellIs" dxfId="16940" priority="25965" operator="between">
      <formula>0.76</formula>
      <formula>0.95</formula>
    </cfRule>
    <cfRule type="cellIs" dxfId="16939" priority="25966" operator="between">
      <formula>0.51</formula>
      <formula>0.75</formula>
    </cfRule>
    <cfRule type="cellIs" dxfId="16938" priority="25967" operator="greaterThan">
      <formula>1</formula>
    </cfRule>
    <cfRule type="cellIs" dxfId="16937" priority="25968" operator="between">
      <formula>0.95</formula>
      <formula>1</formula>
    </cfRule>
    <cfRule type="cellIs" dxfId="16936" priority="25969" stopIfTrue="1" operator="between">
      <formula>0</formula>
      <formula>0.5</formula>
    </cfRule>
  </conditionalFormatting>
  <conditionalFormatting sqref="I239">
    <cfRule type="cellIs" dxfId="16935" priority="25960" operator="between">
      <formula>0.76</formula>
      <formula>0.95</formula>
    </cfRule>
    <cfRule type="cellIs" dxfId="16934" priority="25961" operator="between">
      <formula>0.51</formula>
      <formula>0.75</formula>
    </cfRule>
    <cfRule type="cellIs" dxfId="16933" priority="25962" operator="greaterThan">
      <formula>1</formula>
    </cfRule>
    <cfRule type="cellIs" dxfId="16932" priority="25963" operator="between">
      <formula>0.95</formula>
      <formula>1</formula>
    </cfRule>
    <cfRule type="cellIs" dxfId="16931" priority="25964" stopIfTrue="1" operator="between">
      <formula>0</formula>
      <formula>0.5</formula>
    </cfRule>
  </conditionalFormatting>
  <conditionalFormatting sqref="I238">
    <cfRule type="cellIs" dxfId="16930" priority="25955" operator="between">
      <formula>0.76</formula>
      <formula>0.95</formula>
    </cfRule>
    <cfRule type="cellIs" dxfId="16929" priority="25956" operator="between">
      <formula>0.51</formula>
      <formula>0.75</formula>
    </cfRule>
    <cfRule type="cellIs" dxfId="16928" priority="25957" operator="greaterThan">
      <formula>1</formula>
    </cfRule>
    <cfRule type="cellIs" dxfId="16927" priority="25958" operator="between">
      <formula>0.95</formula>
      <formula>1</formula>
    </cfRule>
    <cfRule type="cellIs" dxfId="16926" priority="25959" stopIfTrue="1" operator="between">
      <formula>0</formula>
      <formula>0.5</formula>
    </cfRule>
  </conditionalFormatting>
  <conditionalFormatting sqref="I240">
    <cfRule type="cellIs" dxfId="16925" priority="25950" operator="between">
      <formula>0.76</formula>
      <formula>0.95</formula>
    </cfRule>
    <cfRule type="cellIs" dxfId="16924" priority="25951" operator="between">
      <formula>0.51</formula>
      <formula>0.75</formula>
    </cfRule>
    <cfRule type="cellIs" dxfId="16923" priority="25952" operator="greaterThan">
      <formula>1</formula>
    </cfRule>
    <cfRule type="cellIs" dxfId="16922" priority="25953" operator="between">
      <formula>0.95</formula>
      <formula>1</formula>
    </cfRule>
    <cfRule type="cellIs" dxfId="16921" priority="25954" stopIfTrue="1" operator="between">
      <formula>0</formula>
      <formula>0.5</formula>
    </cfRule>
  </conditionalFormatting>
  <conditionalFormatting sqref="I243">
    <cfRule type="cellIs" dxfId="16920" priority="25945" operator="between">
      <formula>0.76</formula>
      <formula>0.95</formula>
    </cfRule>
    <cfRule type="cellIs" dxfId="16919" priority="25946" operator="between">
      <formula>0.51</formula>
      <formula>0.75</formula>
    </cfRule>
    <cfRule type="cellIs" dxfId="16918" priority="25947" operator="greaterThan">
      <formula>1</formula>
    </cfRule>
    <cfRule type="cellIs" dxfId="16917" priority="25948" operator="between">
      <formula>0.95</formula>
      <formula>1</formula>
    </cfRule>
    <cfRule type="cellIs" dxfId="16916" priority="25949" stopIfTrue="1" operator="between">
      <formula>0</formula>
      <formula>0.5</formula>
    </cfRule>
  </conditionalFormatting>
  <conditionalFormatting sqref="I244">
    <cfRule type="cellIs" dxfId="16915" priority="25940" operator="between">
      <formula>0.76</formula>
      <formula>0.95</formula>
    </cfRule>
    <cfRule type="cellIs" dxfId="16914" priority="25941" operator="between">
      <formula>0.51</formula>
      <formula>0.75</formula>
    </cfRule>
    <cfRule type="cellIs" dxfId="16913" priority="25942" operator="greaterThan">
      <formula>1</formula>
    </cfRule>
    <cfRule type="cellIs" dxfId="16912" priority="25943" operator="between">
      <formula>0.95</formula>
      <formula>1</formula>
    </cfRule>
    <cfRule type="cellIs" dxfId="16911" priority="25944" stopIfTrue="1" operator="between">
      <formula>0</formula>
      <formula>0.5</formula>
    </cfRule>
  </conditionalFormatting>
  <conditionalFormatting sqref="I247">
    <cfRule type="cellIs" dxfId="16910" priority="25935" operator="between">
      <formula>0.76</formula>
      <formula>0.95</formula>
    </cfRule>
    <cfRule type="cellIs" dxfId="16909" priority="25936" operator="between">
      <formula>0.51</formula>
      <formula>0.75</formula>
    </cfRule>
    <cfRule type="cellIs" dxfId="16908" priority="25937" operator="greaterThan">
      <formula>1</formula>
    </cfRule>
    <cfRule type="cellIs" dxfId="16907" priority="25938" operator="between">
      <formula>0.95</formula>
      <formula>1</formula>
    </cfRule>
    <cfRule type="cellIs" dxfId="16906" priority="25939" stopIfTrue="1" operator="between">
      <formula>0</formula>
      <formula>0.5</formula>
    </cfRule>
  </conditionalFormatting>
  <conditionalFormatting sqref="I248">
    <cfRule type="cellIs" dxfId="16905" priority="25930" operator="between">
      <formula>0.76</formula>
      <formula>0.95</formula>
    </cfRule>
    <cfRule type="cellIs" dxfId="16904" priority="25931" operator="between">
      <formula>0.51</formula>
      <formula>0.75</formula>
    </cfRule>
    <cfRule type="cellIs" dxfId="16903" priority="25932" operator="greaterThan">
      <formula>1</formula>
    </cfRule>
    <cfRule type="cellIs" dxfId="16902" priority="25933" operator="between">
      <formula>0.95</formula>
      <formula>1</formula>
    </cfRule>
    <cfRule type="cellIs" dxfId="16901" priority="25934" stopIfTrue="1" operator="between">
      <formula>0</formula>
      <formula>0.5</formula>
    </cfRule>
  </conditionalFormatting>
  <conditionalFormatting sqref="I251">
    <cfRule type="cellIs" dxfId="16900" priority="25925" operator="between">
      <formula>0.76</formula>
      <formula>0.95</formula>
    </cfRule>
    <cfRule type="cellIs" dxfId="16899" priority="25926" operator="between">
      <formula>0.51</formula>
      <formula>0.75</formula>
    </cfRule>
    <cfRule type="cellIs" dxfId="16898" priority="25927" operator="greaterThan">
      <formula>1</formula>
    </cfRule>
    <cfRule type="cellIs" dxfId="16897" priority="25928" operator="between">
      <formula>0.95</formula>
      <formula>1</formula>
    </cfRule>
    <cfRule type="cellIs" dxfId="16896" priority="25929" stopIfTrue="1" operator="between">
      <formula>0</formula>
      <formula>0.5</formula>
    </cfRule>
  </conditionalFormatting>
  <conditionalFormatting sqref="I252">
    <cfRule type="cellIs" dxfId="16895" priority="25920" operator="between">
      <formula>0.76</formula>
      <formula>0.95</formula>
    </cfRule>
    <cfRule type="cellIs" dxfId="16894" priority="25921" operator="between">
      <formula>0.51</formula>
      <formula>0.75</formula>
    </cfRule>
    <cfRule type="cellIs" dxfId="16893" priority="25922" operator="greaterThan">
      <formula>1</formula>
    </cfRule>
    <cfRule type="cellIs" dxfId="16892" priority="25923" operator="between">
      <formula>0.95</formula>
      <formula>1</formula>
    </cfRule>
    <cfRule type="cellIs" dxfId="16891" priority="25924" stopIfTrue="1" operator="between">
      <formula>0</formula>
      <formula>0.5</formula>
    </cfRule>
  </conditionalFormatting>
  <conditionalFormatting sqref="I257">
    <cfRule type="cellIs" dxfId="16890" priority="25915" operator="between">
      <formula>0.76</formula>
      <formula>0.95</formula>
    </cfRule>
    <cfRule type="cellIs" dxfId="16889" priority="25916" operator="between">
      <formula>0.51</formula>
      <formula>0.75</formula>
    </cfRule>
    <cfRule type="cellIs" dxfId="16888" priority="25917" operator="greaterThan">
      <formula>1</formula>
    </cfRule>
    <cfRule type="cellIs" dxfId="16887" priority="25918" operator="between">
      <formula>0.95</formula>
      <formula>1</formula>
    </cfRule>
    <cfRule type="cellIs" dxfId="16886" priority="25919" stopIfTrue="1" operator="between">
      <formula>0</formula>
      <formula>0.5</formula>
    </cfRule>
  </conditionalFormatting>
  <conditionalFormatting sqref="I258">
    <cfRule type="cellIs" dxfId="16885" priority="25910" operator="between">
      <formula>0.76</formula>
      <formula>0.95</formula>
    </cfRule>
    <cfRule type="cellIs" dxfId="16884" priority="25911" operator="between">
      <formula>0.51</formula>
      <formula>0.75</formula>
    </cfRule>
    <cfRule type="cellIs" dxfId="16883" priority="25912" operator="greaterThan">
      <formula>1</formula>
    </cfRule>
    <cfRule type="cellIs" dxfId="16882" priority="25913" operator="between">
      <formula>0.95</formula>
      <formula>1</formula>
    </cfRule>
    <cfRule type="cellIs" dxfId="16881" priority="25914" stopIfTrue="1" operator="between">
      <formula>0</formula>
      <formula>0.5</formula>
    </cfRule>
  </conditionalFormatting>
  <conditionalFormatting sqref="I260">
    <cfRule type="cellIs" dxfId="16880" priority="25905" operator="between">
      <formula>0.76</formula>
      <formula>0.95</formula>
    </cfRule>
    <cfRule type="cellIs" dxfId="16879" priority="25906" operator="between">
      <formula>0.51</formula>
      <formula>0.75</formula>
    </cfRule>
    <cfRule type="cellIs" dxfId="16878" priority="25907" operator="greaterThan">
      <formula>1</formula>
    </cfRule>
    <cfRule type="cellIs" dxfId="16877" priority="25908" operator="between">
      <formula>0.95</formula>
      <formula>1</formula>
    </cfRule>
    <cfRule type="cellIs" dxfId="16876" priority="25909" stopIfTrue="1" operator="between">
      <formula>0</formula>
      <formula>0.5</formula>
    </cfRule>
  </conditionalFormatting>
  <conditionalFormatting sqref="I259">
    <cfRule type="cellIs" dxfId="16875" priority="25900" operator="between">
      <formula>0.76</formula>
      <formula>0.95</formula>
    </cfRule>
    <cfRule type="cellIs" dxfId="16874" priority="25901" operator="between">
      <formula>0.51</formula>
      <formula>0.75</formula>
    </cfRule>
    <cfRule type="cellIs" dxfId="16873" priority="25902" operator="greaterThan">
      <formula>1</formula>
    </cfRule>
    <cfRule type="cellIs" dxfId="16872" priority="25903" operator="between">
      <formula>0.95</formula>
      <formula>1</formula>
    </cfRule>
    <cfRule type="cellIs" dxfId="16871" priority="25904" stopIfTrue="1" operator="between">
      <formula>0</formula>
      <formula>0.5</formula>
    </cfRule>
  </conditionalFormatting>
  <conditionalFormatting sqref="I261">
    <cfRule type="cellIs" dxfId="16870" priority="25895" operator="between">
      <formula>0.76</formula>
      <formula>0.95</formula>
    </cfRule>
    <cfRule type="cellIs" dxfId="16869" priority="25896" operator="between">
      <formula>0.51</formula>
      <formula>0.75</formula>
    </cfRule>
    <cfRule type="cellIs" dxfId="16868" priority="25897" operator="greaterThan">
      <formula>1</formula>
    </cfRule>
    <cfRule type="cellIs" dxfId="16867" priority="25898" operator="between">
      <formula>0.95</formula>
      <formula>1</formula>
    </cfRule>
    <cfRule type="cellIs" dxfId="16866" priority="25899" stopIfTrue="1" operator="between">
      <formula>0</formula>
      <formula>0.5</formula>
    </cfRule>
  </conditionalFormatting>
  <conditionalFormatting sqref="I262">
    <cfRule type="cellIs" dxfId="16865" priority="25890" operator="between">
      <formula>0.76</formula>
      <formula>0.95</formula>
    </cfRule>
    <cfRule type="cellIs" dxfId="16864" priority="25891" operator="between">
      <formula>0.51</formula>
      <formula>0.75</formula>
    </cfRule>
    <cfRule type="cellIs" dxfId="16863" priority="25892" operator="greaterThan">
      <formula>1</formula>
    </cfRule>
    <cfRule type="cellIs" dxfId="16862" priority="25893" operator="between">
      <formula>0.95</formula>
      <formula>1</formula>
    </cfRule>
    <cfRule type="cellIs" dxfId="16861" priority="25894" stopIfTrue="1" operator="between">
      <formula>0</formula>
      <formula>0.5</formula>
    </cfRule>
  </conditionalFormatting>
  <conditionalFormatting sqref="I277">
    <cfRule type="cellIs" dxfId="16860" priority="25885" operator="between">
      <formula>0.76</formula>
      <formula>0.95</formula>
    </cfRule>
    <cfRule type="cellIs" dxfId="16859" priority="25886" operator="between">
      <formula>0.51</formula>
      <formula>0.75</formula>
    </cfRule>
    <cfRule type="cellIs" dxfId="16858" priority="25887" operator="greaterThan">
      <formula>1</formula>
    </cfRule>
    <cfRule type="cellIs" dxfId="16857" priority="25888" operator="between">
      <formula>0.95</formula>
      <formula>1</formula>
    </cfRule>
    <cfRule type="cellIs" dxfId="16856" priority="25889" stopIfTrue="1" operator="between">
      <formula>0</formula>
      <formula>0.5</formula>
    </cfRule>
  </conditionalFormatting>
  <conditionalFormatting sqref="I278">
    <cfRule type="cellIs" dxfId="16855" priority="25880" operator="between">
      <formula>0.76</formula>
      <formula>0.95</formula>
    </cfRule>
    <cfRule type="cellIs" dxfId="16854" priority="25881" operator="between">
      <formula>0.51</formula>
      <formula>0.75</formula>
    </cfRule>
    <cfRule type="cellIs" dxfId="16853" priority="25882" operator="greaterThan">
      <formula>1</formula>
    </cfRule>
    <cfRule type="cellIs" dxfId="16852" priority="25883" operator="between">
      <formula>0.95</formula>
      <formula>1</formula>
    </cfRule>
    <cfRule type="cellIs" dxfId="16851" priority="25884" stopIfTrue="1" operator="between">
      <formula>0</formula>
      <formula>0.5</formula>
    </cfRule>
  </conditionalFormatting>
  <conditionalFormatting sqref="I279">
    <cfRule type="cellIs" dxfId="16850" priority="25875" operator="between">
      <formula>0.76</formula>
      <formula>0.95</formula>
    </cfRule>
    <cfRule type="cellIs" dxfId="16849" priority="25876" operator="between">
      <formula>0.51</formula>
      <formula>0.75</formula>
    </cfRule>
    <cfRule type="cellIs" dxfId="16848" priority="25877" operator="greaterThan">
      <formula>1</formula>
    </cfRule>
    <cfRule type="cellIs" dxfId="16847" priority="25878" operator="between">
      <formula>0.95</formula>
      <formula>1</formula>
    </cfRule>
    <cfRule type="cellIs" dxfId="16846" priority="25879" stopIfTrue="1" operator="between">
      <formula>0</formula>
      <formula>0.5</formula>
    </cfRule>
  </conditionalFormatting>
  <conditionalFormatting sqref="I280">
    <cfRule type="cellIs" dxfId="16845" priority="25870" operator="between">
      <formula>0.76</formula>
      <formula>0.95</formula>
    </cfRule>
    <cfRule type="cellIs" dxfId="16844" priority="25871" operator="between">
      <formula>0.51</formula>
      <formula>0.75</formula>
    </cfRule>
    <cfRule type="cellIs" dxfId="16843" priority="25872" operator="greaterThan">
      <formula>1</formula>
    </cfRule>
    <cfRule type="cellIs" dxfId="16842" priority="25873" operator="between">
      <formula>0.95</formula>
      <formula>1</formula>
    </cfRule>
    <cfRule type="cellIs" dxfId="16841" priority="25874" stopIfTrue="1" operator="between">
      <formula>0</formula>
      <formula>0.5</formula>
    </cfRule>
  </conditionalFormatting>
  <conditionalFormatting sqref="I281">
    <cfRule type="cellIs" dxfId="16840" priority="25865" operator="between">
      <formula>0.76</formula>
      <formula>0.95</formula>
    </cfRule>
    <cfRule type="cellIs" dxfId="16839" priority="25866" operator="between">
      <formula>0.51</formula>
      <formula>0.75</formula>
    </cfRule>
    <cfRule type="cellIs" dxfId="16838" priority="25867" operator="greaterThan">
      <formula>1</formula>
    </cfRule>
    <cfRule type="cellIs" dxfId="16837" priority="25868" operator="between">
      <formula>0.95</formula>
      <formula>1</formula>
    </cfRule>
    <cfRule type="cellIs" dxfId="16836" priority="25869" stopIfTrue="1" operator="between">
      <formula>0</formula>
      <formula>0.5</formula>
    </cfRule>
  </conditionalFormatting>
  <conditionalFormatting sqref="I282">
    <cfRule type="cellIs" dxfId="16835" priority="25860" operator="between">
      <formula>0.76</formula>
      <formula>0.95</formula>
    </cfRule>
    <cfRule type="cellIs" dxfId="16834" priority="25861" operator="between">
      <formula>0.51</formula>
      <formula>0.75</formula>
    </cfRule>
    <cfRule type="cellIs" dxfId="16833" priority="25862" operator="greaterThan">
      <formula>1</formula>
    </cfRule>
    <cfRule type="cellIs" dxfId="16832" priority="25863" operator="between">
      <formula>0.95</formula>
      <formula>1</formula>
    </cfRule>
    <cfRule type="cellIs" dxfId="16831" priority="25864" stopIfTrue="1" operator="between">
      <formula>0</formula>
      <formula>0.5</formula>
    </cfRule>
  </conditionalFormatting>
  <conditionalFormatting sqref="I286">
    <cfRule type="cellIs" dxfId="16830" priority="25850" operator="between">
      <formula>0.76</formula>
      <formula>0.95</formula>
    </cfRule>
    <cfRule type="cellIs" dxfId="16829" priority="25851" operator="between">
      <formula>0.51</formula>
      <formula>0.75</formula>
    </cfRule>
    <cfRule type="cellIs" dxfId="16828" priority="25852" operator="greaterThan">
      <formula>1</formula>
    </cfRule>
    <cfRule type="cellIs" dxfId="16827" priority="25853" operator="between">
      <formula>0.95</formula>
      <formula>1</formula>
    </cfRule>
    <cfRule type="cellIs" dxfId="16826" priority="25854" stopIfTrue="1" operator="between">
      <formula>0</formula>
      <formula>0.5</formula>
    </cfRule>
  </conditionalFormatting>
  <conditionalFormatting sqref="I303">
    <cfRule type="cellIs" dxfId="16825" priority="25845" operator="between">
      <formula>0.76</formula>
      <formula>0.95</formula>
    </cfRule>
    <cfRule type="cellIs" dxfId="16824" priority="25846" operator="between">
      <formula>0.51</formula>
      <formula>0.75</formula>
    </cfRule>
    <cfRule type="cellIs" dxfId="16823" priority="25847" operator="greaterThan">
      <formula>1</formula>
    </cfRule>
    <cfRule type="cellIs" dxfId="16822" priority="25848" operator="between">
      <formula>0.95</formula>
      <formula>1</formula>
    </cfRule>
    <cfRule type="cellIs" dxfId="16821" priority="25849" stopIfTrue="1" operator="between">
      <formula>0</formula>
      <formula>0.5</formula>
    </cfRule>
  </conditionalFormatting>
  <conditionalFormatting sqref="I304">
    <cfRule type="cellIs" dxfId="16820" priority="25840" operator="between">
      <formula>0.76</formula>
      <formula>0.95</formula>
    </cfRule>
    <cfRule type="cellIs" dxfId="16819" priority="25841" operator="between">
      <formula>0.51</formula>
      <formula>0.75</formula>
    </cfRule>
    <cfRule type="cellIs" dxfId="16818" priority="25842" operator="greaterThan">
      <formula>1</formula>
    </cfRule>
    <cfRule type="cellIs" dxfId="16817" priority="25843" operator="between">
      <formula>0.95</formula>
      <formula>1</formula>
    </cfRule>
    <cfRule type="cellIs" dxfId="16816" priority="25844" stopIfTrue="1" operator="between">
      <formula>0</formula>
      <formula>0.5</formula>
    </cfRule>
  </conditionalFormatting>
  <conditionalFormatting sqref="I306">
    <cfRule type="cellIs" dxfId="16815" priority="25835" operator="between">
      <formula>0.76</formula>
      <formula>0.95</formula>
    </cfRule>
    <cfRule type="cellIs" dxfId="16814" priority="25836" operator="between">
      <formula>0.51</formula>
      <formula>0.75</formula>
    </cfRule>
    <cfRule type="cellIs" dxfId="16813" priority="25837" operator="greaterThan">
      <formula>1</formula>
    </cfRule>
    <cfRule type="cellIs" dxfId="16812" priority="25838" operator="between">
      <formula>0.95</formula>
      <formula>1</formula>
    </cfRule>
    <cfRule type="cellIs" dxfId="16811" priority="25839" stopIfTrue="1" operator="between">
      <formula>0</formula>
      <formula>0.5</formula>
    </cfRule>
  </conditionalFormatting>
  <conditionalFormatting sqref="I307">
    <cfRule type="cellIs" dxfId="16810" priority="25830" operator="between">
      <formula>0.76</formula>
      <formula>0.95</formula>
    </cfRule>
    <cfRule type="cellIs" dxfId="16809" priority="25831" operator="between">
      <formula>0.51</formula>
      <formula>0.75</formula>
    </cfRule>
    <cfRule type="cellIs" dxfId="16808" priority="25832" operator="greaterThan">
      <formula>1</formula>
    </cfRule>
    <cfRule type="cellIs" dxfId="16807" priority="25833" operator="between">
      <formula>0.95</formula>
      <formula>1</formula>
    </cfRule>
    <cfRule type="cellIs" dxfId="16806" priority="25834" stopIfTrue="1" operator="between">
      <formula>0</formula>
      <formula>0.5</formula>
    </cfRule>
  </conditionalFormatting>
  <conditionalFormatting sqref="I308">
    <cfRule type="cellIs" dxfId="16805" priority="25825" operator="between">
      <formula>0.76</formula>
      <formula>0.95</formula>
    </cfRule>
    <cfRule type="cellIs" dxfId="16804" priority="25826" operator="between">
      <formula>0.51</formula>
      <formula>0.75</formula>
    </cfRule>
    <cfRule type="cellIs" dxfId="16803" priority="25827" operator="greaterThan">
      <formula>1</formula>
    </cfRule>
    <cfRule type="cellIs" dxfId="16802" priority="25828" operator="between">
      <formula>0.95</formula>
      <formula>1</formula>
    </cfRule>
    <cfRule type="cellIs" dxfId="16801" priority="25829" stopIfTrue="1" operator="between">
      <formula>0</formula>
      <formula>0.5</formula>
    </cfRule>
  </conditionalFormatting>
  <conditionalFormatting sqref="I320">
    <cfRule type="cellIs" dxfId="16800" priority="25820" operator="between">
      <formula>0.76</formula>
      <formula>0.95</formula>
    </cfRule>
    <cfRule type="cellIs" dxfId="16799" priority="25821" operator="between">
      <formula>0.51</formula>
      <formula>0.75</formula>
    </cfRule>
    <cfRule type="cellIs" dxfId="16798" priority="25822" operator="greaterThan">
      <formula>1</formula>
    </cfRule>
    <cfRule type="cellIs" dxfId="16797" priority="25823" operator="between">
      <formula>0.95</formula>
      <formula>1</formula>
    </cfRule>
    <cfRule type="cellIs" dxfId="16796" priority="25824" stopIfTrue="1" operator="between">
      <formula>0</formula>
      <formula>0.5</formula>
    </cfRule>
  </conditionalFormatting>
  <conditionalFormatting sqref="I321">
    <cfRule type="cellIs" dxfId="16795" priority="25815" operator="between">
      <formula>0.76</formula>
      <formula>0.95</formula>
    </cfRule>
    <cfRule type="cellIs" dxfId="16794" priority="25816" operator="between">
      <formula>0.51</formula>
      <formula>0.75</formula>
    </cfRule>
    <cfRule type="cellIs" dxfId="16793" priority="25817" operator="greaterThan">
      <formula>1</formula>
    </cfRule>
    <cfRule type="cellIs" dxfId="16792" priority="25818" operator="between">
      <formula>0.95</formula>
      <formula>1</formula>
    </cfRule>
    <cfRule type="cellIs" dxfId="16791" priority="25819" stopIfTrue="1" operator="between">
      <formula>0</formula>
      <formula>0.5</formula>
    </cfRule>
  </conditionalFormatting>
  <conditionalFormatting sqref="I322">
    <cfRule type="cellIs" dxfId="16790" priority="25810" operator="between">
      <formula>0.76</formula>
      <formula>0.95</formula>
    </cfRule>
    <cfRule type="cellIs" dxfId="16789" priority="25811" operator="between">
      <formula>0.51</formula>
      <formula>0.75</formula>
    </cfRule>
    <cfRule type="cellIs" dxfId="16788" priority="25812" operator="greaterThan">
      <formula>1</formula>
    </cfRule>
    <cfRule type="cellIs" dxfId="16787" priority="25813" operator="between">
      <formula>0.95</formula>
      <formula>1</formula>
    </cfRule>
    <cfRule type="cellIs" dxfId="16786" priority="25814" stopIfTrue="1" operator="between">
      <formula>0</formula>
      <formula>0.5</formula>
    </cfRule>
  </conditionalFormatting>
  <conditionalFormatting sqref="I323">
    <cfRule type="cellIs" dxfId="16785" priority="25805" operator="between">
      <formula>0.76</formula>
      <formula>0.95</formula>
    </cfRule>
    <cfRule type="cellIs" dxfId="16784" priority="25806" operator="between">
      <formula>0.51</formula>
      <formula>0.75</formula>
    </cfRule>
    <cfRule type="cellIs" dxfId="16783" priority="25807" operator="greaterThan">
      <formula>1</formula>
    </cfRule>
    <cfRule type="cellIs" dxfId="16782" priority="25808" operator="between">
      <formula>0.95</formula>
      <formula>1</formula>
    </cfRule>
    <cfRule type="cellIs" dxfId="16781" priority="25809" stopIfTrue="1" operator="between">
      <formula>0</formula>
      <formula>0.5</formula>
    </cfRule>
  </conditionalFormatting>
  <conditionalFormatting sqref="I324">
    <cfRule type="cellIs" dxfId="16780" priority="25800" operator="between">
      <formula>0.76</formula>
      <formula>0.95</formula>
    </cfRule>
    <cfRule type="cellIs" dxfId="16779" priority="25801" operator="between">
      <formula>0.51</formula>
      <formula>0.75</formula>
    </cfRule>
    <cfRule type="cellIs" dxfId="16778" priority="25802" operator="greaterThan">
      <formula>1</formula>
    </cfRule>
    <cfRule type="cellIs" dxfId="16777" priority="25803" operator="between">
      <formula>0.95</formula>
      <formula>1</formula>
    </cfRule>
    <cfRule type="cellIs" dxfId="16776" priority="25804" stopIfTrue="1" operator="between">
      <formula>0</formula>
      <formula>0.5</formula>
    </cfRule>
  </conditionalFormatting>
  <conditionalFormatting sqref="I325">
    <cfRule type="cellIs" dxfId="16775" priority="25795" operator="between">
      <formula>0.76</formula>
      <formula>0.95</formula>
    </cfRule>
    <cfRule type="cellIs" dxfId="16774" priority="25796" operator="between">
      <formula>0.51</formula>
      <formula>0.75</formula>
    </cfRule>
    <cfRule type="cellIs" dxfId="16773" priority="25797" operator="greaterThan">
      <formula>1</formula>
    </cfRule>
    <cfRule type="cellIs" dxfId="16772" priority="25798" operator="between">
      <formula>0.95</formula>
      <formula>1</formula>
    </cfRule>
    <cfRule type="cellIs" dxfId="16771" priority="25799" stopIfTrue="1" operator="between">
      <formula>0</formula>
      <formula>0.5</formula>
    </cfRule>
  </conditionalFormatting>
  <conditionalFormatting sqref="I327">
    <cfRule type="cellIs" dxfId="16770" priority="25790" operator="between">
      <formula>0.76</formula>
      <formula>0.95</formula>
    </cfRule>
    <cfRule type="cellIs" dxfId="16769" priority="25791" operator="between">
      <formula>0.51</formula>
      <formula>0.75</formula>
    </cfRule>
    <cfRule type="cellIs" dxfId="16768" priority="25792" operator="greaterThan">
      <formula>1</formula>
    </cfRule>
    <cfRule type="cellIs" dxfId="16767" priority="25793" operator="between">
      <formula>0.95</formula>
      <formula>1</formula>
    </cfRule>
    <cfRule type="cellIs" dxfId="16766" priority="25794" stopIfTrue="1" operator="between">
      <formula>0</formula>
      <formula>0.5</formula>
    </cfRule>
  </conditionalFormatting>
  <conditionalFormatting sqref="I328">
    <cfRule type="cellIs" dxfId="16765" priority="25785" operator="between">
      <formula>0.76</formula>
      <formula>0.95</formula>
    </cfRule>
    <cfRule type="cellIs" dxfId="16764" priority="25786" operator="between">
      <formula>0.51</formula>
      <formula>0.75</formula>
    </cfRule>
    <cfRule type="cellIs" dxfId="16763" priority="25787" operator="greaterThan">
      <formula>1</formula>
    </cfRule>
    <cfRule type="cellIs" dxfId="16762" priority="25788" operator="between">
      <formula>0.95</formula>
      <formula>1</formula>
    </cfRule>
    <cfRule type="cellIs" dxfId="16761" priority="25789" stopIfTrue="1" operator="between">
      <formula>0</formula>
      <formula>0.5</formula>
    </cfRule>
  </conditionalFormatting>
  <conditionalFormatting sqref="I331">
    <cfRule type="cellIs" dxfId="16760" priority="25780" operator="between">
      <formula>0.76</formula>
      <formula>0.95</formula>
    </cfRule>
    <cfRule type="cellIs" dxfId="16759" priority="25781" operator="between">
      <formula>0.51</formula>
      <formula>0.75</formula>
    </cfRule>
    <cfRule type="cellIs" dxfId="16758" priority="25782" operator="greaterThan">
      <formula>1</formula>
    </cfRule>
    <cfRule type="cellIs" dxfId="16757" priority="25783" operator="between">
      <formula>0.95</formula>
      <formula>1</formula>
    </cfRule>
    <cfRule type="cellIs" dxfId="16756" priority="25784" stopIfTrue="1" operator="between">
      <formula>0</formula>
      <formula>0.5</formula>
    </cfRule>
  </conditionalFormatting>
  <conditionalFormatting sqref="I332">
    <cfRule type="cellIs" dxfId="16755" priority="25775" operator="between">
      <formula>0.76</formula>
      <formula>0.95</formula>
    </cfRule>
    <cfRule type="cellIs" dxfId="16754" priority="25776" operator="between">
      <formula>0.51</formula>
      <formula>0.75</formula>
    </cfRule>
    <cfRule type="cellIs" dxfId="16753" priority="25777" operator="greaterThan">
      <formula>1</formula>
    </cfRule>
    <cfRule type="cellIs" dxfId="16752" priority="25778" operator="between">
      <formula>0.95</formula>
      <formula>1</formula>
    </cfRule>
    <cfRule type="cellIs" dxfId="16751" priority="25779" stopIfTrue="1" operator="between">
      <formula>0</formula>
      <formula>0.5</formula>
    </cfRule>
  </conditionalFormatting>
  <conditionalFormatting sqref="I334">
    <cfRule type="cellIs" dxfId="16750" priority="25770" operator="between">
      <formula>0.76</formula>
      <formula>0.95</formula>
    </cfRule>
    <cfRule type="cellIs" dxfId="16749" priority="25771" operator="between">
      <formula>0.51</formula>
      <formula>0.75</formula>
    </cfRule>
    <cfRule type="cellIs" dxfId="16748" priority="25772" operator="greaterThan">
      <formula>1</formula>
    </cfRule>
    <cfRule type="cellIs" dxfId="16747" priority="25773" operator="between">
      <formula>0.95</formula>
      <formula>1</formula>
    </cfRule>
    <cfRule type="cellIs" dxfId="16746" priority="25774" stopIfTrue="1" operator="between">
      <formula>0</formula>
      <formula>0.5</formula>
    </cfRule>
  </conditionalFormatting>
  <conditionalFormatting sqref="I333">
    <cfRule type="cellIs" dxfId="16745" priority="25765" operator="between">
      <formula>0.76</formula>
      <formula>0.95</formula>
    </cfRule>
    <cfRule type="cellIs" dxfId="16744" priority="25766" operator="between">
      <formula>0.51</formula>
      <formula>0.75</formula>
    </cfRule>
    <cfRule type="cellIs" dxfId="16743" priority="25767" operator="greaterThan">
      <formula>1</formula>
    </cfRule>
    <cfRule type="cellIs" dxfId="16742" priority="25768" operator="between">
      <formula>0.95</formula>
      <formula>1</formula>
    </cfRule>
    <cfRule type="cellIs" dxfId="16741" priority="25769" stopIfTrue="1" operator="between">
      <formula>0</formula>
      <formula>0.5</formula>
    </cfRule>
  </conditionalFormatting>
  <conditionalFormatting sqref="I363">
    <cfRule type="cellIs" dxfId="16740" priority="25760" operator="between">
      <formula>0.76</formula>
      <formula>0.95</formula>
    </cfRule>
    <cfRule type="cellIs" dxfId="16739" priority="25761" operator="between">
      <formula>0.51</formula>
      <formula>0.75</formula>
    </cfRule>
    <cfRule type="cellIs" dxfId="16738" priority="25762" operator="greaterThan">
      <formula>1</formula>
    </cfRule>
    <cfRule type="cellIs" dxfId="16737" priority="25763" operator="between">
      <formula>0.95</formula>
      <formula>1</formula>
    </cfRule>
    <cfRule type="cellIs" dxfId="16736" priority="25764" stopIfTrue="1" operator="between">
      <formula>0</formula>
      <formula>0.5</formula>
    </cfRule>
  </conditionalFormatting>
  <conditionalFormatting sqref="I376">
    <cfRule type="cellIs" dxfId="16735" priority="25755" operator="between">
      <formula>0.76</formula>
      <formula>0.95</formula>
    </cfRule>
    <cfRule type="cellIs" dxfId="16734" priority="25756" operator="between">
      <formula>0.51</formula>
      <formula>0.75</formula>
    </cfRule>
    <cfRule type="cellIs" dxfId="16733" priority="25757" operator="greaterThan">
      <formula>1</formula>
    </cfRule>
    <cfRule type="cellIs" dxfId="16732" priority="25758" operator="between">
      <formula>0.95</formula>
      <formula>1</formula>
    </cfRule>
    <cfRule type="cellIs" dxfId="16731" priority="25759" stopIfTrue="1" operator="between">
      <formula>0</formula>
      <formula>0.5</formula>
    </cfRule>
  </conditionalFormatting>
  <conditionalFormatting sqref="I382">
    <cfRule type="cellIs" dxfId="16730" priority="25750" operator="between">
      <formula>0.76</formula>
      <formula>0.95</formula>
    </cfRule>
    <cfRule type="cellIs" dxfId="16729" priority="25751" operator="between">
      <formula>0.51</formula>
      <formula>0.75</formula>
    </cfRule>
    <cfRule type="cellIs" dxfId="16728" priority="25752" operator="greaterThan">
      <formula>1</formula>
    </cfRule>
    <cfRule type="cellIs" dxfId="16727" priority="25753" operator="between">
      <formula>0.95</formula>
      <formula>1</formula>
    </cfRule>
    <cfRule type="cellIs" dxfId="16726" priority="25754" stopIfTrue="1" operator="between">
      <formula>0</formula>
      <formula>0.5</formula>
    </cfRule>
  </conditionalFormatting>
  <conditionalFormatting sqref="I383">
    <cfRule type="cellIs" dxfId="16725" priority="25745" operator="between">
      <formula>0.76</formula>
      <formula>0.95</formula>
    </cfRule>
    <cfRule type="cellIs" dxfId="16724" priority="25746" operator="between">
      <formula>0.51</formula>
      <formula>0.75</formula>
    </cfRule>
    <cfRule type="cellIs" dxfId="16723" priority="25747" operator="greaterThan">
      <formula>1</formula>
    </cfRule>
    <cfRule type="cellIs" dxfId="16722" priority="25748" operator="between">
      <formula>0.95</formula>
      <formula>1</formula>
    </cfRule>
    <cfRule type="cellIs" dxfId="16721" priority="25749" stopIfTrue="1" operator="between">
      <formula>0</formula>
      <formula>0.5</formula>
    </cfRule>
  </conditionalFormatting>
  <conditionalFormatting sqref="I384">
    <cfRule type="cellIs" dxfId="16720" priority="25740" operator="between">
      <formula>0.76</formula>
      <formula>0.95</formula>
    </cfRule>
    <cfRule type="cellIs" dxfId="16719" priority="25741" operator="between">
      <formula>0.51</formula>
      <formula>0.75</formula>
    </cfRule>
    <cfRule type="cellIs" dxfId="16718" priority="25742" operator="greaterThan">
      <formula>1</formula>
    </cfRule>
    <cfRule type="cellIs" dxfId="16717" priority="25743" operator="between">
      <formula>0.95</formula>
      <formula>1</formula>
    </cfRule>
    <cfRule type="cellIs" dxfId="16716" priority="25744" stopIfTrue="1" operator="between">
      <formula>0</formula>
      <formula>0.5</formula>
    </cfRule>
  </conditionalFormatting>
  <conditionalFormatting sqref="P15:Q15 Q98:Q99 Q71:Q79 Q86:Q94 Q102:Q103 Q110:Q114 Q184:Q205 Q207:Q214 Q216:Q226 Q228:Q236 Q239:Q240 Q304 Q308 Q323:Q328 Q334 Q383 Q363 Q107:Q108 Q331 Q320:Q321 Q376 Q243:Q244 Q247:Q248 Q251:Q252 Q257:Q264 Q83:Q84 Q306 Q116:Q117">
    <cfRule type="cellIs" dxfId="16715" priority="25735" operator="between">
      <formula>0.76</formula>
      <formula>0.95</formula>
    </cfRule>
    <cfRule type="cellIs" dxfId="16714" priority="25736" operator="between">
      <formula>0.51</formula>
      <formula>0.75</formula>
    </cfRule>
    <cfRule type="cellIs" dxfId="16713" priority="25737" operator="greaterThan">
      <formula>1</formula>
    </cfRule>
    <cfRule type="cellIs" dxfId="16712" priority="25738" operator="between">
      <formula>0.95</formula>
      <formula>1</formula>
    </cfRule>
    <cfRule type="cellIs" dxfId="16711" priority="25739" stopIfTrue="1" operator="between">
      <formula>0</formula>
      <formula>0.5</formula>
    </cfRule>
  </conditionalFormatting>
  <conditionalFormatting sqref="P16">
    <cfRule type="cellIs" dxfId="16710" priority="25730" operator="between">
      <formula>0.76</formula>
      <formula>0.95</formula>
    </cfRule>
    <cfRule type="cellIs" dxfId="16709" priority="25731" operator="between">
      <formula>0.51</formula>
      <formula>0.75</formula>
    </cfRule>
    <cfRule type="cellIs" dxfId="16708" priority="25732" operator="greaterThan">
      <formula>1</formula>
    </cfRule>
    <cfRule type="cellIs" dxfId="16707" priority="25733" operator="between">
      <formula>0.95</formula>
      <formula>1</formula>
    </cfRule>
    <cfRule type="cellIs" dxfId="16706" priority="25734" stopIfTrue="1" operator="between">
      <formula>0</formula>
      <formula>0.5</formula>
    </cfRule>
  </conditionalFormatting>
  <conditionalFormatting sqref="P17">
    <cfRule type="cellIs" dxfId="16705" priority="25725" operator="between">
      <formula>0.76</formula>
      <formula>0.95</formula>
    </cfRule>
    <cfRule type="cellIs" dxfId="16704" priority="25726" operator="between">
      <formula>0.51</formula>
      <formula>0.75</formula>
    </cfRule>
    <cfRule type="cellIs" dxfId="16703" priority="25727" operator="greaterThan">
      <formula>1</formula>
    </cfRule>
    <cfRule type="cellIs" dxfId="16702" priority="25728" operator="between">
      <formula>0.95</formula>
      <formula>1</formula>
    </cfRule>
    <cfRule type="cellIs" dxfId="16701" priority="25729" stopIfTrue="1" operator="between">
      <formula>0</formula>
      <formula>0.5</formula>
    </cfRule>
  </conditionalFormatting>
  <conditionalFormatting sqref="P19">
    <cfRule type="cellIs" dxfId="16700" priority="25705" operator="between">
      <formula>0.76</formula>
      <formula>0.95</formula>
    </cfRule>
    <cfRule type="cellIs" dxfId="16699" priority="25706" operator="between">
      <formula>0.51</formula>
      <formula>0.75</formula>
    </cfRule>
    <cfRule type="cellIs" dxfId="16698" priority="25707" operator="greaterThan">
      <formula>1</formula>
    </cfRule>
    <cfRule type="cellIs" dxfId="16697" priority="25708" operator="between">
      <formula>0.95</formula>
      <formula>1</formula>
    </cfRule>
    <cfRule type="cellIs" dxfId="16696" priority="25709" stopIfTrue="1" operator="between">
      <formula>0</formula>
      <formula>0.5</formula>
    </cfRule>
  </conditionalFormatting>
  <conditionalFormatting sqref="P18">
    <cfRule type="cellIs" dxfId="16695" priority="25700" operator="between">
      <formula>0.76</formula>
      <formula>0.95</formula>
    </cfRule>
    <cfRule type="cellIs" dxfId="16694" priority="25701" operator="between">
      <formula>0.51</formula>
      <formula>0.75</formula>
    </cfRule>
    <cfRule type="cellIs" dxfId="16693" priority="25702" operator="greaterThan">
      <formula>1</formula>
    </cfRule>
    <cfRule type="cellIs" dxfId="16692" priority="25703" operator="between">
      <formula>0.95</formula>
      <formula>1</formula>
    </cfRule>
    <cfRule type="cellIs" dxfId="16691" priority="25704" stopIfTrue="1" operator="between">
      <formula>0</formula>
      <formula>0.5</formula>
    </cfRule>
  </conditionalFormatting>
  <conditionalFormatting sqref="P20">
    <cfRule type="cellIs" dxfId="16690" priority="25695" operator="between">
      <formula>0.76</formula>
      <formula>0.95</formula>
    </cfRule>
    <cfRule type="cellIs" dxfId="16689" priority="25696" operator="between">
      <formula>0.51</formula>
      <formula>0.75</formula>
    </cfRule>
    <cfRule type="cellIs" dxfId="16688" priority="25697" operator="greaterThan">
      <formula>1</formula>
    </cfRule>
    <cfRule type="cellIs" dxfId="16687" priority="25698" operator="between">
      <formula>0.95</formula>
      <formula>1</formula>
    </cfRule>
    <cfRule type="cellIs" dxfId="16686" priority="25699" stopIfTrue="1" operator="between">
      <formula>0</formula>
      <formula>0.5</formula>
    </cfRule>
  </conditionalFormatting>
  <conditionalFormatting sqref="P21">
    <cfRule type="cellIs" dxfId="16685" priority="25690" operator="between">
      <formula>0.76</formula>
      <formula>0.95</formula>
    </cfRule>
    <cfRule type="cellIs" dxfId="16684" priority="25691" operator="between">
      <formula>0.51</formula>
      <formula>0.75</formula>
    </cfRule>
    <cfRule type="cellIs" dxfId="16683" priority="25692" operator="greaterThan">
      <formula>1</formula>
    </cfRule>
    <cfRule type="cellIs" dxfId="16682" priority="25693" operator="between">
      <formula>0.95</formula>
      <formula>1</formula>
    </cfRule>
    <cfRule type="cellIs" dxfId="16681" priority="25694" stopIfTrue="1" operator="between">
      <formula>0</formula>
      <formula>0.5</formula>
    </cfRule>
  </conditionalFormatting>
  <conditionalFormatting sqref="P22">
    <cfRule type="cellIs" dxfId="16680" priority="25685" operator="between">
      <formula>0.76</formula>
      <formula>0.95</formula>
    </cfRule>
    <cfRule type="cellIs" dxfId="16679" priority="25686" operator="between">
      <formula>0.51</formula>
      <formula>0.75</formula>
    </cfRule>
    <cfRule type="cellIs" dxfId="16678" priority="25687" operator="greaterThan">
      <formula>1</formula>
    </cfRule>
    <cfRule type="cellIs" dxfId="16677" priority="25688" operator="between">
      <formula>0.95</formula>
      <formula>1</formula>
    </cfRule>
    <cfRule type="cellIs" dxfId="16676" priority="25689" stopIfTrue="1" operator="between">
      <formula>0</formula>
      <formula>0.5</formula>
    </cfRule>
  </conditionalFormatting>
  <conditionalFormatting sqref="P23">
    <cfRule type="cellIs" dxfId="16675" priority="25680" operator="between">
      <formula>0.76</formula>
      <formula>0.95</formula>
    </cfRule>
    <cfRule type="cellIs" dxfId="16674" priority="25681" operator="between">
      <formula>0.51</formula>
      <formula>0.75</formula>
    </cfRule>
    <cfRule type="cellIs" dxfId="16673" priority="25682" operator="greaterThan">
      <formula>1</formula>
    </cfRule>
    <cfRule type="cellIs" dxfId="16672" priority="25683" operator="between">
      <formula>0.95</formula>
      <formula>1</formula>
    </cfRule>
    <cfRule type="cellIs" dxfId="16671" priority="25684" stopIfTrue="1" operator="between">
      <formula>0</formula>
      <formula>0.5</formula>
    </cfRule>
  </conditionalFormatting>
  <conditionalFormatting sqref="P25">
    <cfRule type="cellIs" dxfId="16670" priority="25675" operator="between">
      <formula>0.76</formula>
      <formula>0.95</formula>
    </cfRule>
    <cfRule type="cellIs" dxfId="16669" priority="25676" operator="between">
      <formula>0.51</formula>
      <formula>0.75</formula>
    </cfRule>
    <cfRule type="cellIs" dxfId="16668" priority="25677" operator="greaterThan">
      <formula>1</formula>
    </cfRule>
    <cfRule type="cellIs" dxfId="16667" priority="25678" operator="between">
      <formula>0.95</formula>
      <formula>1</formula>
    </cfRule>
    <cfRule type="cellIs" dxfId="16666" priority="25679" stopIfTrue="1" operator="between">
      <formula>0</formula>
      <formula>0.5</formula>
    </cfRule>
  </conditionalFormatting>
  <conditionalFormatting sqref="P26">
    <cfRule type="cellIs" dxfId="16665" priority="25670" operator="between">
      <formula>0.76</formula>
      <formula>0.95</formula>
    </cfRule>
    <cfRule type="cellIs" dxfId="16664" priority="25671" operator="between">
      <formula>0.51</formula>
      <formula>0.75</formula>
    </cfRule>
    <cfRule type="cellIs" dxfId="16663" priority="25672" operator="greaterThan">
      <formula>1</formula>
    </cfRule>
    <cfRule type="cellIs" dxfId="16662" priority="25673" operator="between">
      <formula>0.95</formula>
      <formula>1</formula>
    </cfRule>
    <cfRule type="cellIs" dxfId="16661" priority="25674" stopIfTrue="1" operator="between">
      <formula>0</formula>
      <formula>0.5</formula>
    </cfRule>
  </conditionalFormatting>
  <conditionalFormatting sqref="P27">
    <cfRule type="cellIs" dxfId="16660" priority="25665" operator="between">
      <formula>0.76</formula>
      <formula>0.95</formula>
    </cfRule>
    <cfRule type="cellIs" dxfId="16659" priority="25666" operator="between">
      <formula>0.51</formula>
      <formula>0.75</formula>
    </cfRule>
    <cfRule type="cellIs" dxfId="16658" priority="25667" operator="greaterThan">
      <formula>1</formula>
    </cfRule>
    <cfRule type="cellIs" dxfId="16657" priority="25668" operator="between">
      <formula>0.95</formula>
      <formula>1</formula>
    </cfRule>
    <cfRule type="cellIs" dxfId="16656" priority="25669" stopIfTrue="1" operator="between">
      <formula>0</formula>
      <formula>0.5</formula>
    </cfRule>
  </conditionalFormatting>
  <conditionalFormatting sqref="P28">
    <cfRule type="cellIs" dxfId="16655" priority="25660" operator="between">
      <formula>0.76</formula>
      <formula>0.95</formula>
    </cfRule>
    <cfRule type="cellIs" dxfId="16654" priority="25661" operator="between">
      <formula>0.51</formula>
      <formula>0.75</formula>
    </cfRule>
    <cfRule type="cellIs" dxfId="16653" priority="25662" operator="greaterThan">
      <formula>1</formula>
    </cfRule>
    <cfRule type="cellIs" dxfId="16652" priority="25663" operator="between">
      <formula>0.95</formula>
      <formula>1</formula>
    </cfRule>
    <cfRule type="cellIs" dxfId="16651" priority="25664" stopIfTrue="1" operator="between">
      <formula>0</formula>
      <formula>0.5</formula>
    </cfRule>
  </conditionalFormatting>
  <conditionalFormatting sqref="P29">
    <cfRule type="cellIs" dxfId="16650" priority="25655" operator="between">
      <formula>0.76</formula>
      <formula>0.95</formula>
    </cfRule>
    <cfRule type="cellIs" dxfId="16649" priority="25656" operator="between">
      <formula>0.51</formula>
      <formula>0.75</formula>
    </cfRule>
    <cfRule type="cellIs" dxfId="16648" priority="25657" operator="greaterThan">
      <formula>1</formula>
    </cfRule>
    <cfRule type="cellIs" dxfId="16647" priority="25658" operator="between">
      <formula>0.95</formula>
      <formula>1</formula>
    </cfRule>
    <cfRule type="cellIs" dxfId="16646" priority="25659" stopIfTrue="1" operator="between">
      <formula>0</formula>
      <formula>0.5</formula>
    </cfRule>
  </conditionalFormatting>
  <conditionalFormatting sqref="P30">
    <cfRule type="cellIs" dxfId="16645" priority="25650" operator="between">
      <formula>0.76</formula>
      <formula>0.95</formula>
    </cfRule>
    <cfRule type="cellIs" dxfId="16644" priority="25651" operator="between">
      <formula>0.51</formula>
      <formula>0.75</formula>
    </cfRule>
    <cfRule type="cellIs" dxfId="16643" priority="25652" operator="greaterThan">
      <formula>1</formula>
    </cfRule>
    <cfRule type="cellIs" dxfId="16642" priority="25653" operator="between">
      <formula>0.95</formula>
      <formula>1</formula>
    </cfRule>
    <cfRule type="cellIs" dxfId="16641" priority="25654" stopIfTrue="1" operator="between">
      <formula>0</formula>
      <formula>0.5</formula>
    </cfRule>
  </conditionalFormatting>
  <conditionalFormatting sqref="P34">
    <cfRule type="cellIs" dxfId="16640" priority="25645" operator="between">
      <formula>0.76</formula>
      <formula>0.95</formula>
    </cfRule>
    <cfRule type="cellIs" dxfId="16639" priority="25646" operator="between">
      <formula>0.51</formula>
      <formula>0.75</formula>
    </cfRule>
    <cfRule type="cellIs" dxfId="16638" priority="25647" operator="greaterThan">
      <formula>1</formula>
    </cfRule>
    <cfRule type="cellIs" dxfId="16637" priority="25648" operator="between">
      <formula>0.95</formula>
      <formula>1</formula>
    </cfRule>
    <cfRule type="cellIs" dxfId="16636" priority="25649" stopIfTrue="1" operator="between">
      <formula>0</formula>
      <formula>0.5</formula>
    </cfRule>
  </conditionalFormatting>
  <conditionalFormatting sqref="P42">
    <cfRule type="cellIs" dxfId="16635" priority="25630" operator="between">
      <formula>0.76</formula>
      <formula>0.95</formula>
    </cfRule>
    <cfRule type="cellIs" dxfId="16634" priority="25631" operator="between">
      <formula>0.51</formula>
      <formula>0.75</formula>
    </cfRule>
    <cfRule type="cellIs" dxfId="16633" priority="25632" operator="greaterThan">
      <formula>1</formula>
    </cfRule>
    <cfRule type="cellIs" dxfId="16632" priority="25633" operator="between">
      <formula>0.95</formula>
      <formula>1</formula>
    </cfRule>
    <cfRule type="cellIs" dxfId="16631" priority="25634" stopIfTrue="1" operator="between">
      <formula>0</formula>
      <formula>0.5</formula>
    </cfRule>
  </conditionalFormatting>
  <conditionalFormatting sqref="P43">
    <cfRule type="cellIs" dxfId="16630" priority="25625" operator="between">
      <formula>0.76</formula>
      <formula>0.95</formula>
    </cfRule>
    <cfRule type="cellIs" dxfId="16629" priority="25626" operator="between">
      <formula>0.51</formula>
      <formula>0.75</formula>
    </cfRule>
    <cfRule type="cellIs" dxfId="16628" priority="25627" operator="greaterThan">
      <formula>1</formula>
    </cfRule>
    <cfRule type="cellIs" dxfId="16627" priority="25628" operator="between">
      <formula>0.95</formula>
      <formula>1</formula>
    </cfRule>
    <cfRule type="cellIs" dxfId="16626" priority="25629" stopIfTrue="1" operator="between">
      <formula>0</formula>
      <formula>0.5</formula>
    </cfRule>
  </conditionalFormatting>
  <conditionalFormatting sqref="P44">
    <cfRule type="cellIs" dxfId="16625" priority="25620" operator="between">
      <formula>0.76</formula>
      <formula>0.95</formula>
    </cfRule>
    <cfRule type="cellIs" dxfId="16624" priority="25621" operator="between">
      <formula>0.51</formula>
      <formula>0.75</formula>
    </cfRule>
    <cfRule type="cellIs" dxfId="16623" priority="25622" operator="greaterThan">
      <formula>1</formula>
    </cfRule>
    <cfRule type="cellIs" dxfId="16622" priority="25623" operator="between">
      <formula>0.95</formula>
      <formula>1</formula>
    </cfRule>
    <cfRule type="cellIs" dxfId="16621" priority="25624" stopIfTrue="1" operator="between">
      <formula>0</formula>
      <formula>0.5</formula>
    </cfRule>
  </conditionalFormatting>
  <conditionalFormatting sqref="P45">
    <cfRule type="cellIs" dxfId="16620" priority="25615" operator="between">
      <formula>0.76</formula>
      <formula>0.95</formula>
    </cfRule>
    <cfRule type="cellIs" dxfId="16619" priority="25616" operator="between">
      <formula>0.51</formula>
      <formula>0.75</formula>
    </cfRule>
    <cfRule type="cellIs" dxfId="16618" priority="25617" operator="greaterThan">
      <formula>1</formula>
    </cfRule>
    <cfRule type="cellIs" dxfId="16617" priority="25618" operator="between">
      <formula>0.95</formula>
      <formula>1</formula>
    </cfRule>
    <cfRule type="cellIs" dxfId="16616" priority="25619" stopIfTrue="1" operator="between">
      <formula>0</formula>
      <formula>0.5</formula>
    </cfRule>
  </conditionalFormatting>
  <conditionalFormatting sqref="P46">
    <cfRule type="cellIs" dxfId="16615" priority="25610" operator="between">
      <formula>0.76</formula>
      <formula>0.95</formula>
    </cfRule>
    <cfRule type="cellIs" dxfId="16614" priority="25611" operator="between">
      <formula>0.51</formula>
      <formula>0.75</formula>
    </cfRule>
    <cfRule type="cellIs" dxfId="16613" priority="25612" operator="greaterThan">
      <formula>1</formula>
    </cfRule>
    <cfRule type="cellIs" dxfId="16612" priority="25613" operator="between">
      <formula>0.95</formula>
      <formula>1</formula>
    </cfRule>
    <cfRule type="cellIs" dxfId="16611" priority="25614" stopIfTrue="1" operator="between">
      <formula>0</formula>
      <formula>0.5</formula>
    </cfRule>
  </conditionalFormatting>
  <conditionalFormatting sqref="P47">
    <cfRule type="cellIs" dxfId="16610" priority="25605" operator="between">
      <formula>0.76</formula>
      <formula>0.95</formula>
    </cfRule>
    <cfRule type="cellIs" dxfId="16609" priority="25606" operator="between">
      <formula>0.51</formula>
      <formula>0.75</formula>
    </cfRule>
    <cfRule type="cellIs" dxfId="16608" priority="25607" operator="greaterThan">
      <formula>1</formula>
    </cfRule>
    <cfRule type="cellIs" dxfId="16607" priority="25608" operator="between">
      <formula>0.95</formula>
      <formula>1</formula>
    </cfRule>
    <cfRule type="cellIs" dxfId="16606" priority="25609" stopIfTrue="1" operator="between">
      <formula>0</formula>
      <formula>0.5</formula>
    </cfRule>
  </conditionalFormatting>
  <conditionalFormatting sqref="P48">
    <cfRule type="cellIs" dxfId="16605" priority="25600" operator="between">
      <formula>0.76</formula>
      <formula>0.95</formula>
    </cfRule>
    <cfRule type="cellIs" dxfId="16604" priority="25601" operator="between">
      <formula>0.51</formula>
      <formula>0.75</formula>
    </cfRule>
    <cfRule type="cellIs" dxfId="16603" priority="25602" operator="greaterThan">
      <formula>1</formula>
    </cfRule>
    <cfRule type="cellIs" dxfId="16602" priority="25603" operator="between">
      <formula>0.95</formula>
      <formula>1</formula>
    </cfRule>
    <cfRule type="cellIs" dxfId="16601" priority="25604" stopIfTrue="1" operator="between">
      <formula>0</formula>
      <formula>0.5</formula>
    </cfRule>
  </conditionalFormatting>
  <conditionalFormatting sqref="P49">
    <cfRule type="cellIs" dxfId="16600" priority="25595" operator="between">
      <formula>0.76</formula>
      <formula>0.95</formula>
    </cfRule>
    <cfRule type="cellIs" dxfId="16599" priority="25596" operator="between">
      <formula>0.51</formula>
      <formula>0.75</formula>
    </cfRule>
    <cfRule type="cellIs" dxfId="16598" priority="25597" operator="greaterThan">
      <formula>1</formula>
    </cfRule>
    <cfRule type="cellIs" dxfId="16597" priority="25598" operator="between">
      <formula>0.95</formula>
      <formula>1</formula>
    </cfRule>
    <cfRule type="cellIs" dxfId="16596" priority="25599" stopIfTrue="1" operator="between">
      <formula>0</formula>
      <formula>0.5</formula>
    </cfRule>
  </conditionalFormatting>
  <conditionalFormatting sqref="P50">
    <cfRule type="cellIs" dxfId="16595" priority="25590" operator="between">
      <formula>0.76</formula>
      <formula>0.95</formula>
    </cfRule>
    <cfRule type="cellIs" dxfId="16594" priority="25591" operator="between">
      <formula>0.51</formula>
      <formula>0.75</formula>
    </cfRule>
    <cfRule type="cellIs" dxfId="16593" priority="25592" operator="greaterThan">
      <formula>1</formula>
    </cfRule>
    <cfRule type="cellIs" dxfId="16592" priority="25593" operator="between">
      <formula>0.95</formula>
      <formula>1</formula>
    </cfRule>
    <cfRule type="cellIs" dxfId="16591" priority="25594" stopIfTrue="1" operator="between">
      <formula>0</formula>
      <formula>0.5</formula>
    </cfRule>
  </conditionalFormatting>
  <conditionalFormatting sqref="P52">
    <cfRule type="cellIs" dxfId="16590" priority="25585" operator="between">
      <formula>0.76</formula>
      <formula>0.95</formula>
    </cfRule>
    <cfRule type="cellIs" dxfId="16589" priority="25586" operator="between">
      <formula>0.51</formula>
      <formula>0.75</formula>
    </cfRule>
    <cfRule type="cellIs" dxfId="16588" priority="25587" operator="greaterThan">
      <formula>1</formula>
    </cfRule>
    <cfRule type="cellIs" dxfId="16587" priority="25588" operator="between">
      <formula>0.95</formula>
      <formula>1</formula>
    </cfRule>
    <cfRule type="cellIs" dxfId="16586" priority="25589" stopIfTrue="1" operator="between">
      <formula>0</formula>
      <formula>0.5</formula>
    </cfRule>
  </conditionalFormatting>
  <conditionalFormatting sqref="P51">
    <cfRule type="cellIs" dxfId="16585" priority="25580" operator="between">
      <formula>0.76</formula>
      <formula>0.95</formula>
    </cfRule>
    <cfRule type="cellIs" dxfId="16584" priority="25581" operator="between">
      <formula>0.51</formula>
      <formula>0.75</formula>
    </cfRule>
    <cfRule type="cellIs" dxfId="16583" priority="25582" operator="greaterThan">
      <formula>1</formula>
    </cfRule>
    <cfRule type="cellIs" dxfId="16582" priority="25583" operator="between">
      <formula>0.95</formula>
      <formula>1</formula>
    </cfRule>
    <cfRule type="cellIs" dxfId="16581" priority="25584" stopIfTrue="1" operator="between">
      <formula>0</formula>
      <formula>0.5</formula>
    </cfRule>
  </conditionalFormatting>
  <conditionalFormatting sqref="P53">
    <cfRule type="cellIs" dxfId="16580" priority="25575" operator="between">
      <formula>0.76</formula>
      <formula>0.95</formula>
    </cfRule>
    <cfRule type="cellIs" dxfId="16579" priority="25576" operator="between">
      <formula>0.51</formula>
      <formula>0.75</formula>
    </cfRule>
    <cfRule type="cellIs" dxfId="16578" priority="25577" operator="greaterThan">
      <formula>1</formula>
    </cfRule>
    <cfRule type="cellIs" dxfId="16577" priority="25578" operator="between">
      <formula>0.95</formula>
      <formula>1</formula>
    </cfRule>
    <cfRule type="cellIs" dxfId="16576" priority="25579" stopIfTrue="1" operator="between">
      <formula>0</formula>
      <formula>0.5</formula>
    </cfRule>
  </conditionalFormatting>
  <conditionalFormatting sqref="P54">
    <cfRule type="cellIs" dxfId="16575" priority="25570" operator="between">
      <formula>0.76</formula>
      <formula>0.95</formula>
    </cfRule>
    <cfRule type="cellIs" dxfId="16574" priority="25571" operator="between">
      <formula>0.51</formula>
      <formula>0.75</formula>
    </cfRule>
    <cfRule type="cellIs" dxfId="16573" priority="25572" operator="greaterThan">
      <formula>1</formula>
    </cfRule>
    <cfRule type="cellIs" dxfId="16572" priority="25573" operator="between">
      <formula>0.95</formula>
      <formula>1</formula>
    </cfRule>
    <cfRule type="cellIs" dxfId="16571" priority="25574" stopIfTrue="1" operator="between">
      <formula>0</formula>
      <formula>0.5</formula>
    </cfRule>
  </conditionalFormatting>
  <conditionalFormatting sqref="P55">
    <cfRule type="cellIs" dxfId="16570" priority="25565" operator="between">
      <formula>0.76</formula>
      <formula>0.95</formula>
    </cfRule>
    <cfRule type="cellIs" dxfId="16569" priority="25566" operator="between">
      <formula>0.51</formula>
      <formula>0.75</formula>
    </cfRule>
    <cfRule type="cellIs" dxfId="16568" priority="25567" operator="greaterThan">
      <formula>1</formula>
    </cfRule>
    <cfRule type="cellIs" dxfId="16567" priority="25568" operator="between">
      <formula>0.95</formula>
      <formula>1</formula>
    </cfRule>
    <cfRule type="cellIs" dxfId="16566" priority="25569" stopIfTrue="1" operator="between">
      <formula>0</formula>
      <formula>0.5</formula>
    </cfRule>
  </conditionalFormatting>
  <conditionalFormatting sqref="P56">
    <cfRule type="cellIs" dxfId="16565" priority="25560" operator="between">
      <formula>0.76</formula>
      <formula>0.95</formula>
    </cfRule>
    <cfRule type="cellIs" dxfId="16564" priority="25561" operator="between">
      <formula>0.51</formula>
      <formula>0.75</formula>
    </cfRule>
    <cfRule type="cellIs" dxfId="16563" priority="25562" operator="greaterThan">
      <formula>1</formula>
    </cfRule>
    <cfRule type="cellIs" dxfId="16562" priority="25563" operator="between">
      <formula>0.95</formula>
      <formula>1</formula>
    </cfRule>
    <cfRule type="cellIs" dxfId="16561" priority="25564" stopIfTrue="1" operator="between">
      <formula>0</formula>
      <formula>0.5</formula>
    </cfRule>
  </conditionalFormatting>
  <conditionalFormatting sqref="P57">
    <cfRule type="cellIs" dxfId="16560" priority="25555" operator="between">
      <formula>0.76</formula>
      <formula>0.95</formula>
    </cfRule>
    <cfRule type="cellIs" dxfId="16559" priority="25556" operator="between">
      <formula>0.51</formula>
      <formula>0.75</formula>
    </cfRule>
    <cfRule type="cellIs" dxfId="16558" priority="25557" operator="greaterThan">
      <formula>1</formula>
    </cfRule>
    <cfRule type="cellIs" dxfId="16557" priority="25558" operator="between">
      <formula>0.95</formula>
      <formula>1</formula>
    </cfRule>
    <cfRule type="cellIs" dxfId="16556" priority="25559" stopIfTrue="1" operator="between">
      <formula>0</formula>
      <formula>0.5</formula>
    </cfRule>
  </conditionalFormatting>
  <conditionalFormatting sqref="P58">
    <cfRule type="cellIs" dxfId="16555" priority="25550" operator="between">
      <formula>0.76</formula>
      <formula>0.95</formula>
    </cfRule>
    <cfRule type="cellIs" dxfId="16554" priority="25551" operator="between">
      <formula>0.51</formula>
      <formula>0.75</formula>
    </cfRule>
    <cfRule type="cellIs" dxfId="16553" priority="25552" operator="greaterThan">
      <formula>1</formula>
    </cfRule>
    <cfRule type="cellIs" dxfId="16552" priority="25553" operator="between">
      <formula>0.95</formula>
      <formula>1</formula>
    </cfRule>
    <cfRule type="cellIs" dxfId="16551" priority="25554" stopIfTrue="1" operator="between">
      <formula>0</formula>
      <formula>0.5</formula>
    </cfRule>
  </conditionalFormatting>
  <conditionalFormatting sqref="P59">
    <cfRule type="cellIs" dxfId="16550" priority="25545" operator="between">
      <formula>0.76</formula>
      <formula>0.95</formula>
    </cfRule>
    <cfRule type="cellIs" dxfId="16549" priority="25546" operator="between">
      <formula>0.51</formula>
      <formula>0.75</formula>
    </cfRule>
    <cfRule type="cellIs" dxfId="16548" priority="25547" operator="greaterThan">
      <formula>1</formula>
    </cfRule>
    <cfRule type="cellIs" dxfId="16547" priority="25548" operator="between">
      <formula>0.95</formula>
      <formula>1</formula>
    </cfRule>
    <cfRule type="cellIs" dxfId="16546" priority="25549" stopIfTrue="1" operator="between">
      <formula>0</formula>
      <formula>0.5</formula>
    </cfRule>
  </conditionalFormatting>
  <conditionalFormatting sqref="P60">
    <cfRule type="cellIs" dxfId="16545" priority="25540" operator="between">
      <formula>0.76</formula>
      <formula>0.95</formula>
    </cfRule>
    <cfRule type="cellIs" dxfId="16544" priority="25541" operator="between">
      <formula>0.51</formula>
      <formula>0.75</formula>
    </cfRule>
    <cfRule type="cellIs" dxfId="16543" priority="25542" operator="greaterThan">
      <formula>1</formula>
    </cfRule>
    <cfRule type="cellIs" dxfId="16542" priority="25543" operator="between">
      <formula>0.95</formula>
      <formula>1</formula>
    </cfRule>
    <cfRule type="cellIs" dxfId="16541" priority="25544" stopIfTrue="1" operator="between">
      <formula>0</formula>
      <formula>0.5</formula>
    </cfRule>
  </conditionalFormatting>
  <conditionalFormatting sqref="P61">
    <cfRule type="cellIs" dxfId="16540" priority="25535" operator="between">
      <formula>0.76</formula>
      <formula>0.95</formula>
    </cfRule>
    <cfRule type="cellIs" dxfId="16539" priority="25536" operator="between">
      <formula>0.51</formula>
      <formula>0.75</formula>
    </cfRule>
    <cfRule type="cellIs" dxfId="16538" priority="25537" operator="greaterThan">
      <formula>1</formula>
    </cfRule>
    <cfRule type="cellIs" dxfId="16537" priority="25538" operator="between">
      <formula>0.95</formula>
      <formula>1</formula>
    </cfRule>
    <cfRule type="cellIs" dxfId="16536" priority="25539" stopIfTrue="1" operator="between">
      <formula>0</formula>
      <formula>0.5</formula>
    </cfRule>
  </conditionalFormatting>
  <conditionalFormatting sqref="P62">
    <cfRule type="cellIs" dxfId="16535" priority="25530" operator="between">
      <formula>0.76</formula>
      <formula>0.95</formula>
    </cfRule>
    <cfRule type="cellIs" dxfId="16534" priority="25531" operator="between">
      <formula>0.51</formula>
      <formula>0.75</formula>
    </cfRule>
    <cfRule type="cellIs" dxfId="16533" priority="25532" operator="greaterThan">
      <formula>1</formula>
    </cfRule>
    <cfRule type="cellIs" dxfId="16532" priority="25533" operator="between">
      <formula>0.95</formula>
      <formula>1</formula>
    </cfRule>
    <cfRule type="cellIs" dxfId="16531" priority="25534" stopIfTrue="1" operator="between">
      <formula>0</formula>
      <formula>0.5</formula>
    </cfRule>
  </conditionalFormatting>
  <conditionalFormatting sqref="P63">
    <cfRule type="cellIs" dxfId="16530" priority="25525" operator="between">
      <formula>0.76</formula>
      <formula>0.95</formula>
    </cfRule>
    <cfRule type="cellIs" dxfId="16529" priority="25526" operator="between">
      <formula>0.51</formula>
      <formula>0.75</formula>
    </cfRule>
    <cfRule type="cellIs" dxfId="16528" priority="25527" operator="greaterThan">
      <formula>1</formula>
    </cfRule>
    <cfRule type="cellIs" dxfId="16527" priority="25528" operator="between">
      <formula>0.95</formula>
      <formula>1</formula>
    </cfRule>
    <cfRule type="cellIs" dxfId="16526" priority="25529" stopIfTrue="1" operator="between">
      <formula>0</formula>
      <formula>0.5</formula>
    </cfRule>
  </conditionalFormatting>
  <conditionalFormatting sqref="P64">
    <cfRule type="cellIs" dxfId="16525" priority="25510" operator="between">
      <formula>0.76</formula>
      <formula>0.95</formula>
    </cfRule>
    <cfRule type="cellIs" dxfId="16524" priority="25511" operator="between">
      <formula>0.51</formula>
      <formula>0.75</formula>
    </cfRule>
    <cfRule type="cellIs" dxfId="16523" priority="25512" operator="greaterThan">
      <formula>1</formula>
    </cfRule>
    <cfRule type="cellIs" dxfId="16522" priority="25513" operator="between">
      <formula>0.95</formula>
      <formula>1</formula>
    </cfRule>
    <cfRule type="cellIs" dxfId="16521" priority="25514" stopIfTrue="1" operator="between">
      <formula>0</formula>
      <formula>0.5</formula>
    </cfRule>
  </conditionalFormatting>
  <conditionalFormatting sqref="P65">
    <cfRule type="cellIs" dxfId="16520" priority="25505" operator="between">
      <formula>0.76</formula>
      <formula>0.95</formula>
    </cfRule>
    <cfRule type="cellIs" dxfId="16519" priority="25506" operator="between">
      <formula>0.51</formula>
      <formula>0.75</formula>
    </cfRule>
    <cfRule type="cellIs" dxfId="16518" priority="25507" operator="greaterThan">
      <formula>1</formula>
    </cfRule>
    <cfRule type="cellIs" dxfId="16517" priority="25508" operator="between">
      <formula>0.95</formula>
      <formula>1</formula>
    </cfRule>
    <cfRule type="cellIs" dxfId="16516" priority="25509" stopIfTrue="1" operator="between">
      <formula>0</formula>
      <formula>0.5</formula>
    </cfRule>
  </conditionalFormatting>
  <conditionalFormatting sqref="P67">
    <cfRule type="cellIs" dxfId="16515" priority="25500" operator="between">
      <formula>0.76</formula>
      <formula>0.95</formula>
    </cfRule>
    <cfRule type="cellIs" dxfId="16514" priority="25501" operator="between">
      <formula>0.51</formula>
      <formula>0.75</formula>
    </cfRule>
    <cfRule type="cellIs" dxfId="16513" priority="25502" operator="greaterThan">
      <formula>1</formula>
    </cfRule>
    <cfRule type="cellIs" dxfId="16512" priority="25503" operator="between">
      <formula>0.95</formula>
      <formula>1</formula>
    </cfRule>
    <cfRule type="cellIs" dxfId="16511" priority="25504" stopIfTrue="1" operator="between">
      <formula>0</formula>
      <formula>0.5</formula>
    </cfRule>
  </conditionalFormatting>
  <conditionalFormatting sqref="P66">
    <cfRule type="cellIs" dxfId="16510" priority="25495" operator="between">
      <formula>0.76</formula>
      <formula>0.95</formula>
    </cfRule>
    <cfRule type="cellIs" dxfId="16509" priority="25496" operator="between">
      <formula>0.51</formula>
      <formula>0.75</formula>
    </cfRule>
    <cfRule type="cellIs" dxfId="16508" priority="25497" operator="greaterThan">
      <formula>1</formula>
    </cfRule>
    <cfRule type="cellIs" dxfId="16507" priority="25498" operator="between">
      <formula>0.95</formula>
      <formula>1</formula>
    </cfRule>
    <cfRule type="cellIs" dxfId="16506" priority="25499" stopIfTrue="1" operator="between">
      <formula>0</formula>
      <formula>0.5</formula>
    </cfRule>
  </conditionalFormatting>
  <conditionalFormatting sqref="P68">
    <cfRule type="cellIs" dxfId="16505" priority="25490" operator="between">
      <formula>0.76</formula>
      <formula>0.95</formula>
    </cfRule>
    <cfRule type="cellIs" dxfId="16504" priority="25491" operator="between">
      <formula>0.51</formula>
      <formula>0.75</formula>
    </cfRule>
    <cfRule type="cellIs" dxfId="16503" priority="25492" operator="greaterThan">
      <formula>1</formula>
    </cfRule>
    <cfRule type="cellIs" dxfId="16502" priority="25493" operator="between">
      <formula>0.95</formula>
      <formula>1</formula>
    </cfRule>
    <cfRule type="cellIs" dxfId="16501" priority="25494" stopIfTrue="1" operator="between">
      <formula>0</formula>
      <formula>0.5</formula>
    </cfRule>
  </conditionalFormatting>
  <conditionalFormatting sqref="P69">
    <cfRule type="cellIs" dxfId="16500" priority="25485" operator="between">
      <formula>0.76</formula>
      <formula>0.95</formula>
    </cfRule>
    <cfRule type="cellIs" dxfId="16499" priority="25486" operator="between">
      <formula>0.51</formula>
      <formula>0.75</formula>
    </cfRule>
    <cfRule type="cellIs" dxfId="16498" priority="25487" operator="greaterThan">
      <formula>1</formula>
    </cfRule>
    <cfRule type="cellIs" dxfId="16497" priority="25488" operator="between">
      <formula>0.95</formula>
      <formula>1</formula>
    </cfRule>
    <cfRule type="cellIs" dxfId="16496" priority="25489" stopIfTrue="1" operator="between">
      <formula>0</formula>
      <formula>0.5</formula>
    </cfRule>
  </conditionalFormatting>
  <conditionalFormatting sqref="P70">
    <cfRule type="cellIs" dxfId="16495" priority="25480" operator="between">
      <formula>0.76</formula>
      <formula>0.95</formula>
    </cfRule>
    <cfRule type="cellIs" dxfId="16494" priority="25481" operator="between">
      <formula>0.51</formula>
      <formula>0.75</formula>
    </cfRule>
    <cfRule type="cellIs" dxfId="16493" priority="25482" operator="greaterThan">
      <formula>1</formula>
    </cfRule>
    <cfRule type="cellIs" dxfId="16492" priority="25483" operator="between">
      <formula>0.95</formula>
      <formula>1</formula>
    </cfRule>
    <cfRule type="cellIs" dxfId="16491" priority="25484" stopIfTrue="1" operator="between">
      <formula>0</formula>
      <formula>0.5</formula>
    </cfRule>
  </conditionalFormatting>
  <conditionalFormatting sqref="P71">
    <cfRule type="cellIs" dxfId="16490" priority="25475" operator="between">
      <formula>0.76</formula>
      <formula>0.95</formula>
    </cfRule>
    <cfRule type="cellIs" dxfId="16489" priority="25476" operator="between">
      <formula>0.51</formula>
      <formula>0.75</formula>
    </cfRule>
    <cfRule type="cellIs" dxfId="16488" priority="25477" operator="greaterThan">
      <formula>1</formula>
    </cfRule>
    <cfRule type="cellIs" dxfId="16487" priority="25478" operator="between">
      <formula>0.95</formula>
      <formula>1</formula>
    </cfRule>
    <cfRule type="cellIs" dxfId="16486" priority="25479" stopIfTrue="1" operator="between">
      <formula>0</formula>
      <formula>0.5</formula>
    </cfRule>
  </conditionalFormatting>
  <conditionalFormatting sqref="P72">
    <cfRule type="cellIs" dxfId="16485" priority="25470" operator="between">
      <formula>0.76</formula>
      <formula>0.95</formula>
    </cfRule>
    <cfRule type="cellIs" dxfId="16484" priority="25471" operator="between">
      <formula>0.51</formula>
      <formula>0.75</formula>
    </cfRule>
    <cfRule type="cellIs" dxfId="16483" priority="25472" operator="greaterThan">
      <formula>1</formula>
    </cfRule>
    <cfRule type="cellIs" dxfId="16482" priority="25473" operator="between">
      <formula>0.95</formula>
      <formula>1</formula>
    </cfRule>
    <cfRule type="cellIs" dxfId="16481" priority="25474" stopIfTrue="1" operator="between">
      <formula>0</formula>
      <formula>0.5</formula>
    </cfRule>
  </conditionalFormatting>
  <conditionalFormatting sqref="P73">
    <cfRule type="cellIs" dxfId="16480" priority="25465" operator="between">
      <formula>0.76</formula>
      <formula>0.95</formula>
    </cfRule>
    <cfRule type="cellIs" dxfId="16479" priority="25466" operator="between">
      <formula>0.51</formula>
      <formula>0.75</formula>
    </cfRule>
    <cfRule type="cellIs" dxfId="16478" priority="25467" operator="greaterThan">
      <formula>1</formula>
    </cfRule>
    <cfRule type="cellIs" dxfId="16477" priority="25468" operator="between">
      <formula>0.95</formula>
      <formula>1</formula>
    </cfRule>
    <cfRule type="cellIs" dxfId="16476" priority="25469" stopIfTrue="1" operator="between">
      <formula>0</formula>
      <formula>0.5</formula>
    </cfRule>
  </conditionalFormatting>
  <conditionalFormatting sqref="P74">
    <cfRule type="cellIs" dxfId="16475" priority="25460" operator="between">
      <formula>0.76</formula>
      <formula>0.95</formula>
    </cfRule>
    <cfRule type="cellIs" dxfId="16474" priority="25461" operator="between">
      <formula>0.51</formula>
      <formula>0.75</formula>
    </cfRule>
    <cfRule type="cellIs" dxfId="16473" priority="25462" operator="greaterThan">
      <formula>1</formula>
    </cfRule>
    <cfRule type="cellIs" dxfId="16472" priority="25463" operator="between">
      <formula>0.95</formula>
      <formula>1</formula>
    </cfRule>
    <cfRule type="cellIs" dxfId="16471" priority="25464" stopIfTrue="1" operator="between">
      <formula>0</formula>
      <formula>0.5</formula>
    </cfRule>
  </conditionalFormatting>
  <conditionalFormatting sqref="P75">
    <cfRule type="cellIs" dxfId="16470" priority="25455" operator="between">
      <formula>0.76</formula>
      <formula>0.95</formula>
    </cfRule>
    <cfRule type="cellIs" dxfId="16469" priority="25456" operator="between">
      <formula>0.51</formula>
      <formula>0.75</formula>
    </cfRule>
    <cfRule type="cellIs" dxfId="16468" priority="25457" operator="greaterThan">
      <formula>1</formula>
    </cfRule>
    <cfRule type="cellIs" dxfId="16467" priority="25458" operator="between">
      <formula>0.95</formula>
      <formula>1</formula>
    </cfRule>
    <cfRule type="cellIs" dxfId="16466" priority="25459" stopIfTrue="1" operator="between">
      <formula>0</formula>
      <formula>0.5</formula>
    </cfRule>
  </conditionalFormatting>
  <conditionalFormatting sqref="P76">
    <cfRule type="cellIs" dxfId="16465" priority="25450" operator="between">
      <formula>0.76</formula>
      <formula>0.95</formula>
    </cfRule>
    <cfRule type="cellIs" dxfId="16464" priority="25451" operator="between">
      <formula>0.51</formula>
      <formula>0.75</formula>
    </cfRule>
    <cfRule type="cellIs" dxfId="16463" priority="25452" operator="greaterThan">
      <formula>1</formula>
    </cfRule>
    <cfRule type="cellIs" dxfId="16462" priority="25453" operator="between">
      <formula>0.95</formula>
      <formula>1</formula>
    </cfRule>
    <cfRule type="cellIs" dxfId="16461" priority="25454" stopIfTrue="1" operator="between">
      <formula>0</formula>
      <formula>0.5</formula>
    </cfRule>
  </conditionalFormatting>
  <conditionalFormatting sqref="P77">
    <cfRule type="cellIs" dxfId="16460" priority="25445" operator="between">
      <formula>0.76</formula>
      <formula>0.95</formula>
    </cfRule>
    <cfRule type="cellIs" dxfId="16459" priority="25446" operator="between">
      <formula>0.51</formula>
      <formula>0.75</formula>
    </cfRule>
    <cfRule type="cellIs" dxfId="16458" priority="25447" operator="greaterThan">
      <formula>1</formula>
    </cfRule>
    <cfRule type="cellIs" dxfId="16457" priority="25448" operator="between">
      <formula>0.95</formula>
      <formula>1</formula>
    </cfRule>
    <cfRule type="cellIs" dxfId="16456" priority="25449" stopIfTrue="1" operator="between">
      <formula>0</formula>
      <formula>0.5</formula>
    </cfRule>
  </conditionalFormatting>
  <conditionalFormatting sqref="P83">
    <cfRule type="cellIs" dxfId="16455" priority="25440" operator="between">
      <formula>0.76</formula>
      <formula>0.95</formula>
    </cfRule>
    <cfRule type="cellIs" dxfId="16454" priority="25441" operator="between">
      <formula>0.51</formula>
      <formula>0.75</formula>
    </cfRule>
    <cfRule type="cellIs" dxfId="16453" priority="25442" operator="greaterThan">
      <formula>1</formula>
    </cfRule>
    <cfRule type="cellIs" dxfId="16452" priority="25443" operator="between">
      <formula>0.95</formula>
      <formula>1</formula>
    </cfRule>
    <cfRule type="cellIs" dxfId="16451" priority="25444" stopIfTrue="1" operator="between">
      <formula>0</formula>
      <formula>0.5</formula>
    </cfRule>
  </conditionalFormatting>
  <conditionalFormatting sqref="P84">
    <cfRule type="cellIs" dxfId="16450" priority="25435" operator="between">
      <formula>0.76</formula>
      <formula>0.95</formula>
    </cfRule>
    <cfRule type="cellIs" dxfId="16449" priority="25436" operator="between">
      <formula>0.51</formula>
      <formula>0.75</formula>
    </cfRule>
    <cfRule type="cellIs" dxfId="16448" priority="25437" operator="greaterThan">
      <formula>1</formula>
    </cfRule>
    <cfRule type="cellIs" dxfId="16447" priority="25438" operator="between">
      <formula>0.95</formula>
      <formula>1</formula>
    </cfRule>
    <cfRule type="cellIs" dxfId="16446" priority="25439" stopIfTrue="1" operator="between">
      <formula>0</formula>
      <formula>0.5</formula>
    </cfRule>
  </conditionalFormatting>
  <conditionalFormatting sqref="P85">
    <cfRule type="cellIs" dxfId="16445" priority="25430" operator="between">
      <formula>0.76</formula>
      <formula>0.95</formula>
    </cfRule>
    <cfRule type="cellIs" dxfId="16444" priority="25431" operator="between">
      <formula>0.51</formula>
      <formula>0.75</formula>
    </cfRule>
    <cfRule type="cellIs" dxfId="16443" priority="25432" operator="greaterThan">
      <formula>1</formula>
    </cfRule>
    <cfRule type="cellIs" dxfId="16442" priority="25433" operator="between">
      <formula>0.95</formula>
      <formula>1</formula>
    </cfRule>
    <cfRule type="cellIs" dxfId="16441" priority="25434" stopIfTrue="1" operator="between">
      <formula>0</formula>
      <formula>0.5</formula>
    </cfRule>
  </conditionalFormatting>
  <conditionalFormatting sqref="P86">
    <cfRule type="cellIs" dxfId="16440" priority="25425" operator="between">
      <formula>0.76</formula>
      <formula>0.95</formula>
    </cfRule>
    <cfRule type="cellIs" dxfId="16439" priority="25426" operator="between">
      <formula>0.51</formula>
      <formula>0.75</formula>
    </cfRule>
    <cfRule type="cellIs" dxfId="16438" priority="25427" operator="greaterThan">
      <formula>1</formula>
    </cfRule>
    <cfRule type="cellIs" dxfId="16437" priority="25428" operator="between">
      <formula>0.95</formula>
      <formula>1</formula>
    </cfRule>
    <cfRule type="cellIs" dxfId="16436" priority="25429" stopIfTrue="1" operator="between">
      <formula>0</formula>
      <formula>0.5</formula>
    </cfRule>
  </conditionalFormatting>
  <conditionalFormatting sqref="P89">
    <cfRule type="cellIs" dxfId="16435" priority="25420" operator="between">
      <formula>0.76</formula>
      <formula>0.95</formula>
    </cfRule>
    <cfRule type="cellIs" dxfId="16434" priority="25421" operator="between">
      <formula>0.51</formula>
      <formula>0.75</formula>
    </cfRule>
    <cfRule type="cellIs" dxfId="16433" priority="25422" operator="greaterThan">
      <formula>1</formula>
    </cfRule>
    <cfRule type="cellIs" dxfId="16432" priority="25423" operator="between">
      <formula>0.95</formula>
      <formula>1</formula>
    </cfRule>
    <cfRule type="cellIs" dxfId="16431" priority="25424" stopIfTrue="1" operator="between">
      <formula>0</formula>
      <formula>0.5</formula>
    </cfRule>
  </conditionalFormatting>
  <conditionalFormatting sqref="P90">
    <cfRule type="cellIs" dxfId="16430" priority="25415" operator="between">
      <formula>0.76</formula>
      <formula>0.95</formula>
    </cfRule>
    <cfRule type="cellIs" dxfId="16429" priority="25416" operator="between">
      <formula>0.51</formula>
      <formula>0.75</formula>
    </cfRule>
    <cfRule type="cellIs" dxfId="16428" priority="25417" operator="greaterThan">
      <formula>1</formula>
    </cfRule>
    <cfRule type="cellIs" dxfId="16427" priority="25418" operator="between">
      <formula>0.95</formula>
      <formula>1</formula>
    </cfRule>
    <cfRule type="cellIs" dxfId="16426" priority="25419" stopIfTrue="1" operator="between">
      <formula>0</formula>
      <formula>0.5</formula>
    </cfRule>
  </conditionalFormatting>
  <conditionalFormatting sqref="P91">
    <cfRule type="cellIs" dxfId="16425" priority="25410" operator="between">
      <formula>0.76</formula>
      <formula>0.95</formula>
    </cfRule>
    <cfRule type="cellIs" dxfId="16424" priority="25411" operator="between">
      <formula>0.51</formula>
      <formula>0.75</formula>
    </cfRule>
    <cfRule type="cellIs" dxfId="16423" priority="25412" operator="greaterThan">
      <formula>1</formula>
    </cfRule>
    <cfRule type="cellIs" dxfId="16422" priority="25413" operator="between">
      <formula>0.95</formula>
      <formula>1</formula>
    </cfRule>
    <cfRule type="cellIs" dxfId="16421" priority="25414" stopIfTrue="1" operator="between">
      <formula>0</formula>
      <formula>0.5</formula>
    </cfRule>
  </conditionalFormatting>
  <conditionalFormatting sqref="P92">
    <cfRule type="cellIs" dxfId="16420" priority="25405" operator="between">
      <formula>0.76</formula>
      <formula>0.95</formula>
    </cfRule>
    <cfRule type="cellIs" dxfId="16419" priority="25406" operator="between">
      <formula>0.51</formula>
      <formula>0.75</formula>
    </cfRule>
    <cfRule type="cellIs" dxfId="16418" priority="25407" operator="greaterThan">
      <formula>1</formula>
    </cfRule>
    <cfRule type="cellIs" dxfId="16417" priority="25408" operator="between">
      <formula>0.95</formula>
      <formula>1</formula>
    </cfRule>
    <cfRule type="cellIs" dxfId="16416" priority="25409" stopIfTrue="1" operator="between">
      <formula>0</formula>
      <formula>0.5</formula>
    </cfRule>
  </conditionalFormatting>
  <conditionalFormatting sqref="P93">
    <cfRule type="cellIs" dxfId="16415" priority="25400" operator="between">
      <formula>0.76</formula>
      <formula>0.95</formula>
    </cfRule>
    <cfRule type="cellIs" dxfId="16414" priority="25401" operator="between">
      <formula>0.51</formula>
      <formula>0.75</formula>
    </cfRule>
    <cfRule type="cellIs" dxfId="16413" priority="25402" operator="greaterThan">
      <formula>1</formula>
    </cfRule>
    <cfRule type="cellIs" dxfId="16412" priority="25403" operator="between">
      <formula>0.95</formula>
      <formula>1</formula>
    </cfRule>
    <cfRule type="cellIs" dxfId="16411" priority="25404" stopIfTrue="1" operator="between">
      <formula>0</formula>
      <formula>0.5</formula>
    </cfRule>
  </conditionalFormatting>
  <conditionalFormatting sqref="P94">
    <cfRule type="cellIs" dxfId="16410" priority="25395" operator="between">
      <formula>0.76</formula>
      <formula>0.95</formula>
    </cfRule>
    <cfRule type="cellIs" dxfId="16409" priority="25396" operator="between">
      <formula>0.51</formula>
      <formula>0.75</formula>
    </cfRule>
    <cfRule type="cellIs" dxfId="16408" priority="25397" operator="greaterThan">
      <formula>1</formula>
    </cfRule>
    <cfRule type="cellIs" dxfId="16407" priority="25398" operator="between">
      <formula>0.95</formula>
      <formula>1</formula>
    </cfRule>
    <cfRule type="cellIs" dxfId="16406" priority="25399" stopIfTrue="1" operator="between">
      <formula>0</formula>
      <formula>0.5</formula>
    </cfRule>
  </conditionalFormatting>
  <conditionalFormatting sqref="P99">
    <cfRule type="cellIs" dxfId="16405" priority="25390" operator="between">
      <formula>0.76</formula>
      <formula>0.95</formula>
    </cfRule>
    <cfRule type="cellIs" dxfId="16404" priority="25391" operator="between">
      <formula>0.51</formula>
      <formula>0.75</formula>
    </cfRule>
    <cfRule type="cellIs" dxfId="16403" priority="25392" operator="greaterThan">
      <formula>1</formula>
    </cfRule>
    <cfRule type="cellIs" dxfId="16402" priority="25393" operator="between">
      <formula>0.95</formula>
      <formula>1</formula>
    </cfRule>
    <cfRule type="cellIs" dxfId="16401" priority="25394" stopIfTrue="1" operator="between">
      <formula>0</formula>
      <formula>0.5</formula>
    </cfRule>
  </conditionalFormatting>
  <conditionalFormatting sqref="P102">
    <cfRule type="cellIs" dxfId="16400" priority="25385" operator="between">
      <formula>0.76</formula>
      <formula>0.95</formula>
    </cfRule>
    <cfRule type="cellIs" dxfId="16399" priority="25386" operator="between">
      <formula>0.51</formula>
      <formula>0.75</formula>
    </cfRule>
    <cfRule type="cellIs" dxfId="16398" priority="25387" operator="greaterThan">
      <formula>1</formula>
    </cfRule>
    <cfRule type="cellIs" dxfId="16397" priority="25388" operator="between">
      <formula>0.95</formula>
      <formula>1</formula>
    </cfRule>
    <cfRule type="cellIs" dxfId="16396" priority="25389" stopIfTrue="1" operator="between">
      <formula>0</formula>
      <formula>0.5</formula>
    </cfRule>
  </conditionalFormatting>
  <conditionalFormatting sqref="P103">
    <cfRule type="cellIs" dxfId="16395" priority="25380" operator="between">
      <formula>0.76</formula>
      <formula>0.95</formula>
    </cfRule>
    <cfRule type="cellIs" dxfId="16394" priority="25381" operator="between">
      <formula>0.51</formula>
      <formula>0.75</formula>
    </cfRule>
    <cfRule type="cellIs" dxfId="16393" priority="25382" operator="greaterThan">
      <formula>1</formula>
    </cfRule>
    <cfRule type="cellIs" dxfId="16392" priority="25383" operator="between">
      <formula>0.95</formula>
      <formula>1</formula>
    </cfRule>
    <cfRule type="cellIs" dxfId="16391" priority="25384" stopIfTrue="1" operator="between">
      <formula>0</formula>
      <formula>0.5</formula>
    </cfRule>
  </conditionalFormatting>
  <conditionalFormatting sqref="P107">
    <cfRule type="cellIs" dxfId="16390" priority="25375" operator="between">
      <formula>0.76</formula>
      <formula>0.95</formula>
    </cfRule>
    <cfRule type="cellIs" dxfId="16389" priority="25376" operator="between">
      <formula>0.51</formula>
      <formula>0.75</formula>
    </cfRule>
    <cfRule type="cellIs" dxfId="16388" priority="25377" operator="greaterThan">
      <formula>1</formula>
    </cfRule>
    <cfRule type="cellIs" dxfId="16387" priority="25378" operator="between">
      <formula>0.95</formula>
      <formula>1</formula>
    </cfRule>
    <cfRule type="cellIs" dxfId="16386" priority="25379" stopIfTrue="1" operator="between">
      <formula>0</formula>
      <formula>0.5</formula>
    </cfRule>
  </conditionalFormatting>
  <conditionalFormatting sqref="P108">
    <cfRule type="cellIs" dxfId="16385" priority="25370" operator="between">
      <formula>0.76</formula>
      <formula>0.95</formula>
    </cfRule>
    <cfRule type="cellIs" dxfId="16384" priority="25371" operator="between">
      <formula>0.51</formula>
      <formula>0.75</formula>
    </cfRule>
    <cfRule type="cellIs" dxfId="16383" priority="25372" operator="greaterThan">
      <formula>1</formula>
    </cfRule>
    <cfRule type="cellIs" dxfId="16382" priority="25373" operator="between">
      <formula>0.95</formula>
      <formula>1</formula>
    </cfRule>
    <cfRule type="cellIs" dxfId="16381" priority="25374" stopIfTrue="1" operator="between">
      <formula>0</formula>
      <formula>0.5</formula>
    </cfRule>
  </conditionalFormatting>
  <conditionalFormatting sqref="P109">
    <cfRule type="cellIs" dxfId="16380" priority="25365" operator="between">
      <formula>0.76</formula>
      <formula>0.95</formula>
    </cfRule>
    <cfRule type="cellIs" dxfId="16379" priority="25366" operator="between">
      <formula>0.51</formula>
      <formula>0.75</formula>
    </cfRule>
    <cfRule type="cellIs" dxfId="16378" priority="25367" operator="greaterThan">
      <formula>1</formula>
    </cfRule>
    <cfRule type="cellIs" dxfId="16377" priority="25368" operator="between">
      <formula>0.95</formula>
      <formula>1</formula>
    </cfRule>
    <cfRule type="cellIs" dxfId="16376" priority="25369" stopIfTrue="1" operator="between">
      <formula>0</formula>
      <formula>0.5</formula>
    </cfRule>
  </conditionalFormatting>
  <conditionalFormatting sqref="P110">
    <cfRule type="cellIs" dxfId="16375" priority="25360" operator="between">
      <formula>0.76</formula>
      <formula>0.95</formula>
    </cfRule>
    <cfRule type="cellIs" dxfId="16374" priority="25361" operator="between">
      <formula>0.51</formula>
      <formula>0.75</formula>
    </cfRule>
    <cfRule type="cellIs" dxfId="16373" priority="25362" operator="greaterThan">
      <formula>1</formula>
    </cfRule>
    <cfRule type="cellIs" dxfId="16372" priority="25363" operator="between">
      <formula>0.95</formula>
      <formula>1</formula>
    </cfRule>
    <cfRule type="cellIs" dxfId="16371" priority="25364" stopIfTrue="1" operator="between">
      <formula>0</formula>
      <formula>0.5</formula>
    </cfRule>
  </conditionalFormatting>
  <conditionalFormatting sqref="P112">
    <cfRule type="cellIs" dxfId="16370" priority="25355" operator="between">
      <formula>0.76</formula>
      <formula>0.95</formula>
    </cfRule>
    <cfRule type="cellIs" dxfId="16369" priority="25356" operator="between">
      <formula>0.51</formula>
      <formula>0.75</formula>
    </cfRule>
    <cfRule type="cellIs" dxfId="16368" priority="25357" operator="greaterThan">
      <formula>1</formula>
    </cfRule>
    <cfRule type="cellIs" dxfId="16367" priority="25358" operator="between">
      <formula>0.95</formula>
      <formula>1</formula>
    </cfRule>
    <cfRule type="cellIs" dxfId="16366" priority="25359" stopIfTrue="1" operator="between">
      <formula>0</formula>
      <formula>0.5</formula>
    </cfRule>
  </conditionalFormatting>
  <conditionalFormatting sqref="P113">
    <cfRule type="cellIs" dxfId="16365" priority="25345" operator="between">
      <formula>0.76</formula>
      <formula>0.95</formula>
    </cfRule>
    <cfRule type="cellIs" dxfId="16364" priority="25346" operator="between">
      <formula>0.51</formula>
      <formula>0.75</formula>
    </cfRule>
    <cfRule type="cellIs" dxfId="16363" priority="25347" operator="greaterThan">
      <formula>1</formula>
    </cfRule>
    <cfRule type="cellIs" dxfId="16362" priority="25348" operator="between">
      <formula>0.95</formula>
      <formula>1</formula>
    </cfRule>
    <cfRule type="cellIs" dxfId="16361" priority="25349" stopIfTrue="1" operator="between">
      <formula>0</formula>
      <formula>0.5</formula>
    </cfRule>
  </conditionalFormatting>
  <conditionalFormatting sqref="P116">
    <cfRule type="cellIs" dxfId="16360" priority="25335" operator="between">
      <formula>0.76</formula>
      <formula>0.95</formula>
    </cfRule>
    <cfRule type="cellIs" dxfId="16359" priority="25336" operator="between">
      <formula>0.51</formula>
      <formula>0.75</formula>
    </cfRule>
    <cfRule type="cellIs" dxfId="16358" priority="25337" operator="greaterThan">
      <formula>1</formula>
    </cfRule>
    <cfRule type="cellIs" dxfId="16357" priority="25338" operator="between">
      <formula>0.95</formula>
      <formula>1</formula>
    </cfRule>
    <cfRule type="cellIs" dxfId="16356" priority="25339" stopIfTrue="1" operator="between">
      <formula>0</formula>
      <formula>0.5</formula>
    </cfRule>
  </conditionalFormatting>
  <conditionalFormatting sqref="P118">
    <cfRule type="cellIs" dxfId="16355" priority="25325" operator="between">
      <formula>0.76</formula>
      <formula>0.95</formula>
    </cfRule>
    <cfRule type="cellIs" dxfId="16354" priority="25326" operator="between">
      <formula>0.51</formula>
      <formula>0.75</formula>
    </cfRule>
    <cfRule type="cellIs" dxfId="16353" priority="25327" operator="greaterThan">
      <formula>1</formula>
    </cfRule>
    <cfRule type="cellIs" dxfId="16352" priority="25328" operator="between">
      <formula>0.95</formula>
      <formula>1</formula>
    </cfRule>
    <cfRule type="cellIs" dxfId="16351" priority="25329" stopIfTrue="1" operator="between">
      <formula>0</formula>
      <formula>0.5</formula>
    </cfRule>
  </conditionalFormatting>
  <conditionalFormatting sqref="P119">
    <cfRule type="cellIs" dxfId="16350" priority="25320" operator="between">
      <formula>0.76</formula>
      <formula>0.95</formula>
    </cfRule>
    <cfRule type="cellIs" dxfId="16349" priority="25321" operator="between">
      <formula>0.51</formula>
      <formula>0.75</formula>
    </cfRule>
    <cfRule type="cellIs" dxfId="16348" priority="25322" operator="greaterThan">
      <formula>1</formula>
    </cfRule>
    <cfRule type="cellIs" dxfId="16347" priority="25323" operator="between">
      <formula>0.95</formula>
      <formula>1</formula>
    </cfRule>
    <cfRule type="cellIs" dxfId="16346" priority="25324" stopIfTrue="1" operator="between">
      <formula>0</formula>
      <formula>0.5</formula>
    </cfRule>
  </conditionalFormatting>
  <conditionalFormatting sqref="P120">
    <cfRule type="cellIs" dxfId="16345" priority="25315" operator="between">
      <formula>0.76</formula>
      <formula>0.95</formula>
    </cfRule>
    <cfRule type="cellIs" dxfId="16344" priority="25316" operator="between">
      <formula>0.51</formula>
      <formula>0.75</formula>
    </cfRule>
    <cfRule type="cellIs" dxfId="16343" priority="25317" operator="greaterThan">
      <formula>1</formula>
    </cfRule>
    <cfRule type="cellIs" dxfId="16342" priority="25318" operator="between">
      <formula>0.95</formula>
      <formula>1</formula>
    </cfRule>
    <cfRule type="cellIs" dxfId="16341" priority="25319" stopIfTrue="1" operator="between">
      <formula>0</formula>
      <formula>0.5</formula>
    </cfRule>
  </conditionalFormatting>
  <conditionalFormatting sqref="P121">
    <cfRule type="cellIs" dxfId="16340" priority="25310" operator="between">
      <formula>0.76</formula>
      <formula>0.95</formula>
    </cfRule>
    <cfRule type="cellIs" dxfId="16339" priority="25311" operator="between">
      <formula>0.51</formula>
      <formula>0.75</formula>
    </cfRule>
    <cfRule type="cellIs" dxfId="16338" priority="25312" operator="greaterThan">
      <formula>1</formula>
    </cfRule>
    <cfRule type="cellIs" dxfId="16337" priority="25313" operator="between">
      <formula>0.95</formula>
      <formula>1</formula>
    </cfRule>
    <cfRule type="cellIs" dxfId="16336" priority="25314" stopIfTrue="1" operator="between">
      <formula>0</formula>
      <formula>0.5</formula>
    </cfRule>
  </conditionalFormatting>
  <conditionalFormatting sqref="P122">
    <cfRule type="cellIs" dxfId="16335" priority="25305" operator="between">
      <formula>0.76</formula>
      <formula>0.95</formula>
    </cfRule>
    <cfRule type="cellIs" dxfId="16334" priority="25306" operator="between">
      <formula>0.51</formula>
      <formula>0.75</formula>
    </cfRule>
    <cfRule type="cellIs" dxfId="16333" priority="25307" operator="greaterThan">
      <formula>1</formula>
    </cfRule>
    <cfRule type="cellIs" dxfId="16332" priority="25308" operator="between">
      <formula>0.95</formula>
      <formula>1</formula>
    </cfRule>
    <cfRule type="cellIs" dxfId="16331" priority="25309" stopIfTrue="1" operator="between">
      <formula>0</formula>
      <formula>0.5</formula>
    </cfRule>
  </conditionalFormatting>
  <conditionalFormatting sqref="P123">
    <cfRule type="cellIs" dxfId="16330" priority="25300" operator="between">
      <formula>0.76</formula>
      <formula>0.95</formula>
    </cfRule>
    <cfRule type="cellIs" dxfId="16329" priority="25301" operator="between">
      <formula>0.51</formula>
      <formula>0.75</formula>
    </cfRule>
    <cfRule type="cellIs" dxfId="16328" priority="25302" operator="greaterThan">
      <formula>1</formula>
    </cfRule>
    <cfRule type="cellIs" dxfId="16327" priority="25303" operator="between">
      <formula>0.95</formula>
      <formula>1</formula>
    </cfRule>
    <cfRule type="cellIs" dxfId="16326" priority="25304" stopIfTrue="1" operator="between">
      <formula>0</formula>
      <formula>0.5</formula>
    </cfRule>
  </conditionalFormatting>
  <conditionalFormatting sqref="P124">
    <cfRule type="cellIs" dxfId="16325" priority="25295" operator="between">
      <formula>0.76</formula>
      <formula>0.95</formula>
    </cfRule>
    <cfRule type="cellIs" dxfId="16324" priority="25296" operator="between">
      <formula>0.51</formula>
      <formula>0.75</formula>
    </cfRule>
    <cfRule type="cellIs" dxfId="16323" priority="25297" operator="greaterThan">
      <formula>1</formula>
    </cfRule>
    <cfRule type="cellIs" dxfId="16322" priority="25298" operator="between">
      <formula>0.95</formula>
      <formula>1</formula>
    </cfRule>
    <cfRule type="cellIs" dxfId="16321" priority="25299" stopIfTrue="1" operator="between">
      <formula>0</formula>
      <formula>0.5</formula>
    </cfRule>
  </conditionalFormatting>
  <conditionalFormatting sqref="P144">
    <cfRule type="cellIs" dxfId="16320" priority="25290" operator="between">
      <formula>0.76</formula>
      <formula>0.95</formula>
    </cfRule>
    <cfRule type="cellIs" dxfId="16319" priority="25291" operator="between">
      <formula>0.51</formula>
      <formula>0.75</formula>
    </cfRule>
    <cfRule type="cellIs" dxfId="16318" priority="25292" operator="greaterThan">
      <formula>1</formula>
    </cfRule>
    <cfRule type="cellIs" dxfId="16317" priority="25293" operator="between">
      <formula>0.95</formula>
      <formula>1</formula>
    </cfRule>
    <cfRule type="cellIs" dxfId="16316" priority="25294" stopIfTrue="1" operator="between">
      <formula>0</formula>
      <formula>0.5</formula>
    </cfRule>
  </conditionalFormatting>
  <conditionalFormatting sqref="P151">
    <cfRule type="cellIs" dxfId="16315" priority="25285" operator="between">
      <formula>0.76</formula>
      <formula>0.95</formula>
    </cfRule>
    <cfRule type="cellIs" dxfId="16314" priority="25286" operator="between">
      <formula>0.51</formula>
      <formula>0.75</formula>
    </cfRule>
    <cfRule type="cellIs" dxfId="16313" priority="25287" operator="greaterThan">
      <formula>1</formula>
    </cfRule>
    <cfRule type="cellIs" dxfId="16312" priority="25288" operator="between">
      <formula>0.95</formula>
      <formula>1</formula>
    </cfRule>
    <cfRule type="cellIs" dxfId="16311" priority="25289" stopIfTrue="1" operator="between">
      <formula>0</formula>
      <formula>0.5</formula>
    </cfRule>
  </conditionalFormatting>
  <conditionalFormatting sqref="P152">
    <cfRule type="cellIs" dxfId="16310" priority="25280" operator="between">
      <formula>0.76</formula>
      <formula>0.95</formula>
    </cfRule>
    <cfRule type="cellIs" dxfId="16309" priority="25281" operator="between">
      <formula>0.51</formula>
      <formula>0.75</formula>
    </cfRule>
    <cfRule type="cellIs" dxfId="16308" priority="25282" operator="greaterThan">
      <formula>1</formula>
    </cfRule>
    <cfRule type="cellIs" dxfId="16307" priority="25283" operator="between">
      <formula>0.95</formula>
      <formula>1</formula>
    </cfRule>
    <cfRule type="cellIs" dxfId="16306" priority="25284" stopIfTrue="1" operator="between">
      <formula>0</formula>
      <formula>0.5</formula>
    </cfRule>
  </conditionalFormatting>
  <conditionalFormatting sqref="P155">
    <cfRule type="cellIs" dxfId="16305" priority="25270" operator="between">
      <formula>0.76</formula>
      <formula>0.95</formula>
    </cfRule>
    <cfRule type="cellIs" dxfId="16304" priority="25271" operator="between">
      <formula>0.51</formula>
      <formula>0.75</formula>
    </cfRule>
    <cfRule type="cellIs" dxfId="16303" priority="25272" operator="greaterThan">
      <formula>1</formula>
    </cfRule>
    <cfRule type="cellIs" dxfId="16302" priority="25273" operator="between">
      <formula>0.95</formula>
      <formula>1</formula>
    </cfRule>
    <cfRule type="cellIs" dxfId="16301" priority="25274" stopIfTrue="1" operator="between">
      <formula>0</formula>
      <formula>0.5</formula>
    </cfRule>
  </conditionalFormatting>
  <conditionalFormatting sqref="P166">
    <cfRule type="cellIs" dxfId="16300" priority="25265" operator="between">
      <formula>0.76</formula>
      <formula>0.95</formula>
    </cfRule>
    <cfRule type="cellIs" dxfId="16299" priority="25266" operator="between">
      <formula>0.51</formula>
      <formula>0.75</formula>
    </cfRule>
    <cfRule type="cellIs" dxfId="16298" priority="25267" operator="greaterThan">
      <formula>1</formula>
    </cfRule>
    <cfRule type="cellIs" dxfId="16297" priority="25268" operator="between">
      <formula>0.95</formula>
      <formula>1</formula>
    </cfRule>
    <cfRule type="cellIs" dxfId="16296" priority="25269" stopIfTrue="1" operator="between">
      <formula>0</formula>
      <formula>0.5</formula>
    </cfRule>
  </conditionalFormatting>
  <conditionalFormatting sqref="P177">
    <cfRule type="cellIs" dxfId="16295" priority="25260" operator="between">
      <formula>0.76</formula>
      <formula>0.95</formula>
    </cfRule>
    <cfRule type="cellIs" dxfId="16294" priority="25261" operator="between">
      <formula>0.51</formula>
      <formula>0.75</formula>
    </cfRule>
    <cfRule type="cellIs" dxfId="16293" priority="25262" operator="greaterThan">
      <formula>1</formula>
    </cfRule>
    <cfRule type="cellIs" dxfId="16292" priority="25263" operator="between">
      <formula>0.95</formula>
      <formula>1</formula>
    </cfRule>
    <cfRule type="cellIs" dxfId="16291" priority="25264" stopIfTrue="1" operator="between">
      <formula>0</formula>
      <formula>0.5</formula>
    </cfRule>
  </conditionalFormatting>
  <conditionalFormatting sqref="P183">
    <cfRule type="cellIs" dxfId="16290" priority="25255" operator="between">
      <formula>0.76</formula>
      <formula>0.95</formula>
    </cfRule>
    <cfRule type="cellIs" dxfId="16289" priority="25256" operator="between">
      <formula>0.51</formula>
      <formula>0.75</formula>
    </cfRule>
    <cfRule type="cellIs" dxfId="16288" priority="25257" operator="greaterThan">
      <formula>1</formula>
    </cfRule>
    <cfRule type="cellIs" dxfId="16287" priority="25258" operator="between">
      <formula>0.95</formula>
      <formula>1</formula>
    </cfRule>
    <cfRule type="cellIs" dxfId="16286" priority="25259" stopIfTrue="1" operator="between">
      <formula>0</formula>
      <formula>0.5</formula>
    </cfRule>
  </conditionalFormatting>
  <conditionalFormatting sqref="P184">
    <cfRule type="cellIs" dxfId="16285" priority="25250" operator="between">
      <formula>0.76</formula>
      <formula>0.95</formula>
    </cfRule>
    <cfRule type="cellIs" dxfId="16284" priority="25251" operator="between">
      <formula>0.51</formula>
      <formula>0.75</formula>
    </cfRule>
    <cfRule type="cellIs" dxfId="16283" priority="25252" operator="greaterThan">
      <formula>1</formula>
    </cfRule>
    <cfRule type="cellIs" dxfId="16282" priority="25253" operator="between">
      <formula>0.95</formula>
      <formula>1</formula>
    </cfRule>
    <cfRule type="cellIs" dxfId="16281" priority="25254" stopIfTrue="1" operator="between">
      <formula>0</formula>
      <formula>0.5</formula>
    </cfRule>
  </conditionalFormatting>
  <conditionalFormatting sqref="P185">
    <cfRule type="cellIs" dxfId="16280" priority="25245" operator="between">
      <formula>0.76</formula>
      <formula>0.95</formula>
    </cfRule>
    <cfRule type="cellIs" dxfId="16279" priority="25246" operator="between">
      <formula>0.51</formula>
      <formula>0.75</formula>
    </cfRule>
    <cfRule type="cellIs" dxfId="16278" priority="25247" operator="greaterThan">
      <formula>1</formula>
    </cfRule>
    <cfRule type="cellIs" dxfId="16277" priority="25248" operator="between">
      <formula>0.95</formula>
      <formula>1</formula>
    </cfRule>
    <cfRule type="cellIs" dxfId="16276" priority="25249" stopIfTrue="1" operator="between">
      <formula>0</formula>
      <formula>0.5</formula>
    </cfRule>
  </conditionalFormatting>
  <conditionalFormatting sqref="P186">
    <cfRule type="cellIs" dxfId="16275" priority="25240" operator="between">
      <formula>0.76</formula>
      <formula>0.95</formula>
    </cfRule>
    <cfRule type="cellIs" dxfId="16274" priority="25241" operator="between">
      <formula>0.51</formula>
      <formula>0.75</formula>
    </cfRule>
    <cfRule type="cellIs" dxfId="16273" priority="25242" operator="greaterThan">
      <formula>1</formula>
    </cfRule>
    <cfRule type="cellIs" dxfId="16272" priority="25243" operator="between">
      <formula>0.95</formula>
      <formula>1</formula>
    </cfRule>
    <cfRule type="cellIs" dxfId="16271" priority="25244" stopIfTrue="1" operator="between">
      <formula>0</formula>
      <formula>0.5</formula>
    </cfRule>
  </conditionalFormatting>
  <conditionalFormatting sqref="P187">
    <cfRule type="cellIs" dxfId="16270" priority="25235" operator="between">
      <formula>0.76</formula>
      <formula>0.95</formula>
    </cfRule>
    <cfRule type="cellIs" dxfId="16269" priority="25236" operator="between">
      <formula>0.51</formula>
      <formula>0.75</formula>
    </cfRule>
    <cfRule type="cellIs" dxfId="16268" priority="25237" operator="greaterThan">
      <formula>1</formula>
    </cfRule>
    <cfRule type="cellIs" dxfId="16267" priority="25238" operator="between">
      <formula>0.95</formula>
      <formula>1</formula>
    </cfRule>
    <cfRule type="cellIs" dxfId="16266" priority="25239" stopIfTrue="1" operator="between">
      <formula>0</formula>
      <formula>0.5</formula>
    </cfRule>
  </conditionalFormatting>
  <conditionalFormatting sqref="P188">
    <cfRule type="cellIs" dxfId="16265" priority="25230" operator="between">
      <formula>0.76</formula>
      <formula>0.95</formula>
    </cfRule>
    <cfRule type="cellIs" dxfId="16264" priority="25231" operator="between">
      <formula>0.51</formula>
      <formula>0.75</formula>
    </cfRule>
    <cfRule type="cellIs" dxfId="16263" priority="25232" operator="greaterThan">
      <formula>1</formula>
    </cfRule>
    <cfRule type="cellIs" dxfId="16262" priority="25233" operator="between">
      <formula>0.95</formula>
      <formula>1</formula>
    </cfRule>
    <cfRule type="cellIs" dxfId="16261" priority="25234" stopIfTrue="1" operator="between">
      <formula>0</formula>
      <formula>0.5</formula>
    </cfRule>
  </conditionalFormatting>
  <conditionalFormatting sqref="P189">
    <cfRule type="cellIs" dxfId="16260" priority="25225" operator="between">
      <formula>0.76</formula>
      <formula>0.95</formula>
    </cfRule>
    <cfRule type="cellIs" dxfId="16259" priority="25226" operator="between">
      <formula>0.51</formula>
      <formula>0.75</formula>
    </cfRule>
    <cfRule type="cellIs" dxfId="16258" priority="25227" operator="greaterThan">
      <formula>1</formula>
    </cfRule>
    <cfRule type="cellIs" dxfId="16257" priority="25228" operator="between">
      <formula>0.95</formula>
      <formula>1</formula>
    </cfRule>
    <cfRule type="cellIs" dxfId="16256" priority="25229" stopIfTrue="1" operator="between">
      <formula>0</formula>
      <formula>0.5</formula>
    </cfRule>
  </conditionalFormatting>
  <conditionalFormatting sqref="P190">
    <cfRule type="cellIs" dxfId="16255" priority="25220" operator="between">
      <formula>0.76</formula>
      <formula>0.95</formula>
    </cfRule>
    <cfRule type="cellIs" dxfId="16254" priority="25221" operator="between">
      <formula>0.51</formula>
      <formula>0.75</formula>
    </cfRule>
    <cfRule type="cellIs" dxfId="16253" priority="25222" operator="greaterThan">
      <formula>1</formula>
    </cfRule>
    <cfRule type="cellIs" dxfId="16252" priority="25223" operator="between">
      <formula>0.95</formula>
      <formula>1</formula>
    </cfRule>
    <cfRule type="cellIs" dxfId="16251" priority="25224" stopIfTrue="1" operator="between">
      <formula>0</formula>
      <formula>0.5</formula>
    </cfRule>
  </conditionalFormatting>
  <conditionalFormatting sqref="P191">
    <cfRule type="cellIs" dxfId="16250" priority="25215" operator="between">
      <formula>0.76</formula>
      <formula>0.95</formula>
    </cfRule>
    <cfRule type="cellIs" dxfId="16249" priority="25216" operator="between">
      <formula>0.51</formula>
      <formula>0.75</formula>
    </cfRule>
    <cfRule type="cellIs" dxfId="16248" priority="25217" operator="greaterThan">
      <formula>1</formula>
    </cfRule>
    <cfRule type="cellIs" dxfId="16247" priority="25218" operator="between">
      <formula>0.95</formula>
      <formula>1</formula>
    </cfRule>
    <cfRule type="cellIs" dxfId="16246" priority="25219" stopIfTrue="1" operator="between">
      <formula>0</formula>
      <formula>0.5</formula>
    </cfRule>
  </conditionalFormatting>
  <conditionalFormatting sqref="P192">
    <cfRule type="cellIs" dxfId="16245" priority="25210" operator="between">
      <formula>0.76</formula>
      <formula>0.95</formula>
    </cfRule>
    <cfRule type="cellIs" dxfId="16244" priority="25211" operator="between">
      <formula>0.51</formula>
      <formula>0.75</formula>
    </cfRule>
    <cfRule type="cellIs" dxfId="16243" priority="25212" operator="greaterThan">
      <formula>1</formula>
    </cfRule>
    <cfRule type="cellIs" dxfId="16242" priority="25213" operator="between">
      <formula>0.95</formula>
      <formula>1</formula>
    </cfRule>
    <cfRule type="cellIs" dxfId="16241" priority="25214" stopIfTrue="1" operator="between">
      <formula>0</formula>
      <formula>0.5</formula>
    </cfRule>
  </conditionalFormatting>
  <conditionalFormatting sqref="P193">
    <cfRule type="cellIs" dxfId="16240" priority="25205" operator="between">
      <formula>0.76</formula>
      <formula>0.95</formula>
    </cfRule>
    <cfRule type="cellIs" dxfId="16239" priority="25206" operator="between">
      <formula>0.51</formula>
      <formula>0.75</formula>
    </cfRule>
    <cfRule type="cellIs" dxfId="16238" priority="25207" operator="greaterThan">
      <formula>1</formula>
    </cfRule>
    <cfRule type="cellIs" dxfId="16237" priority="25208" operator="between">
      <formula>0.95</formula>
      <formula>1</formula>
    </cfRule>
    <cfRule type="cellIs" dxfId="16236" priority="25209" stopIfTrue="1" operator="between">
      <formula>0</formula>
      <formula>0.5</formula>
    </cfRule>
  </conditionalFormatting>
  <conditionalFormatting sqref="P194">
    <cfRule type="cellIs" dxfId="16235" priority="25200" operator="between">
      <formula>0.76</formula>
      <formula>0.95</formula>
    </cfRule>
    <cfRule type="cellIs" dxfId="16234" priority="25201" operator="between">
      <formula>0.51</formula>
      <formula>0.75</formula>
    </cfRule>
    <cfRule type="cellIs" dxfId="16233" priority="25202" operator="greaterThan">
      <formula>1</formula>
    </cfRule>
    <cfRule type="cellIs" dxfId="16232" priority="25203" operator="between">
      <formula>0.95</formula>
      <formula>1</formula>
    </cfRule>
    <cfRule type="cellIs" dxfId="16231" priority="25204" stopIfTrue="1" operator="between">
      <formula>0</formula>
      <formula>0.5</formula>
    </cfRule>
  </conditionalFormatting>
  <conditionalFormatting sqref="P195">
    <cfRule type="cellIs" dxfId="16230" priority="25195" operator="between">
      <formula>0.76</formula>
      <formula>0.95</formula>
    </cfRule>
    <cfRule type="cellIs" dxfId="16229" priority="25196" operator="between">
      <formula>0.51</formula>
      <formula>0.75</formula>
    </cfRule>
    <cfRule type="cellIs" dxfId="16228" priority="25197" operator="greaterThan">
      <formula>1</formula>
    </cfRule>
    <cfRule type="cellIs" dxfId="16227" priority="25198" operator="between">
      <formula>0.95</formula>
      <formula>1</formula>
    </cfRule>
    <cfRule type="cellIs" dxfId="16226" priority="25199" stopIfTrue="1" operator="between">
      <formula>0</formula>
      <formula>0.5</formula>
    </cfRule>
  </conditionalFormatting>
  <conditionalFormatting sqref="P196">
    <cfRule type="cellIs" dxfId="16225" priority="25190" operator="between">
      <formula>0.76</formula>
      <formula>0.95</formula>
    </cfRule>
    <cfRule type="cellIs" dxfId="16224" priority="25191" operator="between">
      <formula>0.51</formula>
      <formula>0.75</formula>
    </cfRule>
    <cfRule type="cellIs" dxfId="16223" priority="25192" operator="greaterThan">
      <formula>1</formula>
    </cfRule>
    <cfRule type="cellIs" dxfId="16222" priority="25193" operator="between">
      <formula>0.95</formula>
      <formula>1</formula>
    </cfRule>
    <cfRule type="cellIs" dxfId="16221" priority="25194" stopIfTrue="1" operator="between">
      <formula>0</formula>
      <formula>0.5</formula>
    </cfRule>
  </conditionalFormatting>
  <conditionalFormatting sqref="P197">
    <cfRule type="cellIs" dxfId="16220" priority="25185" operator="between">
      <formula>0.76</formula>
      <formula>0.95</formula>
    </cfRule>
    <cfRule type="cellIs" dxfId="16219" priority="25186" operator="between">
      <formula>0.51</formula>
      <formula>0.75</formula>
    </cfRule>
    <cfRule type="cellIs" dxfId="16218" priority="25187" operator="greaterThan">
      <formula>1</formula>
    </cfRule>
    <cfRule type="cellIs" dxfId="16217" priority="25188" operator="between">
      <formula>0.95</formula>
      <formula>1</formula>
    </cfRule>
    <cfRule type="cellIs" dxfId="16216" priority="25189" stopIfTrue="1" operator="between">
      <formula>0</formula>
      <formula>0.5</formula>
    </cfRule>
  </conditionalFormatting>
  <conditionalFormatting sqref="P198">
    <cfRule type="cellIs" dxfId="16215" priority="25180" operator="between">
      <formula>0.76</formula>
      <formula>0.95</formula>
    </cfRule>
    <cfRule type="cellIs" dxfId="16214" priority="25181" operator="between">
      <formula>0.51</formula>
      <formula>0.75</formula>
    </cfRule>
    <cfRule type="cellIs" dxfId="16213" priority="25182" operator="greaterThan">
      <formula>1</formula>
    </cfRule>
    <cfRule type="cellIs" dxfId="16212" priority="25183" operator="between">
      <formula>0.95</formula>
      <formula>1</formula>
    </cfRule>
    <cfRule type="cellIs" dxfId="16211" priority="25184" stopIfTrue="1" operator="between">
      <formula>0</formula>
      <formula>0.5</formula>
    </cfRule>
  </conditionalFormatting>
  <conditionalFormatting sqref="P199">
    <cfRule type="cellIs" dxfId="16210" priority="25175" operator="between">
      <formula>0.76</formula>
      <formula>0.95</formula>
    </cfRule>
    <cfRule type="cellIs" dxfId="16209" priority="25176" operator="between">
      <formula>0.51</formula>
      <formula>0.75</formula>
    </cfRule>
    <cfRule type="cellIs" dxfId="16208" priority="25177" operator="greaterThan">
      <formula>1</formula>
    </cfRule>
    <cfRule type="cellIs" dxfId="16207" priority="25178" operator="between">
      <formula>0.95</formula>
      <formula>1</formula>
    </cfRule>
    <cfRule type="cellIs" dxfId="16206" priority="25179" stopIfTrue="1" operator="between">
      <formula>0</formula>
      <formula>0.5</formula>
    </cfRule>
  </conditionalFormatting>
  <conditionalFormatting sqref="P200">
    <cfRule type="cellIs" dxfId="16205" priority="25170" operator="between">
      <formula>0.76</formula>
      <formula>0.95</formula>
    </cfRule>
    <cfRule type="cellIs" dxfId="16204" priority="25171" operator="between">
      <formula>0.51</formula>
      <formula>0.75</formula>
    </cfRule>
    <cfRule type="cellIs" dxfId="16203" priority="25172" operator="greaterThan">
      <formula>1</formula>
    </cfRule>
    <cfRule type="cellIs" dxfId="16202" priority="25173" operator="between">
      <formula>0.95</formula>
      <formula>1</formula>
    </cfRule>
    <cfRule type="cellIs" dxfId="16201" priority="25174" stopIfTrue="1" operator="between">
      <formula>0</formula>
      <formula>0.5</formula>
    </cfRule>
  </conditionalFormatting>
  <conditionalFormatting sqref="P202">
    <cfRule type="cellIs" dxfId="16200" priority="25165" operator="between">
      <formula>0.76</formula>
      <formula>0.95</formula>
    </cfRule>
    <cfRule type="cellIs" dxfId="16199" priority="25166" operator="between">
      <formula>0.51</formula>
      <formula>0.75</formula>
    </cfRule>
    <cfRule type="cellIs" dxfId="16198" priority="25167" operator="greaterThan">
      <formula>1</formula>
    </cfRule>
    <cfRule type="cellIs" dxfId="16197" priority="25168" operator="between">
      <formula>0.95</formula>
      <formula>1</formula>
    </cfRule>
    <cfRule type="cellIs" dxfId="16196" priority="25169" stopIfTrue="1" operator="between">
      <formula>0</formula>
      <formula>0.5</formula>
    </cfRule>
  </conditionalFormatting>
  <conditionalFormatting sqref="P203">
    <cfRule type="cellIs" dxfId="16195" priority="25160" operator="between">
      <formula>0.76</formula>
      <formula>0.95</formula>
    </cfRule>
    <cfRule type="cellIs" dxfId="16194" priority="25161" operator="between">
      <formula>0.51</formula>
      <formula>0.75</formula>
    </cfRule>
    <cfRule type="cellIs" dxfId="16193" priority="25162" operator="greaterThan">
      <formula>1</formula>
    </cfRule>
    <cfRule type="cellIs" dxfId="16192" priority="25163" operator="between">
      <formula>0.95</formula>
      <formula>1</formula>
    </cfRule>
    <cfRule type="cellIs" dxfId="16191" priority="25164" stopIfTrue="1" operator="between">
      <formula>0</formula>
      <formula>0.5</formula>
    </cfRule>
  </conditionalFormatting>
  <conditionalFormatting sqref="P204">
    <cfRule type="cellIs" dxfId="16190" priority="25155" operator="between">
      <formula>0.76</formula>
      <formula>0.95</formula>
    </cfRule>
    <cfRule type="cellIs" dxfId="16189" priority="25156" operator="between">
      <formula>0.51</formula>
      <formula>0.75</formula>
    </cfRule>
    <cfRule type="cellIs" dxfId="16188" priority="25157" operator="greaterThan">
      <formula>1</formula>
    </cfRule>
    <cfRule type="cellIs" dxfId="16187" priority="25158" operator="between">
      <formula>0.95</formula>
      <formula>1</formula>
    </cfRule>
    <cfRule type="cellIs" dxfId="16186" priority="25159" stopIfTrue="1" operator="between">
      <formula>0</formula>
      <formula>0.5</formula>
    </cfRule>
  </conditionalFormatting>
  <conditionalFormatting sqref="P205">
    <cfRule type="cellIs" dxfId="16185" priority="25150" operator="between">
      <formula>0.76</formula>
      <formula>0.95</formula>
    </cfRule>
    <cfRule type="cellIs" dxfId="16184" priority="25151" operator="between">
      <formula>0.51</formula>
      <formula>0.75</formula>
    </cfRule>
    <cfRule type="cellIs" dxfId="16183" priority="25152" operator="greaterThan">
      <formula>1</formula>
    </cfRule>
    <cfRule type="cellIs" dxfId="16182" priority="25153" operator="between">
      <formula>0.95</formula>
      <formula>1</formula>
    </cfRule>
    <cfRule type="cellIs" dxfId="16181" priority="25154" stopIfTrue="1" operator="between">
      <formula>0</formula>
      <formula>0.5</formula>
    </cfRule>
  </conditionalFormatting>
  <conditionalFormatting sqref="P206">
    <cfRule type="cellIs" dxfId="16180" priority="25145" operator="between">
      <formula>0.76</formula>
      <formula>0.95</formula>
    </cfRule>
    <cfRule type="cellIs" dxfId="16179" priority="25146" operator="between">
      <formula>0.51</formula>
      <formula>0.75</formula>
    </cfRule>
    <cfRule type="cellIs" dxfId="16178" priority="25147" operator="greaterThan">
      <formula>1</formula>
    </cfRule>
    <cfRule type="cellIs" dxfId="16177" priority="25148" operator="between">
      <formula>0.95</formula>
      <formula>1</formula>
    </cfRule>
    <cfRule type="cellIs" dxfId="16176" priority="25149" stopIfTrue="1" operator="between">
      <formula>0</formula>
      <formula>0.5</formula>
    </cfRule>
  </conditionalFormatting>
  <conditionalFormatting sqref="P207">
    <cfRule type="cellIs" dxfId="16175" priority="25140" operator="between">
      <formula>0.76</formula>
      <formula>0.95</formula>
    </cfRule>
    <cfRule type="cellIs" dxfId="16174" priority="25141" operator="between">
      <formula>0.51</formula>
      <formula>0.75</formula>
    </cfRule>
    <cfRule type="cellIs" dxfId="16173" priority="25142" operator="greaterThan">
      <formula>1</formula>
    </cfRule>
    <cfRule type="cellIs" dxfId="16172" priority="25143" operator="between">
      <formula>0.95</formula>
      <formula>1</formula>
    </cfRule>
    <cfRule type="cellIs" dxfId="16171" priority="25144" stopIfTrue="1" operator="between">
      <formula>0</formula>
      <formula>0.5</formula>
    </cfRule>
  </conditionalFormatting>
  <conditionalFormatting sqref="P208">
    <cfRule type="cellIs" dxfId="16170" priority="25135" operator="between">
      <formula>0.76</formula>
      <formula>0.95</formula>
    </cfRule>
    <cfRule type="cellIs" dxfId="16169" priority="25136" operator="between">
      <formula>0.51</formula>
      <formula>0.75</formula>
    </cfRule>
    <cfRule type="cellIs" dxfId="16168" priority="25137" operator="greaterThan">
      <formula>1</formula>
    </cfRule>
    <cfRule type="cellIs" dxfId="16167" priority="25138" operator="between">
      <formula>0.95</formula>
      <formula>1</formula>
    </cfRule>
    <cfRule type="cellIs" dxfId="16166" priority="25139" stopIfTrue="1" operator="between">
      <formula>0</formula>
      <formula>0.5</formula>
    </cfRule>
  </conditionalFormatting>
  <conditionalFormatting sqref="P209">
    <cfRule type="cellIs" dxfId="16165" priority="25130" operator="between">
      <formula>0.76</formula>
      <formula>0.95</formula>
    </cfRule>
    <cfRule type="cellIs" dxfId="16164" priority="25131" operator="between">
      <formula>0.51</formula>
      <formula>0.75</formula>
    </cfRule>
    <cfRule type="cellIs" dxfId="16163" priority="25132" operator="greaterThan">
      <formula>1</formula>
    </cfRule>
    <cfRule type="cellIs" dxfId="16162" priority="25133" operator="between">
      <formula>0.95</formula>
      <formula>1</formula>
    </cfRule>
    <cfRule type="cellIs" dxfId="16161" priority="25134" stopIfTrue="1" operator="between">
      <formula>0</formula>
      <formula>0.5</formula>
    </cfRule>
  </conditionalFormatting>
  <conditionalFormatting sqref="P210">
    <cfRule type="cellIs" dxfId="16160" priority="25120" operator="between">
      <formula>0.76</formula>
      <formula>0.95</formula>
    </cfRule>
    <cfRule type="cellIs" dxfId="16159" priority="25121" operator="between">
      <formula>0.51</formula>
      <formula>0.75</formula>
    </cfRule>
    <cfRule type="cellIs" dxfId="16158" priority="25122" operator="greaterThan">
      <formula>1</formula>
    </cfRule>
    <cfRule type="cellIs" dxfId="16157" priority="25123" operator="between">
      <formula>0.95</formula>
      <formula>1</formula>
    </cfRule>
    <cfRule type="cellIs" dxfId="16156" priority="25124" stopIfTrue="1" operator="between">
      <formula>0</formula>
      <formula>0.5</formula>
    </cfRule>
  </conditionalFormatting>
  <conditionalFormatting sqref="P211">
    <cfRule type="cellIs" dxfId="16155" priority="25115" operator="between">
      <formula>0.76</formula>
      <formula>0.95</formula>
    </cfRule>
    <cfRule type="cellIs" dxfId="16154" priority="25116" operator="between">
      <formula>0.51</formula>
      <formula>0.75</formula>
    </cfRule>
    <cfRule type="cellIs" dxfId="16153" priority="25117" operator="greaterThan">
      <formula>1</formula>
    </cfRule>
    <cfRule type="cellIs" dxfId="16152" priority="25118" operator="between">
      <formula>0.95</formula>
      <formula>1</formula>
    </cfRule>
    <cfRule type="cellIs" dxfId="16151" priority="25119" stopIfTrue="1" operator="between">
      <formula>0</formula>
      <formula>0.5</formula>
    </cfRule>
  </conditionalFormatting>
  <conditionalFormatting sqref="P212">
    <cfRule type="cellIs" dxfId="16150" priority="25110" operator="between">
      <formula>0.76</formula>
      <formula>0.95</formula>
    </cfRule>
    <cfRule type="cellIs" dxfId="16149" priority="25111" operator="between">
      <formula>0.51</formula>
      <formula>0.75</formula>
    </cfRule>
    <cfRule type="cellIs" dxfId="16148" priority="25112" operator="greaterThan">
      <formula>1</formula>
    </cfRule>
    <cfRule type="cellIs" dxfId="16147" priority="25113" operator="between">
      <formula>0.95</formula>
      <formula>1</formula>
    </cfRule>
    <cfRule type="cellIs" dxfId="16146" priority="25114" stopIfTrue="1" operator="between">
      <formula>0</formula>
      <formula>0.5</formula>
    </cfRule>
  </conditionalFormatting>
  <conditionalFormatting sqref="P213">
    <cfRule type="cellIs" dxfId="16145" priority="25105" operator="between">
      <formula>0.76</formula>
      <formula>0.95</formula>
    </cfRule>
    <cfRule type="cellIs" dxfId="16144" priority="25106" operator="between">
      <formula>0.51</formula>
      <formula>0.75</formula>
    </cfRule>
    <cfRule type="cellIs" dxfId="16143" priority="25107" operator="greaterThan">
      <formula>1</formula>
    </cfRule>
    <cfRule type="cellIs" dxfId="16142" priority="25108" operator="between">
      <formula>0.95</formula>
      <formula>1</formula>
    </cfRule>
    <cfRule type="cellIs" dxfId="16141" priority="25109" stopIfTrue="1" operator="between">
      <formula>0</formula>
      <formula>0.5</formula>
    </cfRule>
  </conditionalFormatting>
  <conditionalFormatting sqref="P214">
    <cfRule type="cellIs" dxfId="16140" priority="25100" operator="between">
      <formula>0.76</formula>
      <formula>0.95</formula>
    </cfRule>
    <cfRule type="cellIs" dxfId="16139" priority="25101" operator="between">
      <formula>0.51</formula>
      <formula>0.75</formula>
    </cfRule>
    <cfRule type="cellIs" dxfId="16138" priority="25102" operator="greaterThan">
      <formula>1</formula>
    </cfRule>
    <cfRule type="cellIs" dxfId="16137" priority="25103" operator="between">
      <formula>0.95</formula>
      <formula>1</formula>
    </cfRule>
    <cfRule type="cellIs" dxfId="16136" priority="25104" stopIfTrue="1" operator="between">
      <formula>0</formula>
      <formula>0.5</formula>
    </cfRule>
  </conditionalFormatting>
  <conditionalFormatting sqref="P215">
    <cfRule type="cellIs" dxfId="16135" priority="25095" operator="between">
      <formula>0.76</formula>
      <formula>0.95</formula>
    </cfRule>
    <cfRule type="cellIs" dxfId="16134" priority="25096" operator="between">
      <formula>0.51</formula>
      <formula>0.75</formula>
    </cfRule>
    <cfRule type="cellIs" dxfId="16133" priority="25097" operator="greaterThan">
      <formula>1</formula>
    </cfRule>
    <cfRule type="cellIs" dxfId="16132" priority="25098" operator="between">
      <formula>0.95</formula>
      <formula>1</formula>
    </cfRule>
    <cfRule type="cellIs" dxfId="16131" priority="25099" stopIfTrue="1" operator="between">
      <formula>0</formula>
      <formula>0.5</formula>
    </cfRule>
  </conditionalFormatting>
  <conditionalFormatting sqref="P216">
    <cfRule type="cellIs" dxfId="16130" priority="25090" operator="between">
      <formula>0.76</formula>
      <formula>0.95</formula>
    </cfRule>
    <cfRule type="cellIs" dxfId="16129" priority="25091" operator="between">
      <formula>0.51</formula>
      <formula>0.75</formula>
    </cfRule>
    <cfRule type="cellIs" dxfId="16128" priority="25092" operator="greaterThan">
      <formula>1</formula>
    </cfRule>
    <cfRule type="cellIs" dxfId="16127" priority="25093" operator="between">
      <formula>0.95</formula>
      <formula>1</formula>
    </cfRule>
    <cfRule type="cellIs" dxfId="16126" priority="25094" stopIfTrue="1" operator="between">
      <formula>0</formula>
      <formula>0.5</formula>
    </cfRule>
  </conditionalFormatting>
  <conditionalFormatting sqref="P217">
    <cfRule type="cellIs" dxfId="16125" priority="25085" operator="between">
      <formula>0.76</formula>
      <formula>0.95</formula>
    </cfRule>
    <cfRule type="cellIs" dxfId="16124" priority="25086" operator="between">
      <formula>0.51</formula>
      <formula>0.75</formula>
    </cfRule>
    <cfRule type="cellIs" dxfId="16123" priority="25087" operator="greaterThan">
      <formula>1</formula>
    </cfRule>
    <cfRule type="cellIs" dxfId="16122" priority="25088" operator="between">
      <formula>0.95</formula>
      <formula>1</formula>
    </cfRule>
    <cfRule type="cellIs" dxfId="16121" priority="25089" stopIfTrue="1" operator="between">
      <formula>0</formula>
      <formula>0.5</formula>
    </cfRule>
  </conditionalFormatting>
  <conditionalFormatting sqref="P218">
    <cfRule type="cellIs" dxfId="16120" priority="25080" operator="between">
      <formula>0.76</formula>
      <formula>0.95</formula>
    </cfRule>
    <cfRule type="cellIs" dxfId="16119" priority="25081" operator="between">
      <formula>0.51</formula>
      <formula>0.75</formula>
    </cfRule>
    <cfRule type="cellIs" dxfId="16118" priority="25082" operator="greaterThan">
      <formula>1</formula>
    </cfRule>
    <cfRule type="cellIs" dxfId="16117" priority="25083" operator="between">
      <formula>0.95</formula>
      <formula>1</formula>
    </cfRule>
    <cfRule type="cellIs" dxfId="16116" priority="25084" stopIfTrue="1" operator="between">
      <formula>0</formula>
      <formula>0.5</formula>
    </cfRule>
  </conditionalFormatting>
  <conditionalFormatting sqref="P219">
    <cfRule type="cellIs" dxfId="16115" priority="25075" operator="between">
      <formula>0.76</formula>
      <formula>0.95</formula>
    </cfRule>
    <cfRule type="cellIs" dxfId="16114" priority="25076" operator="between">
      <formula>0.51</formula>
      <formula>0.75</formula>
    </cfRule>
    <cfRule type="cellIs" dxfId="16113" priority="25077" operator="greaterThan">
      <formula>1</formula>
    </cfRule>
    <cfRule type="cellIs" dxfId="16112" priority="25078" operator="between">
      <formula>0.95</formula>
      <formula>1</formula>
    </cfRule>
    <cfRule type="cellIs" dxfId="16111" priority="25079" stopIfTrue="1" operator="between">
      <formula>0</formula>
      <formula>0.5</formula>
    </cfRule>
  </conditionalFormatting>
  <conditionalFormatting sqref="P220">
    <cfRule type="cellIs" dxfId="16110" priority="25070" operator="between">
      <formula>0.76</formula>
      <formula>0.95</formula>
    </cfRule>
    <cfRule type="cellIs" dxfId="16109" priority="25071" operator="between">
      <formula>0.51</formula>
      <formula>0.75</formula>
    </cfRule>
    <cfRule type="cellIs" dxfId="16108" priority="25072" operator="greaterThan">
      <formula>1</formula>
    </cfRule>
    <cfRule type="cellIs" dxfId="16107" priority="25073" operator="between">
      <formula>0.95</formula>
      <formula>1</formula>
    </cfRule>
    <cfRule type="cellIs" dxfId="16106" priority="25074" stopIfTrue="1" operator="between">
      <formula>0</formula>
      <formula>0.5</formula>
    </cfRule>
  </conditionalFormatting>
  <conditionalFormatting sqref="P221">
    <cfRule type="cellIs" dxfId="16105" priority="25065" operator="between">
      <formula>0.76</formula>
      <formula>0.95</formula>
    </cfRule>
    <cfRule type="cellIs" dxfId="16104" priority="25066" operator="between">
      <formula>0.51</formula>
      <formula>0.75</formula>
    </cfRule>
    <cfRule type="cellIs" dxfId="16103" priority="25067" operator="greaterThan">
      <formula>1</formula>
    </cfRule>
    <cfRule type="cellIs" dxfId="16102" priority="25068" operator="between">
      <formula>0.95</formula>
      <formula>1</formula>
    </cfRule>
    <cfRule type="cellIs" dxfId="16101" priority="25069" stopIfTrue="1" operator="between">
      <formula>0</formula>
      <formula>0.5</formula>
    </cfRule>
  </conditionalFormatting>
  <conditionalFormatting sqref="P222">
    <cfRule type="cellIs" dxfId="16100" priority="25060" operator="between">
      <formula>0.76</formula>
      <formula>0.95</formula>
    </cfRule>
    <cfRule type="cellIs" dxfId="16099" priority="25061" operator="between">
      <formula>0.51</formula>
      <formula>0.75</formula>
    </cfRule>
    <cfRule type="cellIs" dxfId="16098" priority="25062" operator="greaterThan">
      <formula>1</formula>
    </cfRule>
    <cfRule type="cellIs" dxfId="16097" priority="25063" operator="between">
      <formula>0.95</formula>
      <formula>1</formula>
    </cfRule>
    <cfRule type="cellIs" dxfId="16096" priority="25064" stopIfTrue="1" operator="between">
      <formula>0</formula>
      <formula>0.5</formula>
    </cfRule>
  </conditionalFormatting>
  <conditionalFormatting sqref="P223">
    <cfRule type="cellIs" dxfId="16095" priority="25055" operator="between">
      <formula>0.76</formula>
      <formula>0.95</formula>
    </cfRule>
    <cfRule type="cellIs" dxfId="16094" priority="25056" operator="between">
      <formula>0.51</formula>
      <formula>0.75</formula>
    </cfRule>
    <cfRule type="cellIs" dxfId="16093" priority="25057" operator="greaterThan">
      <formula>1</formula>
    </cfRule>
    <cfRule type="cellIs" dxfId="16092" priority="25058" operator="between">
      <formula>0.95</formula>
      <formula>1</formula>
    </cfRule>
    <cfRule type="cellIs" dxfId="16091" priority="25059" stopIfTrue="1" operator="between">
      <formula>0</formula>
      <formula>0.5</formula>
    </cfRule>
  </conditionalFormatting>
  <conditionalFormatting sqref="P224">
    <cfRule type="cellIs" dxfId="16090" priority="25050" operator="between">
      <formula>0.76</formula>
      <formula>0.95</formula>
    </cfRule>
    <cfRule type="cellIs" dxfId="16089" priority="25051" operator="between">
      <formula>0.51</formula>
      <formula>0.75</formula>
    </cfRule>
    <cfRule type="cellIs" dxfId="16088" priority="25052" operator="greaterThan">
      <formula>1</formula>
    </cfRule>
    <cfRule type="cellIs" dxfId="16087" priority="25053" operator="between">
      <formula>0.95</formula>
      <formula>1</formula>
    </cfRule>
    <cfRule type="cellIs" dxfId="16086" priority="25054" stopIfTrue="1" operator="between">
      <formula>0</formula>
      <formula>0.5</formula>
    </cfRule>
  </conditionalFormatting>
  <conditionalFormatting sqref="P225">
    <cfRule type="cellIs" dxfId="16085" priority="25045" operator="between">
      <formula>0.76</formula>
      <formula>0.95</formula>
    </cfRule>
    <cfRule type="cellIs" dxfId="16084" priority="25046" operator="between">
      <formula>0.51</formula>
      <formula>0.75</formula>
    </cfRule>
    <cfRule type="cellIs" dxfId="16083" priority="25047" operator="greaterThan">
      <formula>1</formula>
    </cfRule>
    <cfRule type="cellIs" dxfId="16082" priority="25048" operator="between">
      <formula>0.95</formula>
      <formula>1</formula>
    </cfRule>
    <cfRule type="cellIs" dxfId="16081" priority="25049" stopIfTrue="1" operator="between">
      <formula>0</formula>
      <formula>0.5</formula>
    </cfRule>
  </conditionalFormatting>
  <conditionalFormatting sqref="P226">
    <cfRule type="cellIs" dxfId="16080" priority="25040" operator="between">
      <formula>0.76</formula>
      <formula>0.95</formula>
    </cfRule>
    <cfRule type="cellIs" dxfId="16079" priority="25041" operator="between">
      <formula>0.51</formula>
      <formula>0.75</formula>
    </cfRule>
    <cfRule type="cellIs" dxfId="16078" priority="25042" operator="greaterThan">
      <formula>1</formula>
    </cfRule>
    <cfRule type="cellIs" dxfId="16077" priority="25043" operator="between">
      <formula>0.95</formula>
      <formula>1</formula>
    </cfRule>
    <cfRule type="cellIs" dxfId="16076" priority="25044" stopIfTrue="1" operator="between">
      <formula>0</formula>
      <formula>0.5</formula>
    </cfRule>
  </conditionalFormatting>
  <conditionalFormatting sqref="P227">
    <cfRule type="cellIs" dxfId="16075" priority="25035" operator="between">
      <formula>0.76</formula>
      <formula>0.95</formula>
    </cfRule>
    <cfRule type="cellIs" dxfId="16074" priority="25036" operator="between">
      <formula>0.51</formula>
      <formula>0.75</formula>
    </cfRule>
    <cfRule type="cellIs" dxfId="16073" priority="25037" operator="greaterThan">
      <formula>1</formula>
    </cfRule>
    <cfRule type="cellIs" dxfId="16072" priority="25038" operator="between">
      <formula>0.95</formula>
      <formula>1</formula>
    </cfRule>
    <cfRule type="cellIs" dxfId="16071" priority="25039" stopIfTrue="1" operator="between">
      <formula>0</formula>
      <formula>0.5</formula>
    </cfRule>
  </conditionalFormatting>
  <conditionalFormatting sqref="P228">
    <cfRule type="cellIs" dxfId="16070" priority="25030" operator="between">
      <formula>0.76</formula>
      <formula>0.95</formula>
    </cfRule>
    <cfRule type="cellIs" dxfId="16069" priority="25031" operator="between">
      <formula>0.51</formula>
      <formula>0.75</formula>
    </cfRule>
    <cfRule type="cellIs" dxfId="16068" priority="25032" operator="greaterThan">
      <formula>1</formula>
    </cfRule>
    <cfRule type="cellIs" dxfId="16067" priority="25033" operator="between">
      <formula>0.95</formula>
      <formula>1</formula>
    </cfRule>
    <cfRule type="cellIs" dxfId="16066" priority="25034" stopIfTrue="1" operator="between">
      <formula>0</formula>
      <formula>0.5</formula>
    </cfRule>
  </conditionalFormatting>
  <conditionalFormatting sqref="P229">
    <cfRule type="cellIs" dxfId="16065" priority="25025" operator="between">
      <formula>0.76</formula>
      <formula>0.95</formula>
    </cfRule>
    <cfRule type="cellIs" dxfId="16064" priority="25026" operator="between">
      <formula>0.51</formula>
      <formula>0.75</formula>
    </cfRule>
    <cfRule type="cellIs" dxfId="16063" priority="25027" operator="greaterThan">
      <formula>1</formula>
    </cfRule>
    <cfRule type="cellIs" dxfId="16062" priority="25028" operator="between">
      <formula>0.95</formula>
      <formula>1</formula>
    </cfRule>
    <cfRule type="cellIs" dxfId="16061" priority="25029" stopIfTrue="1" operator="between">
      <formula>0</formula>
      <formula>0.5</formula>
    </cfRule>
  </conditionalFormatting>
  <conditionalFormatting sqref="P230">
    <cfRule type="cellIs" dxfId="16060" priority="25020" operator="between">
      <formula>0.76</formula>
      <formula>0.95</formula>
    </cfRule>
    <cfRule type="cellIs" dxfId="16059" priority="25021" operator="between">
      <formula>0.51</formula>
      <formula>0.75</formula>
    </cfRule>
    <cfRule type="cellIs" dxfId="16058" priority="25022" operator="greaterThan">
      <formula>1</formula>
    </cfRule>
    <cfRule type="cellIs" dxfId="16057" priority="25023" operator="between">
      <formula>0.95</formula>
      <formula>1</formula>
    </cfRule>
    <cfRule type="cellIs" dxfId="16056" priority="25024" stopIfTrue="1" operator="between">
      <formula>0</formula>
      <formula>0.5</formula>
    </cfRule>
  </conditionalFormatting>
  <conditionalFormatting sqref="P231">
    <cfRule type="cellIs" dxfId="16055" priority="25015" operator="between">
      <formula>0.76</formula>
      <formula>0.95</formula>
    </cfRule>
    <cfRule type="cellIs" dxfId="16054" priority="25016" operator="between">
      <formula>0.51</formula>
      <formula>0.75</formula>
    </cfRule>
    <cfRule type="cellIs" dxfId="16053" priority="25017" operator="greaterThan">
      <formula>1</formula>
    </cfRule>
    <cfRule type="cellIs" dxfId="16052" priority="25018" operator="between">
      <formula>0.95</formula>
      <formula>1</formula>
    </cfRule>
    <cfRule type="cellIs" dxfId="16051" priority="25019" stopIfTrue="1" operator="between">
      <formula>0</formula>
      <formula>0.5</formula>
    </cfRule>
  </conditionalFormatting>
  <conditionalFormatting sqref="P232">
    <cfRule type="cellIs" dxfId="16050" priority="25010" operator="between">
      <formula>0.76</formula>
      <formula>0.95</formula>
    </cfRule>
    <cfRule type="cellIs" dxfId="16049" priority="25011" operator="between">
      <formula>0.51</formula>
      <formula>0.75</formula>
    </cfRule>
    <cfRule type="cellIs" dxfId="16048" priority="25012" operator="greaterThan">
      <formula>1</formula>
    </cfRule>
    <cfRule type="cellIs" dxfId="16047" priority="25013" operator="between">
      <formula>0.95</formula>
      <formula>1</formula>
    </cfRule>
    <cfRule type="cellIs" dxfId="16046" priority="25014" stopIfTrue="1" operator="between">
      <formula>0</formula>
      <formula>0.5</formula>
    </cfRule>
  </conditionalFormatting>
  <conditionalFormatting sqref="P233">
    <cfRule type="cellIs" dxfId="16045" priority="25005" operator="between">
      <formula>0.76</formula>
      <formula>0.95</formula>
    </cfRule>
    <cfRule type="cellIs" dxfId="16044" priority="25006" operator="between">
      <formula>0.51</formula>
      <formula>0.75</formula>
    </cfRule>
    <cfRule type="cellIs" dxfId="16043" priority="25007" operator="greaterThan">
      <formula>1</formula>
    </cfRule>
    <cfRule type="cellIs" dxfId="16042" priority="25008" operator="between">
      <formula>0.95</formula>
      <formula>1</formula>
    </cfRule>
    <cfRule type="cellIs" dxfId="16041" priority="25009" stopIfTrue="1" operator="between">
      <formula>0</formula>
      <formula>0.5</formula>
    </cfRule>
  </conditionalFormatting>
  <conditionalFormatting sqref="P234">
    <cfRule type="cellIs" dxfId="16040" priority="25000" operator="between">
      <formula>0.76</formula>
      <formula>0.95</formula>
    </cfRule>
    <cfRule type="cellIs" dxfId="16039" priority="25001" operator="between">
      <formula>0.51</formula>
      <formula>0.75</formula>
    </cfRule>
    <cfRule type="cellIs" dxfId="16038" priority="25002" operator="greaterThan">
      <formula>1</formula>
    </cfRule>
    <cfRule type="cellIs" dxfId="16037" priority="25003" operator="between">
      <formula>0.95</formula>
      <formula>1</formula>
    </cfRule>
    <cfRule type="cellIs" dxfId="16036" priority="25004" stopIfTrue="1" operator="between">
      <formula>0</formula>
      <formula>0.5</formula>
    </cfRule>
  </conditionalFormatting>
  <conditionalFormatting sqref="P235">
    <cfRule type="cellIs" dxfId="16035" priority="24995" operator="between">
      <formula>0.76</formula>
      <formula>0.95</formula>
    </cfRule>
    <cfRule type="cellIs" dxfId="16034" priority="24996" operator="between">
      <formula>0.51</formula>
      <formula>0.75</formula>
    </cfRule>
    <cfRule type="cellIs" dxfId="16033" priority="24997" operator="greaterThan">
      <formula>1</formula>
    </cfRule>
    <cfRule type="cellIs" dxfId="16032" priority="24998" operator="between">
      <formula>0.95</formula>
      <formula>1</formula>
    </cfRule>
    <cfRule type="cellIs" dxfId="16031" priority="24999" stopIfTrue="1" operator="between">
      <formula>0</formula>
      <formula>0.5</formula>
    </cfRule>
  </conditionalFormatting>
  <conditionalFormatting sqref="P236">
    <cfRule type="cellIs" dxfId="16030" priority="24990" operator="between">
      <formula>0.76</formula>
      <formula>0.95</formula>
    </cfRule>
    <cfRule type="cellIs" dxfId="16029" priority="24991" operator="between">
      <formula>0.51</formula>
      <formula>0.75</formula>
    </cfRule>
    <cfRule type="cellIs" dxfId="16028" priority="24992" operator="greaterThan">
      <formula>1</formula>
    </cfRule>
    <cfRule type="cellIs" dxfId="16027" priority="24993" operator="between">
      <formula>0.95</formula>
      <formula>1</formula>
    </cfRule>
    <cfRule type="cellIs" dxfId="16026" priority="24994" stopIfTrue="1" operator="between">
      <formula>0</formula>
      <formula>0.5</formula>
    </cfRule>
  </conditionalFormatting>
  <conditionalFormatting sqref="P237">
    <cfRule type="cellIs" dxfId="16025" priority="24985" operator="between">
      <formula>0.76</formula>
      <formula>0.95</formula>
    </cfRule>
    <cfRule type="cellIs" dxfId="16024" priority="24986" operator="between">
      <formula>0.51</formula>
      <formula>0.75</formula>
    </cfRule>
    <cfRule type="cellIs" dxfId="16023" priority="24987" operator="greaterThan">
      <formula>1</formula>
    </cfRule>
    <cfRule type="cellIs" dxfId="16022" priority="24988" operator="between">
      <formula>0.95</formula>
      <formula>1</formula>
    </cfRule>
    <cfRule type="cellIs" dxfId="16021" priority="24989" stopIfTrue="1" operator="between">
      <formula>0</formula>
      <formula>0.5</formula>
    </cfRule>
  </conditionalFormatting>
  <conditionalFormatting sqref="P238">
    <cfRule type="cellIs" dxfId="16020" priority="24980" operator="between">
      <formula>0.76</formula>
      <formula>0.95</formula>
    </cfRule>
    <cfRule type="cellIs" dxfId="16019" priority="24981" operator="between">
      <formula>0.51</formula>
      <formula>0.75</formula>
    </cfRule>
    <cfRule type="cellIs" dxfId="16018" priority="24982" operator="greaterThan">
      <formula>1</formula>
    </cfRule>
    <cfRule type="cellIs" dxfId="16017" priority="24983" operator="between">
      <formula>0.95</formula>
      <formula>1</formula>
    </cfRule>
    <cfRule type="cellIs" dxfId="16016" priority="24984" stopIfTrue="1" operator="between">
      <formula>0</formula>
      <formula>0.5</formula>
    </cfRule>
  </conditionalFormatting>
  <conditionalFormatting sqref="P239">
    <cfRule type="cellIs" dxfId="16015" priority="24975" operator="between">
      <formula>0.76</formula>
      <formula>0.95</formula>
    </cfRule>
    <cfRule type="cellIs" dxfId="16014" priority="24976" operator="between">
      <formula>0.51</formula>
      <formula>0.75</formula>
    </cfRule>
    <cfRule type="cellIs" dxfId="16013" priority="24977" operator="greaterThan">
      <formula>1</formula>
    </cfRule>
    <cfRule type="cellIs" dxfId="16012" priority="24978" operator="between">
      <formula>0.95</formula>
      <formula>1</formula>
    </cfRule>
    <cfRule type="cellIs" dxfId="16011" priority="24979" stopIfTrue="1" operator="between">
      <formula>0</formula>
      <formula>0.5</formula>
    </cfRule>
  </conditionalFormatting>
  <conditionalFormatting sqref="P240">
    <cfRule type="cellIs" dxfId="16010" priority="24970" operator="between">
      <formula>0.76</formula>
      <formula>0.95</formula>
    </cfRule>
    <cfRule type="cellIs" dxfId="16009" priority="24971" operator="between">
      <formula>0.51</formula>
      <formula>0.75</formula>
    </cfRule>
    <cfRule type="cellIs" dxfId="16008" priority="24972" operator="greaterThan">
      <formula>1</formula>
    </cfRule>
    <cfRule type="cellIs" dxfId="16007" priority="24973" operator="between">
      <formula>0.95</formula>
      <formula>1</formula>
    </cfRule>
    <cfRule type="cellIs" dxfId="16006" priority="24974" stopIfTrue="1" operator="between">
      <formula>0</formula>
      <formula>0.5</formula>
    </cfRule>
  </conditionalFormatting>
  <conditionalFormatting sqref="P244">
    <cfRule type="cellIs" dxfId="16005" priority="24965" operator="between">
      <formula>0.76</formula>
      <formula>0.95</formula>
    </cfRule>
    <cfRule type="cellIs" dxfId="16004" priority="24966" operator="between">
      <formula>0.51</formula>
      <formula>0.75</formula>
    </cfRule>
    <cfRule type="cellIs" dxfId="16003" priority="24967" operator="greaterThan">
      <formula>1</formula>
    </cfRule>
    <cfRule type="cellIs" dxfId="16002" priority="24968" operator="between">
      <formula>0.95</formula>
      <formula>1</formula>
    </cfRule>
    <cfRule type="cellIs" dxfId="16001" priority="24969" stopIfTrue="1" operator="between">
      <formula>0</formula>
      <formula>0.5</formula>
    </cfRule>
  </conditionalFormatting>
  <conditionalFormatting sqref="P243">
    <cfRule type="cellIs" dxfId="16000" priority="24960" operator="between">
      <formula>0.76</formula>
      <formula>0.95</formula>
    </cfRule>
    <cfRule type="cellIs" dxfId="15999" priority="24961" operator="between">
      <formula>0.51</formula>
      <formula>0.75</formula>
    </cfRule>
    <cfRule type="cellIs" dxfId="15998" priority="24962" operator="greaterThan">
      <formula>1</formula>
    </cfRule>
    <cfRule type="cellIs" dxfId="15997" priority="24963" operator="between">
      <formula>0.95</formula>
      <formula>1</formula>
    </cfRule>
    <cfRule type="cellIs" dxfId="15996" priority="24964" stopIfTrue="1" operator="between">
      <formula>0</formula>
      <formula>0.5</formula>
    </cfRule>
  </conditionalFormatting>
  <conditionalFormatting sqref="P247">
    <cfRule type="cellIs" dxfId="15995" priority="24955" operator="between">
      <formula>0.76</formula>
      <formula>0.95</formula>
    </cfRule>
    <cfRule type="cellIs" dxfId="15994" priority="24956" operator="between">
      <formula>0.51</formula>
      <formula>0.75</formula>
    </cfRule>
    <cfRule type="cellIs" dxfId="15993" priority="24957" operator="greaterThan">
      <formula>1</formula>
    </cfRule>
    <cfRule type="cellIs" dxfId="15992" priority="24958" operator="between">
      <formula>0.95</formula>
      <formula>1</formula>
    </cfRule>
    <cfRule type="cellIs" dxfId="15991" priority="24959" stopIfTrue="1" operator="between">
      <formula>0</formula>
      <formula>0.5</formula>
    </cfRule>
  </conditionalFormatting>
  <conditionalFormatting sqref="P248">
    <cfRule type="cellIs" dxfId="15990" priority="24950" operator="between">
      <formula>0.76</formula>
      <formula>0.95</formula>
    </cfRule>
    <cfRule type="cellIs" dxfId="15989" priority="24951" operator="between">
      <formula>0.51</formula>
      <formula>0.75</formula>
    </cfRule>
    <cfRule type="cellIs" dxfId="15988" priority="24952" operator="greaterThan">
      <formula>1</formula>
    </cfRule>
    <cfRule type="cellIs" dxfId="15987" priority="24953" operator="between">
      <formula>0.95</formula>
      <formula>1</formula>
    </cfRule>
    <cfRule type="cellIs" dxfId="15986" priority="24954" stopIfTrue="1" operator="between">
      <formula>0</formula>
      <formula>0.5</formula>
    </cfRule>
  </conditionalFormatting>
  <conditionalFormatting sqref="P252">
    <cfRule type="cellIs" dxfId="15985" priority="24945" operator="between">
      <formula>0.76</formula>
      <formula>0.95</formula>
    </cfRule>
    <cfRule type="cellIs" dxfId="15984" priority="24946" operator="between">
      <formula>0.51</formula>
      <formula>0.75</formula>
    </cfRule>
    <cfRule type="cellIs" dxfId="15983" priority="24947" operator="greaterThan">
      <formula>1</formula>
    </cfRule>
    <cfRule type="cellIs" dxfId="15982" priority="24948" operator="between">
      <formula>0.95</formula>
      <formula>1</formula>
    </cfRule>
    <cfRule type="cellIs" dxfId="15981" priority="24949" stopIfTrue="1" operator="between">
      <formula>0</formula>
      <formula>0.5</formula>
    </cfRule>
  </conditionalFormatting>
  <conditionalFormatting sqref="P251">
    <cfRule type="cellIs" dxfId="15980" priority="24940" operator="between">
      <formula>0.76</formula>
      <formula>0.95</formula>
    </cfRule>
    <cfRule type="cellIs" dxfId="15979" priority="24941" operator="between">
      <formula>0.51</formula>
      <formula>0.75</formula>
    </cfRule>
    <cfRule type="cellIs" dxfId="15978" priority="24942" operator="greaterThan">
      <formula>1</formula>
    </cfRule>
    <cfRule type="cellIs" dxfId="15977" priority="24943" operator="between">
      <formula>0.95</formula>
      <formula>1</formula>
    </cfRule>
    <cfRule type="cellIs" dxfId="15976" priority="24944" stopIfTrue="1" operator="between">
      <formula>0</formula>
      <formula>0.5</formula>
    </cfRule>
  </conditionalFormatting>
  <conditionalFormatting sqref="P257">
    <cfRule type="cellIs" dxfId="15975" priority="24935" operator="between">
      <formula>0.76</formula>
      <formula>0.95</formula>
    </cfRule>
    <cfRule type="cellIs" dxfId="15974" priority="24936" operator="between">
      <formula>0.51</formula>
      <formula>0.75</formula>
    </cfRule>
    <cfRule type="cellIs" dxfId="15973" priority="24937" operator="greaterThan">
      <formula>1</formula>
    </cfRule>
    <cfRule type="cellIs" dxfId="15972" priority="24938" operator="between">
      <formula>0.95</formula>
      <formula>1</formula>
    </cfRule>
    <cfRule type="cellIs" dxfId="15971" priority="24939" stopIfTrue="1" operator="between">
      <formula>0</formula>
      <formula>0.5</formula>
    </cfRule>
  </conditionalFormatting>
  <conditionalFormatting sqref="P258">
    <cfRule type="cellIs" dxfId="15970" priority="24930" operator="between">
      <formula>0.76</formula>
      <formula>0.95</formula>
    </cfRule>
    <cfRule type="cellIs" dxfId="15969" priority="24931" operator="between">
      <formula>0.51</formula>
      <formula>0.75</formula>
    </cfRule>
    <cfRule type="cellIs" dxfId="15968" priority="24932" operator="greaterThan">
      <formula>1</formula>
    </cfRule>
    <cfRule type="cellIs" dxfId="15967" priority="24933" operator="between">
      <formula>0.95</formula>
      <formula>1</formula>
    </cfRule>
    <cfRule type="cellIs" dxfId="15966" priority="24934" stopIfTrue="1" operator="between">
      <formula>0</formula>
      <formula>0.5</formula>
    </cfRule>
  </conditionalFormatting>
  <conditionalFormatting sqref="P259">
    <cfRule type="cellIs" dxfId="15965" priority="24925" operator="between">
      <formula>0.76</formula>
      <formula>0.95</formula>
    </cfRule>
    <cfRule type="cellIs" dxfId="15964" priority="24926" operator="between">
      <formula>0.51</formula>
      <formula>0.75</formula>
    </cfRule>
    <cfRule type="cellIs" dxfId="15963" priority="24927" operator="greaterThan">
      <formula>1</formula>
    </cfRule>
    <cfRule type="cellIs" dxfId="15962" priority="24928" operator="between">
      <formula>0.95</formula>
      <formula>1</formula>
    </cfRule>
    <cfRule type="cellIs" dxfId="15961" priority="24929" stopIfTrue="1" operator="between">
      <formula>0</formula>
      <formula>0.5</formula>
    </cfRule>
  </conditionalFormatting>
  <conditionalFormatting sqref="P260">
    <cfRule type="cellIs" dxfId="15960" priority="24920" operator="between">
      <formula>0.76</formula>
      <formula>0.95</formula>
    </cfRule>
    <cfRule type="cellIs" dxfId="15959" priority="24921" operator="between">
      <formula>0.51</formula>
      <formula>0.75</formula>
    </cfRule>
    <cfRule type="cellIs" dxfId="15958" priority="24922" operator="greaterThan">
      <formula>1</formula>
    </cfRule>
    <cfRule type="cellIs" dxfId="15957" priority="24923" operator="between">
      <formula>0.95</formula>
      <formula>1</formula>
    </cfRule>
    <cfRule type="cellIs" dxfId="15956" priority="24924" stopIfTrue="1" operator="between">
      <formula>0</formula>
      <formula>0.5</formula>
    </cfRule>
  </conditionalFormatting>
  <conditionalFormatting sqref="P261">
    <cfRule type="cellIs" dxfId="15955" priority="24915" operator="between">
      <formula>0.76</formula>
      <formula>0.95</formula>
    </cfRule>
    <cfRule type="cellIs" dxfId="15954" priority="24916" operator="between">
      <formula>0.51</formula>
      <formula>0.75</formula>
    </cfRule>
    <cfRule type="cellIs" dxfId="15953" priority="24917" operator="greaterThan">
      <formula>1</formula>
    </cfRule>
    <cfRule type="cellIs" dxfId="15952" priority="24918" operator="between">
      <formula>0.95</formula>
      <formula>1</formula>
    </cfRule>
    <cfRule type="cellIs" dxfId="15951" priority="24919" stopIfTrue="1" operator="between">
      <formula>0</formula>
      <formula>0.5</formula>
    </cfRule>
  </conditionalFormatting>
  <conditionalFormatting sqref="P262">
    <cfRule type="cellIs" dxfId="15950" priority="24910" operator="between">
      <formula>0.76</formula>
      <formula>0.95</formula>
    </cfRule>
    <cfRule type="cellIs" dxfId="15949" priority="24911" operator="between">
      <formula>0.51</formula>
      <formula>0.75</formula>
    </cfRule>
    <cfRule type="cellIs" dxfId="15948" priority="24912" operator="greaterThan">
      <formula>1</formula>
    </cfRule>
    <cfRule type="cellIs" dxfId="15947" priority="24913" operator="between">
      <formula>0.95</formula>
      <formula>1</formula>
    </cfRule>
    <cfRule type="cellIs" dxfId="15946" priority="24914" stopIfTrue="1" operator="between">
      <formula>0</formula>
      <formula>0.5</formula>
    </cfRule>
  </conditionalFormatting>
  <conditionalFormatting sqref="P277">
    <cfRule type="cellIs" dxfId="15945" priority="24905" operator="between">
      <formula>0.76</formula>
      <formula>0.95</formula>
    </cfRule>
    <cfRule type="cellIs" dxfId="15944" priority="24906" operator="between">
      <formula>0.51</formula>
      <formula>0.75</formula>
    </cfRule>
    <cfRule type="cellIs" dxfId="15943" priority="24907" operator="greaterThan">
      <formula>1</formula>
    </cfRule>
    <cfRule type="cellIs" dxfId="15942" priority="24908" operator="between">
      <formula>0.95</formula>
      <formula>1</formula>
    </cfRule>
    <cfRule type="cellIs" dxfId="15941" priority="24909" stopIfTrue="1" operator="between">
      <formula>0</formula>
      <formula>0.5</formula>
    </cfRule>
  </conditionalFormatting>
  <conditionalFormatting sqref="P278">
    <cfRule type="cellIs" dxfId="15940" priority="24900" operator="between">
      <formula>0.76</formula>
      <formula>0.95</formula>
    </cfRule>
    <cfRule type="cellIs" dxfId="15939" priority="24901" operator="between">
      <formula>0.51</formula>
      <formula>0.75</formula>
    </cfRule>
    <cfRule type="cellIs" dxfId="15938" priority="24902" operator="greaterThan">
      <formula>1</formula>
    </cfRule>
    <cfRule type="cellIs" dxfId="15937" priority="24903" operator="between">
      <formula>0.95</formula>
      <formula>1</formula>
    </cfRule>
    <cfRule type="cellIs" dxfId="15936" priority="24904" stopIfTrue="1" operator="between">
      <formula>0</formula>
      <formula>0.5</formula>
    </cfRule>
  </conditionalFormatting>
  <conditionalFormatting sqref="P279">
    <cfRule type="cellIs" dxfId="15935" priority="24895" operator="between">
      <formula>0.76</formula>
      <formula>0.95</formula>
    </cfRule>
    <cfRule type="cellIs" dxfId="15934" priority="24896" operator="between">
      <formula>0.51</formula>
      <formula>0.75</formula>
    </cfRule>
    <cfRule type="cellIs" dxfId="15933" priority="24897" operator="greaterThan">
      <formula>1</formula>
    </cfRule>
    <cfRule type="cellIs" dxfId="15932" priority="24898" operator="between">
      <formula>0.95</formula>
      <formula>1</formula>
    </cfRule>
    <cfRule type="cellIs" dxfId="15931" priority="24899" stopIfTrue="1" operator="between">
      <formula>0</formula>
      <formula>0.5</formula>
    </cfRule>
  </conditionalFormatting>
  <conditionalFormatting sqref="P280">
    <cfRule type="cellIs" dxfId="15930" priority="24890" operator="between">
      <formula>0.76</formula>
      <formula>0.95</formula>
    </cfRule>
    <cfRule type="cellIs" dxfId="15929" priority="24891" operator="between">
      <formula>0.51</formula>
      <formula>0.75</formula>
    </cfRule>
    <cfRule type="cellIs" dxfId="15928" priority="24892" operator="greaterThan">
      <formula>1</formula>
    </cfRule>
    <cfRule type="cellIs" dxfId="15927" priority="24893" operator="between">
      <formula>0.95</formula>
      <formula>1</formula>
    </cfRule>
    <cfRule type="cellIs" dxfId="15926" priority="24894" stopIfTrue="1" operator="between">
      <formula>0</formula>
      <formula>0.5</formula>
    </cfRule>
  </conditionalFormatting>
  <conditionalFormatting sqref="P281">
    <cfRule type="cellIs" dxfId="15925" priority="24885" operator="between">
      <formula>0.76</formula>
      <formula>0.95</formula>
    </cfRule>
    <cfRule type="cellIs" dxfId="15924" priority="24886" operator="between">
      <formula>0.51</formula>
      <formula>0.75</formula>
    </cfRule>
    <cfRule type="cellIs" dxfId="15923" priority="24887" operator="greaterThan">
      <formula>1</formula>
    </cfRule>
    <cfRule type="cellIs" dxfId="15922" priority="24888" operator="between">
      <formula>0.95</formula>
      <formula>1</formula>
    </cfRule>
    <cfRule type="cellIs" dxfId="15921" priority="24889" stopIfTrue="1" operator="between">
      <formula>0</formula>
      <formula>0.5</formula>
    </cfRule>
  </conditionalFormatting>
  <conditionalFormatting sqref="P282">
    <cfRule type="cellIs" dxfId="15920" priority="24880" operator="between">
      <formula>0.76</formula>
      <formula>0.95</formula>
    </cfRule>
    <cfRule type="cellIs" dxfId="15919" priority="24881" operator="between">
      <formula>0.51</formula>
      <formula>0.75</formula>
    </cfRule>
    <cfRule type="cellIs" dxfId="15918" priority="24882" operator="greaterThan">
      <formula>1</formula>
    </cfRule>
    <cfRule type="cellIs" dxfId="15917" priority="24883" operator="between">
      <formula>0.95</formula>
      <formula>1</formula>
    </cfRule>
    <cfRule type="cellIs" dxfId="15916" priority="24884" stopIfTrue="1" operator="between">
      <formula>0</formula>
      <formula>0.5</formula>
    </cfRule>
  </conditionalFormatting>
  <conditionalFormatting sqref="P286">
    <cfRule type="cellIs" dxfId="15915" priority="24875" operator="between">
      <formula>0.76</formula>
      <formula>0.95</formula>
    </cfRule>
    <cfRule type="cellIs" dxfId="15914" priority="24876" operator="between">
      <formula>0.51</formula>
      <formula>0.75</formula>
    </cfRule>
    <cfRule type="cellIs" dxfId="15913" priority="24877" operator="greaterThan">
      <formula>1</formula>
    </cfRule>
    <cfRule type="cellIs" dxfId="15912" priority="24878" operator="between">
      <formula>0.95</formula>
      <formula>1</formula>
    </cfRule>
    <cfRule type="cellIs" dxfId="15911" priority="24879" stopIfTrue="1" operator="between">
      <formula>0</formula>
      <formula>0.5</formula>
    </cfRule>
  </conditionalFormatting>
  <conditionalFormatting sqref="P303">
    <cfRule type="cellIs" dxfId="15910" priority="24860" operator="between">
      <formula>0.76</formula>
      <formula>0.95</formula>
    </cfRule>
    <cfRule type="cellIs" dxfId="15909" priority="24861" operator="between">
      <formula>0.51</formula>
      <formula>0.75</formula>
    </cfRule>
    <cfRule type="cellIs" dxfId="15908" priority="24862" operator="greaterThan">
      <formula>1</formula>
    </cfRule>
    <cfRule type="cellIs" dxfId="15907" priority="24863" operator="between">
      <formula>0.95</formula>
      <formula>1</formula>
    </cfRule>
    <cfRule type="cellIs" dxfId="15906" priority="24864" stopIfTrue="1" operator="between">
      <formula>0</formula>
      <formula>0.5</formula>
    </cfRule>
  </conditionalFormatting>
  <conditionalFormatting sqref="P306">
    <cfRule type="cellIs" dxfId="15905" priority="24855" operator="between">
      <formula>0.76</formula>
      <formula>0.95</formula>
    </cfRule>
    <cfRule type="cellIs" dxfId="15904" priority="24856" operator="between">
      <formula>0.51</formula>
      <formula>0.75</formula>
    </cfRule>
    <cfRule type="cellIs" dxfId="15903" priority="24857" operator="greaterThan">
      <formula>1</formula>
    </cfRule>
    <cfRule type="cellIs" dxfId="15902" priority="24858" operator="between">
      <formula>0.95</formula>
      <formula>1</formula>
    </cfRule>
    <cfRule type="cellIs" dxfId="15901" priority="24859" stopIfTrue="1" operator="between">
      <formula>0</formula>
      <formula>0.5</formula>
    </cfRule>
  </conditionalFormatting>
  <conditionalFormatting sqref="P304">
    <cfRule type="cellIs" dxfId="15900" priority="24850" operator="between">
      <formula>0.76</formula>
      <formula>0.95</formula>
    </cfRule>
    <cfRule type="cellIs" dxfId="15899" priority="24851" operator="between">
      <formula>0.51</formula>
      <formula>0.75</formula>
    </cfRule>
    <cfRule type="cellIs" dxfId="15898" priority="24852" operator="greaterThan">
      <formula>1</formula>
    </cfRule>
    <cfRule type="cellIs" dxfId="15897" priority="24853" operator="between">
      <formula>0.95</formula>
      <formula>1</formula>
    </cfRule>
    <cfRule type="cellIs" dxfId="15896" priority="24854" stopIfTrue="1" operator="between">
      <formula>0</formula>
      <formula>0.5</formula>
    </cfRule>
  </conditionalFormatting>
  <conditionalFormatting sqref="P307">
    <cfRule type="cellIs" dxfId="15895" priority="24845" operator="between">
      <formula>0.76</formula>
      <formula>0.95</formula>
    </cfRule>
    <cfRule type="cellIs" dxfId="15894" priority="24846" operator="between">
      <formula>0.51</formula>
      <formula>0.75</formula>
    </cfRule>
    <cfRule type="cellIs" dxfId="15893" priority="24847" operator="greaterThan">
      <formula>1</formula>
    </cfRule>
    <cfRule type="cellIs" dxfId="15892" priority="24848" operator="between">
      <formula>0.95</formula>
      <formula>1</formula>
    </cfRule>
    <cfRule type="cellIs" dxfId="15891" priority="24849" stopIfTrue="1" operator="between">
      <formula>0</formula>
      <formula>0.5</formula>
    </cfRule>
  </conditionalFormatting>
  <conditionalFormatting sqref="P308">
    <cfRule type="cellIs" dxfId="15890" priority="24840" operator="between">
      <formula>0.76</formula>
      <formula>0.95</formula>
    </cfRule>
    <cfRule type="cellIs" dxfId="15889" priority="24841" operator="between">
      <formula>0.51</formula>
      <formula>0.75</formula>
    </cfRule>
    <cfRule type="cellIs" dxfId="15888" priority="24842" operator="greaterThan">
      <formula>1</formula>
    </cfRule>
    <cfRule type="cellIs" dxfId="15887" priority="24843" operator="between">
      <formula>0.95</formula>
      <formula>1</formula>
    </cfRule>
    <cfRule type="cellIs" dxfId="15886" priority="24844" stopIfTrue="1" operator="between">
      <formula>0</formula>
      <formula>0.5</formula>
    </cfRule>
  </conditionalFormatting>
  <conditionalFormatting sqref="P320">
    <cfRule type="cellIs" dxfId="15885" priority="24835" operator="between">
      <formula>0.76</formula>
      <formula>0.95</formula>
    </cfRule>
    <cfRule type="cellIs" dxfId="15884" priority="24836" operator="between">
      <formula>0.51</formula>
      <formula>0.75</formula>
    </cfRule>
    <cfRule type="cellIs" dxfId="15883" priority="24837" operator="greaterThan">
      <formula>1</formula>
    </cfRule>
    <cfRule type="cellIs" dxfId="15882" priority="24838" operator="between">
      <formula>0.95</formula>
      <formula>1</formula>
    </cfRule>
    <cfRule type="cellIs" dxfId="15881" priority="24839" stopIfTrue="1" operator="between">
      <formula>0</formula>
      <formula>0.5</formula>
    </cfRule>
  </conditionalFormatting>
  <conditionalFormatting sqref="P321">
    <cfRule type="cellIs" dxfId="15880" priority="24830" operator="between">
      <formula>0.76</formula>
      <formula>0.95</formula>
    </cfRule>
    <cfRule type="cellIs" dxfId="15879" priority="24831" operator="between">
      <formula>0.51</formula>
      <formula>0.75</formula>
    </cfRule>
    <cfRule type="cellIs" dxfId="15878" priority="24832" operator="greaterThan">
      <formula>1</formula>
    </cfRule>
    <cfRule type="cellIs" dxfId="15877" priority="24833" operator="between">
      <formula>0.95</formula>
      <formula>1</formula>
    </cfRule>
    <cfRule type="cellIs" dxfId="15876" priority="24834" stopIfTrue="1" operator="between">
      <formula>0</formula>
      <formula>0.5</formula>
    </cfRule>
  </conditionalFormatting>
  <conditionalFormatting sqref="P322">
    <cfRule type="cellIs" dxfId="15875" priority="24825" operator="between">
      <formula>0.76</formula>
      <formula>0.95</formula>
    </cfRule>
    <cfRule type="cellIs" dxfId="15874" priority="24826" operator="between">
      <formula>0.51</formula>
      <formula>0.75</formula>
    </cfRule>
    <cfRule type="cellIs" dxfId="15873" priority="24827" operator="greaterThan">
      <formula>1</formula>
    </cfRule>
    <cfRule type="cellIs" dxfId="15872" priority="24828" operator="between">
      <formula>0.95</formula>
      <formula>1</formula>
    </cfRule>
    <cfRule type="cellIs" dxfId="15871" priority="24829" stopIfTrue="1" operator="between">
      <formula>0</formula>
      <formula>0.5</formula>
    </cfRule>
  </conditionalFormatting>
  <conditionalFormatting sqref="P323">
    <cfRule type="cellIs" dxfId="15870" priority="24820" operator="between">
      <formula>0.76</formula>
      <formula>0.95</formula>
    </cfRule>
    <cfRule type="cellIs" dxfId="15869" priority="24821" operator="between">
      <formula>0.51</formula>
      <formula>0.75</formula>
    </cfRule>
    <cfRule type="cellIs" dxfId="15868" priority="24822" operator="greaterThan">
      <formula>1</formula>
    </cfRule>
    <cfRule type="cellIs" dxfId="15867" priority="24823" operator="between">
      <formula>0.95</formula>
      <formula>1</formula>
    </cfRule>
    <cfRule type="cellIs" dxfId="15866" priority="24824" stopIfTrue="1" operator="between">
      <formula>0</formula>
      <formula>0.5</formula>
    </cfRule>
  </conditionalFormatting>
  <conditionalFormatting sqref="P324">
    <cfRule type="cellIs" dxfId="15865" priority="24815" operator="between">
      <formula>0.76</formula>
      <formula>0.95</formula>
    </cfRule>
    <cfRule type="cellIs" dxfId="15864" priority="24816" operator="between">
      <formula>0.51</formula>
      <formula>0.75</formula>
    </cfRule>
    <cfRule type="cellIs" dxfId="15863" priority="24817" operator="greaterThan">
      <formula>1</formula>
    </cfRule>
    <cfRule type="cellIs" dxfId="15862" priority="24818" operator="between">
      <formula>0.95</formula>
      <formula>1</formula>
    </cfRule>
    <cfRule type="cellIs" dxfId="15861" priority="24819" stopIfTrue="1" operator="between">
      <formula>0</formula>
      <formula>0.5</formula>
    </cfRule>
  </conditionalFormatting>
  <conditionalFormatting sqref="P325">
    <cfRule type="cellIs" dxfId="15860" priority="24810" operator="between">
      <formula>0.76</formula>
      <formula>0.95</formula>
    </cfRule>
    <cfRule type="cellIs" dxfId="15859" priority="24811" operator="between">
      <formula>0.51</formula>
      <formula>0.75</formula>
    </cfRule>
    <cfRule type="cellIs" dxfId="15858" priority="24812" operator="greaterThan">
      <formula>1</formula>
    </cfRule>
    <cfRule type="cellIs" dxfId="15857" priority="24813" operator="between">
      <formula>0.95</formula>
      <formula>1</formula>
    </cfRule>
    <cfRule type="cellIs" dxfId="15856" priority="24814" stopIfTrue="1" operator="between">
      <formula>0</formula>
      <formula>0.5</formula>
    </cfRule>
  </conditionalFormatting>
  <conditionalFormatting sqref="P327">
    <cfRule type="cellIs" dxfId="15855" priority="24805" operator="between">
      <formula>0.76</formula>
      <formula>0.95</formula>
    </cfRule>
    <cfRule type="cellIs" dxfId="15854" priority="24806" operator="between">
      <formula>0.51</formula>
      <formula>0.75</formula>
    </cfRule>
    <cfRule type="cellIs" dxfId="15853" priority="24807" operator="greaterThan">
      <formula>1</formula>
    </cfRule>
    <cfRule type="cellIs" dxfId="15852" priority="24808" operator="between">
      <formula>0.95</formula>
      <formula>1</formula>
    </cfRule>
    <cfRule type="cellIs" dxfId="15851" priority="24809" stopIfTrue="1" operator="between">
      <formula>0</formula>
      <formula>0.5</formula>
    </cfRule>
  </conditionalFormatting>
  <conditionalFormatting sqref="P328">
    <cfRule type="cellIs" dxfId="15850" priority="24800" operator="between">
      <formula>0.76</formula>
      <formula>0.95</formula>
    </cfRule>
    <cfRule type="cellIs" dxfId="15849" priority="24801" operator="between">
      <formula>0.51</formula>
      <formula>0.75</formula>
    </cfRule>
    <cfRule type="cellIs" dxfId="15848" priority="24802" operator="greaterThan">
      <formula>1</formula>
    </cfRule>
    <cfRule type="cellIs" dxfId="15847" priority="24803" operator="between">
      <formula>0.95</formula>
      <formula>1</formula>
    </cfRule>
    <cfRule type="cellIs" dxfId="15846" priority="24804" stopIfTrue="1" operator="between">
      <formula>0</formula>
      <formula>0.5</formula>
    </cfRule>
  </conditionalFormatting>
  <conditionalFormatting sqref="P331">
    <cfRule type="cellIs" dxfId="15845" priority="24795" operator="between">
      <formula>0.76</formula>
      <formula>0.95</formula>
    </cfRule>
    <cfRule type="cellIs" dxfId="15844" priority="24796" operator="between">
      <formula>0.51</formula>
      <formula>0.75</formula>
    </cfRule>
    <cfRule type="cellIs" dxfId="15843" priority="24797" operator="greaterThan">
      <formula>1</formula>
    </cfRule>
    <cfRule type="cellIs" dxfId="15842" priority="24798" operator="between">
      <formula>0.95</formula>
      <formula>1</formula>
    </cfRule>
    <cfRule type="cellIs" dxfId="15841" priority="24799" stopIfTrue="1" operator="between">
      <formula>0</formula>
      <formula>0.5</formula>
    </cfRule>
  </conditionalFormatting>
  <conditionalFormatting sqref="P332">
    <cfRule type="cellIs" dxfId="15840" priority="24790" operator="between">
      <formula>0.76</formula>
      <formula>0.95</formula>
    </cfRule>
    <cfRule type="cellIs" dxfId="15839" priority="24791" operator="between">
      <formula>0.51</formula>
      <formula>0.75</formula>
    </cfRule>
    <cfRule type="cellIs" dxfId="15838" priority="24792" operator="greaterThan">
      <formula>1</formula>
    </cfRule>
    <cfRule type="cellIs" dxfId="15837" priority="24793" operator="between">
      <formula>0.95</formula>
      <formula>1</formula>
    </cfRule>
    <cfRule type="cellIs" dxfId="15836" priority="24794" stopIfTrue="1" operator="between">
      <formula>0</formula>
      <formula>0.5</formula>
    </cfRule>
  </conditionalFormatting>
  <conditionalFormatting sqref="P333">
    <cfRule type="cellIs" dxfId="15835" priority="24785" operator="between">
      <formula>0.76</formula>
      <formula>0.95</formula>
    </cfRule>
    <cfRule type="cellIs" dxfId="15834" priority="24786" operator="between">
      <formula>0.51</formula>
      <formula>0.75</formula>
    </cfRule>
    <cfRule type="cellIs" dxfId="15833" priority="24787" operator="greaterThan">
      <formula>1</formula>
    </cfRule>
    <cfRule type="cellIs" dxfId="15832" priority="24788" operator="between">
      <formula>0.95</formula>
      <formula>1</formula>
    </cfRule>
    <cfRule type="cellIs" dxfId="15831" priority="24789" stopIfTrue="1" operator="between">
      <formula>0</formula>
      <formula>0.5</formula>
    </cfRule>
  </conditionalFormatting>
  <conditionalFormatting sqref="P334">
    <cfRule type="cellIs" dxfId="15830" priority="24780" operator="between">
      <formula>0.76</formula>
      <formula>0.95</formula>
    </cfRule>
    <cfRule type="cellIs" dxfId="15829" priority="24781" operator="between">
      <formula>0.51</formula>
      <formula>0.75</formula>
    </cfRule>
    <cfRule type="cellIs" dxfId="15828" priority="24782" operator="greaterThan">
      <formula>1</formula>
    </cfRule>
    <cfRule type="cellIs" dxfId="15827" priority="24783" operator="between">
      <formula>0.95</formula>
      <formula>1</formula>
    </cfRule>
    <cfRule type="cellIs" dxfId="15826" priority="24784" stopIfTrue="1" operator="between">
      <formula>0</formula>
      <formula>0.5</formula>
    </cfRule>
  </conditionalFormatting>
  <conditionalFormatting sqref="P363">
    <cfRule type="cellIs" dxfId="15825" priority="24775" operator="between">
      <formula>0.76</formula>
      <formula>0.95</formula>
    </cfRule>
    <cfRule type="cellIs" dxfId="15824" priority="24776" operator="between">
      <formula>0.51</formula>
      <formula>0.75</formula>
    </cfRule>
    <cfRule type="cellIs" dxfId="15823" priority="24777" operator="greaterThan">
      <formula>1</formula>
    </cfRule>
    <cfRule type="cellIs" dxfId="15822" priority="24778" operator="between">
      <formula>0.95</formula>
      <formula>1</formula>
    </cfRule>
    <cfRule type="cellIs" dxfId="15821" priority="24779" stopIfTrue="1" operator="between">
      <formula>0</formula>
      <formula>0.5</formula>
    </cfRule>
  </conditionalFormatting>
  <conditionalFormatting sqref="P376">
    <cfRule type="cellIs" dxfId="15820" priority="24770" operator="between">
      <formula>0.76</formula>
      <formula>0.95</formula>
    </cfRule>
    <cfRule type="cellIs" dxfId="15819" priority="24771" operator="between">
      <formula>0.51</formula>
      <formula>0.75</formula>
    </cfRule>
    <cfRule type="cellIs" dxfId="15818" priority="24772" operator="greaterThan">
      <formula>1</formula>
    </cfRule>
    <cfRule type="cellIs" dxfId="15817" priority="24773" operator="between">
      <formula>0.95</formula>
      <formula>1</formula>
    </cfRule>
    <cfRule type="cellIs" dxfId="15816" priority="24774" stopIfTrue="1" operator="between">
      <formula>0</formula>
      <formula>0.5</formula>
    </cfRule>
  </conditionalFormatting>
  <conditionalFormatting sqref="P382">
    <cfRule type="cellIs" dxfId="15815" priority="24765" operator="between">
      <formula>0.76</formula>
      <formula>0.95</formula>
    </cfRule>
    <cfRule type="cellIs" dxfId="15814" priority="24766" operator="between">
      <formula>0.51</formula>
      <formula>0.75</formula>
    </cfRule>
    <cfRule type="cellIs" dxfId="15813" priority="24767" operator="greaterThan">
      <formula>1</formula>
    </cfRule>
    <cfRule type="cellIs" dxfId="15812" priority="24768" operator="between">
      <formula>0.95</formula>
      <formula>1</formula>
    </cfRule>
    <cfRule type="cellIs" dxfId="15811" priority="24769" stopIfTrue="1" operator="between">
      <formula>0</formula>
      <formula>0.5</formula>
    </cfRule>
  </conditionalFormatting>
  <conditionalFormatting sqref="P383">
    <cfRule type="cellIs" dxfId="15810" priority="24760" operator="between">
      <formula>0.76</formula>
      <formula>0.95</formula>
    </cfRule>
    <cfRule type="cellIs" dxfId="15809" priority="24761" operator="between">
      <formula>0.51</formula>
      <formula>0.75</formula>
    </cfRule>
    <cfRule type="cellIs" dxfId="15808" priority="24762" operator="greaterThan">
      <formula>1</formula>
    </cfRule>
    <cfRule type="cellIs" dxfId="15807" priority="24763" operator="between">
      <formula>0.95</formula>
      <formula>1</formula>
    </cfRule>
    <cfRule type="cellIs" dxfId="15806" priority="24764" stopIfTrue="1" operator="between">
      <formula>0</formula>
      <formula>0.5</formula>
    </cfRule>
  </conditionalFormatting>
  <conditionalFormatting sqref="P384">
    <cfRule type="cellIs" dxfId="15805" priority="24755" operator="between">
      <formula>0.76</formula>
      <formula>0.95</formula>
    </cfRule>
    <cfRule type="cellIs" dxfId="15804" priority="24756" operator="between">
      <formula>0.51</formula>
      <formula>0.75</formula>
    </cfRule>
    <cfRule type="cellIs" dxfId="15803" priority="24757" operator="greaterThan">
      <formula>1</formula>
    </cfRule>
    <cfRule type="cellIs" dxfId="15802" priority="24758" operator="between">
      <formula>0.95</formula>
      <formula>1</formula>
    </cfRule>
    <cfRule type="cellIs" dxfId="15801" priority="24759" stopIfTrue="1" operator="between">
      <formula>0</formula>
      <formula>0.5</formula>
    </cfRule>
  </conditionalFormatting>
  <conditionalFormatting sqref="W15">
    <cfRule type="cellIs" dxfId="15800" priority="24750" operator="between">
      <formula>0.76</formula>
      <formula>0.95</formula>
    </cfRule>
    <cfRule type="cellIs" dxfId="15799" priority="24751" operator="between">
      <formula>0.51</formula>
      <formula>0.75</formula>
    </cfRule>
    <cfRule type="cellIs" dxfId="15798" priority="24752" operator="greaterThan">
      <formula>1</formula>
    </cfRule>
    <cfRule type="cellIs" dxfId="15797" priority="24753" operator="between">
      <formula>0.95</formula>
      <formula>1</formula>
    </cfRule>
    <cfRule type="cellIs" dxfId="15796" priority="24754" stopIfTrue="1" operator="between">
      <formula>0</formula>
      <formula>0.5</formula>
    </cfRule>
  </conditionalFormatting>
  <conditionalFormatting sqref="W16">
    <cfRule type="cellIs" dxfId="15795" priority="24745" operator="between">
      <formula>0.76</formula>
      <formula>0.95</formula>
    </cfRule>
    <cfRule type="cellIs" dxfId="15794" priority="24746" operator="between">
      <formula>0.51</formula>
      <formula>0.75</formula>
    </cfRule>
    <cfRule type="cellIs" dxfId="15793" priority="24747" operator="greaterThan">
      <formula>1</formula>
    </cfRule>
    <cfRule type="cellIs" dxfId="15792" priority="24748" operator="between">
      <formula>0.95</formula>
      <formula>1</formula>
    </cfRule>
    <cfRule type="cellIs" dxfId="15791" priority="24749" stopIfTrue="1" operator="between">
      <formula>0</formula>
      <formula>0.5</formula>
    </cfRule>
  </conditionalFormatting>
  <conditionalFormatting sqref="W17">
    <cfRule type="cellIs" dxfId="15790" priority="24740" operator="between">
      <formula>0.76</formula>
      <formula>0.95</formula>
    </cfRule>
    <cfRule type="cellIs" dxfId="15789" priority="24741" operator="between">
      <formula>0.51</formula>
      <formula>0.75</formula>
    </cfRule>
    <cfRule type="cellIs" dxfId="15788" priority="24742" operator="greaterThan">
      <formula>1</formula>
    </cfRule>
    <cfRule type="cellIs" dxfId="15787" priority="24743" operator="between">
      <formula>0.95</formula>
      <formula>1</formula>
    </cfRule>
    <cfRule type="cellIs" dxfId="15786" priority="24744" stopIfTrue="1" operator="between">
      <formula>0</formula>
      <formula>0.5</formula>
    </cfRule>
  </conditionalFormatting>
  <conditionalFormatting sqref="W18">
    <cfRule type="cellIs" dxfId="15785" priority="24720" operator="between">
      <formula>0.76</formula>
      <formula>0.95</formula>
    </cfRule>
    <cfRule type="cellIs" dxfId="15784" priority="24721" operator="between">
      <formula>0.51</formula>
      <formula>0.75</formula>
    </cfRule>
    <cfRule type="cellIs" dxfId="15783" priority="24722" operator="greaterThan">
      <formula>1</formula>
    </cfRule>
    <cfRule type="cellIs" dxfId="15782" priority="24723" operator="between">
      <formula>0.95</formula>
      <formula>1</formula>
    </cfRule>
    <cfRule type="cellIs" dxfId="15781" priority="24724" stopIfTrue="1" operator="between">
      <formula>0</formula>
      <formula>0.5</formula>
    </cfRule>
  </conditionalFormatting>
  <conditionalFormatting sqref="W19">
    <cfRule type="cellIs" dxfId="15780" priority="24715" operator="between">
      <formula>0.76</formula>
      <formula>0.95</formula>
    </cfRule>
    <cfRule type="cellIs" dxfId="15779" priority="24716" operator="between">
      <formula>0.51</formula>
      <formula>0.75</formula>
    </cfRule>
    <cfRule type="cellIs" dxfId="15778" priority="24717" operator="greaterThan">
      <formula>1</formula>
    </cfRule>
    <cfRule type="cellIs" dxfId="15777" priority="24718" operator="between">
      <formula>0.95</formula>
      <formula>1</formula>
    </cfRule>
    <cfRule type="cellIs" dxfId="15776" priority="24719" stopIfTrue="1" operator="between">
      <formula>0</formula>
      <formula>0.5</formula>
    </cfRule>
  </conditionalFormatting>
  <conditionalFormatting sqref="W20">
    <cfRule type="cellIs" dxfId="15775" priority="24710" operator="between">
      <formula>0.76</formula>
      <formula>0.95</formula>
    </cfRule>
    <cfRule type="cellIs" dxfId="15774" priority="24711" operator="between">
      <formula>0.51</formula>
      <formula>0.75</formula>
    </cfRule>
    <cfRule type="cellIs" dxfId="15773" priority="24712" operator="greaterThan">
      <formula>1</formula>
    </cfRule>
    <cfRule type="cellIs" dxfId="15772" priority="24713" operator="between">
      <formula>0.95</formula>
      <formula>1</formula>
    </cfRule>
    <cfRule type="cellIs" dxfId="15771" priority="24714" stopIfTrue="1" operator="between">
      <formula>0</formula>
      <formula>0.5</formula>
    </cfRule>
  </conditionalFormatting>
  <conditionalFormatting sqref="W21">
    <cfRule type="cellIs" dxfId="15770" priority="24705" operator="between">
      <formula>0.76</formula>
      <formula>0.95</formula>
    </cfRule>
    <cfRule type="cellIs" dxfId="15769" priority="24706" operator="between">
      <formula>0.51</formula>
      <formula>0.75</formula>
    </cfRule>
    <cfRule type="cellIs" dxfId="15768" priority="24707" operator="greaterThan">
      <formula>1</formula>
    </cfRule>
    <cfRule type="cellIs" dxfId="15767" priority="24708" operator="between">
      <formula>0.95</formula>
      <formula>1</formula>
    </cfRule>
    <cfRule type="cellIs" dxfId="15766" priority="24709" stopIfTrue="1" operator="between">
      <formula>0</formula>
      <formula>0.5</formula>
    </cfRule>
  </conditionalFormatting>
  <conditionalFormatting sqref="W22">
    <cfRule type="cellIs" dxfId="15765" priority="24700" operator="between">
      <formula>0.76</formula>
      <formula>0.95</formula>
    </cfRule>
    <cfRule type="cellIs" dxfId="15764" priority="24701" operator="between">
      <formula>0.51</formula>
      <formula>0.75</formula>
    </cfRule>
    <cfRule type="cellIs" dxfId="15763" priority="24702" operator="greaterThan">
      <formula>1</formula>
    </cfRule>
    <cfRule type="cellIs" dxfId="15762" priority="24703" operator="between">
      <formula>0.95</formula>
      <formula>1</formula>
    </cfRule>
    <cfRule type="cellIs" dxfId="15761" priority="24704" stopIfTrue="1" operator="between">
      <formula>0</formula>
      <formula>0.5</formula>
    </cfRule>
  </conditionalFormatting>
  <conditionalFormatting sqref="W23">
    <cfRule type="cellIs" dxfId="15760" priority="24695" operator="between">
      <formula>0.76</formula>
      <formula>0.95</formula>
    </cfRule>
    <cfRule type="cellIs" dxfId="15759" priority="24696" operator="between">
      <formula>0.51</formula>
      <formula>0.75</formula>
    </cfRule>
    <cfRule type="cellIs" dxfId="15758" priority="24697" operator="greaterThan">
      <formula>1</formula>
    </cfRule>
    <cfRule type="cellIs" dxfId="15757" priority="24698" operator="between">
      <formula>0.95</formula>
      <formula>1</formula>
    </cfRule>
    <cfRule type="cellIs" dxfId="15756" priority="24699" stopIfTrue="1" operator="between">
      <formula>0</formula>
      <formula>0.5</formula>
    </cfRule>
  </conditionalFormatting>
  <conditionalFormatting sqref="W25">
    <cfRule type="cellIs" dxfId="15755" priority="24690" operator="between">
      <formula>0.76</formula>
      <formula>0.95</formula>
    </cfRule>
    <cfRule type="cellIs" dxfId="15754" priority="24691" operator="between">
      <formula>0.51</formula>
      <formula>0.75</formula>
    </cfRule>
    <cfRule type="cellIs" dxfId="15753" priority="24692" operator="greaterThan">
      <formula>1</formula>
    </cfRule>
    <cfRule type="cellIs" dxfId="15752" priority="24693" operator="between">
      <formula>0.95</formula>
      <formula>1</formula>
    </cfRule>
    <cfRule type="cellIs" dxfId="15751" priority="24694" stopIfTrue="1" operator="between">
      <formula>0</formula>
      <formula>0.5</formula>
    </cfRule>
  </conditionalFormatting>
  <conditionalFormatting sqref="W26">
    <cfRule type="cellIs" dxfId="15750" priority="24685" operator="between">
      <formula>0.76</formula>
      <formula>0.95</formula>
    </cfRule>
    <cfRule type="cellIs" dxfId="15749" priority="24686" operator="between">
      <formula>0.51</formula>
      <formula>0.75</formula>
    </cfRule>
    <cfRule type="cellIs" dxfId="15748" priority="24687" operator="greaterThan">
      <formula>1</formula>
    </cfRule>
    <cfRule type="cellIs" dxfId="15747" priority="24688" operator="between">
      <formula>0.95</formula>
      <formula>1</formula>
    </cfRule>
    <cfRule type="cellIs" dxfId="15746" priority="24689" stopIfTrue="1" operator="between">
      <formula>0</formula>
      <formula>0.5</formula>
    </cfRule>
  </conditionalFormatting>
  <conditionalFormatting sqref="W27">
    <cfRule type="cellIs" dxfId="15745" priority="24680" operator="between">
      <formula>0.76</formula>
      <formula>0.95</formula>
    </cfRule>
    <cfRule type="cellIs" dxfId="15744" priority="24681" operator="between">
      <formula>0.51</formula>
      <formula>0.75</formula>
    </cfRule>
    <cfRule type="cellIs" dxfId="15743" priority="24682" operator="greaterThan">
      <formula>1</formula>
    </cfRule>
    <cfRule type="cellIs" dxfId="15742" priority="24683" operator="between">
      <formula>0.95</formula>
      <formula>1</formula>
    </cfRule>
    <cfRule type="cellIs" dxfId="15741" priority="24684" stopIfTrue="1" operator="between">
      <formula>0</formula>
      <formula>0.5</formula>
    </cfRule>
  </conditionalFormatting>
  <conditionalFormatting sqref="W28">
    <cfRule type="cellIs" dxfId="15740" priority="24675" operator="between">
      <formula>0.76</formula>
      <formula>0.95</formula>
    </cfRule>
    <cfRule type="cellIs" dxfId="15739" priority="24676" operator="between">
      <formula>0.51</formula>
      <formula>0.75</formula>
    </cfRule>
    <cfRule type="cellIs" dxfId="15738" priority="24677" operator="greaterThan">
      <formula>1</formula>
    </cfRule>
    <cfRule type="cellIs" dxfId="15737" priority="24678" operator="between">
      <formula>0.95</formula>
      <formula>1</formula>
    </cfRule>
    <cfRule type="cellIs" dxfId="15736" priority="24679" stopIfTrue="1" operator="between">
      <formula>0</formula>
      <formula>0.5</formula>
    </cfRule>
  </conditionalFormatting>
  <conditionalFormatting sqref="W29">
    <cfRule type="cellIs" dxfId="15735" priority="24670" operator="between">
      <formula>0.76</formula>
      <formula>0.95</formula>
    </cfRule>
    <cfRule type="cellIs" dxfId="15734" priority="24671" operator="between">
      <formula>0.51</formula>
      <formula>0.75</formula>
    </cfRule>
    <cfRule type="cellIs" dxfId="15733" priority="24672" operator="greaterThan">
      <formula>1</formula>
    </cfRule>
    <cfRule type="cellIs" dxfId="15732" priority="24673" operator="between">
      <formula>0.95</formula>
      <formula>1</formula>
    </cfRule>
    <cfRule type="cellIs" dxfId="15731" priority="24674" stopIfTrue="1" operator="between">
      <formula>0</formula>
      <formula>0.5</formula>
    </cfRule>
  </conditionalFormatting>
  <conditionalFormatting sqref="W34">
    <cfRule type="cellIs" dxfId="15730" priority="24665" operator="between">
      <formula>0.76</formula>
      <formula>0.95</formula>
    </cfRule>
    <cfRule type="cellIs" dxfId="15729" priority="24666" operator="between">
      <formula>0.51</formula>
      <formula>0.75</formula>
    </cfRule>
    <cfRule type="cellIs" dxfId="15728" priority="24667" operator="greaterThan">
      <formula>1</formula>
    </cfRule>
    <cfRule type="cellIs" dxfId="15727" priority="24668" operator="between">
      <formula>0.95</formula>
      <formula>1</formula>
    </cfRule>
    <cfRule type="cellIs" dxfId="15726" priority="24669" stopIfTrue="1" operator="between">
      <formula>0</formula>
      <formula>0.5</formula>
    </cfRule>
  </conditionalFormatting>
  <conditionalFormatting sqref="W30">
    <cfRule type="cellIs" dxfId="15725" priority="24660" operator="between">
      <formula>0.76</formula>
      <formula>0.95</formula>
    </cfRule>
    <cfRule type="cellIs" dxfId="15724" priority="24661" operator="between">
      <formula>0.51</formula>
      <formula>0.75</formula>
    </cfRule>
    <cfRule type="cellIs" dxfId="15723" priority="24662" operator="greaterThan">
      <formula>1</formula>
    </cfRule>
    <cfRule type="cellIs" dxfId="15722" priority="24663" operator="between">
      <formula>0.95</formula>
      <formula>1</formula>
    </cfRule>
    <cfRule type="cellIs" dxfId="15721" priority="24664" stopIfTrue="1" operator="between">
      <formula>0</formula>
      <formula>0.5</formula>
    </cfRule>
  </conditionalFormatting>
  <conditionalFormatting sqref="W42">
    <cfRule type="cellIs" dxfId="15720" priority="24645" operator="between">
      <formula>0.76</formula>
      <formula>0.95</formula>
    </cfRule>
    <cfRule type="cellIs" dxfId="15719" priority="24646" operator="between">
      <formula>0.51</formula>
      <formula>0.75</formula>
    </cfRule>
    <cfRule type="cellIs" dxfId="15718" priority="24647" operator="greaterThan">
      <formula>1</formula>
    </cfRule>
    <cfRule type="cellIs" dxfId="15717" priority="24648" operator="between">
      <formula>0.95</formula>
      <formula>1</formula>
    </cfRule>
    <cfRule type="cellIs" dxfId="15716" priority="24649" stopIfTrue="1" operator="between">
      <formula>0</formula>
      <formula>0.5</formula>
    </cfRule>
  </conditionalFormatting>
  <conditionalFormatting sqref="W43">
    <cfRule type="cellIs" dxfId="15715" priority="24640" operator="between">
      <formula>0.76</formula>
      <formula>0.95</formula>
    </cfRule>
    <cfRule type="cellIs" dxfId="15714" priority="24641" operator="between">
      <formula>0.51</formula>
      <formula>0.75</formula>
    </cfRule>
    <cfRule type="cellIs" dxfId="15713" priority="24642" operator="greaterThan">
      <formula>1</formula>
    </cfRule>
    <cfRule type="cellIs" dxfId="15712" priority="24643" operator="between">
      <formula>0.95</formula>
      <formula>1</formula>
    </cfRule>
    <cfRule type="cellIs" dxfId="15711" priority="24644" stopIfTrue="1" operator="between">
      <formula>0</formula>
      <formula>0.5</formula>
    </cfRule>
  </conditionalFormatting>
  <conditionalFormatting sqref="W44">
    <cfRule type="cellIs" dxfId="15710" priority="24635" operator="between">
      <formula>0.76</formula>
      <formula>0.95</formula>
    </cfRule>
    <cfRule type="cellIs" dxfId="15709" priority="24636" operator="between">
      <formula>0.51</formula>
      <formula>0.75</formula>
    </cfRule>
    <cfRule type="cellIs" dxfId="15708" priority="24637" operator="greaterThan">
      <formula>1</formula>
    </cfRule>
    <cfRule type="cellIs" dxfId="15707" priority="24638" operator="between">
      <formula>0.95</formula>
      <formula>1</formula>
    </cfRule>
    <cfRule type="cellIs" dxfId="15706" priority="24639" stopIfTrue="1" operator="between">
      <formula>0</formula>
      <formula>0.5</formula>
    </cfRule>
  </conditionalFormatting>
  <conditionalFormatting sqref="W45">
    <cfRule type="cellIs" dxfId="15705" priority="24630" operator="between">
      <formula>0.76</formula>
      <formula>0.95</formula>
    </cfRule>
    <cfRule type="cellIs" dxfId="15704" priority="24631" operator="between">
      <formula>0.51</formula>
      <formula>0.75</formula>
    </cfRule>
    <cfRule type="cellIs" dxfId="15703" priority="24632" operator="greaterThan">
      <formula>1</formula>
    </cfRule>
    <cfRule type="cellIs" dxfId="15702" priority="24633" operator="between">
      <formula>0.95</formula>
      <formula>1</formula>
    </cfRule>
    <cfRule type="cellIs" dxfId="15701" priority="24634" stopIfTrue="1" operator="between">
      <formula>0</formula>
      <formula>0.5</formula>
    </cfRule>
  </conditionalFormatting>
  <conditionalFormatting sqref="W46">
    <cfRule type="cellIs" dxfId="15700" priority="24625" operator="between">
      <formula>0.76</formula>
      <formula>0.95</formula>
    </cfRule>
    <cfRule type="cellIs" dxfId="15699" priority="24626" operator="between">
      <formula>0.51</formula>
      <formula>0.75</formula>
    </cfRule>
    <cfRule type="cellIs" dxfId="15698" priority="24627" operator="greaterThan">
      <formula>1</formula>
    </cfRule>
    <cfRule type="cellIs" dxfId="15697" priority="24628" operator="between">
      <formula>0.95</formula>
      <formula>1</formula>
    </cfRule>
    <cfRule type="cellIs" dxfId="15696" priority="24629" stopIfTrue="1" operator="between">
      <formula>0</formula>
      <formula>0.5</formula>
    </cfRule>
  </conditionalFormatting>
  <conditionalFormatting sqref="W47">
    <cfRule type="cellIs" dxfId="15695" priority="24620" operator="between">
      <formula>0.76</formula>
      <formula>0.95</formula>
    </cfRule>
    <cfRule type="cellIs" dxfId="15694" priority="24621" operator="between">
      <formula>0.51</formula>
      <formula>0.75</formula>
    </cfRule>
    <cfRule type="cellIs" dxfId="15693" priority="24622" operator="greaterThan">
      <formula>1</formula>
    </cfRule>
    <cfRule type="cellIs" dxfId="15692" priority="24623" operator="between">
      <formula>0.95</formula>
      <formula>1</formula>
    </cfRule>
    <cfRule type="cellIs" dxfId="15691" priority="24624" stopIfTrue="1" operator="between">
      <formula>0</formula>
      <formula>0.5</formula>
    </cfRule>
  </conditionalFormatting>
  <conditionalFormatting sqref="W48">
    <cfRule type="cellIs" dxfId="15690" priority="24615" operator="between">
      <formula>0.76</formula>
      <formula>0.95</formula>
    </cfRule>
    <cfRule type="cellIs" dxfId="15689" priority="24616" operator="between">
      <formula>0.51</formula>
      <formula>0.75</formula>
    </cfRule>
    <cfRule type="cellIs" dxfId="15688" priority="24617" operator="greaterThan">
      <formula>1</formula>
    </cfRule>
    <cfRule type="cellIs" dxfId="15687" priority="24618" operator="between">
      <formula>0.95</formula>
      <formula>1</formula>
    </cfRule>
    <cfRule type="cellIs" dxfId="15686" priority="24619" stopIfTrue="1" operator="between">
      <formula>0</formula>
      <formula>0.5</formula>
    </cfRule>
  </conditionalFormatting>
  <conditionalFormatting sqref="W50">
    <cfRule type="cellIs" dxfId="15685" priority="24610" operator="between">
      <formula>0.76</formula>
      <formula>0.95</formula>
    </cfRule>
    <cfRule type="cellIs" dxfId="15684" priority="24611" operator="between">
      <formula>0.51</formula>
      <formula>0.75</formula>
    </cfRule>
    <cfRule type="cellIs" dxfId="15683" priority="24612" operator="greaterThan">
      <formula>1</formula>
    </cfRule>
    <cfRule type="cellIs" dxfId="15682" priority="24613" operator="between">
      <formula>0.95</formula>
      <formula>1</formula>
    </cfRule>
    <cfRule type="cellIs" dxfId="15681" priority="24614" stopIfTrue="1" operator="between">
      <formula>0</formula>
      <formula>0.5</formula>
    </cfRule>
  </conditionalFormatting>
  <conditionalFormatting sqref="W49">
    <cfRule type="cellIs" dxfId="15680" priority="24605" operator="between">
      <formula>0.76</formula>
      <formula>0.95</formula>
    </cfRule>
    <cfRule type="cellIs" dxfId="15679" priority="24606" operator="between">
      <formula>0.51</formula>
      <formula>0.75</formula>
    </cfRule>
    <cfRule type="cellIs" dxfId="15678" priority="24607" operator="greaterThan">
      <formula>1</formula>
    </cfRule>
    <cfRule type="cellIs" dxfId="15677" priority="24608" operator="between">
      <formula>0.95</formula>
      <formula>1</formula>
    </cfRule>
    <cfRule type="cellIs" dxfId="15676" priority="24609" stopIfTrue="1" operator="between">
      <formula>0</formula>
      <formula>0.5</formula>
    </cfRule>
  </conditionalFormatting>
  <conditionalFormatting sqref="W51">
    <cfRule type="cellIs" dxfId="15675" priority="24600" operator="between">
      <formula>0.76</formula>
      <formula>0.95</formula>
    </cfRule>
    <cfRule type="cellIs" dxfId="15674" priority="24601" operator="between">
      <formula>0.51</formula>
      <formula>0.75</formula>
    </cfRule>
    <cfRule type="cellIs" dxfId="15673" priority="24602" operator="greaterThan">
      <formula>1</formula>
    </cfRule>
    <cfRule type="cellIs" dxfId="15672" priority="24603" operator="between">
      <formula>0.95</formula>
      <formula>1</formula>
    </cfRule>
    <cfRule type="cellIs" dxfId="15671" priority="24604" stopIfTrue="1" operator="between">
      <formula>0</formula>
      <formula>0.5</formula>
    </cfRule>
  </conditionalFormatting>
  <conditionalFormatting sqref="W52">
    <cfRule type="cellIs" dxfId="15670" priority="24595" operator="between">
      <formula>0.76</formula>
      <formula>0.95</formula>
    </cfRule>
    <cfRule type="cellIs" dxfId="15669" priority="24596" operator="between">
      <formula>0.51</formula>
      <formula>0.75</formula>
    </cfRule>
    <cfRule type="cellIs" dxfId="15668" priority="24597" operator="greaterThan">
      <formula>1</formula>
    </cfRule>
    <cfRule type="cellIs" dxfId="15667" priority="24598" operator="between">
      <formula>0.95</formula>
      <formula>1</formula>
    </cfRule>
    <cfRule type="cellIs" dxfId="15666" priority="24599" stopIfTrue="1" operator="between">
      <formula>0</formula>
      <formula>0.5</formula>
    </cfRule>
  </conditionalFormatting>
  <conditionalFormatting sqref="W53">
    <cfRule type="cellIs" dxfId="15665" priority="24590" operator="between">
      <formula>0.76</formula>
      <formula>0.95</formula>
    </cfRule>
    <cfRule type="cellIs" dxfId="15664" priority="24591" operator="between">
      <formula>0.51</formula>
      <formula>0.75</formula>
    </cfRule>
    <cfRule type="cellIs" dxfId="15663" priority="24592" operator="greaterThan">
      <formula>1</formula>
    </cfRule>
    <cfRule type="cellIs" dxfId="15662" priority="24593" operator="between">
      <formula>0.95</formula>
      <formula>1</formula>
    </cfRule>
    <cfRule type="cellIs" dxfId="15661" priority="24594" stopIfTrue="1" operator="between">
      <formula>0</formula>
      <formula>0.5</formula>
    </cfRule>
  </conditionalFormatting>
  <conditionalFormatting sqref="W54">
    <cfRule type="cellIs" dxfId="15660" priority="24585" operator="between">
      <formula>0.76</formula>
      <formula>0.95</formula>
    </cfRule>
    <cfRule type="cellIs" dxfId="15659" priority="24586" operator="between">
      <formula>0.51</formula>
      <formula>0.75</formula>
    </cfRule>
    <cfRule type="cellIs" dxfId="15658" priority="24587" operator="greaterThan">
      <formula>1</formula>
    </cfRule>
    <cfRule type="cellIs" dxfId="15657" priority="24588" operator="between">
      <formula>0.95</formula>
      <formula>1</formula>
    </cfRule>
    <cfRule type="cellIs" dxfId="15656" priority="24589" stopIfTrue="1" operator="between">
      <formula>0</formula>
      <formula>0.5</formula>
    </cfRule>
  </conditionalFormatting>
  <conditionalFormatting sqref="W55">
    <cfRule type="cellIs" dxfId="15655" priority="24580" operator="between">
      <formula>0.76</formula>
      <formula>0.95</formula>
    </cfRule>
    <cfRule type="cellIs" dxfId="15654" priority="24581" operator="between">
      <formula>0.51</formula>
      <formula>0.75</formula>
    </cfRule>
    <cfRule type="cellIs" dxfId="15653" priority="24582" operator="greaterThan">
      <formula>1</formula>
    </cfRule>
    <cfRule type="cellIs" dxfId="15652" priority="24583" operator="between">
      <formula>0.95</formula>
      <formula>1</formula>
    </cfRule>
    <cfRule type="cellIs" dxfId="15651" priority="24584" stopIfTrue="1" operator="between">
      <formula>0</formula>
      <formula>0.5</formula>
    </cfRule>
  </conditionalFormatting>
  <conditionalFormatting sqref="W56">
    <cfRule type="cellIs" dxfId="15650" priority="24575" operator="between">
      <formula>0.76</formula>
      <formula>0.95</formula>
    </cfRule>
    <cfRule type="cellIs" dxfId="15649" priority="24576" operator="between">
      <formula>0.51</formula>
      <formula>0.75</formula>
    </cfRule>
    <cfRule type="cellIs" dxfId="15648" priority="24577" operator="greaterThan">
      <formula>1</formula>
    </cfRule>
    <cfRule type="cellIs" dxfId="15647" priority="24578" operator="between">
      <formula>0.95</formula>
      <formula>1</formula>
    </cfRule>
    <cfRule type="cellIs" dxfId="15646" priority="24579" stopIfTrue="1" operator="between">
      <formula>0</formula>
      <formula>0.5</formula>
    </cfRule>
  </conditionalFormatting>
  <conditionalFormatting sqref="W57">
    <cfRule type="cellIs" dxfId="15645" priority="24570" operator="between">
      <formula>0.76</formula>
      <formula>0.95</formula>
    </cfRule>
    <cfRule type="cellIs" dxfId="15644" priority="24571" operator="between">
      <formula>0.51</formula>
      <formula>0.75</formula>
    </cfRule>
    <cfRule type="cellIs" dxfId="15643" priority="24572" operator="greaterThan">
      <formula>1</formula>
    </cfRule>
    <cfRule type="cellIs" dxfId="15642" priority="24573" operator="between">
      <formula>0.95</formula>
      <formula>1</formula>
    </cfRule>
    <cfRule type="cellIs" dxfId="15641" priority="24574" stopIfTrue="1" operator="between">
      <formula>0</formula>
      <formula>0.5</formula>
    </cfRule>
  </conditionalFormatting>
  <conditionalFormatting sqref="W58">
    <cfRule type="cellIs" dxfId="15640" priority="24565" operator="between">
      <formula>0.76</formula>
      <formula>0.95</formula>
    </cfRule>
    <cfRule type="cellIs" dxfId="15639" priority="24566" operator="between">
      <formula>0.51</formula>
      <formula>0.75</formula>
    </cfRule>
    <cfRule type="cellIs" dxfId="15638" priority="24567" operator="greaterThan">
      <formula>1</formula>
    </cfRule>
    <cfRule type="cellIs" dxfId="15637" priority="24568" operator="between">
      <formula>0.95</formula>
      <formula>1</formula>
    </cfRule>
    <cfRule type="cellIs" dxfId="15636" priority="24569" stopIfTrue="1" operator="between">
      <formula>0</formula>
      <formula>0.5</formula>
    </cfRule>
  </conditionalFormatting>
  <conditionalFormatting sqref="W59">
    <cfRule type="cellIs" dxfId="15635" priority="24560" operator="between">
      <formula>0.76</formula>
      <formula>0.95</formula>
    </cfRule>
    <cfRule type="cellIs" dxfId="15634" priority="24561" operator="between">
      <formula>0.51</formula>
      <formula>0.75</formula>
    </cfRule>
    <cfRule type="cellIs" dxfId="15633" priority="24562" operator="greaterThan">
      <formula>1</formula>
    </cfRule>
    <cfRule type="cellIs" dxfId="15632" priority="24563" operator="between">
      <formula>0.95</formula>
      <formula>1</formula>
    </cfRule>
    <cfRule type="cellIs" dxfId="15631" priority="24564" stopIfTrue="1" operator="between">
      <formula>0</formula>
      <formula>0.5</formula>
    </cfRule>
  </conditionalFormatting>
  <conditionalFormatting sqref="W61">
    <cfRule type="cellIs" dxfId="15630" priority="24555" operator="between">
      <formula>0.76</formula>
      <formula>0.95</formula>
    </cfRule>
    <cfRule type="cellIs" dxfId="15629" priority="24556" operator="between">
      <formula>0.51</formula>
      <formula>0.75</formula>
    </cfRule>
    <cfRule type="cellIs" dxfId="15628" priority="24557" operator="greaterThan">
      <formula>1</formula>
    </cfRule>
    <cfRule type="cellIs" dxfId="15627" priority="24558" operator="between">
      <formula>0.95</formula>
      <formula>1</formula>
    </cfRule>
    <cfRule type="cellIs" dxfId="15626" priority="24559" stopIfTrue="1" operator="between">
      <formula>0</formula>
      <formula>0.5</formula>
    </cfRule>
  </conditionalFormatting>
  <conditionalFormatting sqref="W60">
    <cfRule type="cellIs" dxfId="15625" priority="24550" operator="between">
      <formula>0.76</formula>
      <formula>0.95</formula>
    </cfRule>
    <cfRule type="cellIs" dxfId="15624" priority="24551" operator="between">
      <formula>0.51</formula>
      <formula>0.75</formula>
    </cfRule>
    <cfRule type="cellIs" dxfId="15623" priority="24552" operator="greaterThan">
      <formula>1</formula>
    </cfRule>
    <cfRule type="cellIs" dxfId="15622" priority="24553" operator="between">
      <formula>0.95</formula>
      <formula>1</formula>
    </cfRule>
    <cfRule type="cellIs" dxfId="15621" priority="24554" stopIfTrue="1" operator="between">
      <formula>0</formula>
      <formula>0.5</formula>
    </cfRule>
  </conditionalFormatting>
  <conditionalFormatting sqref="W62">
    <cfRule type="cellIs" dxfId="15620" priority="24545" operator="between">
      <formula>0.76</formula>
      <formula>0.95</formula>
    </cfRule>
    <cfRule type="cellIs" dxfId="15619" priority="24546" operator="between">
      <formula>0.51</formula>
      <formula>0.75</formula>
    </cfRule>
    <cfRule type="cellIs" dxfId="15618" priority="24547" operator="greaterThan">
      <formula>1</formula>
    </cfRule>
    <cfRule type="cellIs" dxfId="15617" priority="24548" operator="between">
      <formula>0.95</formula>
      <formula>1</formula>
    </cfRule>
    <cfRule type="cellIs" dxfId="15616" priority="24549" stopIfTrue="1" operator="between">
      <formula>0</formula>
      <formula>0.5</formula>
    </cfRule>
  </conditionalFormatting>
  <conditionalFormatting sqref="W63">
    <cfRule type="cellIs" dxfId="15615" priority="24540" operator="between">
      <formula>0.76</formula>
      <formula>0.95</formula>
    </cfRule>
    <cfRule type="cellIs" dxfId="15614" priority="24541" operator="between">
      <formula>0.51</formula>
      <formula>0.75</formula>
    </cfRule>
    <cfRule type="cellIs" dxfId="15613" priority="24542" operator="greaterThan">
      <formula>1</formula>
    </cfRule>
    <cfRule type="cellIs" dxfId="15612" priority="24543" operator="between">
      <formula>0.95</formula>
      <formula>1</formula>
    </cfRule>
    <cfRule type="cellIs" dxfId="15611" priority="24544" stopIfTrue="1" operator="between">
      <formula>0</formula>
      <formula>0.5</formula>
    </cfRule>
  </conditionalFormatting>
  <conditionalFormatting sqref="W64">
    <cfRule type="cellIs" dxfId="15610" priority="24535" operator="between">
      <formula>0.76</formula>
      <formula>0.95</formula>
    </cfRule>
    <cfRule type="cellIs" dxfId="15609" priority="24536" operator="between">
      <formula>0.51</formula>
      <formula>0.75</formula>
    </cfRule>
    <cfRule type="cellIs" dxfId="15608" priority="24537" operator="greaterThan">
      <formula>1</formula>
    </cfRule>
    <cfRule type="cellIs" dxfId="15607" priority="24538" operator="between">
      <formula>0.95</formula>
      <formula>1</formula>
    </cfRule>
    <cfRule type="cellIs" dxfId="15606" priority="24539" stopIfTrue="1" operator="between">
      <formula>0</formula>
      <formula>0.5</formula>
    </cfRule>
  </conditionalFormatting>
  <conditionalFormatting sqref="W65">
    <cfRule type="cellIs" dxfId="15605" priority="24530" operator="between">
      <formula>0.76</formula>
      <formula>0.95</formula>
    </cfRule>
    <cfRule type="cellIs" dxfId="15604" priority="24531" operator="between">
      <formula>0.51</formula>
      <formula>0.75</formula>
    </cfRule>
    <cfRule type="cellIs" dxfId="15603" priority="24532" operator="greaterThan">
      <formula>1</formula>
    </cfRule>
    <cfRule type="cellIs" dxfId="15602" priority="24533" operator="between">
      <formula>0.95</formula>
      <formula>1</formula>
    </cfRule>
    <cfRule type="cellIs" dxfId="15601" priority="24534" stopIfTrue="1" operator="between">
      <formula>0</formula>
      <formula>0.5</formula>
    </cfRule>
  </conditionalFormatting>
  <conditionalFormatting sqref="W66">
    <cfRule type="cellIs" dxfId="15600" priority="24520" operator="between">
      <formula>0.76</formula>
      <formula>0.95</formula>
    </cfRule>
    <cfRule type="cellIs" dxfId="15599" priority="24521" operator="between">
      <formula>0.51</formula>
      <formula>0.75</formula>
    </cfRule>
    <cfRule type="cellIs" dxfId="15598" priority="24522" operator="greaterThan">
      <formula>1</formula>
    </cfRule>
    <cfRule type="cellIs" dxfId="15597" priority="24523" operator="between">
      <formula>0.95</formula>
      <formula>1</formula>
    </cfRule>
    <cfRule type="cellIs" dxfId="15596" priority="24524" stopIfTrue="1" operator="between">
      <formula>0</formula>
      <formula>0.5</formula>
    </cfRule>
  </conditionalFormatting>
  <conditionalFormatting sqref="W67">
    <cfRule type="cellIs" dxfId="15595" priority="24515" operator="between">
      <formula>0.76</formula>
      <formula>0.95</formula>
    </cfRule>
    <cfRule type="cellIs" dxfId="15594" priority="24516" operator="between">
      <formula>0.51</formula>
      <formula>0.75</formula>
    </cfRule>
    <cfRule type="cellIs" dxfId="15593" priority="24517" operator="greaterThan">
      <formula>1</formula>
    </cfRule>
    <cfRule type="cellIs" dxfId="15592" priority="24518" operator="between">
      <formula>0.95</formula>
      <formula>1</formula>
    </cfRule>
    <cfRule type="cellIs" dxfId="15591" priority="24519" stopIfTrue="1" operator="between">
      <formula>0</formula>
      <formula>0.5</formula>
    </cfRule>
  </conditionalFormatting>
  <conditionalFormatting sqref="W68">
    <cfRule type="cellIs" dxfId="15590" priority="24510" operator="between">
      <formula>0.76</formula>
      <formula>0.95</formula>
    </cfRule>
    <cfRule type="cellIs" dxfId="15589" priority="24511" operator="between">
      <formula>0.51</formula>
      <formula>0.75</formula>
    </cfRule>
    <cfRule type="cellIs" dxfId="15588" priority="24512" operator="greaterThan">
      <formula>1</formula>
    </cfRule>
    <cfRule type="cellIs" dxfId="15587" priority="24513" operator="between">
      <formula>0.95</formula>
      <formula>1</formula>
    </cfRule>
    <cfRule type="cellIs" dxfId="15586" priority="24514" stopIfTrue="1" operator="between">
      <formula>0</formula>
      <formula>0.5</formula>
    </cfRule>
  </conditionalFormatting>
  <conditionalFormatting sqref="W69">
    <cfRule type="cellIs" dxfId="15585" priority="24505" operator="between">
      <formula>0.76</formula>
      <formula>0.95</formula>
    </cfRule>
    <cfRule type="cellIs" dxfId="15584" priority="24506" operator="between">
      <formula>0.51</formula>
      <formula>0.75</formula>
    </cfRule>
    <cfRule type="cellIs" dxfId="15583" priority="24507" operator="greaterThan">
      <formula>1</formula>
    </cfRule>
    <cfRule type="cellIs" dxfId="15582" priority="24508" operator="between">
      <formula>0.95</formula>
      <formula>1</formula>
    </cfRule>
    <cfRule type="cellIs" dxfId="15581" priority="24509" stopIfTrue="1" operator="between">
      <formula>0</formula>
      <formula>0.5</formula>
    </cfRule>
  </conditionalFormatting>
  <conditionalFormatting sqref="W70">
    <cfRule type="cellIs" dxfId="15580" priority="24500" operator="between">
      <formula>0.76</formula>
      <formula>0.95</formula>
    </cfRule>
    <cfRule type="cellIs" dxfId="15579" priority="24501" operator="between">
      <formula>0.51</formula>
      <formula>0.75</formula>
    </cfRule>
    <cfRule type="cellIs" dxfId="15578" priority="24502" operator="greaterThan">
      <formula>1</formula>
    </cfRule>
    <cfRule type="cellIs" dxfId="15577" priority="24503" operator="between">
      <formula>0.95</formula>
      <formula>1</formula>
    </cfRule>
    <cfRule type="cellIs" dxfId="15576" priority="24504" stopIfTrue="1" operator="between">
      <formula>0</formula>
      <formula>0.5</formula>
    </cfRule>
  </conditionalFormatting>
  <conditionalFormatting sqref="W71">
    <cfRule type="cellIs" dxfId="15575" priority="24495" operator="between">
      <formula>0.76</formula>
      <formula>0.95</formula>
    </cfRule>
    <cfRule type="cellIs" dxfId="15574" priority="24496" operator="between">
      <formula>0.51</formula>
      <formula>0.75</formula>
    </cfRule>
    <cfRule type="cellIs" dxfId="15573" priority="24497" operator="greaterThan">
      <formula>1</formula>
    </cfRule>
    <cfRule type="cellIs" dxfId="15572" priority="24498" operator="between">
      <formula>0.95</formula>
      <formula>1</formula>
    </cfRule>
    <cfRule type="cellIs" dxfId="15571" priority="24499" stopIfTrue="1" operator="between">
      <formula>0</formula>
      <formula>0.5</formula>
    </cfRule>
  </conditionalFormatting>
  <conditionalFormatting sqref="W72">
    <cfRule type="cellIs" dxfId="15570" priority="24490" operator="between">
      <formula>0.76</formula>
      <formula>0.95</formula>
    </cfRule>
    <cfRule type="cellIs" dxfId="15569" priority="24491" operator="between">
      <formula>0.51</formula>
      <formula>0.75</formula>
    </cfRule>
    <cfRule type="cellIs" dxfId="15568" priority="24492" operator="greaterThan">
      <formula>1</formula>
    </cfRule>
    <cfRule type="cellIs" dxfId="15567" priority="24493" operator="between">
      <formula>0.95</formula>
      <formula>1</formula>
    </cfRule>
    <cfRule type="cellIs" dxfId="15566" priority="24494" stopIfTrue="1" operator="between">
      <formula>0</formula>
      <formula>0.5</formula>
    </cfRule>
  </conditionalFormatting>
  <conditionalFormatting sqref="W73">
    <cfRule type="cellIs" dxfId="15565" priority="24485" operator="between">
      <formula>0.76</formula>
      <formula>0.95</formula>
    </cfRule>
    <cfRule type="cellIs" dxfId="15564" priority="24486" operator="between">
      <formula>0.51</formula>
      <formula>0.75</formula>
    </cfRule>
    <cfRule type="cellIs" dxfId="15563" priority="24487" operator="greaterThan">
      <formula>1</formula>
    </cfRule>
    <cfRule type="cellIs" dxfId="15562" priority="24488" operator="between">
      <formula>0.95</formula>
      <formula>1</formula>
    </cfRule>
    <cfRule type="cellIs" dxfId="15561" priority="24489" stopIfTrue="1" operator="between">
      <formula>0</formula>
      <formula>0.5</formula>
    </cfRule>
  </conditionalFormatting>
  <conditionalFormatting sqref="W74">
    <cfRule type="cellIs" dxfId="15560" priority="24480" operator="between">
      <formula>0.76</formula>
      <formula>0.95</formula>
    </cfRule>
    <cfRule type="cellIs" dxfId="15559" priority="24481" operator="between">
      <formula>0.51</formula>
      <formula>0.75</formula>
    </cfRule>
    <cfRule type="cellIs" dxfId="15558" priority="24482" operator="greaterThan">
      <formula>1</formula>
    </cfRule>
    <cfRule type="cellIs" dxfId="15557" priority="24483" operator="between">
      <formula>0.95</formula>
      <formula>1</formula>
    </cfRule>
    <cfRule type="cellIs" dxfId="15556" priority="24484" stopIfTrue="1" operator="between">
      <formula>0</formula>
      <formula>0.5</formula>
    </cfRule>
  </conditionalFormatting>
  <conditionalFormatting sqref="W75">
    <cfRule type="cellIs" dxfId="15555" priority="24475" operator="between">
      <formula>0.76</formula>
      <formula>0.95</formula>
    </cfRule>
    <cfRule type="cellIs" dxfId="15554" priority="24476" operator="between">
      <formula>0.51</formula>
      <formula>0.75</formula>
    </cfRule>
    <cfRule type="cellIs" dxfId="15553" priority="24477" operator="greaterThan">
      <formula>1</formula>
    </cfRule>
    <cfRule type="cellIs" dxfId="15552" priority="24478" operator="between">
      <formula>0.95</formula>
      <formula>1</formula>
    </cfRule>
    <cfRule type="cellIs" dxfId="15551" priority="24479" stopIfTrue="1" operator="between">
      <formula>0</formula>
      <formula>0.5</formula>
    </cfRule>
  </conditionalFormatting>
  <conditionalFormatting sqref="W76">
    <cfRule type="cellIs" dxfId="15550" priority="24470" operator="between">
      <formula>0.76</formula>
      <formula>0.95</formula>
    </cfRule>
    <cfRule type="cellIs" dxfId="15549" priority="24471" operator="between">
      <formula>0.51</formula>
      <formula>0.75</formula>
    </cfRule>
    <cfRule type="cellIs" dxfId="15548" priority="24472" operator="greaterThan">
      <formula>1</formula>
    </cfRule>
    <cfRule type="cellIs" dxfId="15547" priority="24473" operator="between">
      <formula>0.95</formula>
      <formula>1</formula>
    </cfRule>
    <cfRule type="cellIs" dxfId="15546" priority="24474" stopIfTrue="1" operator="between">
      <formula>0</formula>
      <formula>0.5</formula>
    </cfRule>
  </conditionalFormatting>
  <conditionalFormatting sqref="W77">
    <cfRule type="cellIs" dxfId="15545" priority="24465" operator="between">
      <formula>0.76</formula>
      <formula>0.95</formula>
    </cfRule>
    <cfRule type="cellIs" dxfId="15544" priority="24466" operator="between">
      <formula>0.51</formula>
      <formula>0.75</formula>
    </cfRule>
    <cfRule type="cellIs" dxfId="15543" priority="24467" operator="greaterThan">
      <formula>1</formula>
    </cfRule>
    <cfRule type="cellIs" dxfId="15542" priority="24468" operator="between">
      <formula>0.95</formula>
      <formula>1</formula>
    </cfRule>
    <cfRule type="cellIs" dxfId="15541" priority="24469" stopIfTrue="1" operator="between">
      <formula>0</formula>
      <formula>0.5</formula>
    </cfRule>
  </conditionalFormatting>
  <conditionalFormatting sqref="W83">
    <cfRule type="cellIs" dxfId="15540" priority="24460" operator="between">
      <formula>0.76</formula>
      <formula>0.95</formula>
    </cfRule>
    <cfRule type="cellIs" dxfId="15539" priority="24461" operator="between">
      <formula>0.51</formula>
      <formula>0.75</formula>
    </cfRule>
    <cfRule type="cellIs" dxfId="15538" priority="24462" operator="greaterThan">
      <formula>1</formula>
    </cfRule>
    <cfRule type="cellIs" dxfId="15537" priority="24463" operator="between">
      <formula>0.95</formula>
      <formula>1</formula>
    </cfRule>
    <cfRule type="cellIs" dxfId="15536" priority="24464" stopIfTrue="1" operator="between">
      <formula>0</formula>
      <formula>0.5</formula>
    </cfRule>
  </conditionalFormatting>
  <conditionalFormatting sqref="W84">
    <cfRule type="cellIs" dxfId="15535" priority="24455" operator="between">
      <formula>0.76</formula>
      <formula>0.95</formula>
    </cfRule>
    <cfRule type="cellIs" dxfId="15534" priority="24456" operator="between">
      <formula>0.51</formula>
      <formula>0.75</formula>
    </cfRule>
    <cfRule type="cellIs" dxfId="15533" priority="24457" operator="greaterThan">
      <formula>1</formula>
    </cfRule>
    <cfRule type="cellIs" dxfId="15532" priority="24458" operator="between">
      <formula>0.95</formula>
      <formula>1</formula>
    </cfRule>
    <cfRule type="cellIs" dxfId="15531" priority="24459" stopIfTrue="1" operator="between">
      <formula>0</formula>
      <formula>0.5</formula>
    </cfRule>
  </conditionalFormatting>
  <conditionalFormatting sqref="W85">
    <cfRule type="cellIs" dxfId="15530" priority="24450" operator="between">
      <formula>0.76</formula>
      <formula>0.95</formula>
    </cfRule>
    <cfRule type="cellIs" dxfId="15529" priority="24451" operator="between">
      <formula>0.51</formula>
      <formula>0.75</formula>
    </cfRule>
    <cfRule type="cellIs" dxfId="15528" priority="24452" operator="greaterThan">
      <formula>1</formula>
    </cfRule>
    <cfRule type="cellIs" dxfId="15527" priority="24453" operator="between">
      <formula>0.95</formula>
      <formula>1</formula>
    </cfRule>
    <cfRule type="cellIs" dxfId="15526" priority="24454" stopIfTrue="1" operator="between">
      <formula>0</formula>
      <formula>0.5</formula>
    </cfRule>
  </conditionalFormatting>
  <conditionalFormatting sqref="W86">
    <cfRule type="cellIs" dxfId="15525" priority="24445" operator="between">
      <formula>0.76</formula>
      <formula>0.95</formula>
    </cfRule>
    <cfRule type="cellIs" dxfId="15524" priority="24446" operator="between">
      <formula>0.51</formula>
      <formula>0.75</formula>
    </cfRule>
    <cfRule type="cellIs" dxfId="15523" priority="24447" operator="greaterThan">
      <formula>1</formula>
    </cfRule>
    <cfRule type="cellIs" dxfId="15522" priority="24448" operator="between">
      <formula>0.95</formula>
      <formula>1</formula>
    </cfRule>
    <cfRule type="cellIs" dxfId="15521" priority="24449" stopIfTrue="1" operator="between">
      <formula>0</formula>
      <formula>0.5</formula>
    </cfRule>
  </conditionalFormatting>
  <conditionalFormatting sqref="W89">
    <cfRule type="cellIs" dxfId="15520" priority="24440" operator="between">
      <formula>0.76</formula>
      <formula>0.95</formula>
    </cfRule>
    <cfRule type="cellIs" dxfId="15519" priority="24441" operator="between">
      <formula>0.51</formula>
      <formula>0.75</formula>
    </cfRule>
    <cfRule type="cellIs" dxfId="15518" priority="24442" operator="greaterThan">
      <formula>1</formula>
    </cfRule>
    <cfRule type="cellIs" dxfId="15517" priority="24443" operator="between">
      <formula>0.95</formula>
      <formula>1</formula>
    </cfRule>
    <cfRule type="cellIs" dxfId="15516" priority="24444" stopIfTrue="1" operator="between">
      <formula>0</formula>
      <formula>0.5</formula>
    </cfRule>
  </conditionalFormatting>
  <conditionalFormatting sqref="W90">
    <cfRule type="cellIs" dxfId="15515" priority="24435" operator="between">
      <formula>0.76</formula>
      <formula>0.95</formula>
    </cfRule>
    <cfRule type="cellIs" dxfId="15514" priority="24436" operator="between">
      <formula>0.51</formula>
      <formula>0.75</formula>
    </cfRule>
    <cfRule type="cellIs" dxfId="15513" priority="24437" operator="greaterThan">
      <formula>1</formula>
    </cfRule>
    <cfRule type="cellIs" dxfId="15512" priority="24438" operator="between">
      <formula>0.95</formula>
      <formula>1</formula>
    </cfRule>
    <cfRule type="cellIs" dxfId="15511" priority="24439" stopIfTrue="1" operator="between">
      <formula>0</formula>
      <formula>0.5</formula>
    </cfRule>
  </conditionalFormatting>
  <conditionalFormatting sqref="W91">
    <cfRule type="cellIs" dxfId="15510" priority="24430" operator="between">
      <formula>0.76</formula>
      <formula>0.95</formula>
    </cfRule>
    <cfRule type="cellIs" dxfId="15509" priority="24431" operator="between">
      <formula>0.51</formula>
      <formula>0.75</formula>
    </cfRule>
    <cfRule type="cellIs" dxfId="15508" priority="24432" operator="greaterThan">
      <formula>1</formula>
    </cfRule>
    <cfRule type="cellIs" dxfId="15507" priority="24433" operator="between">
      <formula>0.95</formula>
      <formula>1</formula>
    </cfRule>
    <cfRule type="cellIs" dxfId="15506" priority="24434" stopIfTrue="1" operator="between">
      <formula>0</formula>
      <formula>0.5</formula>
    </cfRule>
  </conditionalFormatting>
  <conditionalFormatting sqref="W92">
    <cfRule type="cellIs" dxfId="15505" priority="24425" operator="between">
      <formula>0.76</formula>
      <formula>0.95</formula>
    </cfRule>
    <cfRule type="cellIs" dxfId="15504" priority="24426" operator="between">
      <formula>0.51</formula>
      <formula>0.75</formula>
    </cfRule>
    <cfRule type="cellIs" dxfId="15503" priority="24427" operator="greaterThan">
      <formula>1</formula>
    </cfRule>
    <cfRule type="cellIs" dxfId="15502" priority="24428" operator="between">
      <formula>0.95</formula>
      <formula>1</formula>
    </cfRule>
    <cfRule type="cellIs" dxfId="15501" priority="24429" stopIfTrue="1" operator="between">
      <formula>0</formula>
      <formula>0.5</formula>
    </cfRule>
  </conditionalFormatting>
  <conditionalFormatting sqref="W93">
    <cfRule type="cellIs" dxfId="15500" priority="24420" operator="between">
      <formula>0.76</formula>
      <formula>0.95</formula>
    </cfRule>
    <cfRule type="cellIs" dxfId="15499" priority="24421" operator="between">
      <formula>0.51</formula>
      <formula>0.75</formula>
    </cfRule>
    <cfRule type="cellIs" dxfId="15498" priority="24422" operator="greaterThan">
      <formula>1</formula>
    </cfRule>
    <cfRule type="cellIs" dxfId="15497" priority="24423" operator="between">
      <formula>0.95</formula>
      <formula>1</formula>
    </cfRule>
    <cfRule type="cellIs" dxfId="15496" priority="24424" stopIfTrue="1" operator="between">
      <formula>0</formula>
      <formula>0.5</formula>
    </cfRule>
  </conditionalFormatting>
  <conditionalFormatting sqref="W94">
    <cfRule type="cellIs" dxfId="15495" priority="24410" operator="between">
      <formula>0.76</formula>
      <formula>0.95</formula>
    </cfRule>
    <cfRule type="cellIs" dxfId="15494" priority="24411" operator="between">
      <formula>0.51</formula>
      <formula>0.75</formula>
    </cfRule>
    <cfRule type="cellIs" dxfId="15493" priority="24412" operator="greaterThan">
      <formula>1</formula>
    </cfRule>
    <cfRule type="cellIs" dxfId="15492" priority="24413" operator="between">
      <formula>0.95</formula>
      <formula>1</formula>
    </cfRule>
    <cfRule type="cellIs" dxfId="15491" priority="24414" stopIfTrue="1" operator="between">
      <formula>0</formula>
      <formula>0.5</formula>
    </cfRule>
  </conditionalFormatting>
  <conditionalFormatting sqref="W99">
    <cfRule type="cellIs" dxfId="15490" priority="24400" operator="between">
      <formula>0.76</formula>
      <formula>0.95</formula>
    </cfRule>
    <cfRule type="cellIs" dxfId="15489" priority="24401" operator="between">
      <formula>0.51</formula>
      <formula>0.75</formula>
    </cfRule>
    <cfRule type="cellIs" dxfId="15488" priority="24402" operator="greaterThan">
      <formula>1</formula>
    </cfRule>
    <cfRule type="cellIs" dxfId="15487" priority="24403" operator="between">
      <formula>0.95</formula>
      <formula>1</formula>
    </cfRule>
    <cfRule type="cellIs" dxfId="15486" priority="24404" stopIfTrue="1" operator="between">
      <formula>0</formula>
      <formula>0.5</formula>
    </cfRule>
  </conditionalFormatting>
  <conditionalFormatting sqref="W102">
    <cfRule type="cellIs" dxfId="15485" priority="24395" operator="between">
      <formula>0.76</formula>
      <formula>0.95</formula>
    </cfRule>
    <cfRule type="cellIs" dxfId="15484" priority="24396" operator="between">
      <formula>0.51</formula>
      <formula>0.75</formula>
    </cfRule>
    <cfRule type="cellIs" dxfId="15483" priority="24397" operator="greaterThan">
      <formula>1</formula>
    </cfRule>
    <cfRule type="cellIs" dxfId="15482" priority="24398" operator="between">
      <formula>0.95</formula>
      <formula>1</formula>
    </cfRule>
    <cfRule type="cellIs" dxfId="15481" priority="24399" stopIfTrue="1" operator="between">
      <formula>0</formula>
      <formula>0.5</formula>
    </cfRule>
  </conditionalFormatting>
  <conditionalFormatting sqref="W103">
    <cfRule type="cellIs" dxfId="15480" priority="24390" operator="between">
      <formula>0.76</formula>
      <formula>0.95</formula>
    </cfRule>
    <cfRule type="cellIs" dxfId="15479" priority="24391" operator="between">
      <formula>0.51</formula>
      <formula>0.75</formula>
    </cfRule>
    <cfRule type="cellIs" dxfId="15478" priority="24392" operator="greaterThan">
      <formula>1</formula>
    </cfRule>
    <cfRule type="cellIs" dxfId="15477" priority="24393" operator="between">
      <formula>0.95</formula>
      <formula>1</formula>
    </cfRule>
    <cfRule type="cellIs" dxfId="15476" priority="24394" stopIfTrue="1" operator="between">
      <formula>0</formula>
      <formula>0.5</formula>
    </cfRule>
  </conditionalFormatting>
  <conditionalFormatting sqref="W107">
    <cfRule type="cellIs" dxfId="15475" priority="24385" operator="between">
      <formula>0.76</formula>
      <formula>0.95</formula>
    </cfRule>
    <cfRule type="cellIs" dxfId="15474" priority="24386" operator="between">
      <formula>0.51</formula>
      <formula>0.75</formula>
    </cfRule>
    <cfRule type="cellIs" dxfId="15473" priority="24387" operator="greaterThan">
      <formula>1</formula>
    </cfRule>
    <cfRule type="cellIs" dxfId="15472" priority="24388" operator="between">
      <formula>0.95</formula>
      <formula>1</formula>
    </cfRule>
    <cfRule type="cellIs" dxfId="15471" priority="24389" stopIfTrue="1" operator="between">
      <formula>0</formula>
      <formula>0.5</formula>
    </cfRule>
  </conditionalFormatting>
  <conditionalFormatting sqref="W108">
    <cfRule type="cellIs" dxfId="15470" priority="24380" operator="between">
      <formula>0.76</formula>
      <formula>0.95</formula>
    </cfRule>
    <cfRule type="cellIs" dxfId="15469" priority="24381" operator="between">
      <formula>0.51</formula>
      <formula>0.75</formula>
    </cfRule>
    <cfRule type="cellIs" dxfId="15468" priority="24382" operator="greaterThan">
      <formula>1</formula>
    </cfRule>
    <cfRule type="cellIs" dxfId="15467" priority="24383" operator="between">
      <formula>0.95</formula>
      <formula>1</formula>
    </cfRule>
    <cfRule type="cellIs" dxfId="15466" priority="24384" stopIfTrue="1" operator="between">
      <formula>0</formula>
      <formula>0.5</formula>
    </cfRule>
  </conditionalFormatting>
  <conditionalFormatting sqref="W109">
    <cfRule type="cellIs" dxfId="15465" priority="24375" operator="between">
      <formula>0.76</formula>
      <formula>0.95</formula>
    </cfRule>
    <cfRule type="cellIs" dxfId="15464" priority="24376" operator="between">
      <formula>0.51</formula>
      <formula>0.75</formula>
    </cfRule>
    <cfRule type="cellIs" dxfId="15463" priority="24377" operator="greaterThan">
      <formula>1</formula>
    </cfRule>
    <cfRule type="cellIs" dxfId="15462" priority="24378" operator="between">
      <formula>0.95</formula>
      <formula>1</formula>
    </cfRule>
    <cfRule type="cellIs" dxfId="15461" priority="24379" stopIfTrue="1" operator="between">
      <formula>0</formula>
      <formula>0.5</formula>
    </cfRule>
  </conditionalFormatting>
  <conditionalFormatting sqref="W110">
    <cfRule type="cellIs" dxfId="15460" priority="24370" operator="between">
      <formula>0.76</formula>
      <formula>0.95</formula>
    </cfRule>
    <cfRule type="cellIs" dxfId="15459" priority="24371" operator="between">
      <formula>0.51</formula>
      <formula>0.75</formula>
    </cfRule>
    <cfRule type="cellIs" dxfId="15458" priority="24372" operator="greaterThan">
      <formula>1</formula>
    </cfRule>
    <cfRule type="cellIs" dxfId="15457" priority="24373" operator="between">
      <formula>0.95</formula>
      <formula>1</formula>
    </cfRule>
    <cfRule type="cellIs" dxfId="15456" priority="24374" stopIfTrue="1" operator="between">
      <formula>0</formula>
      <formula>0.5</formula>
    </cfRule>
  </conditionalFormatting>
  <conditionalFormatting sqref="W112">
    <cfRule type="cellIs" dxfId="15455" priority="24365" operator="between">
      <formula>0.76</formula>
      <formula>0.95</formula>
    </cfRule>
    <cfRule type="cellIs" dxfId="15454" priority="24366" operator="between">
      <formula>0.51</formula>
      <formula>0.75</formula>
    </cfRule>
    <cfRule type="cellIs" dxfId="15453" priority="24367" operator="greaterThan">
      <formula>1</formula>
    </cfRule>
    <cfRule type="cellIs" dxfId="15452" priority="24368" operator="between">
      <formula>0.95</formula>
      <formula>1</formula>
    </cfRule>
    <cfRule type="cellIs" dxfId="15451" priority="24369" stopIfTrue="1" operator="between">
      <formula>0</formula>
      <formula>0.5</formula>
    </cfRule>
  </conditionalFormatting>
  <conditionalFormatting sqref="W113">
    <cfRule type="cellIs" dxfId="15450" priority="24355" operator="between">
      <formula>0.76</formula>
      <formula>0.95</formula>
    </cfRule>
    <cfRule type="cellIs" dxfId="15449" priority="24356" operator="between">
      <formula>0.51</formula>
      <formula>0.75</formula>
    </cfRule>
    <cfRule type="cellIs" dxfId="15448" priority="24357" operator="greaterThan">
      <formula>1</formula>
    </cfRule>
    <cfRule type="cellIs" dxfId="15447" priority="24358" operator="between">
      <formula>0.95</formula>
      <formula>1</formula>
    </cfRule>
    <cfRule type="cellIs" dxfId="15446" priority="24359" stopIfTrue="1" operator="between">
      <formula>0</formula>
      <formula>0.5</formula>
    </cfRule>
  </conditionalFormatting>
  <conditionalFormatting sqref="W116">
    <cfRule type="cellIs" dxfId="15445" priority="24345" operator="between">
      <formula>0.76</formula>
      <formula>0.95</formula>
    </cfRule>
    <cfRule type="cellIs" dxfId="15444" priority="24346" operator="between">
      <formula>0.51</formula>
      <formula>0.75</formula>
    </cfRule>
    <cfRule type="cellIs" dxfId="15443" priority="24347" operator="greaterThan">
      <formula>1</formula>
    </cfRule>
    <cfRule type="cellIs" dxfId="15442" priority="24348" operator="between">
      <formula>0.95</formula>
      <formula>1</formula>
    </cfRule>
    <cfRule type="cellIs" dxfId="15441" priority="24349" stopIfTrue="1" operator="between">
      <formula>0</formula>
      <formula>0.5</formula>
    </cfRule>
  </conditionalFormatting>
  <conditionalFormatting sqref="W118">
    <cfRule type="cellIs" dxfId="15440" priority="24335" operator="between">
      <formula>0.76</formula>
      <formula>0.95</formula>
    </cfRule>
    <cfRule type="cellIs" dxfId="15439" priority="24336" operator="between">
      <formula>0.51</formula>
      <formula>0.75</formula>
    </cfRule>
    <cfRule type="cellIs" dxfId="15438" priority="24337" operator="greaterThan">
      <formula>1</formula>
    </cfRule>
    <cfRule type="cellIs" dxfId="15437" priority="24338" operator="between">
      <formula>0.95</formula>
      <formula>1</formula>
    </cfRule>
    <cfRule type="cellIs" dxfId="15436" priority="24339" stopIfTrue="1" operator="between">
      <formula>0</formula>
      <formula>0.5</formula>
    </cfRule>
  </conditionalFormatting>
  <conditionalFormatting sqref="W219">
    <cfRule type="cellIs" dxfId="15435" priority="24090" operator="between">
      <formula>0.76</formula>
      <formula>0.95</formula>
    </cfRule>
    <cfRule type="cellIs" dxfId="15434" priority="24091" operator="between">
      <formula>0.51</formula>
      <formula>0.75</formula>
    </cfRule>
    <cfRule type="cellIs" dxfId="15433" priority="24092" operator="greaterThan">
      <formula>1</formula>
    </cfRule>
    <cfRule type="cellIs" dxfId="15432" priority="24093" operator="between">
      <formula>0.95</formula>
      <formula>1</formula>
    </cfRule>
    <cfRule type="cellIs" dxfId="15431" priority="24094" stopIfTrue="1" operator="between">
      <formula>0</formula>
      <formula>0.5</formula>
    </cfRule>
  </conditionalFormatting>
  <conditionalFormatting sqref="W120">
    <cfRule type="cellIs" dxfId="15430" priority="24325" operator="between">
      <formula>0.76</formula>
      <formula>0.95</formula>
    </cfRule>
    <cfRule type="cellIs" dxfId="15429" priority="24326" operator="between">
      <formula>0.51</formula>
      <formula>0.75</formula>
    </cfRule>
    <cfRule type="cellIs" dxfId="15428" priority="24327" operator="greaterThan">
      <formula>1</formula>
    </cfRule>
    <cfRule type="cellIs" dxfId="15427" priority="24328" operator="between">
      <formula>0.95</formula>
      <formula>1</formula>
    </cfRule>
    <cfRule type="cellIs" dxfId="15426" priority="24329" stopIfTrue="1" operator="between">
      <formula>0</formula>
      <formula>0.5</formula>
    </cfRule>
  </conditionalFormatting>
  <conditionalFormatting sqref="W121">
    <cfRule type="cellIs" dxfId="15425" priority="24320" operator="between">
      <formula>0.76</formula>
      <formula>0.95</formula>
    </cfRule>
    <cfRule type="cellIs" dxfId="15424" priority="24321" operator="between">
      <formula>0.51</formula>
      <formula>0.75</formula>
    </cfRule>
    <cfRule type="cellIs" dxfId="15423" priority="24322" operator="greaterThan">
      <formula>1</formula>
    </cfRule>
    <cfRule type="cellIs" dxfId="15422" priority="24323" operator="between">
      <formula>0.95</formula>
      <formula>1</formula>
    </cfRule>
    <cfRule type="cellIs" dxfId="15421" priority="24324" stopIfTrue="1" operator="between">
      <formula>0</formula>
      <formula>0.5</formula>
    </cfRule>
  </conditionalFormatting>
  <conditionalFormatting sqref="W122">
    <cfRule type="cellIs" dxfId="15420" priority="24315" operator="between">
      <formula>0.76</formula>
      <formula>0.95</formula>
    </cfRule>
    <cfRule type="cellIs" dxfId="15419" priority="24316" operator="between">
      <formula>0.51</formula>
      <formula>0.75</formula>
    </cfRule>
    <cfRule type="cellIs" dxfId="15418" priority="24317" operator="greaterThan">
      <formula>1</formula>
    </cfRule>
    <cfRule type="cellIs" dxfId="15417" priority="24318" operator="between">
      <formula>0.95</formula>
      <formula>1</formula>
    </cfRule>
    <cfRule type="cellIs" dxfId="15416" priority="24319" stopIfTrue="1" operator="between">
      <formula>0</formula>
      <formula>0.5</formula>
    </cfRule>
  </conditionalFormatting>
  <conditionalFormatting sqref="W123">
    <cfRule type="cellIs" dxfId="15415" priority="24310" operator="between">
      <formula>0.76</formula>
      <formula>0.95</formula>
    </cfRule>
    <cfRule type="cellIs" dxfId="15414" priority="24311" operator="between">
      <formula>0.51</formula>
      <formula>0.75</formula>
    </cfRule>
    <cfRule type="cellIs" dxfId="15413" priority="24312" operator="greaterThan">
      <formula>1</formula>
    </cfRule>
    <cfRule type="cellIs" dxfId="15412" priority="24313" operator="between">
      <formula>0.95</formula>
      <formula>1</formula>
    </cfRule>
    <cfRule type="cellIs" dxfId="15411" priority="24314" stopIfTrue="1" operator="between">
      <formula>0</formula>
      <formula>0.5</formula>
    </cfRule>
  </conditionalFormatting>
  <conditionalFormatting sqref="W124">
    <cfRule type="cellIs" dxfId="15410" priority="24305" operator="between">
      <formula>0.76</formula>
      <formula>0.95</formula>
    </cfRule>
    <cfRule type="cellIs" dxfId="15409" priority="24306" operator="between">
      <formula>0.51</formula>
      <formula>0.75</formula>
    </cfRule>
    <cfRule type="cellIs" dxfId="15408" priority="24307" operator="greaterThan">
      <formula>1</formula>
    </cfRule>
    <cfRule type="cellIs" dxfId="15407" priority="24308" operator="between">
      <formula>0.95</formula>
      <formula>1</formula>
    </cfRule>
    <cfRule type="cellIs" dxfId="15406" priority="24309" stopIfTrue="1" operator="between">
      <formula>0</formula>
      <formula>0.5</formula>
    </cfRule>
  </conditionalFormatting>
  <conditionalFormatting sqref="W144">
    <cfRule type="cellIs" dxfId="15405" priority="24300" operator="between">
      <formula>0.76</formula>
      <formula>0.95</formula>
    </cfRule>
    <cfRule type="cellIs" dxfId="15404" priority="24301" operator="between">
      <formula>0.51</formula>
      <formula>0.75</formula>
    </cfRule>
    <cfRule type="cellIs" dxfId="15403" priority="24302" operator="greaterThan">
      <formula>1</formula>
    </cfRule>
    <cfRule type="cellIs" dxfId="15402" priority="24303" operator="between">
      <formula>0.95</formula>
      <formula>1</formula>
    </cfRule>
    <cfRule type="cellIs" dxfId="15401" priority="24304" stopIfTrue="1" operator="between">
      <formula>0</formula>
      <formula>0.5</formula>
    </cfRule>
  </conditionalFormatting>
  <conditionalFormatting sqref="W151">
    <cfRule type="cellIs" dxfId="15400" priority="24295" operator="between">
      <formula>0.76</formula>
      <formula>0.95</formula>
    </cfRule>
    <cfRule type="cellIs" dxfId="15399" priority="24296" operator="between">
      <formula>0.51</formula>
      <formula>0.75</formula>
    </cfRule>
    <cfRule type="cellIs" dxfId="15398" priority="24297" operator="greaterThan">
      <formula>1</formula>
    </cfRule>
    <cfRule type="cellIs" dxfId="15397" priority="24298" operator="between">
      <formula>0.95</formula>
      <formula>1</formula>
    </cfRule>
    <cfRule type="cellIs" dxfId="15396" priority="24299" stopIfTrue="1" operator="between">
      <formula>0</formula>
      <formula>0.5</formula>
    </cfRule>
  </conditionalFormatting>
  <conditionalFormatting sqref="W152">
    <cfRule type="cellIs" dxfId="15395" priority="24290" operator="between">
      <formula>0.76</formula>
      <formula>0.95</formula>
    </cfRule>
    <cfRule type="cellIs" dxfId="15394" priority="24291" operator="between">
      <formula>0.51</formula>
      <formula>0.75</formula>
    </cfRule>
    <cfRule type="cellIs" dxfId="15393" priority="24292" operator="greaterThan">
      <formula>1</formula>
    </cfRule>
    <cfRule type="cellIs" dxfId="15392" priority="24293" operator="between">
      <formula>0.95</formula>
      <formula>1</formula>
    </cfRule>
    <cfRule type="cellIs" dxfId="15391" priority="24294" stopIfTrue="1" operator="between">
      <formula>0</formula>
      <formula>0.5</formula>
    </cfRule>
  </conditionalFormatting>
  <conditionalFormatting sqref="W155">
    <cfRule type="cellIs" dxfId="15390" priority="24280" operator="between">
      <formula>0.76</formula>
      <formula>0.95</formula>
    </cfRule>
    <cfRule type="cellIs" dxfId="15389" priority="24281" operator="between">
      <formula>0.51</formula>
      <formula>0.75</formula>
    </cfRule>
    <cfRule type="cellIs" dxfId="15388" priority="24282" operator="greaterThan">
      <formula>1</formula>
    </cfRule>
    <cfRule type="cellIs" dxfId="15387" priority="24283" operator="between">
      <formula>0.95</formula>
      <formula>1</formula>
    </cfRule>
    <cfRule type="cellIs" dxfId="15386" priority="24284" stopIfTrue="1" operator="between">
      <formula>0</formula>
      <formula>0.5</formula>
    </cfRule>
  </conditionalFormatting>
  <conditionalFormatting sqref="W166">
    <cfRule type="cellIs" dxfId="15385" priority="24275" operator="between">
      <formula>0.76</formula>
      <formula>0.95</formula>
    </cfRule>
    <cfRule type="cellIs" dxfId="15384" priority="24276" operator="between">
      <formula>0.51</formula>
      <formula>0.75</formula>
    </cfRule>
    <cfRule type="cellIs" dxfId="15383" priority="24277" operator="greaterThan">
      <formula>1</formula>
    </cfRule>
    <cfRule type="cellIs" dxfId="15382" priority="24278" operator="between">
      <formula>0.95</formula>
      <formula>1</formula>
    </cfRule>
    <cfRule type="cellIs" dxfId="15381" priority="24279" stopIfTrue="1" operator="between">
      <formula>0</formula>
      <formula>0.5</formula>
    </cfRule>
  </conditionalFormatting>
  <conditionalFormatting sqref="W177">
    <cfRule type="cellIs" dxfId="15380" priority="24270" operator="between">
      <formula>0.76</formula>
      <formula>0.95</formula>
    </cfRule>
    <cfRule type="cellIs" dxfId="15379" priority="24271" operator="between">
      <formula>0.51</formula>
      <formula>0.75</formula>
    </cfRule>
    <cfRule type="cellIs" dxfId="15378" priority="24272" operator="greaterThan">
      <formula>1</formula>
    </cfRule>
    <cfRule type="cellIs" dxfId="15377" priority="24273" operator="between">
      <formula>0.95</formula>
      <formula>1</formula>
    </cfRule>
    <cfRule type="cellIs" dxfId="15376" priority="24274" stopIfTrue="1" operator="between">
      <formula>0</formula>
      <formula>0.5</formula>
    </cfRule>
  </conditionalFormatting>
  <conditionalFormatting sqref="W183">
    <cfRule type="cellIs" dxfId="15375" priority="24265" operator="between">
      <formula>0.76</formula>
      <formula>0.95</formula>
    </cfRule>
    <cfRule type="cellIs" dxfId="15374" priority="24266" operator="between">
      <formula>0.51</formula>
      <formula>0.75</formula>
    </cfRule>
    <cfRule type="cellIs" dxfId="15373" priority="24267" operator="greaterThan">
      <formula>1</formula>
    </cfRule>
    <cfRule type="cellIs" dxfId="15372" priority="24268" operator="between">
      <formula>0.95</formula>
      <formula>1</formula>
    </cfRule>
    <cfRule type="cellIs" dxfId="15371" priority="24269" stopIfTrue="1" operator="between">
      <formula>0</formula>
      <formula>0.5</formula>
    </cfRule>
  </conditionalFormatting>
  <conditionalFormatting sqref="W184">
    <cfRule type="cellIs" dxfId="15370" priority="24260" operator="between">
      <formula>0.76</formula>
      <formula>0.95</formula>
    </cfRule>
    <cfRule type="cellIs" dxfId="15369" priority="24261" operator="between">
      <formula>0.51</formula>
      <formula>0.75</formula>
    </cfRule>
    <cfRule type="cellIs" dxfId="15368" priority="24262" operator="greaterThan">
      <formula>1</formula>
    </cfRule>
    <cfRule type="cellIs" dxfId="15367" priority="24263" operator="between">
      <formula>0.95</formula>
      <formula>1</formula>
    </cfRule>
    <cfRule type="cellIs" dxfId="15366" priority="24264" stopIfTrue="1" operator="between">
      <formula>0</formula>
      <formula>0.5</formula>
    </cfRule>
  </conditionalFormatting>
  <conditionalFormatting sqref="W185">
    <cfRule type="cellIs" dxfId="15365" priority="24255" operator="between">
      <formula>0.76</formula>
      <formula>0.95</formula>
    </cfRule>
    <cfRule type="cellIs" dxfId="15364" priority="24256" operator="between">
      <formula>0.51</formula>
      <formula>0.75</formula>
    </cfRule>
    <cfRule type="cellIs" dxfId="15363" priority="24257" operator="greaterThan">
      <formula>1</formula>
    </cfRule>
    <cfRule type="cellIs" dxfId="15362" priority="24258" operator="between">
      <formula>0.95</formula>
      <formula>1</formula>
    </cfRule>
    <cfRule type="cellIs" dxfId="15361" priority="24259" stopIfTrue="1" operator="between">
      <formula>0</formula>
      <formula>0.5</formula>
    </cfRule>
  </conditionalFormatting>
  <conditionalFormatting sqref="W186">
    <cfRule type="cellIs" dxfId="15360" priority="24250" operator="between">
      <formula>0.76</formula>
      <formula>0.95</formula>
    </cfRule>
    <cfRule type="cellIs" dxfId="15359" priority="24251" operator="between">
      <formula>0.51</formula>
      <formula>0.75</formula>
    </cfRule>
    <cfRule type="cellIs" dxfId="15358" priority="24252" operator="greaterThan">
      <formula>1</formula>
    </cfRule>
    <cfRule type="cellIs" dxfId="15357" priority="24253" operator="between">
      <formula>0.95</formula>
      <formula>1</formula>
    </cfRule>
    <cfRule type="cellIs" dxfId="15356" priority="24254" stopIfTrue="1" operator="between">
      <formula>0</formula>
      <formula>0.5</formula>
    </cfRule>
  </conditionalFormatting>
  <conditionalFormatting sqref="W187">
    <cfRule type="cellIs" dxfId="15355" priority="24245" operator="between">
      <formula>0.76</formula>
      <formula>0.95</formula>
    </cfRule>
    <cfRule type="cellIs" dxfId="15354" priority="24246" operator="between">
      <formula>0.51</formula>
      <formula>0.75</formula>
    </cfRule>
    <cfRule type="cellIs" dxfId="15353" priority="24247" operator="greaterThan">
      <formula>1</formula>
    </cfRule>
    <cfRule type="cellIs" dxfId="15352" priority="24248" operator="between">
      <formula>0.95</formula>
      <formula>1</formula>
    </cfRule>
    <cfRule type="cellIs" dxfId="15351" priority="24249" stopIfTrue="1" operator="between">
      <formula>0</formula>
      <formula>0.5</formula>
    </cfRule>
  </conditionalFormatting>
  <conditionalFormatting sqref="W188">
    <cfRule type="cellIs" dxfId="15350" priority="24240" operator="between">
      <formula>0.76</formula>
      <formula>0.95</formula>
    </cfRule>
    <cfRule type="cellIs" dxfId="15349" priority="24241" operator="between">
      <formula>0.51</formula>
      <formula>0.75</formula>
    </cfRule>
    <cfRule type="cellIs" dxfId="15348" priority="24242" operator="greaterThan">
      <formula>1</formula>
    </cfRule>
    <cfRule type="cellIs" dxfId="15347" priority="24243" operator="between">
      <formula>0.95</formula>
      <formula>1</formula>
    </cfRule>
    <cfRule type="cellIs" dxfId="15346" priority="24244" stopIfTrue="1" operator="between">
      <formula>0</formula>
      <formula>0.5</formula>
    </cfRule>
  </conditionalFormatting>
  <conditionalFormatting sqref="W189">
    <cfRule type="cellIs" dxfId="15345" priority="24235" operator="between">
      <formula>0.76</formula>
      <formula>0.95</formula>
    </cfRule>
    <cfRule type="cellIs" dxfId="15344" priority="24236" operator="between">
      <formula>0.51</formula>
      <formula>0.75</formula>
    </cfRule>
    <cfRule type="cellIs" dxfId="15343" priority="24237" operator="greaterThan">
      <formula>1</formula>
    </cfRule>
    <cfRule type="cellIs" dxfId="15342" priority="24238" operator="between">
      <formula>0.95</formula>
      <formula>1</formula>
    </cfRule>
    <cfRule type="cellIs" dxfId="15341" priority="24239" stopIfTrue="1" operator="between">
      <formula>0</formula>
      <formula>0.5</formula>
    </cfRule>
  </conditionalFormatting>
  <conditionalFormatting sqref="W190">
    <cfRule type="cellIs" dxfId="15340" priority="24230" operator="between">
      <formula>0.76</formula>
      <formula>0.95</formula>
    </cfRule>
    <cfRule type="cellIs" dxfId="15339" priority="24231" operator="between">
      <formula>0.51</formula>
      <formula>0.75</formula>
    </cfRule>
    <cfRule type="cellIs" dxfId="15338" priority="24232" operator="greaterThan">
      <formula>1</formula>
    </cfRule>
    <cfRule type="cellIs" dxfId="15337" priority="24233" operator="between">
      <formula>0.95</formula>
      <formula>1</formula>
    </cfRule>
    <cfRule type="cellIs" dxfId="15336" priority="24234" stopIfTrue="1" operator="between">
      <formula>0</formula>
      <formula>0.5</formula>
    </cfRule>
  </conditionalFormatting>
  <conditionalFormatting sqref="W191">
    <cfRule type="cellIs" dxfId="15335" priority="24225" operator="between">
      <formula>0.76</formula>
      <formula>0.95</formula>
    </cfRule>
    <cfRule type="cellIs" dxfId="15334" priority="24226" operator="between">
      <formula>0.51</formula>
      <formula>0.75</formula>
    </cfRule>
    <cfRule type="cellIs" dxfId="15333" priority="24227" operator="greaterThan">
      <formula>1</formula>
    </cfRule>
    <cfRule type="cellIs" dxfId="15332" priority="24228" operator="between">
      <formula>0.95</formula>
      <formula>1</formula>
    </cfRule>
    <cfRule type="cellIs" dxfId="15331" priority="24229" stopIfTrue="1" operator="between">
      <formula>0</formula>
      <formula>0.5</formula>
    </cfRule>
  </conditionalFormatting>
  <conditionalFormatting sqref="W192">
    <cfRule type="cellIs" dxfId="15330" priority="24220" operator="between">
      <formula>0.76</formula>
      <formula>0.95</formula>
    </cfRule>
    <cfRule type="cellIs" dxfId="15329" priority="24221" operator="between">
      <formula>0.51</formula>
      <formula>0.75</formula>
    </cfRule>
    <cfRule type="cellIs" dxfId="15328" priority="24222" operator="greaterThan">
      <formula>1</formula>
    </cfRule>
    <cfRule type="cellIs" dxfId="15327" priority="24223" operator="between">
      <formula>0.95</formula>
      <formula>1</formula>
    </cfRule>
    <cfRule type="cellIs" dxfId="15326" priority="24224" stopIfTrue="1" operator="between">
      <formula>0</formula>
      <formula>0.5</formula>
    </cfRule>
  </conditionalFormatting>
  <conditionalFormatting sqref="W193">
    <cfRule type="cellIs" dxfId="15325" priority="24215" operator="between">
      <formula>0.76</formula>
      <formula>0.95</formula>
    </cfRule>
    <cfRule type="cellIs" dxfId="15324" priority="24216" operator="between">
      <formula>0.51</formula>
      <formula>0.75</formula>
    </cfRule>
    <cfRule type="cellIs" dxfId="15323" priority="24217" operator="greaterThan">
      <formula>1</formula>
    </cfRule>
    <cfRule type="cellIs" dxfId="15322" priority="24218" operator="between">
      <formula>0.95</formula>
      <formula>1</formula>
    </cfRule>
    <cfRule type="cellIs" dxfId="15321" priority="24219" stopIfTrue="1" operator="between">
      <formula>0</formula>
      <formula>0.5</formula>
    </cfRule>
  </conditionalFormatting>
  <conditionalFormatting sqref="W194">
    <cfRule type="cellIs" dxfId="15320" priority="24210" operator="between">
      <formula>0.76</formula>
      <formula>0.95</formula>
    </cfRule>
    <cfRule type="cellIs" dxfId="15319" priority="24211" operator="between">
      <formula>0.51</formula>
      <formula>0.75</formula>
    </cfRule>
    <cfRule type="cellIs" dxfId="15318" priority="24212" operator="greaterThan">
      <formula>1</formula>
    </cfRule>
    <cfRule type="cellIs" dxfId="15317" priority="24213" operator="between">
      <formula>0.95</formula>
      <formula>1</formula>
    </cfRule>
    <cfRule type="cellIs" dxfId="15316" priority="24214" stopIfTrue="1" operator="between">
      <formula>0</formula>
      <formula>0.5</formula>
    </cfRule>
  </conditionalFormatting>
  <conditionalFormatting sqref="W195">
    <cfRule type="cellIs" dxfId="15315" priority="24205" operator="between">
      <formula>0.76</formula>
      <formula>0.95</formula>
    </cfRule>
    <cfRule type="cellIs" dxfId="15314" priority="24206" operator="between">
      <formula>0.51</formula>
      <formula>0.75</formula>
    </cfRule>
    <cfRule type="cellIs" dxfId="15313" priority="24207" operator="greaterThan">
      <formula>1</formula>
    </cfRule>
    <cfRule type="cellIs" dxfId="15312" priority="24208" operator="between">
      <formula>0.95</formula>
      <formula>1</formula>
    </cfRule>
    <cfRule type="cellIs" dxfId="15311" priority="24209" stopIfTrue="1" operator="between">
      <formula>0</formula>
      <formula>0.5</formula>
    </cfRule>
  </conditionalFormatting>
  <conditionalFormatting sqref="W196">
    <cfRule type="cellIs" dxfId="15310" priority="24200" operator="between">
      <formula>0.76</formula>
      <formula>0.95</formula>
    </cfRule>
    <cfRule type="cellIs" dxfId="15309" priority="24201" operator="between">
      <formula>0.51</formula>
      <formula>0.75</formula>
    </cfRule>
    <cfRule type="cellIs" dxfId="15308" priority="24202" operator="greaterThan">
      <formula>1</formula>
    </cfRule>
    <cfRule type="cellIs" dxfId="15307" priority="24203" operator="between">
      <formula>0.95</formula>
      <formula>1</formula>
    </cfRule>
    <cfRule type="cellIs" dxfId="15306" priority="24204" stopIfTrue="1" operator="between">
      <formula>0</formula>
      <formula>0.5</formula>
    </cfRule>
  </conditionalFormatting>
  <conditionalFormatting sqref="W197">
    <cfRule type="cellIs" dxfId="15305" priority="24195" operator="between">
      <formula>0.76</formula>
      <formula>0.95</formula>
    </cfRule>
    <cfRule type="cellIs" dxfId="15304" priority="24196" operator="between">
      <formula>0.51</formula>
      <formula>0.75</formula>
    </cfRule>
    <cfRule type="cellIs" dxfId="15303" priority="24197" operator="greaterThan">
      <formula>1</formula>
    </cfRule>
    <cfRule type="cellIs" dxfId="15302" priority="24198" operator="between">
      <formula>0.95</formula>
      <formula>1</formula>
    </cfRule>
    <cfRule type="cellIs" dxfId="15301" priority="24199" stopIfTrue="1" operator="between">
      <formula>0</formula>
      <formula>0.5</formula>
    </cfRule>
  </conditionalFormatting>
  <conditionalFormatting sqref="W198">
    <cfRule type="cellIs" dxfId="15300" priority="24190" operator="between">
      <formula>0.76</formula>
      <formula>0.95</formula>
    </cfRule>
    <cfRule type="cellIs" dxfId="15299" priority="24191" operator="between">
      <formula>0.51</formula>
      <formula>0.75</formula>
    </cfRule>
    <cfRule type="cellIs" dxfId="15298" priority="24192" operator="greaterThan">
      <formula>1</formula>
    </cfRule>
    <cfRule type="cellIs" dxfId="15297" priority="24193" operator="between">
      <formula>0.95</formula>
      <formula>1</formula>
    </cfRule>
    <cfRule type="cellIs" dxfId="15296" priority="24194" stopIfTrue="1" operator="between">
      <formula>0</formula>
      <formula>0.5</formula>
    </cfRule>
  </conditionalFormatting>
  <conditionalFormatting sqref="W199">
    <cfRule type="cellIs" dxfId="15295" priority="24185" operator="between">
      <formula>0.76</formula>
      <formula>0.95</formula>
    </cfRule>
    <cfRule type="cellIs" dxfId="15294" priority="24186" operator="between">
      <formula>0.51</formula>
      <formula>0.75</formula>
    </cfRule>
    <cfRule type="cellIs" dxfId="15293" priority="24187" operator="greaterThan">
      <formula>1</formula>
    </cfRule>
    <cfRule type="cellIs" dxfId="15292" priority="24188" operator="between">
      <formula>0.95</formula>
      <formula>1</formula>
    </cfRule>
    <cfRule type="cellIs" dxfId="15291" priority="24189" stopIfTrue="1" operator="between">
      <formula>0</formula>
      <formula>0.5</formula>
    </cfRule>
  </conditionalFormatting>
  <conditionalFormatting sqref="W200">
    <cfRule type="cellIs" dxfId="15290" priority="24180" operator="between">
      <formula>0.76</formula>
      <formula>0.95</formula>
    </cfRule>
    <cfRule type="cellIs" dxfId="15289" priority="24181" operator="between">
      <formula>0.51</formula>
      <formula>0.75</formula>
    </cfRule>
    <cfRule type="cellIs" dxfId="15288" priority="24182" operator="greaterThan">
      <formula>1</formula>
    </cfRule>
    <cfRule type="cellIs" dxfId="15287" priority="24183" operator="between">
      <formula>0.95</formula>
      <formula>1</formula>
    </cfRule>
    <cfRule type="cellIs" dxfId="15286" priority="24184" stopIfTrue="1" operator="between">
      <formula>0</formula>
      <formula>0.5</formula>
    </cfRule>
  </conditionalFormatting>
  <conditionalFormatting sqref="W202">
    <cfRule type="cellIs" dxfId="15285" priority="24175" operator="between">
      <formula>0.76</formula>
      <formula>0.95</formula>
    </cfRule>
    <cfRule type="cellIs" dxfId="15284" priority="24176" operator="between">
      <formula>0.51</formula>
      <formula>0.75</formula>
    </cfRule>
    <cfRule type="cellIs" dxfId="15283" priority="24177" operator="greaterThan">
      <formula>1</formula>
    </cfRule>
    <cfRule type="cellIs" dxfId="15282" priority="24178" operator="between">
      <formula>0.95</formula>
      <formula>1</formula>
    </cfRule>
    <cfRule type="cellIs" dxfId="15281" priority="24179" stopIfTrue="1" operator="between">
      <formula>0</formula>
      <formula>0.5</formula>
    </cfRule>
  </conditionalFormatting>
  <conditionalFormatting sqref="W203">
    <cfRule type="cellIs" dxfId="15280" priority="24170" operator="between">
      <formula>0.76</formula>
      <formula>0.95</formula>
    </cfRule>
    <cfRule type="cellIs" dxfId="15279" priority="24171" operator="between">
      <formula>0.51</formula>
      <formula>0.75</formula>
    </cfRule>
    <cfRule type="cellIs" dxfId="15278" priority="24172" operator="greaterThan">
      <formula>1</formula>
    </cfRule>
    <cfRule type="cellIs" dxfId="15277" priority="24173" operator="between">
      <formula>0.95</formula>
      <formula>1</formula>
    </cfRule>
    <cfRule type="cellIs" dxfId="15276" priority="24174" stopIfTrue="1" operator="between">
      <formula>0</formula>
      <formula>0.5</formula>
    </cfRule>
  </conditionalFormatting>
  <conditionalFormatting sqref="W204">
    <cfRule type="cellIs" dxfId="15275" priority="24165" operator="between">
      <formula>0.76</formula>
      <formula>0.95</formula>
    </cfRule>
    <cfRule type="cellIs" dxfId="15274" priority="24166" operator="between">
      <formula>0.51</formula>
      <formula>0.75</formula>
    </cfRule>
    <cfRule type="cellIs" dxfId="15273" priority="24167" operator="greaterThan">
      <formula>1</formula>
    </cfRule>
    <cfRule type="cellIs" dxfId="15272" priority="24168" operator="between">
      <formula>0.95</formula>
      <formula>1</formula>
    </cfRule>
    <cfRule type="cellIs" dxfId="15271" priority="24169" stopIfTrue="1" operator="between">
      <formula>0</formula>
      <formula>0.5</formula>
    </cfRule>
  </conditionalFormatting>
  <conditionalFormatting sqref="W205">
    <cfRule type="cellIs" dxfId="15270" priority="24160" operator="between">
      <formula>0.76</formula>
      <formula>0.95</formula>
    </cfRule>
    <cfRule type="cellIs" dxfId="15269" priority="24161" operator="between">
      <formula>0.51</formula>
      <formula>0.75</formula>
    </cfRule>
    <cfRule type="cellIs" dxfId="15268" priority="24162" operator="greaterThan">
      <formula>1</formula>
    </cfRule>
    <cfRule type="cellIs" dxfId="15267" priority="24163" operator="between">
      <formula>0.95</formula>
      <formula>1</formula>
    </cfRule>
    <cfRule type="cellIs" dxfId="15266" priority="24164" stopIfTrue="1" operator="between">
      <formula>0</formula>
      <formula>0.5</formula>
    </cfRule>
  </conditionalFormatting>
  <conditionalFormatting sqref="W206">
    <cfRule type="cellIs" dxfId="15265" priority="24155" operator="between">
      <formula>0.76</formula>
      <formula>0.95</formula>
    </cfRule>
    <cfRule type="cellIs" dxfId="15264" priority="24156" operator="between">
      <formula>0.51</formula>
      <formula>0.75</formula>
    </cfRule>
    <cfRule type="cellIs" dxfId="15263" priority="24157" operator="greaterThan">
      <formula>1</formula>
    </cfRule>
    <cfRule type="cellIs" dxfId="15262" priority="24158" operator="between">
      <formula>0.95</formula>
      <formula>1</formula>
    </cfRule>
    <cfRule type="cellIs" dxfId="15261" priority="24159" stopIfTrue="1" operator="between">
      <formula>0</formula>
      <formula>0.5</formula>
    </cfRule>
  </conditionalFormatting>
  <conditionalFormatting sqref="W207">
    <cfRule type="cellIs" dxfId="15260" priority="24150" operator="between">
      <formula>0.76</formula>
      <formula>0.95</formula>
    </cfRule>
    <cfRule type="cellIs" dxfId="15259" priority="24151" operator="between">
      <formula>0.51</formula>
      <formula>0.75</formula>
    </cfRule>
    <cfRule type="cellIs" dxfId="15258" priority="24152" operator="greaterThan">
      <formula>1</formula>
    </cfRule>
    <cfRule type="cellIs" dxfId="15257" priority="24153" operator="between">
      <formula>0.95</formula>
      <formula>1</formula>
    </cfRule>
    <cfRule type="cellIs" dxfId="15256" priority="24154" stopIfTrue="1" operator="between">
      <formula>0</formula>
      <formula>0.5</formula>
    </cfRule>
  </conditionalFormatting>
  <conditionalFormatting sqref="W208">
    <cfRule type="cellIs" dxfId="15255" priority="24145" operator="between">
      <formula>0.76</formula>
      <formula>0.95</formula>
    </cfRule>
    <cfRule type="cellIs" dxfId="15254" priority="24146" operator="between">
      <formula>0.51</formula>
      <formula>0.75</formula>
    </cfRule>
    <cfRule type="cellIs" dxfId="15253" priority="24147" operator="greaterThan">
      <formula>1</formula>
    </cfRule>
    <cfRule type="cellIs" dxfId="15252" priority="24148" operator="between">
      <formula>0.95</formula>
      <formula>1</formula>
    </cfRule>
    <cfRule type="cellIs" dxfId="15251" priority="24149" stopIfTrue="1" operator="between">
      <formula>0</formula>
      <formula>0.5</formula>
    </cfRule>
  </conditionalFormatting>
  <conditionalFormatting sqref="W210">
    <cfRule type="cellIs" dxfId="15250" priority="24140" operator="between">
      <formula>0.76</formula>
      <formula>0.95</formula>
    </cfRule>
    <cfRule type="cellIs" dxfId="15249" priority="24141" operator="between">
      <formula>0.51</formula>
      <formula>0.75</formula>
    </cfRule>
    <cfRule type="cellIs" dxfId="15248" priority="24142" operator="greaterThan">
      <formula>1</formula>
    </cfRule>
    <cfRule type="cellIs" dxfId="15247" priority="24143" operator="between">
      <formula>0.95</formula>
      <formula>1</formula>
    </cfRule>
    <cfRule type="cellIs" dxfId="15246" priority="24144" stopIfTrue="1" operator="between">
      <formula>0</formula>
      <formula>0.5</formula>
    </cfRule>
  </conditionalFormatting>
  <conditionalFormatting sqref="W209">
    <cfRule type="cellIs" dxfId="15245" priority="24135" operator="between">
      <formula>0.76</formula>
      <formula>0.95</formula>
    </cfRule>
    <cfRule type="cellIs" dxfId="15244" priority="24136" operator="between">
      <formula>0.51</formula>
      <formula>0.75</formula>
    </cfRule>
    <cfRule type="cellIs" dxfId="15243" priority="24137" operator="greaterThan">
      <formula>1</formula>
    </cfRule>
    <cfRule type="cellIs" dxfId="15242" priority="24138" operator="between">
      <formula>0.95</formula>
      <formula>1</formula>
    </cfRule>
    <cfRule type="cellIs" dxfId="15241" priority="24139" stopIfTrue="1" operator="between">
      <formula>0</formula>
      <formula>0.5</formula>
    </cfRule>
  </conditionalFormatting>
  <conditionalFormatting sqref="W211">
    <cfRule type="cellIs" dxfId="15240" priority="24130" operator="between">
      <formula>0.76</formula>
      <formula>0.95</formula>
    </cfRule>
    <cfRule type="cellIs" dxfId="15239" priority="24131" operator="between">
      <formula>0.51</formula>
      <formula>0.75</formula>
    </cfRule>
    <cfRule type="cellIs" dxfId="15238" priority="24132" operator="greaterThan">
      <formula>1</formula>
    </cfRule>
    <cfRule type="cellIs" dxfId="15237" priority="24133" operator="between">
      <formula>0.95</formula>
      <formula>1</formula>
    </cfRule>
    <cfRule type="cellIs" dxfId="15236" priority="24134" stopIfTrue="1" operator="between">
      <formula>0</formula>
      <formula>0.5</formula>
    </cfRule>
  </conditionalFormatting>
  <conditionalFormatting sqref="W212">
    <cfRule type="cellIs" dxfId="15235" priority="24125" operator="between">
      <formula>0.76</formula>
      <formula>0.95</formula>
    </cfRule>
    <cfRule type="cellIs" dxfId="15234" priority="24126" operator="between">
      <formula>0.51</formula>
      <formula>0.75</formula>
    </cfRule>
    <cfRule type="cellIs" dxfId="15233" priority="24127" operator="greaterThan">
      <formula>1</formula>
    </cfRule>
    <cfRule type="cellIs" dxfId="15232" priority="24128" operator="between">
      <formula>0.95</formula>
      <formula>1</formula>
    </cfRule>
    <cfRule type="cellIs" dxfId="15231" priority="24129" stopIfTrue="1" operator="between">
      <formula>0</formula>
      <formula>0.5</formula>
    </cfRule>
  </conditionalFormatting>
  <conditionalFormatting sqref="W213">
    <cfRule type="cellIs" dxfId="15230" priority="24120" operator="between">
      <formula>0.76</formula>
      <formula>0.95</formula>
    </cfRule>
    <cfRule type="cellIs" dxfId="15229" priority="24121" operator="between">
      <formula>0.51</formula>
      <formula>0.75</formula>
    </cfRule>
    <cfRule type="cellIs" dxfId="15228" priority="24122" operator="greaterThan">
      <formula>1</formula>
    </cfRule>
    <cfRule type="cellIs" dxfId="15227" priority="24123" operator="between">
      <formula>0.95</formula>
      <formula>1</formula>
    </cfRule>
    <cfRule type="cellIs" dxfId="15226" priority="24124" stopIfTrue="1" operator="between">
      <formula>0</formula>
      <formula>0.5</formula>
    </cfRule>
  </conditionalFormatting>
  <conditionalFormatting sqref="W214">
    <cfRule type="cellIs" dxfId="15225" priority="24115" operator="between">
      <formula>0.76</formula>
      <formula>0.95</formula>
    </cfRule>
    <cfRule type="cellIs" dxfId="15224" priority="24116" operator="between">
      <formula>0.51</formula>
      <formula>0.75</formula>
    </cfRule>
    <cfRule type="cellIs" dxfId="15223" priority="24117" operator="greaterThan">
      <formula>1</formula>
    </cfRule>
    <cfRule type="cellIs" dxfId="15222" priority="24118" operator="between">
      <formula>0.95</formula>
      <formula>1</formula>
    </cfRule>
    <cfRule type="cellIs" dxfId="15221" priority="24119" stopIfTrue="1" operator="between">
      <formula>0</formula>
      <formula>0.5</formula>
    </cfRule>
  </conditionalFormatting>
  <conditionalFormatting sqref="W215">
    <cfRule type="cellIs" dxfId="15220" priority="24110" operator="between">
      <formula>0.76</formula>
      <formula>0.95</formula>
    </cfRule>
    <cfRule type="cellIs" dxfId="15219" priority="24111" operator="between">
      <formula>0.51</formula>
      <formula>0.75</formula>
    </cfRule>
    <cfRule type="cellIs" dxfId="15218" priority="24112" operator="greaterThan">
      <formula>1</formula>
    </cfRule>
    <cfRule type="cellIs" dxfId="15217" priority="24113" operator="between">
      <formula>0.95</formula>
      <formula>1</formula>
    </cfRule>
    <cfRule type="cellIs" dxfId="15216" priority="24114" stopIfTrue="1" operator="between">
      <formula>0</formula>
      <formula>0.5</formula>
    </cfRule>
  </conditionalFormatting>
  <conditionalFormatting sqref="W216">
    <cfRule type="cellIs" dxfId="15215" priority="24105" operator="between">
      <formula>0.76</formula>
      <formula>0.95</formula>
    </cfRule>
    <cfRule type="cellIs" dxfId="15214" priority="24106" operator="between">
      <formula>0.51</formula>
      <formula>0.75</formula>
    </cfRule>
    <cfRule type="cellIs" dxfId="15213" priority="24107" operator="greaterThan">
      <formula>1</formula>
    </cfRule>
    <cfRule type="cellIs" dxfId="15212" priority="24108" operator="between">
      <formula>0.95</formula>
      <formula>1</formula>
    </cfRule>
    <cfRule type="cellIs" dxfId="15211" priority="24109" stopIfTrue="1" operator="between">
      <formula>0</formula>
      <formula>0.5</formula>
    </cfRule>
  </conditionalFormatting>
  <conditionalFormatting sqref="W217">
    <cfRule type="cellIs" dxfId="15210" priority="24100" operator="between">
      <formula>0.76</formula>
      <formula>0.95</formula>
    </cfRule>
    <cfRule type="cellIs" dxfId="15209" priority="24101" operator="between">
      <formula>0.51</formula>
      <formula>0.75</formula>
    </cfRule>
    <cfRule type="cellIs" dxfId="15208" priority="24102" operator="greaterThan">
      <formula>1</formula>
    </cfRule>
    <cfRule type="cellIs" dxfId="15207" priority="24103" operator="between">
      <formula>0.95</formula>
      <formula>1</formula>
    </cfRule>
    <cfRule type="cellIs" dxfId="15206" priority="24104" stopIfTrue="1" operator="between">
      <formula>0</formula>
      <formula>0.5</formula>
    </cfRule>
  </conditionalFormatting>
  <conditionalFormatting sqref="W218">
    <cfRule type="cellIs" dxfId="15205" priority="24095" operator="between">
      <formula>0.76</formula>
      <formula>0.95</formula>
    </cfRule>
    <cfRule type="cellIs" dxfId="15204" priority="24096" operator="between">
      <formula>0.51</formula>
      <formula>0.75</formula>
    </cfRule>
    <cfRule type="cellIs" dxfId="15203" priority="24097" operator="greaterThan">
      <formula>1</formula>
    </cfRule>
    <cfRule type="cellIs" dxfId="15202" priority="24098" operator="between">
      <formula>0.95</formula>
      <formula>1</formula>
    </cfRule>
    <cfRule type="cellIs" dxfId="15201" priority="24099" stopIfTrue="1" operator="between">
      <formula>0</formula>
      <formula>0.5</formula>
    </cfRule>
  </conditionalFormatting>
  <conditionalFormatting sqref="W220">
    <cfRule type="cellIs" dxfId="15200" priority="24085" operator="between">
      <formula>0.76</formula>
      <formula>0.95</formula>
    </cfRule>
    <cfRule type="cellIs" dxfId="15199" priority="24086" operator="between">
      <formula>0.51</formula>
      <formula>0.75</formula>
    </cfRule>
    <cfRule type="cellIs" dxfId="15198" priority="24087" operator="greaterThan">
      <formula>1</formula>
    </cfRule>
    <cfRule type="cellIs" dxfId="15197" priority="24088" operator="between">
      <formula>0.95</formula>
      <formula>1</formula>
    </cfRule>
    <cfRule type="cellIs" dxfId="15196" priority="24089" stopIfTrue="1" operator="between">
      <formula>0</formula>
      <formula>0.5</formula>
    </cfRule>
  </conditionalFormatting>
  <conditionalFormatting sqref="W221">
    <cfRule type="cellIs" dxfId="15195" priority="24080" operator="between">
      <formula>0.76</formula>
      <formula>0.95</formula>
    </cfRule>
    <cfRule type="cellIs" dxfId="15194" priority="24081" operator="between">
      <formula>0.51</formula>
      <formula>0.75</formula>
    </cfRule>
    <cfRule type="cellIs" dxfId="15193" priority="24082" operator="greaterThan">
      <formula>1</formula>
    </cfRule>
    <cfRule type="cellIs" dxfId="15192" priority="24083" operator="between">
      <formula>0.95</formula>
      <formula>1</formula>
    </cfRule>
    <cfRule type="cellIs" dxfId="15191" priority="24084" stopIfTrue="1" operator="between">
      <formula>0</formula>
      <formula>0.5</formula>
    </cfRule>
  </conditionalFormatting>
  <conditionalFormatting sqref="W222">
    <cfRule type="cellIs" dxfId="15190" priority="24075" operator="between">
      <formula>0.76</formula>
      <formula>0.95</formula>
    </cfRule>
    <cfRule type="cellIs" dxfId="15189" priority="24076" operator="between">
      <formula>0.51</formula>
      <formula>0.75</formula>
    </cfRule>
    <cfRule type="cellIs" dxfId="15188" priority="24077" operator="greaterThan">
      <formula>1</formula>
    </cfRule>
    <cfRule type="cellIs" dxfId="15187" priority="24078" operator="between">
      <formula>0.95</formula>
      <formula>1</formula>
    </cfRule>
    <cfRule type="cellIs" dxfId="15186" priority="24079" stopIfTrue="1" operator="between">
      <formula>0</formula>
      <formula>0.5</formula>
    </cfRule>
  </conditionalFormatting>
  <conditionalFormatting sqref="W223">
    <cfRule type="cellIs" dxfId="15185" priority="24070" operator="between">
      <formula>0.76</formula>
      <formula>0.95</formula>
    </cfRule>
    <cfRule type="cellIs" dxfId="15184" priority="24071" operator="between">
      <formula>0.51</formula>
      <formula>0.75</formula>
    </cfRule>
    <cfRule type="cellIs" dxfId="15183" priority="24072" operator="greaterThan">
      <formula>1</formula>
    </cfRule>
    <cfRule type="cellIs" dxfId="15182" priority="24073" operator="between">
      <formula>0.95</formula>
      <formula>1</formula>
    </cfRule>
    <cfRule type="cellIs" dxfId="15181" priority="24074" stopIfTrue="1" operator="between">
      <formula>0</formula>
      <formula>0.5</formula>
    </cfRule>
  </conditionalFormatting>
  <conditionalFormatting sqref="W224">
    <cfRule type="cellIs" dxfId="15180" priority="24065" operator="between">
      <formula>0.76</formula>
      <formula>0.95</formula>
    </cfRule>
    <cfRule type="cellIs" dxfId="15179" priority="24066" operator="between">
      <formula>0.51</formula>
      <formula>0.75</formula>
    </cfRule>
    <cfRule type="cellIs" dxfId="15178" priority="24067" operator="greaterThan">
      <formula>1</formula>
    </cfRule>
    <cfRule type="cellIs" dxfId="15177" priority="24068" operator="between">
      <formula>0.95</formula>
      <formula>1</formula>
    </cfRule>
    <cfRule type="cellIs" dxfId="15176" priority="24069" stopIfTrue="1" operator="between">
      <formula>0</formula>
      <formula>0.5</formula>
    </cfRule>
  </conditionalFormatting>
  <conditionalFormatting sqref="W225">
    <cfRule type="cellIs" dxfId="15175" priority="24060" operator="between">
      <formula>0.76</formula>
      <formula>0.95</formula>
    </cfRule>
    <cfRule type="cellIs" dxfId="15174" priority="24061" operator="between">
      <formula>0.51</formula>
      <formula>0.75</formula>
    </cfRule>
    <cfRule type="cellIs" dxfId="15173" priority="24062" operator="greaterThan">
      <formula>1</formula>
    </cfRule>
    <cfRule type="cellIs" dxfId="15172" priority="24063" operator="between">
      <formula>0.95</formula>
      <formula>1</formula>
    </cfRule>
    <cfRule type="cellIs" dxfId="15171" priority="24064" stopIfTrue="1" operator="between">
      <formula>0</formula>
      <formula>0.5</formula>
    </cfRule>
  </conditionalFormatting>
  <conditionalFormatting sqref="W226">
    <cfRule type="cellIs" dxfId="15170" priority="24055" operator="between">
      <formula>0.76</formula>
      <formula>0.95</formula>
    </cfRule>
    <cfRule type="cellIs" dxfId="15169" priority="24056" operator="between">
      <formula>0.51</formula>
      <formula>0.75</formula>
    </cfRule>
    <cfRule type="cellIs" dxfId="15168" priority="24057" operator="greaterThan">
      <formula>1</formula>
    </cfRule>
    <cfRule type="cellIs" dxfId="15167" priority="24058" operator="between">
      <formula>0.95</formula>
      <formula>1</formula>
    </cfRule>
    <cfRule type="cellIs" dxfId="15166" priority="24059" stopIfTrue="1" operator="between">
      <formula>0</formula>
      <formula>0.5</formula>
    </cfRule>
  </conditionalFormatting>
  <conditionalFormatting sqref="W227">
    <cfRule type="cellIs" dxfId="15165" priority="24050" operator="between">
      <formula>0.76</formula>
      <formula>0.95</formula>
    </cfRule>
    <cfRule type="cellIs" dxfId="15164" priority="24051" operator="between">
      <formula>0.51</formula>
      <formula>0.75</formula>
    </cfRule>
    <cfRule type="cellIs" dxfId="15163" priority="24052" operator="greaterThan">
      <formula>1</formula>
    </cfRule>
    <cfRule type="cellIs" dxfId="15162" priority="24053" operator="between">
      <formula>0.95</formula>
      <formula>1</formula>
    </cfRule>
    <cfRule type="cellIs" dxfId="15161" priority="24054" stopIfTrue="1" operator="between">
      <formula>0</formula>
      <formula>0.5</formula>
    </cfRule>
  </conditionalFormatting>
  <conditionalFormatting sqref="W228">
    <cfRule type="cellIs" dxfId="15160" priority="24045" operator="between">
      <formula>0.76</formula>
      <formula>0.95</formula>
    </cfRule>
    <cfRule type="cellIs" dxfId="15159" priority="24046" operator="between">
      <formula>0.51</formula>
      <formula>0.75</formula>
    </cfRule>
    <cfRule type="cellIs" dxfId="15158" priority="24047" operator="greaterThan">
      <formula>1</formula>
    </cfRule>
    <cfRule type="cellIs" dxfId="15157" priority="24048" operator="between">
      <formula>0.95</formula>
      <formula>1</formula>
    </cfRule>
    <cfRule type="cellIs" dxfId="15156" priority="24049" stopIfTrue="1" operator="between">
      <formula>0</formula>
      <formula>0.5</formula>
    </cfRule>
  </conditionalFormatting>
  <conditionalFormatting sqref="W229">
    <cfRule type="cellIs" dxfId="15155" priority="24040" operator="between">
      <formula>0.76</formula>
      <formula>0.95</formula>
    </cfRule>
    <cfRule type="cellIs" dxfId="15154" priority="24041" operator="between">
      <formula>0.51</formula>
      <formula>0.75</formula>
    </cfRule>
    <cfRule type="cellIs" dxfId="15153" priority="24042" operator="greaterThan">
      <formula>1</formula>
    </cfRule>
    <cfRule type="cellIs" dxfId="15152" priority="24043" operator="between">
      <formula>0.95</formula>
      <formula>1</formula>
    </cfRule>
    <cfRule type="cellIs" dxfId="15151" priority="24044" stopIfTrue="1" operator="between">
      <formula>0</formula>
      <formula>0.5</formula>
    </cfRule>
  </conditionalFormatting>
  <conditionalFormatting sqref="W230">
    <cfRule type="cellIs" dxfId="15150" priority="24035" operator="between">
      <formula>0.76</formula>
      <formula>0.95</formula>
    </cfRule>
    <cfRule type="cellIs" dxfId="15149" priority="24036" operator="between">
      <formula>0.51</formula>
      <formula>0.75</formula>
    </cfRule>
    <cfRule type="cellIs" dxfId="15148" priority="24037" operator="greaterThan">
      <formula>1</formula>
    </cfRule>
    <cfRule type="cellIs" dxfId="15147" priority="24038" operator="between">
      <formula>0.95</formula>
      <formula>1</formula>
    </cfRule>
    <cfRule type="cellIs" dxfId="15146" priority="24039" stopIfTrue="1" operator="between">
      <formula>0</formula>
      <formula>0.5</formula>
    </cfRule>
  </conditionalFormatting>
  <conditionalFormatting sqref="W231">
    <cfRule type="cellIs" dxfId="15145" priority="24030" operator="between">
      <formula>0.76</formula>
      <formula>0.95</formula>
    </cfRule>
    <cfRule type="cellIs" dxfId="15144" priority="24031" operator="between">
      <formula>0.51</formula>
      <formula>0.75</formula>
    </cfRule>
    <cfRule type="cellIs" dxfId="15143" priority="24032" operator="greaterThan">
      <formula>1</formula>
    </cfRule>
    <cfRule type="cellIs" dxfId="15142" priority="24033" operator="between">
      <formula>0.95</formula>
      <formula>1</formula>
    </cfRule>
    <cfRule type="cellIs" dxfId="15141" priority="24034" stopIfTrue="1" operator="between">
      <formula>0</formula>
      <formula>0.5</formula>
    </cfRule>
  </conditionalFormatting>
  <conditionalFormatting sqref="W232">
    <cfRule type="cellIs" dxfId="15140" priority="24025" operator="between">
      <formula>0.76</formula>
      <formula>0.95</formula>
    </cfRule>
    <cfRule type="cellIs" dxfId="15139" priority="24026" operator="between">
      <formula>0.51</formula>
      <formula>0.75</formula>
    </cfRule>
    <cfRule type="cellIs" dxfId="15138" priority="24027" operator="greaterThan">
      <formula>1</formula>
    </cfRule>
    <cfRule type="cellIs" dxfId="15137" priority="24028" operator="between">
      <formula>0.95</formula>
      <formula>1</formula>
    </cfRule>
    <cfRule type="cellIs" dxfId="15136" priority="24029" stopIfTrue="1" operator="between">
      <formula>0</formula>
      <formula>0.5</formula>
    </cfRule>
  </conditionalFormatting>
  <conditionalFormatting sqref="W234">
    <cfRule type="cellIs" dxfId="15135" priority="24020" operator="between">
      <formula>0.76</formula>
      <formula>0.95</formula>
    </cfRule>
    <cfRule type="cellIs" dxfId="15134" priority="24021" operator="between">
      <formula>0.51</formula>
      <formula>0.75</formula>
    </cfRule>
    <cfRule type="cellIs" dxfId="15133" priority="24022" operator="greaterThan">
      <formula>1</formula>
    </cfRule>
    <cfRule type="cellIs" dxfId="15132" priority="24023" operator="between">
      <formula>0.95</formula>
      <formula>1</formula>
    </cfRule>
    <cfRule type="cellIs" dxfId="15131" priority="24024" stopIfTrue="1" operator="between">
      <formula>0</formula>
      <formula>0.5</formula>
    </cfRule>
  </conditionalFormatting>
  <conditionalFormatting sqref="W233">
    <cfRule type="cellIs" dxfId="15130" priority="24015" operator="between">
      <formula>0.76</formula>
      <formula>0.95</formula>
    </cfRule>
    <cfRule type="cellIs" dxfId="15129" priority="24016" operator="between">
      <formula>0.51</formula>
      <formula>0.75</formula>
    </cfRule>
    <cfRule type="cellIs" dxfId="15128" priority="24017" operator="greaterThan">
      <formula>1</formula>
    </cfRule>
    <cfRule type="cellIs" dxfId="15127" priority="24018" operator="between">
      <formula>0.95</formula>
      <formula>1</formula>
    </cfRule>
    <cfRule type="cellIs" dxfId="15126" priority="24019" stopIfTrue="1" operator="between">
      <formula>0</formula>
      <formula>0.5</formula>
    </cfRule>
  </conditionalFormatting>
  <conditionalFormatting sqref="W235">
    <cfRule type="cellIs" dxfId="15125" priority="24010" operator="between">
      <formula>0.76</formula>
      <formula>0.95</formula>
    </cfRule>
    <cfRule type="cellIs" dxfId="15124" priority="24011" operator="between">
      <formula>0.51</formula>
      <formula>0.75</formula>
    </cfRule>
    <cfRule type="cellIs" dxfId="15123" priority="24012" operator="greaterThan">
      <formula>1</formula>
    </cfRule>
    <cfRule type="cellIs" dxfId="15122" priority="24013" operator="between">
      <formula>0.95</formula>
      <formula>1</formula>
    </cfRule>
    <cfRule type="cellIs" dxfId="15121" priority="24014" stopIfTrue="1" operator="between">
      <formula>0</formula>
      <formula>0.5</formula>
    </cfRule>
  </conditionalFormatting>
  <conditionalFormatting sqref="W236">
    <cfRule type="cellIs" dxfId="15120" priority="24005" operator="between">
      <formula>0.76</formula>
      <formula>0.95</formula>
    </cfRule>
    <cfRule type="cellIs" dxfId="15119" priority="24006" operator="between">
      <formula>0.51</formula>
      <formula>0.75</formula>
    </cfRule>
    <cfRule type="cellIs" dxfId="15118" priority="24007" operator="greaterThan">
      <formula>1</formula>
    </cfRule>
    <cfRule type="cellIs" dxfId="15117" priority="24008" operator="between">
      <formula>0.95</formula>
      <formula>1</formula>
    </cfRule>
    <cfRule type="cellIs" dxfId="15116" priority="24009" stopIfTrue="1" operator="between">
      <formula>0</formula>
      <formula>0.5</formula>
    </cfRule>
  </conditionalFormatting>
  <conditionalFormatting sqref="W237">
    <cfRule type="cellIs" dxfId="15115" priority="24000" operator="between">
      <formula>0.76</formula>
      <formula>0.95</formula>
    </cfRule>
    <cfRule type="cellIs" dxfId="15114" priority="24001" operator="between">
      <formula>0.51</formula>
      <formula>0.75</formula>
    </cfRule>
    <cfRule type="cellIs" dxfId="15113" priority="24002" operator="greaterThan">
      <formula>1</formula>
    </cfRule>
    <cfRule type="cellIs" dxfId="15112" priority="24003" operator="between">
      <formula>0.95</formula>
      <formula>1</formula>
    </cfRule>
    <cfRule type="cellIs" dxfId="15111" priority="24004" stopIfTrue="1" operator="between">
      <formula>0</formula>
      <formula>0.5</formula>
    </cfRule>
  </conditionalFormatting>
  <conditionalFormatting sqref="W239">
    <cfRule type="cellIs" dxfId="15110" priority="23995" operator="between">
      <formula>0.76</formula>
      <formula>0.95</formula>
    </cfRule>
    <cfRule type="cellIs" dxfId="15109" priority="23996" operator="between">
      <formula>0.51</formula>
      <formula>0.75</formula>
    </cfRule>
    <cfRule type="cellIs" dxfId="15108" priority="23997" operator="greaterThan">
      <formula>1</formula>
    </cfRule>
    <cfRule type="cellIs" dxfId="15107" priority="23998" operator="between">
      <formula>0.95</formula>
      <formula>1</formula>
    </cfRule>
    <cfRule type="cellIs" dxfId="15106" priority="23999" stopIfTrue="1" operator="between">
      <formula>0</formula>
      <formula>0.5</formula>
    </cfRule>
  </conditionalFormatting>
  <conditionalFormatting sqref="W323">
    <cfRule type="cellIs" dxfId="15105" priority="23830" operator="between">
      <formula>0.76</formula>
      <formula>0.95</formula>
    </cfRule>
    <cfRule type="cellIs" dxfId="15104" priority="23831" operator="between">
      <formula>0.51</formula>
      <formula>0.75</formula>
    </cfRule>
    <cfRule type="cellIs" dxfId="15103" priority="23832" operator="greaterThan">
      <formula>1</formula>
    </cfRule>
    <cfRule type="cellIs" dxfId="15102" priority="23833" operator="between">
      <formula>0.95</formula>
      <formula>1</formula>
    </cfRule>
    <cfRule type="cellIs" dxfId="15101" priority="23834" stopIfTrue="1" operator="between">
      <formula>0</formula>
      <formula>0.5</formula>
    </cfRule>
  </conditionalFormatting>
  <conditionalFormatting sqref="W240">
    <cfRule type="cellIs" dxfId="15100" priority="23985" operator="between">
      <formula>0.76</formula>
      <formula>0.95</formula>
    </cfRule>
    <cfRule type="cellIs" dxfId="15099" priority="23986" operator="between">
      <formula>0.51</formula>
      <formula>0.75</formula>
    </cfRule>
    <cfRule type="cellIs" dxfId="15098" priority="23987" operator="greaterThan">
      <formula>1</formula>
    </cfRule>
    <cfRule type="cellIs" dxfId="15097" priority="23988" operator="between">
      <formula>0.95</formula>
      <formula>1</formula>
    </cfRule>
    <cfRule type="cellIs" dxfId="15096" priority="23989" stopIfTrue="1" operator="between">
      <formula>0</formula>
      <formula>0.5</formula>
    </cfRule>
  </conditionalFormatting>
  <conditionalFormatting sqref="W243">
    <cfRule type="cellIs" dxfId="15095" priority="23975" operator="between">
      <formula>0.76</formula>
      <formula>0.95</formula>
    </cfRule>
    <cfRule type="cellIs" dxfId="15094" priority="23976" operator="between">
      <formula>0.51</formula>
      <formula>0.75</formula>
    </cfRule>
    <cfRule type="cellIs" dxfId="15093" priority="23977" operator="greaterThan">
      <formula>1</formula>
    </cfRule>
    <cfRule type="cellIs" dxfId="15092" priority="23978" operator="between">
      <formula>0.95</formula>
      <formula>1</formula>
    </cfRule>
    <cfRule type="cellIs" dxfId="15091" priority="23979" stopIfTrue="1" operator="between">
      <formula>0</formula>
      <formula>0.5</formula>
    </cfRule>
  </conditionalFormatting>
  <conditionalFormatting sqref="W244">
    <cfRule type="cellIs" dxfId="15090" priority="23970" operator="between">
      <formula>0.76</formula>
      <formula>0.95</formula>
    </cfRule>
    <cfRule type="cellIs" dxfId="15089" priority="23971" operator="between">
      <formula>0.51</formula>
      <formula>0.75</formula>
    </cfRule>
    <cfRule type="cellIs" dxfId="15088" priority="23972" operator="greaterThan">
      <formula>1</formula>
    </cfRule>
    <cfRule type="cellIs" dxfId="15087" priority="23973" operator="between">
      <formula>0.95</formula>
      <formula>1</formula>
    </cfRule>
    <cfRule type="cellIs" dxfId="15086" priority="23974" stopIfTrue="1" operator="between">
      <formula>0</formula>
      <formula>0.5</formula>
    </cfRule>
  </conditionalFormatting>
  <conditionalFormatting sqref="W247">
    <cfRule type="cellIs" dxfId="15085" priority="23965" operator="between">
      <formula>0.76</formula>
      <formula>0.95</formula>
    </cfRule>
    <cfRule type="cellIs" dxfId="15084" priority="23966" operator="between">
      <formula>0.51</formula>
      <formula>0.75</formula>
    </cfRule>
    <cfRule type="cellIs" dxfId="15083" priority="23967" operator="greaterThan">
      <formula>1</formula>
    </cfRule>
    <cfRule type="cellIs" dxfId="15082" priority="23968" operator="between">
      <formula>0.95</formula>
      <formula>1</formula>
    </cfRule>
    <cfRule type="cellIs" dxfId="15081" priority="23969" stopIfTrue="1" operator="between">
      <formula>0</formula>
      <formula>0.5</formula>
    </cfRule>
  </conditionalFormatting>
  <conditionalFormatting sqref="W248">
    <cfRule type="cellIs" dxfId="15080" priority="23960" operator="between">
      <formula>0.76</formula>
      <formula>0.95</formula>
    </cfRule>
    <cfRule type="cellIs" dxfId="15079" priority="23961" operator="between">
      <formula>0.51</formula>
      <formula>0.75</formula>
    </cfRule>
    <cfRule type="cellIs" dxfId="15078" priority="23962" operator="greaterThan">
      <formula>1</formula>
    </cfRule>
    <cfRule type="cellIs" dxfId="15077" priority="23963" operator="between">
      <formula>0.95</formula>
      <formula>1</formula>
    </cfRule>
    <cfRule type="cellIs" dxfId="15076" priority="23964" stopIfTrue="1" operator="between">
      <formula>0</formula>
      <formula>0.5</formula>
    </cfRule>
  </conditionalFormatting>
  <conditionalFormatting sqref="W251">
    <cfRule type="cellIs" dxfId="15075" priority="23955" operator="between">
      <formula>0.76</formula>
      <formula>0.95</formula>
    </cfRule>
    <cfRule type="cellIs" dxfId="15074" priority="23956" operator="between">
      <formula>0.51</formula>
      <formula>0.75</formula>
    </cfRule>
    <cfRule type="cellIs" dxfId="15073" priority="23957" operator="greaterThan">
      <formula>1</formula>
    </cfRule>
    <cfRule type="cellIs" dxfId="15072" priority="23958" operator="between">
      <formula>0.95</formula>
      <formula>1</formula>
    </cfRule>
    <cfRule type="cellIs" dxfId="15071" priority="23959" stopIfTrue="1" operator="between">
      <formula>0</formula>
      <formula>0.5</formula>
    </cfRule>
  </conditionalFormatting>
  <conditionalFormatting sqref="W252">
    <cfRule type="cellIs" dxfId="15070" priority="23950" operator="between">
      <formula>0.76</formula>
      <formula>0.95</formula>
    </cfRule>
    <cfRule type="cellIs" dxfId="15069" priority="23951" operator="between">
      <formula>0.51</formula>
      <formula>0.75</formula>
    </cfRule>
    <cfRule type="cellIs" dxfId="15068" priority="23952" operator="greaterThan">
      <formula>1</formula>
    </cfRule>
    <cfRule type="cellIs" dxfId="15067" priority="23953" operator="between">
      <formula>0.95</formula>
      <formula>1</formula>
    </cfRule>
    <cfRule type="cellIs" dxfId="15066" priority="23954" stopIfTrue="1" operator="between">
      <formula>0</formula>
      <formula>0.5</formula>
    </cfRule>
  </conditionalFormatting>
  <conditionalFormatting sqref="W257">
    <cfRule type="cellIs" dxfId="15065" priority="23945" operator="between">
      <formula>0.76</formula>
      <formula>0.95</formula>
    </cfRule>
    <cfRule type="cellIs" dxfId="15064" priority="23946" operator="between">
      <formula>0.51</formula>
      <formula>0.75</formula>
    </cfRule>
    <cfRule type="cellIs" dxfId="15063" priority="23947" operator="greaterThan">
      <formula>1</formula>
    </cfRule>
    <cfRule type="cellIs" dxfId="15062" priority="23948" operator="between">
      <formula>0.95</formula>
      <formula>1</formula>
    </cfRule>
    <cfRule type="cellIs" dxfId="15061" priority="23949" stopIfTrue="1" operator="between">
      <formula>0</formula>
      <formula>0.5</formula>
    </cfRule>
  </conditionalFormatting>
  <conditionalFormatting sqref="W258">
    <cfRule type="cellIs" dxfId="15060" priority="23940" operator="between">
      <formula>0.76</formula>
      <formula>0.95</formula>
    </cfRule>
    <cfRule type="cellIs" dxfId="15059" priority="23941" operator="between">
      <formula>0.51</formula>
      <formula>0.75</formula>
    </cfRule>
    <cfRule type="cellIs" dxfId="15058" priority="23942" operator="greaterThan">
      <formula>1</formula>
    </cfRule>
    <cfRule type="cellIs" dxfId="15057" priority="23943" operator="between">
      <formula>0.95</formula>
      <formula>1</formula>
    </cfRule>
    <cfRule type="cellIs" dxfId="15056" priority="23944" stopIfTrue="1" operator="between">
      <formula>0</formula>
      <formula>0.5</formula>
    </cfRule>
  </conditionalFormatting>
  <conditionalFormatting sqref="W259">
    <cfRule type="cellIs" dxfId="15055" priority="23935" operator="between">
      <formula>0.76</formula>
      <formula>0.95</formula>
    </cfRule>
    <cfRule type="cellIs" dxfId="15054" priority="23936" operator="between">
      <formula>0.51</formula>
      <formula>0.75</formula>
    </cfRule>
    <cfRule type="cellIs" dxfId="15053" priority="23937" operator="greaterThan">
      <formula>1</formula>
    </cfRule>
    <cfRule type="cellIs" dxfId="15052" priority="23938" operator="between">
      <formula>0.95</formula>
      <formula>1</formula>
    </cfRule>
    <cfRule type="cellIs" dxfId="15051" priority="23939" stopIfTrue="1" operator="between">
      <formula>0</formula>
      <formula>0.5</formula>
    </cfRule>
  </conditionalFormatting>
  <conditionalFormatting sqref="W260">
    <cfRule type="cellIs" dxfId="15050" priority="23930" operator="between">
      <formula>0.76</formula>
      <formula>0.95</formula>
    </cfRule>
    <cfRule type="cellIs" dxfId="15049" priority="23931" operator="between">
      <formula>0.51</formula>
      <formula>0.75</formula>
    </cfRule>
    <cfRule type="cellIs" dxfId="15048" priority="23932" operator="greaterThan">
      <formula>1</formula>
    </cfRule>
    <cfRule type="cellIs" dxfId="15047" priority="23933" operator="between">
      <formula>0.95</formula>
      <formula>1</formula>
    </cfRule>
    <cfRule type="cellIs" dxfId="15046" priority="23934" stopIfTrue="1" operator="between">
      <formula>0</formula>
      <formula>0.5</formula>
    </cfRule>
  </conditionalFormatting>
  <conditionalFormatting sqref="W261">
    <cfRule type="cellIs" dxfId="15045" priority="23925" operator="between">
      <formula>0.76</formula>
      <formula>0.95</formula>
    </cfRule>
    <cfRule type="cellIs" dxfId="15044" priority="23926" operator="between">
      <formula>0.51</formula>
      <formula>0.75</formula>
    </cfRule>
    <cfRule type="cellIs" dxfId="15043" priority="23927" operator="greaterThan">
      <formula>1</formula>
    </cfRule>
    <cfRule type="cellIs" dxfId="15042" priority="23928" operator="between">
      <formula>0.95</formula>
      <formula>1</formula>
    </cfRule>
    <cfRule type="cellIs" dxfId="15041" priority="23929" stopIfTrue="1" operator="between">
      <formula>0</formula>
      <formula>0.5</formula>
    </cfRule>
  </conditionalFormatting>
  <conditionalFormatting sqref="W262">
    <cfRule type="cellIs" dxfId="15040" priority="23920" operator="between">
      <formula>0.76</formula>
      <formula>0.95</formula>
    </cfRule>
    <cfRule type="cellIs" dxfId="15039" priority="23921" operator="between">
      <formula>0.51</formula>
      <formula>0.75</formula>
    </cfRule>
    <cfRule type="cellIs" dxfId="15038" priority="23922" operator="greaterThan">
      <formula>1</formula>
    </cfRule>
    <cfRule type="cellIs" dxfId="15037" priority="23923" operator="between">
      <formula>0.95</formula>
      <formula>1</formula>
    </cfRule>
    <cfRule type="cellIs" dxfId="15036" priority="23924" stopIfTrue="1" operator="between">
      <formula>0</formula>
      <formula>0.5</formula>
    </cfRule>
  </conditionalFormatting>
  <conditionalFormatting sqref="W277">
    <cfRule type="cellIs" dxfId="15035" priority="23915" operator="between">
      <formula>0.76</formula>
      <formula>0.95</formula>
    </cfRule>
    <cfRule type="cellIs" dxfId="15034" priority="23916" operator="between">
      <formula>0.51</formula>
      <formula>0.75</formula>
    </cfRule>
    <cfRule type="cellIs" dxfId="15033" priority="23917" operator="greaterThan">
      <formula>1</formula>
    </cfRule>
    <cfRule type="cellIs" dxfId="15032" priority="23918" operator="between">
      <formula>0.95</formula>
      <formula>1</formula>
    </cfRule>
    <cfRule type="cellIs" dxfId="15031" priority="23919" stopIfTrue="1" operator="between">
      <formula>0</formula>
      <formula>0.5</formula>
    </cfRule>
  </conditionalFormatting>
  <conditionalFormatting sqref="W278">
    <cfRule type="cellIs" dxfId="15030" priority="23910" operator="between">
      <formula>0.76</formula>
      <formula>0.95</formula>
    </cfRule>
    <cfRule type="cellIs" dxfId="15029" priority="23911" operator="between">
      <formula>0.51</formula>
      <formula>0.75</formula>
    </cfRule>
    <cfRule type="cellIs" dxfId="15028" priority="23912" operator="greaterThan">
      <formula>1</formula>
    </cfRule>
    <cfRule type="cellIs" dxfId="15027" priority="23913" operator="between">
      <formula>0.95</formula>
      <formula>1</formula>
    </cfRule>
    <cfRule type="cellIs" dxfId="15026" priority="23914" stopIfTrue="1" operator="between">
      <formula>0</formula>
      <formula>0.5</formula>
    </cfRule>
  </conditionalFormatting>
  <conditionalFormatting sqref="W280">
    <cfRule type="cellIs" dxfId="15025" priority="23900" operator="between">
      <formula>0.76</formula>
      <formula>0.95</formula>
    </cfRule>
    <cfRule type="cellIs" dxfId="15024" priority="23901" operator="between">
      <formula>0.51</formula>
      <formula>0.75</formula>
    </cfRule>
    <cfRule type="cellIs" dxfId="15023" priority="23902" operator="greaterThan">
      <formula>1</formula>
    </cfRule>
    <cfRule type="cellIs" dxfId="15022" priority="23903" operator="between">
      <formula>0.95</formula>
      <formula>1</formula>
    </cfRule>
    <cfRule type="cellIs" dxfId="15021" priority="23904" stopIfTrue="1" operator="between">
      <formula>0</formula>
      <formula>0.5</formula>
    </cfRule>
  </conditionalFormatting>
  <conditionalFormatting sqref="W279">
    <cfRule type="cellIs" dxfId="15020" priority="23895" operator="between">
      <formula>0.76</formula>
      <formula>0.95</formula>
    </cfRule>
    <cfRule type="cellIs" dxfId="15019" priority="23896" operator="between">
      <formula>0.51</formula>
      <formula>0.75</formula>
    </cfRule>
    <cfRule type="cellIs" dxfId="15018" priority="23897" operator="greaterThan">
      <formula>1</formula>
    </cfRule>
    <cfRule type="cellIs" dxfId="15017" priority="23898" operator="between">
      <formula>0.95</formula>
      <formula>1</formula>
    </cfRule>
    <cfRule type="cellIs" dxfId="15016" priority="23899" stopIfTrue="1" operator="between">
      <formula>0</formula>
      <formula>0.5</formula>
    </cfRule>
  </conditionalFormatting>
  <conditionalFormatting sqref="W281">
    <cfRule type="cellIs" dxfId="15015" priority="23890" operator="between">
      <formula>0.76</formula>
      <formula>0.95</formula>
    </cfRule>
    <cfRule type="cellIs" dxfId="15014" priority="23891" operator="between">
      <formula>0.51</formula>
      <formula>0.75</formula>
    </cfRule>
    <cfRule type="cellIs" dxfId="15013" priority="23892" operator="greaterThan">
      <formula>1</formula>
    </cfRule>
    <cfRule type="cellIs" dxfId="15012" priority="23893" operator="between">
      <formula>0.95</formula>
      <formula>1</formula>
    </cfRule>
    <cfRule type="cellIs" dxfId="15011" priority="23894" stopIfTrue="1" operator="between">
      <formula>0</formula>
      <formula>0.5</formula>
    </cfRule>
  </conditionalFormatting>
  <conditionalFormatting sqref="W282">
    <cfRule type="cellIs" dxfId="15010" priority="23885" operator="between">
      <formula>0.76</formula>
      <formula>0.95</formula>
    </cfRule>
    <cfRule type="cellIs" dxfId="15009" priority="23886" operator="between">
      <formula>0.51</formula>
      <formula>0.75</formula>
    </cfRule>
    <cfRule type="cellIs" dxfId="15008" priority="23887" operator="greaterThan">
      <formula>1</formula>
    </cfRule>
    <cfRule type="cellIs" dxfId="15007" priority="23888" operator="between">
      <formula>0.95</formula>
      <formula>1</formula>
    </cfRule>
    <cfRule type="cellIs" dxfId="15006" priority="23889" stopIfTrue="1" operator="between">
      <formula>0</formula>
      <formula>0.5</formula>
    </cfRule>
  </conditionalFormatting>
  <conditionalFormatting sqref="W286">
    <cfRule type="cellIs" dxfId="15005" priority="23880" operator="between">
      <formula>0.76</formula>
      <formula>0.95</formula>
    </cfRule>
    <cfRule type="cellIs" dxfId="15004" priority="23881" operator="between">
      <formula>0.51</formula>
      <formula>0.75</formula>
    </cfRule>
    <cfRule type="cellIs" dxfId="15003" priority="23882" operator="greaterThan">
      <formula>1</formula>
    </cfRule>
    <cfRule type="cellIs" dxfId="15002" priority="23883" operator="between">
      <formula>0.95</formula>
      <formula>1</formula>
    </cfRule>
    <cfRule type="cellIs" dxfId="15001" priority="23884" stopIfTrue="1" operator="between">
      <formula>0</formula>
      <formula>0.5</formula>
    </cfRule>
  </conditionalFormatting>
  <conditionalFormatting sqref="W303">
    <cfRule type="cellIs" dxfId="15000" priority="23870" operator="between">
      <formula>0.76</formula>
      <formula>0.95</formula>
    </cfRule>
    <cfRule type="cellIs" dxfId="14999" priority="23871" operator="between">
      <formula>0.51</formula>
      <formula>0.75</formula>
    </cfRule>
    <cfRule type="cellIs" dxfId="14998" priority="23872" operator="greaterThan">
      <formula>1</formula>
    </cfRule>
    <cfRule type="cellIs" dxfId="14997" priority="23873" operator="between">
      <formula>0.95</formula>
      <formula>1</formula>
    </cfRule>
    <cfRule type="cellIs" dxfId="14996" priority="23874" stopIfTrue="1" operator="between">
      <formula>0</formula>
      <formula>0.5</formula>
    </cfRule>
  </conditionalFormatting>
  <conditionalFormatting sqref="W304">
    <cfRule type="cellIs" dxfId="14995" priority="23865" operator="between">
      <formula>0.76</formula>
      <formula>0.95</formula>
    </cfRule>
    <cfRule type="cellIs" dxfId="14994" priority="23866" operator="between">
      <formula>0.51</formula>
      <formula>0.75</formula>
    </cfRule>
    <cfRule type="cellIs" dxfId="14993" priority="23867" operator="greaterThan">
      <formula>1</formula>
    </cfRule>
    <cfRule type="cellIs" dxfId="14992" priority="23868" operator="between">
      <formula>0.95</formula>
      <formula>1</formula>
    </cfRule>
    <cfRule type="cellIs" dxfId="14991" priority="23869" stopIfTrue="1" operator="between">
      <formula>0</formula>
      <formula>0.5</formula>
    </cfRule>
  </conditionalFormatting>
  <conditionalFormatting sqref="W306">
    <cfRule type="cellIs" dxfId="14990" priority="23860" operator="between">
      <formula>0.76</formula>
      <formula>0.95</formula>
    </cfRule>
    <cfRule type="cellIs" dxfId="14989" priority="23861" operator="between">
      <formula>0.51</formula>
      <formula>0.75</formula>
    </cfRule>
    <cfRule type="cellIs" dxfId="14988" priority="23862" operator="greaterThan">
      <formula>1</formula>
    </cfRule>
    <cfRule type="cellIs" dxfId="14987" priority="23863" operator="between">
      <formula>0.95</formula>
      <formula>1</formula>
    </cfRule>
    <cfRule type="cellIs" dxfId="14986" priority="23864" stopIfTrue="1" operator="between">
      <formula>0</formula>
      <formula>0.5</formula>
    </cfRule>
  </conditionalFormatting>
  <conditionalFormatting sqref="W307">
    <cfRule type="cellIs" dxfId="14985" priority="23855" operator="between">
      <formula>0.76</formula>
      <formula>0.95</formula>
    </cfRule>
    <cfRule type="cellIs" dxfId="14984" priority="23856" operator="between">
      <formula>0.51</formula>
      <formula>0.75</formula>
    </cfRule>
    <cfRule type="cellIs" dxfId="14983" priority="23857" operator="greaterThan">
      <formula>1</formula>
    </cfRule>
    <cfRule type="cellIs" dxfId="14982" priority="23858" operator="between">
      <formula>0.95</formula>
      <formula>1</formula>
    </cfRule>
    <cfRule type="cellIs" dxfId="14981" priority="23859" stopIfTrue="1" operator="between">
      <formula>0</formula>
      <formula>0.5</formula>
    </cfRule>
  </conditionalFormatting>
  <conditionalFormatting sqref="W308">
    <cfRule type="cellIs" dxfId="14980" priority="23850" operator="between">
      <formula>0.76</formula>
      <formula>0.95</formula>
    </cfRule>
    <cfRule type="cellIs" dxfId="14979" priority="23851" operator="between">
      <formula>0.51</formula>
      <formula>0.75</formula>
    </cfRule>
    <cfRule type="cellIs" dxfId="14978" priority="23852" operator="greaterThan">
      <formula>1</formula>
    </cfRule>
    <cfRule type="cellIs" dxfId="14977" priority="23853" operator="between">
      <formula>0.95</formula>
      <formula>1</formula>
    </cfRule>
    <cfRule type="cellIs" dxfId="14976" priority="23854" stopIfTrue="1" operator="between">
      <formula>0</formula>
      <formula>0.5</formula>
    </cfRule>
  </conditionalFormatting>
  <conditionalFormatting sqref="W320">
    <cfRule type="cellIs" dxfId="14975" priority="23845" operator="between">
      <formula>0.76</formula>
      <formula>0.95</formula>
    </cfRule>
    <cfRule type="cellIs" dxfId="14974" priority="23846" operator="between">
      <formula>0.51</formula>
      <formula>0.75</formula>
    </cfRule>
    <cfRule type="cellIs" dxfId="14973" priority="23847" operator="greaterThan">
      <formula>1</formula>
    </cfRule>
    <cfRule type="cellIs" dxfId="14972" priority="23848" operator="between">
      <formula>0.95</formula>
      <formula>1</formula>
    </cfRule>
    <cfRule type="cellIs" dxfId="14971" priority="23849" stopIfTrue="1" operator="between">
      <formula>0</formula>
      <formula>0.5</formula>
    </cfRule>
  </conditionalFormatting>
  <conditionalFormatting sqref="W321">
    <cfRule type="cellIs" dxfId="14970" priority="23840" operator="between">
      <formula>0.76</formula>
      <formula>0.95</formula>
    </cfRule>
    <cfRule type="cellIs" dxfId="14969" priority="23841" operator="between">
      <formula>0.51</formula>
      <formula>0.75</formula>
    </cfRule>
    <cfRule type="cellIs" dxfId="14968" priority="23842" operator="greaterThan">
      <formula>1</formula>
    </cfRule>
    <cfRule type="cellIs" dxfId="14967" priority="23843" operator="between">
      <formula>0.95</formula>
      <formula>1</formula>
    </cfRule>
    <cfRule type="cellIs" dxfId="14966" priority="23844" stopIfTrue="1" operator="between">
      <formula>0</formula>
      <formula>0.5</formula>
    </cfRule>
  </conditionalFormatting>
  <conditionalFormatting sqref="W322">
    <cfRule type="cellIs" dxfId="14965" priority="23835" operator="between">
      <formula>0.76</formula>
      <formula>0.95</formula>
    </cfRule>
    <cfRule type="cellIs" dxfId="14964" priority="23836" operator="between">
      <formula>0.51</formula>
      <formula>0.75</formula>
    </cfRule>
    <cfRule type="cellIs" dxfId="14963" priority="23837" operator="greaterThan">
      <formula>1</formula>
    </cfRule>
    <cfRule type="cellIs" dxfId="14962" priority="23838" operator="between">
      <formula>0.95</formula>
      <formula>1</formula>
    </cfRule>
    <cfRule type="cellIs" dxfId="14961" priority="23839" stopIfTrue="1" operator="between">
      <formula>0</formula>
      <formula>0.5</formula>
    </cfRule>
  </conditionalFormatting>
  <conditionalFormatting sqref="W324">
    <cfRule type="cellIs" dxfId="14960" priority="23825" operator="between">
      <formula>0.76</formula>
      <formula>0.95</formula>
    </cfRule>
    <cfRule type="cellIs" dxfId="14959" priority="23826" operator="between">
      <formula>0.51</formula>
      <formula>0.75</formula>
    </cfRule>
    <cfRule type="cellIs" dxfId="14958" priority="23827" operator="greaterThan">
      <formula>1</formula>
    </cfRule>
    <cfRule type="cellIs" dxfId="14957" priority="23828" operator="between">
      <formula>0.95</formula>
      <formula>1</formula>
    </cfRule>
    <cfRule type="cellIs" dxfId="14956" priority="23829" stopIfTrue="1" operator="between">
      <formula>0</formula>
      <formula>0.5</formula>
    </cfRule>
  </conditionalFormatting>
  <conditionalFormatting sqref="W325">
    <cfRule type="cellIs" dxfId="14955" priority="23820" operator="between">
      <formula>0.76</formula>
      <formula>0.95</formula>
    </cfRule>
    <cfRule type="cellIs" dxfId="14954" priority="23821" operator="between">
      <formula>0.51</formula>
      <formula>0.75</formula>
    </cfRule>
    <cfRule type="cellIs" dxfId="14953" priority="23822" operator="greaterThan">
      <formula>1</formula>
    </cfRule>
    <cfRule type="cellIs" dxfId="14952" priority="23823" operator="between">
      <formula>0.95</formula>
      <formula>1</formula>
    </cfRule>
    <cfRule type="cellIs" dxfId="14951" priority="23824" stopIfTrue="1" operator="between">
      <formula>0</formula>
      <formula>0.5</formula>
    </cfRule>
  </conditionalFormatting>
  <conditionalFormatting sqref="W327">
    <cfRule type="cellIs" dxfId="14950" priority="23815" operator="between">
      <formula>0.76</formula>
      <formula>0.95</formula>
    </cfRule>
    <cfRule type="cellIs" dxfId="14949" priority="23816" operator="between">
      <formula>0.51</formula>
      <formula>0.75</formula>
    </cfRule>
    <cfRule type="cellIs" dxfId="14948" priority="23817" operator="greaterThan">
      <formula>1</formula>
    </cfRule>
    <cfRule type="cellIs" dxfId="14947" priority="23818" operator="between">
      <formula>0.95</formula>
      <formula>1</formula>
    </cfRule>
    <cfRule type="cellIs" dxfId="14946" priority="23819" stopIfTrue="1" operator="between">
      <formula>0</formula>
      <formula>0.5</formula>
    </cfRule>
  </conditionalFormatting>
  <conditionalFormatting sqref="W328">
    <cfRule type="cellIs" dxfId="14945" priority="23810" operator="between">
      <formula>0.76</formula>
      <formula>0.95</formula>
    </cfRule>
    <cfRule type="cellIs" dxfId="14944" priority="23811" operator="between">
      <formula>0.51</formula>
      <formula>0.75</formula>
    </cfRule>
    <cfRule type="cellIs" dxfId="14943" priority="23812" operator="greaterThan">
      <formula>1</formula>
    </cfRule>
    <cfRule type="cellIs" dxfId="14942" priority="23813" operator="between">
      <formula>0.95</formula>
      <formula>1</formula>
    </cfRule>
    <cfRule type="cellIs" dxfId="14941" priority="23814" stopIfTrue="1" operator="between">
      <formula>0</formula>
      <formula>0.5</formula>
    </cfRule>
  </conditionalFormatting>
  <conditionalFormatting sqref="W331">
    <cfRule type="cellIs" dxfId="14940" priority="23805" operator="between">
      <formula>0.76</formula>
      <formula>0.95</formula>
    </cfRule>
    <cfRule type="cellIs" dxfId="14939" priority="23806" operator="between">
      <formula>0.51</formula>
      <formula>0.75</formula>
    </cfRule>
    <cfRule type="cellIs" dxfId="14938" priority="23807" operator="greaterThan">
      <formula>1</formula>
    </cfRule>
    <cfRule type="cellIs" dxfId="14937" priority="23808" operator="between">
      <formula>0.95</formula>
      <formula>1</formula>
    </cfRule>
    <cfRule type="cellIs" dxfId="14936" priority="23809" stopIfTrue="1" operator="between">
      <formula>0</formula>
      <formula>0.5</formula>
    </cfRule>
  </conditionalFormatting>
  <conditionalFormatting sqref="W332">
    <cfRule type="cellIs" dxfId="14935" priority="23800" operator="between">
      <formula>0.76</formula>
      <formula>0.95</formula>
    </cfRule>
    <cfRule type="cellIs" dxfId="14934" priority="23801" operator="between">
      <formula>0.51</formula>
      <formula>0.75</formula>
    </cfRule>
    <cfRule type="cellIs" dxfId="14933" priority="23802" operator="greaterThan">
      <formula>1</formula>
    </cfRule>
    <cfRule type="cellIs" dxfId="14932" priority="23803" operator="between">
      <formula>0.95</formula>
      <formula>1</formula>
    </cfRule>
    <cfRule type="cellIs" dxfId="14931" priority="23804" stopIfTrue="1" operator="between">
      <formula>0</formula>
      <formula>0.5</formula>
    </cfRule>
  </conditionalFormatting>
  <conditionalFormatting sqref="AD21">
    <cfRule type="cellIs" dxfId="14930" priority="23715" operator="between">
      <formula>0.76</formula>
      <formula>0.95</formula>
    </cfRule>
    <cfRule type="cellIs" dxfId="14929" priority="23716" operator="between">
      <formula>0.51</formula>
      <formula>0.75</formula>
    </cfRule>
    <cfRule type="cellIs" dxfId="14928" priority="23717" operator="greaterThan">
      <formula>1</formula>
    </cfRule>
    <cfRule type="cellIs" dxfId="14927" priority="23718" operator="between">
      <formula>0.95</formula>
      <formula>1</formula>
    </cfRule>
    <cfRule type="cellIs" dxfId="14926" priority="23719" stopIfTrue="1" operator="between">
      <formula>0</formula>
      <formula>0.5</formula>
    </cfRule>
  </conditionalFormatting>
  <conditionalFormatting sqref="W334">
    <cfRule type="cellIs" dxfId="14925" priority="23790" operator="between">
      <formula>0.76</formula>
      <formula>0.95</formula>
    </cfRule>
    <cfRule type="cellIs" dxfId="14924" priority="23791" operator="between">
      <formula>0.51</formula>
      <formula>0.75</formula>
    </cfRule>
    <cfRule type="cellIs" dxfId="14923" priority="23792" operator="greaterThan">
      <formula>1</formula>
    </cfRule>
    <cfRule type="cellIs" dxfId="14922" priority="23793" operator="between">
      <formula>0.95</formula>
      <formula>1</formula>
    </cfRule>
    <cfRule type="cellIs" dxfId="14921" priority="23794" stopIfTrue="1" operator="between">
      <formula>0</formula>
      <formula>0.5</formula>
    </cfRule>
  </conditionalFormatting>
  <conditionalFormatting sqref="W363">
    <cfRule type="cellIs" dxfId="14920" priority="23785" operator="between">
      <formula>0.76</formula>
      <formula>0.95</formula>
    </cfRule>
    <cfRule type="cellIs" dxfId="14919" priority="23786" operator="between">
      <formula>0.51</formula>
      <formula>0.75</formula>
    </cfRule>
    <cfRule type="cellIs" dxfId="14918" priority="23787" operator="greaterThan">
      <formula>1</formula>
    </cfRule>
    <cfRule type="cellIs" dxfId="14917" priority="23788" operator="between">
      <formula>0.95</formula>
      <formula>1</formula>
    </cfRule>
    <cfRule type="cellIs" dxfId="14916" priority="23789" stopIfTrue="1" operator="between">
      <formula>0</formula>
      <formula>0.5</formula>
    </cfRule>
  </conditionalFormatting>
  <conditionalFormatting sqref="W376">
    <cfRule type="cellIs" dxfId="14915" priority="23780" operator="between">
      <formula>0.76</formula>
      <formula>0.95</formula>
    </cfRule>
    <cfRule type="cellIs" dxfId="14914" priority="23781" operator="between">
      <formula>0.51</formula>
      <formula>0.75</formula>
    </cfRule>
    <cfRule type="cellIs" dxfId="14913" priority="23782" operator="greaterThan">
      <formula>1</formula>
    </cfRule>
    <cfRule type="cellIs" dxfId="14912" priority="23783" operator="between">
      <formula>0.95</formula>
      <formula>1</formula>
    </cfRule>
    <cfRule type="cellIs" dxfId="14911" priority="23784" stopIfTrue="1" operator="between">
      <formula>0</formula>
      <formula>0.5</formula>
    </cfRule>
  </conditionalFormatting>
  <conditionalFormatting sqref="W382">
    <cfRule type="cellIs" dxfId="14910" priority="23775" operator="between">
      <formula>0.76</formula>
      <formula>0.95</formula>
    </cfRule>
    <cfRule type="cellIs" dxfId="14909" priority="23776" operator="between">
      <formula>0.51</formula>
      <formula>0.75</formula>
    </cfRule>
    <cfRule type="cellIs" dxfId="14908" priority="23777" operator="greaterThan">
      <formula>1</formula>
    </cfRule>
    <cfRule type="cellIs" dxfId="14907" priority="23778" operator="between">
      <formula>0.95</formula>
      <formula>1</formula>
    </cfRule>
    <cfRule type="cellIs" dxfId="14906" priority="23779" stopIfTrue="1" operator="between">
      <formula>0</formula>
      <formula>0.5</formula>
    </cfRule>
  </conditionalFormatting>
  <conditionalFormatting sqref="W383">
    <cfRule type="cellIs" dxfId="14905" priority="23770" operator="between">
      <formula>0.76</formula>
      <formula>0.95</formula>
    </cfRule>
    <cfRule type="cellIs" dxfId="14904" priority="23771" operator="between">
      <formula>0.51</formula>
      <formula>0.75</formula>
    </cfRule>
    <cfRule type="cellIs" dxfId="14903" priority="23772" operator="greaterThan">
      <formula>1</formula>
    </cfRule>
    <cfRule type="cellIs" dxfId="14902" priority="23773" operator="between">
      <formula>0.95</formula>
      <formula>1</formula>
    </cfRule>
    <cfRule type="cellIs" dxfId="14901" priority="23774" stopIfTrue="1" operator="between">
      <formula>0</formula>
      <formula>0.5</formula>
    </cfRule>
  </conditionalFormatting>
  <conditionalFormatting sqref="W384">
    <cfRule type="cellIs" dxfId="14900" priority="23765" operator="between">
      <formula>0.76</formula>
      <formula>0.95</formula>
    </cfRule>
    <cfRule type="cellIs" dxfId="14899" priority="23766" operator="between">
      <formula>0.51</formula>
      <formula>0.75</formula>
    </cfRule>
    <cfRule type="cellIs" dxfId="14898" priority="23767" operator="greaterThan">
      <formula>1</formula>
    </cfRule>
    <cfRule type="cellIs" dxfId="14897" priority="23768" operator="between">
      <formula>0.95</formula>
      <formula>1</formula>
    </cfRule>
    <cfRule type="cellIs" dxfId="14896" priority="23769" stopIfTrue="1" operator="between">
      <formula>0</formula>
      <formula>0.5</formula>
    </cfRule>
  </conditionalFormatting>
  <conditionalFormatting sqref="AD15">
    <cfRule type="cellIs" dxfId="14895" priority="23760" operator="between">
      <formula>0.76</formula>
      <formula>0.95</formula>
    </cfRule>
    <cfRule type="cellIs" dxfId="14894" priority="23761" operator="between">
      <formula>0.51</formula>
      <formula>0.75</formula>
    </cfRule>
    <cfRule type="cellIs" dxfId="14893" priority="23762" operator="greaterThan">
      <formula>1</formula>
    </cfRule>
    <cfRule type="cellIs" dxfId="14892" priority="23763" operator="between">
      <formula>0.95</formula>
      <formula>1</formula>
    </cfRule>
    <cfRule type="cellIs" dxfId="14891" priority="23764" stopIfTrue="1" operator="between">
      <formula>0</formula>
      <formula>0.5</formula>
    </cfRule>
  </conditionalFormatting>
  <conditionalFormatting sqref="AD16">
    <cfRule type="cellIs" dxfId="14890" priority="23755" operator="between">
      <formula>0.76</formula>
      <formula>0.95</formula>
    </cfRule>
    <cfRule type="cellIs" dxfId="14889" priority="23756" operator="between">
      <formula>0.51</formula>
      <formula>0.75</formula>
    </cfRule>
    <cfRule type="cellIs" dxfId="14888" priority="23757" operator="greaterThan">
      <formula>1</formula>
    </cfRule>
    <cfRule type="cellIs" dxfId="14887" priority="23758" operator="between">
      <formula>0.95</formula>
      <formula>1</formula>
    </cfRule>
    <cfRule type="cellIs" dxfId="14886" priority="23759" stopIfTrue="1" operator="between">
      <formula>0</formula>
      <formula>0.5</formula>
    </cfRule>
  </conditionalFormatting>
  <conditionalFormatting sqref="AD17">
    <cfRule type="cellIs" dxfId="14885" priority="23750" operator="between">
      <formula>0.76</formula>
      <formula>0.95</formula>
    </cfRule>
    <cfRule type="cellIs" dxfId="14884" priority="23751" operator="between">
      <formula>0.51</formula>
      <formula>0.75</formula>
    </cfRule>
    <cfRule type="cellIs" dxfId="14883" priority="23752" operator="greaterThan">
      <formula>1</formula>
    </cfRule>
    <cfRule type="cellIs" dxfId="14882" priority="23753" operator="between">
      <formula>0.95</formula>
      <formula>1</formula>
    </cfRule>
    <cfRule type="cellIs" dxfId="14881" priority="23754" stopIfTrue="1" operator="between">
      <formula>0</formula>
      <formula>0.5</formula>
    </cfRule>
  </conditionalFormatting>
  <conditionalFormatting sqref="AD18">
    <cfRule type="cellIs" dxfId="14880" priority="23730" operator="between">
      <formula>0.76</formula>
      <formula>0.95</formula>
    </cfRule>
    <cfRule type="cellIs" dxfId="14879" priority="23731" operator="between">
      <formula>0.51</formula>
      <formula>0.75</formula>
    </cfRule>
    <cfRule type="cellIs" dxfId="14878" priority="23732" operator="greaterThan">
      <formula>1</formula>
    </cfRule>
    <cfRule type="cellIs" dxfId="14877" priority="23733" operator="between">
      <formula>0.95</formula>
      <formula>1</formula>
    </cfRule>
    <cfRule type="cellIs" dxfId="14876" priority="23734" stopIfTrue="1" operator="between">
      <formula>0</formula>
      <formula>0.5</formula>
    </cfRule>
  </conditionalFormatting>
  <conditionalFormatting sqref="AD19">
    <cfRule type="cellIs" dxfId="14875" priority="23725" operator="between">
      <formula>0.76</formula>
      <formula>0.95</formula>
    </cfRule>
    <cfRule type="cellIs" dxfId="14874" priority="23726" operator="between">
      <formula>0.51</formula>
      <formula>0.75</formula>
    </cfRule>
    <cfRule type="cellIs" dxfId="14873" priority="23727" operator="greaterThan">
      <formula>1</formula>
    </cfRule>
    <cfRule type="cellIs" dxfId="14872" priority="23728" operator="between">
      <formula>0.95</formula>
      <formula>1</formula>
    </cfRule>
    <cfRule type="cellIs" dxfId="14871" priority="23729" stopIfTrue="1" operator="between">
      <formula>0</formula>
      <formula>0.5</formula>
    </cfRule>
  </conditionalFormatting>
  <conditionalFormatting sqref="AD20">
    <cfRule type="cellIs" dxfId="14870" priority="23720" operator="between">
      <formula>0.76</formula>
      <formula>0.95</formula>
    </cfRule>
    <cfRule type="cellIs" dxfId="14869" priority="23721" operator="between">
      <formula>0.51</formula>
      <formula>0.75</formula>
    </cfRule>
    <cfRule type="cellIs" dxfId="14868" priority="23722" operator="greaterThan">
      <formula>1</formula>
    </cfRule>
    <cfRule type="cellIs" dxfId="14867" priority="23723" operator="between">
      <formula>0.95</formula>
      <formula>1</formula>
    </cfRule>
    <cfRule type="cellIs" dxfId="14866" priority="23724" stopIfTrue="1" operator="between">
      <formula>0</formula>
      <formula>0.5</formula>
    </cfRule>
  </conditionalFormatting>
  <conditionalFormatting sqref="AD22">
    <cfRule type="cellIs" dxfId="14865" priority="23710" operator="between">
      <formula>0.76</formula>
      <formula>0.95</formula>
    </cfRule>
    <cfRule type="cellIs" dxfId="14864" priority="23711" operator="between">
      <formula>0.51</formula>
      <formula>0.75</formula>
    </cfRule>
    <cfRule type="cellIs" dxfId="14863" priority="23712" operator="greaterThan">
      <formula>1</formula>
    </cfRule>
    <cfRule type="cellIs" dxfId="14862" priority="23713" operator="between">
      <formula>0.95</formula>
      <formula>1</formula>
    </cfRule>
    <cfRule type="cellIs" dxfId="14861" priority="23714" stopIfTrue="1" operator="between">
      <formula>0</formula>
      <formula>0.5</formula>
    </cfRule>
  </conditionalFormatting>
  <conditionalFormatting sqref="AD23">
    <cfRule type="cellIs" dxfId="14860" priority="23705" operator="between">
      <formula>0.76</formula>
      <formula>0.95</formula>
    </cfRule>
    <cfRule type="cellIs" dxfId="14859" priority="23706" operator="between">
      <formula>0.51</formula>
      <formula>0.75</formula>
    </cfRule>
    <cfRule type="cellIs" dxfId="14858" priority="23707" operator="greaterThan">
      <formula>1</formula>
    </cfRule>
    <cfRule type="cellIs" dxfId="14857" priority="23708" operator="between">
      <formula>0.95</formula>
      <formula>1</formula>
    </cfRule>
    <cfRule type="cellIs" dxfId="14856" priority="23709" stopIfTrue="1" operator="between">
      <formula>0</formula>
      <formula>0.5</formula>
    </cfRule>
  </conditionalFormatting>
  <conditionalFormatting sqref="AD26">
    <cfRule type="cellIs" dxfId="14855" priority="23700" operator="between">
      <formula>0.76</formula>
      <formula>0.95</formula>
    </cfRule>
    <cfRule type="cellIs" dxfId="14854" priority="23701" operator="between">
      <formula>0.51</formula>
      <formula>0.75</formula>
    </cfRule>
    <cfRule type="cellIs" dxfId="14853" priority="23702" operator="greaterThan">
      <formula>1</formula>
    </cfRule>
    <cfRule type="cellIs" dxfId="14852" priority="23703" operator="between">
      <formula>0.95</formula>
      <formula>1</formula>
    </cfRule>
    <cfRule type="cellIs" dxfId="14851" priority="23704" stopIfTrue="1" operator="between">
      <formula>0</formula>
      <formula>0.5</formula>
    </cfRule>
  </conditionalFormatting>
  <conditionalFormatting sqref="AD25">
    <cfRule type="cellIs" dxfId="14850" priority="23695" operator="between">
      <formula>0.76</formula>
      <formula>0.95</formula>
    </cfRule>
    <cfRule type="cellIs" dxfId="14849" priority="23696" operator="between">
      <formula>0.51</formula>
      <formula>0.75</formula>
    </cfRule>
    <cfRule type="cellIs" dxfId="14848" priority="23697" operator="greaterThan">
      <formula>1</formula>
    </cfRule>
    <cfRule type="cellIs" dxfId="14847" priority="23698" operator="between">
      <formula>0.95</formula>
      <formula>1</formula>
    </cfRule>
    <cfRule type="cellIs" dxfId="14846" priority="23699" stopIfTrue="1" operator="between">
      <formula>0</formula>
      <formula>0.5</formula>
    </cfRule>
  </conditionalFormatting>
  <conditionalFormatting sqref="AD27">
    <cfRule type="cellIs" dxfId="14845" priority="23690" operator="between">
      <formula>0.76</formula>
      <formula>0.95</formula>
    </cfRule>
    <cfRule type="cellIs" dxfId="14844" priority="23691" operator="between">
      <formula>0.51</formula>
      <formula>0.75</formula>
    </cfRule>
    <cfRule type="cellIs" dxfId="14843" priority="23692" operator="greaterThan">
      <formula>1</formula>
    </cfRule>
    <cfRule type="cellIs" dxfId="14842" priority="23693" operator="between">
      <formula>0.95</formula>
      <formula>1</formula>
    </cfRule>
    <cfRule type="cellIs" dxfId="14841" priority="23694" stopIfTrue="1" operator="between">
      <formula>0</formula>
      <formula>0.5</formula>
    </cfRule>
  </conditionalFormatting>
  <conditionalFormatting sqref="AD28">
    <cfRule type="cellIs" dxfId="14840" priority="23685" operator="between">
      <formula>0.76</formula>
      <formula>0.95</formula>
    </cfRule>
    <cfRule type="cellIs" dxfId="14839" priority="23686" operator="between">
      <formula>0.51</formula>
      <formula>0.75</formula>
    </cfRule>
    <cfRule type="cellIs" dxfId="14838" priority="23687" operator="greaterThan">
      <formula>1</formula>
    </cfRule>
    <cfRule type="cellIs" dxfId="14837" priority="23688" operator="between">
      <formula>0.95</formula>
      <formula>1</formula>
    </cfRule>
    <cfRule type="cellIs" dxfId="14836" priority="23689" stopIfTrue="1" operator="between">
      <formula>0</formula>
      <formula>0.5</formula>
    </cfRule>
  </conditionalFormatting>
  <conditionalFormatting sqref="AD29">
    <cfRule type="cellIs" dxfId="14835" priority="23680" operator="between">
      <formula>0.76</formula>
      <formula>0.95</formula>
    </cfRule>
    <cfRule type="cellIs" dxfId="14834" priority="23681" operator="between">
      <formula>0.51</formula>
      <formula>0.75</formula>
    </cfRule>
    <cfRule type="cellIs" dxfId="14833" priority="23682" operator="greaterThan">
      <formula>1</formula>
    </cfRule>
    <cfRule type="cellIs" dxfId="14832" priority="23683" operator="between">
      <formula>0.95</formula>
      <formula>1</formula>
    </cfRule>
    <cfRule type="cellIs" dxfId="14831" priority="23684" stopIfTrue="1" operator="between">
      <formula>0</formula>
      <formula>0.5</formula>
    </cfRule>
  </conditionalFormatting>
  <conditionalFormatting sqref="AD30">
    <cfRule type="cellIs" dxfId="14830" priority="23675" operator="between">
      <formula>0.76</formula>
      <formula>0.95</formula>
    </cfRule>
    <cfRule type="cellIs" dxfId="14829" priority="23676" operator="between">
      <formula>0.51</formula>
      <formula>0.75</formula>
    </cfRule>
    <cfRule type="cellIs" dxfId="14828" priority="23677" operator="greaterThan">
      <formula>1</formula>
    </cfRule>
    <cfRule type="cellIs" dxfId="14827" priority="23678" operator="between">
      <formula>0.95</formula>
      <formula>1</formula>
    </cfRule>
    <cfRule type="cellIs" dxfId="14826" priority="23679" stopIfTrue="1" operator="between">
      <formula>0</formula>
      <formula>0.5</formula>
    </cfRule>
  </conditionalFormatting>
  <conditionalFormatting sqref="AD34">
    <cfRule type="cellIs" dxfId="14825" priority="23670" operator="between">
      <formula>0.76</formula>
      <formula>0.95</formula>
    </cfRule>
    <cfRule type="cellIs" dxfId="14824" priority="23671" operator="between">
      <formula>0.51</formula>
      <formula>0.75</formula>
    </cfRule>
    <cfRule type="cellIs" dxfId="14823" priority="23672" operator="greaterThan">
      <formula>1</formula>
    </cfRule>
    <cfRule type="cellIs" dxfId="14822" priority="23673" operator="between">
      <formula>0.95</formula>
      <formula>1</formula>
    </cfRule>
    <cfRule type="cellIs" dxfId="14821" priority="23674" stopIfTrue="1" operator="between">
      <formula>0</formula>
      <formula>0.5</formula>
    </cfRule>
  </conditionalFormatting>
  <conditionalFormatting sqref="AD42">
    <cfRule type="cellIs" dxfId="14820" priority="23655" operator="between">
      <formula>0.76</formula>
      <formula>0.95</formula>
    </cfRule>
    <cfRule type="cellIs" dxfId="14819" priority="23656" operator="between">
      <formula>0.51</formula>
      <formula>0.75</formula>
    </cfRule>
    <cfRule type="cellIs" dxfId="14818" priority="23657" operator="greaterThan">
      <formula>1</formula>
    </cfRule>
    <cfRule type="cellIs" dxfId="14817" priority="23658" operator="between">
      <formula>0.95</formula>
      <formula>1</formula>
    </cfRule>
    <cfRule type="cellIs" dxfId="14816" priority="23659" stopIfTrue="1" operator="between">
      <formula>0</formula>
      <formula>0.5</formula>
    </cfRule>
  </conditionalFormatting>
  <conditionalFormatting sqref="AD43">
    <cfRule type="cellIs" dxfId="14815" priority="23650" operator="between">
      <formula>0.76</formula>
      <formula>0.95</formula>
    </cfRule>
    <cfRule type="cellIs" dxfId="14814" priority="23651" operator="between">
      <formula>0.51</formula>
      <formula>0.75</formula>
    </cfRule>
    <cfRule type="cellIs" dxfId="14813" priority="23652" operator="greaterThan">
      <formula>1</formula>
    </cfRule>
    <cfRule type="cellIs" dxfId="14812" priority="23653" operator="between">
      <formula>0.95</formula>
      <formula>1</formula>
    </cfRule>
    <cfRule type="cellIs" dxfId="14811" priority="23654" stopIfTrue="1" operator="between">
      <formula>0</formula>
      <formula>0.5</formula>
    </cfRule>
  </conditionalFormatting>
  <conditionalFormatting sqref="AD44">
    <cfRule type="cellIs" dxfId="14810" priority="23645" operator="between">
      <formula>0.76</formula>
      <formula>0.95</formula>
    </cfRule>
    <cfRule type="cellIs" dxfId="14809" priority="23646" operator="between">
      <formula>0.51</formula>
      <formula>0.75</formula>
    </cfRule>
    <cfRule type="cellIs" dxfId="14808" priority="23647" operator="greaterThan">
      <formula>1</formula>
    </cfRule>
    <cfRule type="cellIs" dxfId="14807" priority="23648" operator="between">
      <formula>0.95</formula>
      <formula>1</formula>
    </cfRule>
    <cfRule type="cellIs" dxfId="14806" priority="23649" stopIfTrue="1" operator="between">
      <formula>0</formula>
      <formula>0.5</formula>
    </cfRule>
  </conditionalFormatting>
  <conditionalFormatting sqref="AD45">
    <cfRule type="cellIs" dxfId="14805" priority="23640" operator="between">
      <formula>0.76</formula>
      <formula>0.95</formula>
    </cfRule>
    <cfRule type="cellIs" dxfId="14804" priority="23641" operator="between">
      <formula>0.51</formula>
      <formula>0.75</formula>
    </cfRule>
    <cfRule type="cellIs" dxfId="14803" priority="23642" operator="greaterThan">
      <formula>1</formula>
    </cfRule>
    <cfRule type="cellIs" dxfId="14802" priority="23643" operator="between">
      <formula>0.95</formula>
      <formula>1</formula>
    </cfRule>
    <cfRule type="cellIs" dxfId="14801" priority="23644" stopIfTrue="1" operator="between">
      <formula>0</formula>
      <formula>0.5</formula>
    </cfRule>
  </conditionalFormatting>
  <conditionalFormatting sqref="AD46">
    <cfRule type="cellIs" dxfId="14800" priority="23635" operator="between">
      <formula>0.76</formula>
      <formula>0.95</formula>
    </cfRule>
    <cfRule type="cellIs" dxfId="14799" priority="23636" operator="between">
      <formula>0.51</formula>
      <formula>0.75</formula>
    </cfRule>
    <cfRule type="cellIs" dxfId="14798" priority="23637" operator="greaterThan">
      <formula>1</formula>
    </cfRule>
    <cfRule type="cellIs" dxfId="14797" priority="23638" operator="between">
      <formula>0.95</formula>
      <formula>1</formula>
    </cfRule>
    <cfRule type="cellIs" dxfId="14796" priority="23639" stopIfTrue="1" operator="between">
      <formula>0</formula>
      <formula>0.5</formula>
    </cfRule>
  </conditionalFormatting>
  <conditionalFormatting sqref="AD48">
    <cfRule type="cellIs" dxfId="14795" priority="23630" operator="between">
      <formula>0.76</formula>
      <formula>0.95</formula>
    </cfRule>
    <cfRule type="cellIs" dxfId="14794" priority="23631" operator="between">
      <formula>0.51</formula>
      <formula>0.75</formula>
    </cfRule>
    <cfRule type="cellIs" dxfId="14793" priority="23632" operator="greaterThan">
      <formula>1</formula>
    </cfRule>
    <cfRule type="cellIs" dxfId="14792" priority="23633" operator="between">
      <formula>0.95</formula>
      <formula>1</formula>
    </cfRule>
    <cfRule type="cellIs" dxfId="14791" priority="23634" stopIfTrue="1" operator="between">
      <formula>0</formula>
      <formula>0.5</formula>
    </cfRule>
  </conditionalFormatting>
  <conditionalFormatting sqref="AD47">
    <cfRule type="cellIs" dxfId="14790" priority="23625" operator="between">
      <formula>0.76</formula>
      <formula>0.95</formula>
    </cfRule>
    <cfRule type="cellIs" dxfId="14789" priority="23626" operator="between">
      <formula>0.51</formula>
      <formula>0.75</formula>
    </cfRule>
    <cfRule type="cellIs" dxfId="14788" priority="23627" operator="greaterThan">
      <formula>1</formula>
    </cfRule>
    <cfRule type="cellIs" dxfId="14787" priority="23628" operator="between">
      <formula>0.95</formula>
      <formula>1</formula>
    </cfRule>
    <cfRule type="cellIs" dxfId="14786" priority="23629" stopIfTrue="1" operator="between">
      <formula>0</formula>
      <formula>0.5</formula>
    </cfRule>
  </conditionalFormatting>
  <conditionalFormatting sqref="AD49">
    <cfRule type="cellIs" dxfId="14785" priority="23620" operator="between">
      <formula>0.76</formula>
      <formula>0.95</formula>
    </cfRule>
    <cfRule type="cellIs" dxfId="14784" priority="23621" operator="between">
      <formula>0.51</formula>
      <formula>0.75</formula>
    </cfRule>
    <cfRule type="cellIs" dxfId="14783" priority="23622" operator="greaterThan">
      <formula>1</formula>
    </cfRule>
    <cfRule type="cellIs" dxfId="14782" priority="23623" operator="between">
      <formula>0.95</formula>
      <formula>1</formula>
    </cfRule>
    <cfRule type="cellIs" dxfId="14781" priority="23624" stopIfTrue="1" operator="between">
      <formula>0</formula>
      <formula>0.5</formula>
    </cfRule>
  </conditionalFormatting>
  <conditionalFormatting sqref="AD50">
    <cfRule type="cellIs" dxfId="14780" priority="23615" operator="between">
      <formula>0.76</formula>
      <formula>0.95</formula>
    </cfRule>
    <cfRule type="cellIs" dxfId="14779" priority="23616" operator="between">
      <formula>0.51</formula>
      <formula>0.75</formula>
    </cfRule>
    <cfRule type="cellIs" dxfId="14778" priority="23617" operator="greaterThan">
      <formula>1</formula>
    </cfRule>
    <cfRule type="cellIs" dxfId="14777" priority="23618" operator="between">
      <formula>0.95</formula>
      <formula>1</formula>
    </cfRule>
    <cfRule type="cellIs" dxfId="14776" priority="23619" stopIfTrue="1" operator="between">
      <formula>0</formula>
      <formula>0.5</formula>
    </cfRule>
  </conditionalFormatting>
  <conditionalFormatting sqref="AD51">
    <cfRule type="cellIs" dxfId="14775" priority="23610" operator="between">
      <formula>0.76</formula>
      <formula>0.95</formula>
    </cfRule>
    <cfRule type="cellIs" dxfId="14774" priority="23611" operator="between">
      <formula>0.51</formula>
      <formula>0.75</formula>
    </cfRule>
    <cfRule type="cellIs" dxfId="14773" priority="23612" operator="greaterThan">
      <formula>1</formula>
    </cfRule>
    <cfRule type="cellIs" dxfId="14772" priority="23613" operator="between">
      <formula>0.95</formula>
      <formula>1</formula>
    </cfRule>
    <cfRule type="cellIs" dxfId="14771" priority="23614" stopIfTrue="1" operator="between">
      <formula>0</formula>
      <formula>0.5</formula>
    </cfRule>
  </conditionalFormatting>
  <conditionalFormatting sqref="AD53">
    <cfRule type="cellIs" dxfId="14770" priority="23605" operator="between">
      <formula>0.76</formula>
      <formula>0.95</formula>
    </cfRule>
    <cfRule type="cellIs" dxfId="14769" priority="23606" operator="between">
      <formula>0.51</formula>
      <formula>0.75</formula>
    </cfRule>
    <cfRule type="cellIs" dxfId="14768" priority="23607" operator="greaterThan">
      <formula>1</formula>
    </cfRule>
    <cfRule type="cellIs" dxfId="14767" priority="23608" operator="between">
      <formula>0.95</formula>
      <formula>1</formula>
    </cfRule>
    <cfRule type="cellIs" dxfId="14766" priority="23609" stopIfTrue="1" operator="between">
      <formula>0</formula>
      <formula>0.5</formula>
    </cfRule>
  </conditionalFormatting>
  <conditionalFormatting sqref="AD52">
    <cfRule type="cellIs" dxfId="14765" priority="23600" operator="between">
      <formula>0.76</formula>
      <formula>0.95</formula>
    </cfRule>
    <cfRule type="cellIs" dxfId="14764" priority="23601" operator="between">
      <formula>0.51</formula>
      <formula>0.75</formula>
    </cfRule>
    <cfRule type="cellIs" dxfId="14763" priority="23602" operator="greaterThan">
      <formula>1</formula>
    </cfRule>
    <cfRule type="cellIs" dxfId="14762" priority="23603" operator="between">
      <formula>0.95</formula>
      <formula>1</formula>
    </cfRule>
    <cfRule type="cellIs" dxfId="14761" priority="23604" stopIfTrue="1" operator="between">
      <formula>0</formula>
      <formula>0.5</formula>
    </cfRule>
  </conditionalFormatting>
  <conditionalFormatting sqref="AD54">
    <cfRule type="cellIs" dxfId="14760" priority="23595" operator="between">
      <formula>0.76</formula>
      <formula>0.95</formula>
    </cfRule>
    <cfRule type="cellIs" dxfId="14759" priority="23596" operator="between">
      <formula>0.51</formula>
      <formula>0.75</formula>
    </cfRule>
    <cfRule type="cellIs" dxfId="14758" priority="23597" operator="greaterThan">
      <formula>1</formula>
    </cfRule>
    <cfRule type="cellIs" dxfId="14757" priority="23598" operator="between">
      <formula>0.95</formula>
      <formula>1</formula>
    </cfRule>
    <cfRule type="cellIs" dxfId="14756" priority="23599" stopIfTrue="1" operator="between">
      <formula>0</formula>
      <formula>0.5</formula>
    </cfRule>
  </conditionalFormatting>
  <conditionalFormatting sqref="AD55">
    <cfRule type="cellIs" dxfId="14755" priority="23590" operator="between">
      <formula>0.76</formula>
      <formula>0.95</formula>
    </cfRule>
    <cfRule type="cellIs" dxfId="14754" priority="23591" operator="between">
      <formula>0.51</formula>
      <formula>0.75</formula>
    </cfRule>
    <cfRule type="cellIs" dxfId="14753" priority="23592" operator="greaterThan">
      <formula>1</formula>
    </cfRule>
    <cfRule type="cellIs" dxfId="14752" priority="23593" operator="between">
      <formula>0.95</formula>
      <formula>1</formula>
    </cfRule>
    <cfRule type="cellIs" dxfId="14751" priority="23594" stopIfTrue="1" operator="between">
      <formula>0</formula>
      <formula>0.5</formula>
    </cfRule>
  </conditionalFormatting>
  <conditionalFormatting sqref="AD56">
    <cfRule type="cellIs" dxfId="14750" priority="23585" operator="between">
      <formula>0.76</formula>
      <formula>0.95</formula>
    </cfRule>
    <cfRule type="cellIs" dxfId="14749" priority="23586" operator="between">
      <formula>0.51</formula>
      <formula>0.75</formula>
    </cfRule>
    <cfRule type="cellIs" dxfId="14748" priority="23587" operator="greaterThan">
      <formula>1</formula>
    </cfRule>
    <cfRule type="cellIs" dxfId="14747" priority="23588" operator="between">
      <formula>0.95</formula>
      <formula>1</formula>
    </cfRule>
    <cfRule type="cellIs" dxfId="14746" priority="23589" stopIfTrue="1" operator="between">
      <formula>0</formula>
      <formula>0.5</formula>
    </cfRule>
  </conditionalFormatting>
  <conditionalFormatting sqref="AD57">
    <cfRule type="cellIs" dxfId="14745" priority="23580" operator="between">
      <formula>0.76</formula>
      <formula>0.95</formula>
    </cfRule>
    <cfRule type="cellIs" dxfId="14744" priority="23581" operator="between">
      <formula>0.51</formula>
      <formula>0.75</formula>
    </cfRule>
    <cfRule type="cellIs" dxfId="14743" priority="23582" operator="greaterThan">
      <formula>1</formula>
    </cfRule>
    <cfRule type="cellIs" dxfId="14742" priority="23583" operator="between">
      <formula>0.95</formula>
      <formula>1</formula>
    </cfRule>
    <cfRule type="cellIs" dxfId="14741" priority="23584" stopIfTrue="1" operator="between">
      <formula>0</formula>
      <formula>0.5</formula>
    </cfRule>
  </conditionalFormatting>
  <conditionalFormatting sqref="AD58">
    <cfRule type="cellIs" dxfId="14740" priority="23575" operator="between">
      <formula>0.76</formula>
      <formula>0.95</formula>
    </cfRule>
    <cfRule type="cellIs" dxfId="14739" priority="23576" operator="between">
      <formula>0.51</formula>
      <formula>0.75</formula>
    </cfRule>
    <cfRule type="cellIs" dxfId="14738" priority="23577" operator="greaterThan">
      <formula>1</formula>
    </cfRule>
    <cfRule type="cellIs" dxfId="14737" priority="23578" operator="between">
      <formula>0.95</formula>
      <formula>1</formula>
    </cfRule>
    <cfRule type="cellIs" dxfId="14736" priority="23579" stopIfTrue="1" operator="between">
      <formula>0</formula>
      <formula>0.5</formula>
    </cfRule>
  </conditionalFormatting>
  <conditionalFormatting sqref="AD59">
    <cfRule type="cellIs" dxfId="14735" priority="23570" operator="between">
      <formula>0.76</formula>
      <formula>0.95</formula>
    </cfRule>
    <cfRule type="cellIs" dxfId="14734" priority="23571" operator="between">
      <formula>0.51</formula>
      <formula>0.75</formula>
    </cfRule>
    <cfRule type="cellIs" dxfId="14733" priority="23572" operator="greaterThan">
      <formula>1</formula>
    </cfRule>
    <cfRule type="cellIs" dxfId="14732" priority="23573" operator="between">
      <formula>0.95</formula>
      <formula>1</formula>
    </cfRule>
    <cfRule type="cellIs" dxfId="14731" priority="23574" stopIfTrue="1" operator="between">
      <formula>0</formula>
      <formula>0.5</formula>
    </cfRule>
  </conditionalFormatting>
  <conditionalFormatting sqref="AD60">
    <cfRule type="cellIs" dxfId="14730" priority="23565" operator="between">
      <formula>0.76</formula>
      <formula>0.95</formula>
    </cfRule>
    <cfRule type="cellIs" dxfId="14729" priority="23566" operator="between">
      <formula>0.51</formula>
      <formula>0.75</formula>
    </cfRule>
    <cfRule type="cellIs" dxfId="14728" priority="23567" operator="greaterThan">
      <formula>1</formula>
    </cfRule>
    <cfRule type="cellIs" dxfId="14727" priority="23568" operator="between">
      <formula>0.95</formula>
      <formula>1</formula>
    </cfRule>
    <cfRule type="cellIs" dxfId="14726" priority="23569" stopIfTrue="1" operator="between">
      <formula>0</formula>
      <formula>0.5</formula>
    </cfRule>
  </conditionalFormatting>
  <conditionalFormatting sqref="AD61">
    <cfRule type="cellIs" dxfId="14725" priority="23560" operator="between">
      <formula>0.76</formula>
      <formula>0.95</formula>
    </cfRule>
    <cfRule type="cellIs" dxfId="14724" priority="23561" operator="between">
      <formula>0.51</formula>
      <formula>0.75</formula>
    </cfRule>
    <cfRule type="cellIs" dxfId="14723" priority="23562" operator="greaterThan">
      <formula>1</formula>
    </cfRule>
    <cfRule type="cellIs" dxfId="14722" priority="23563" operator="between">
      <formula>0.95</formula>
      <formula>1</formula>
    </cfRule>
    <cfRule type="cellIs" dxfId="14721" priority="23564" stopIfTrue="1" operator="between">
      <formula>0</formula>
      <formula>0.5</formula>
    </cfRule>
  </conditionalFormatting>
  <conditionalFormatting sqref="AD62">
    <cfRule type="cellIs" dxfId="14720" priority="23555" operator="between">
      <formula>0.76</formula>
      <formula>0.95</formula>
    </cfRule>
    <cfRule type="cellIs" dxfId="14719" priority="23556" operator="between">
      <formula>0.51</formula>
      <formula>0.75</formula>
    </cfRule>
    <cfRule type="cellIs" dxfId="14718" priority="23557" operator="greaterThan">
      <formula>1</formula>
    </cfRule>
    <cfRule type="cellIs" dxfId="14717" priority="23558" operator="between">
      <formula>0.95</formula>
      <formula>1</formula>
    </cfRule>
    <cfRule type="cellIs" dxfId="14716" priority="23559" stopIfTrue="1" operator="between">
      <formula>0</formula>
      <formula>0.5</formula>
    </cfRule>
  </conditionalFormatting>
  <conditionalFormatting sqref="AD63">
    <cfRule type="cellIs" dxfId="14715" priority="23550" operator="between">
      <formula>0.76</formula>
      <formula>0.95</formula>
    </cfRule>
    <cfRule type="cellIs" dxfId="14714" priority="23551" operator="between">
      <formula>0.51</formula>
      <formula>0.75</formula>
    </cfRule>
    <cfRule type="cellIs" dxfId="14713" priority="23552" operator="greaterThan">
      <formula>1</formula>
    </cfRule>
    <cfRule type="cellIs" dxfId="14712" priority="23553" operator="between">
      <formula>0.95</formula>
      <formula>1</formula>
    </cfRule>
    <cfRule type="cellIs" dxfId="14711" priority="23554" stopIfTrue="1" operator="between">
      <formula>0</formula>
      <formula>0.5</formula>
    </cfRule>
  </conditionalFormatting>
  <conditionalFormatting sqref="AD64">
    <cfRule type="cellIs" dxfId="14710" priority="23545" operator="between">
      <formula>0.76</formula>
      <formula>0.95</formula>
    </cfRule>
    <cfRule type="cellIs" dxfId="14709" priority="23546" operator="between">
      <formula>0.51</formula>
      <formula>0.75</formula>
    </cfRule>
    <cfRule type="cellIs" dxfId="14708" priority="23547" operator="greaterThan">
      <formula>1</formula>
    </cfRule>
    <cfRule type="cellIs" dxfId="14707" priority="23548" operator="between">
      <formula>0.95</formula>
      <formula>1</formula>
    </cfRule>
    <cfRule type="cellIs" dxfId="14706" priority="23549" stopIfTrue="1" operator="between">
      <formula>0</formula>
      <formula>0.5</formula>
    </cfRule>
  </conditionalFormatting>
  <conditionalFormatting sqref="AD65">
    <cfRule type="cellIs" dxfId="14705" priority="23530" operator="between">
      <formula>0.76</formula>
      <formula>0.95</formula>
    </cfRule>
    <cfRule type="cellIs" dxfId="14704" priority="23531" operator="between">
      <formula>0.51</formula>
      <formula>0.75</formula>
    </cfRule>
    <cfRule type="cellIs" dxfId="14703" priority="23532" operator="greaterThan">
      <formula>1</formula>
    </cfRule>
    <cfRule type="cellIs" dxfId="14702" priority="23533" operator="between">
      <formula>0.95</formula>
      <formula>1</formula>
    </cfRule>
    <cfRule type="cellIs" dxfId="14701" priority="23534" stopIfTrue="1" operator="between">
      <formula>0</formula>
      <formula>0.5</formula>
    </cfRule>
  </conditionalFormatting>
  <conditionalFormatting sqref="AD66">
    <cfRule type="cellIs" dxfId="14700" priority="23525" operator="between">
      <formula>0.76</formula>
      <formula>0.95</formula>
    </cfRule>
    <cfRule type="cellIs" dxfId="14699" priority="23526" operator="between">
      <formula>0.51</formula>
      <formula>0.75</formula>
    </cfRule>
    <cfRule type="cellIs" dxfId="14698" priority="23527" operator="greaterThan">
      <formula>1</formula>
    </cfRule>
    <cfRule type="cellIs" dxfId="14697" priority="23528" operator="between">
      <formula>0.95</formula>
      <formula>1</formula>
    </cfRule>
    <cfRule type="cellIs" dxfId="14696" priority="23529" stopIfTrue="1" operator="between">
      <formula>0</formula>
      <formula>0.5</formula>
    </cfRule>
  </conditionalFormatting>
  <conditionalFormatting sqref="AD67">
    <cfRule type="cellIs" dxfId="14695" priority="23520" operator="between">
      <formula>0.76</formula>
      <formula>0.95</formula>
    </cfRule>
    <cfRule type="cellIs" dxfId="14694" priority="23521" operator="between">
      <formula>0.51</formula>
      <formula>0.75</formula>
    </cfRule>
    <cfRule type="cellIs" dxfId="14693" priority="23522" operator="greaterThan">
      <formula>1</formula>
    </cfRule>
    <cfRule type="cellIs" dxfId="14692" priority="23523" operator="between">
      <formula>0.95</formula>
      <formula>1</formula>
    </cfRule>
    <cfRule type="cellIs" dxfId="14691" priority="23524" stopIfTrue="1" operator="between">
      <formula>0</formula>
      <formula>0.5</formula>
    </cfRule>
  </conditionalFormatting>
  <conditionalFormatting sqref="AD68">
    <cfRule type="cellIs" dxfId="14690" priority="23510" operator="between">
      <formula>0.76</formula>
      <formula>0.95</formula>
    </cfRule>
    <cfRule type="cellIs" dxfId="14689" priority="23511" operator="between">
      <formula>0.51</formula>
      <formula>0.75</formula>
    </cfRule>
    <cfRule type="cellIs" dxfId="14688" priority="23512" operator="greaterThan">
      <formula>1</formula>
    </cfRule>
    <cfRule type="cellIs" dxfId="14687" priority="23513" operator="between">
      <formula>0.95</formula>
      <formula>1</formula>
    </cfRule>
    <cfRule type="cellIs" dxfId="14686" priority="23514" stopIfTrue="1" operator="between">
      <formula>0</formula>
      <formula>0.5</formula>
    </cfRule>
  </conditionalFormatting>
  <conditionalFormatting sqref="AD69">
    <cfRule type="cellIs" dxfId="14685" priority="23505" operator="between">
      <formula>0.76</formula>
      <formula>0.95</formula>
    </cfRule>
    <cfRule type="cellIs" dxfId="14684" priority="23506" operator="between">
      <formula>0.51</formula>
      <formula>0.75</formula>
    </cfRule>
    <cfRule type="cellIs" dxfId="14683" priority="23507" operator="greaterThan">
      <formula>1</formula>
    </cfRule>
    <cfRule type="cellIs" dxfId="14682" priority="23508" operator="between">
      <formula>0.95</formula>
      <formula>1</formula>
    </cfRule>
    <cfRule type="cellIs" dxfId="14681" priority="23509" stopIfTrue="1" operator="between">
      <formula>0</formula>
      <formula>0.5</formula>
    </cfRule>
  </conditionalFormatting>
  <conditionalFormatting sqref="AD70">
    <cfRule type="cellIs" dxfId="14680" priority="23500" operator="between">
      <formula>0.76</formula>
      <formula>0.95</formula>
    </cfRule>
    <cfRule type="cellIs" dxfId="14679" priority="23501" operator="between">
      <formula>0.51</formula>
      <formula>0.75</formula>
    </cfRule>
    <cfRule type="cellIs" dxfId="14678" priority="23502" operator="greaterThan">
      <formula>1</formula>
    </cfRule>
    <cfRule type="cellIs" dxfId="14677" priority="23503" operator="between">
      <formula>0.95</formula>
      <formula>1</formula>
    </cfRule>
    <cfRule type="cellIs" dxfId="14676" priority="23504" stopIfTrue="1" operator="between">
      <formula>0</formula>
      <formula>0.5</formula>
    </cfRule>
  </conditionalFormatting>
  <conditionalFormatting sqref="AD71">
    <cfRule type="cellIs" dxfId="14675" priority="23495" operator="between">
      <formula>0.76</formula>
      <formula>0.95</formula>
    </cfRule>
    <cfRule type="cellIs" dxfId="14674" priority="23496" operator="between">
      <formula>0.51</formula>
      <formula>0.75</formula>
    </cfRule>
    <cfRule type="cellIs" dxfId="14673" priority="23497" operator="greaterThan">
      <formula>1</formula>
    </cfRule>
    <cfRule type="cellIs" dxfId="14672" priority="23498" operator="between">
      <formula>0.95</formula>
      <formula>1</formula>
    </cfRule>
    <cfRule type="cellIs" dxfId="14671" priority="23499" stopIfTrue="1" operator="between">
      <formula>0</formula>
      <formula>0.5</formula>
    </cfRule>
  </conditionalFormatting>
  <conditionalFormatting sqref="AD72">
    <cfRule type="cellIs" dxfId="14670" priority="23490" operator="between">
      <formula>0.76</formula>
      <formula>0.95</formula>
    </cfRule>
    <cfRule type="cellIs" dxfId="14669" priority="23491" operator="between">
      <formula>0.51</formula>
      <formula>0.75</formula>
    </cfRule>
    <cfRule type="cellIs" dxfId="14668" priority="23492" operator="greaterThan">
      <formula>1</formula>
    </cfRule>
    <cfRule type="cellIs" dxfId="14667" priority="23493" operator="between">
      <formula>0.95</formula>
      <formula>1</formula>
    </cfRule>
    <cfRule type="cellIs" dxfId="14666" priority="23494" stopIfTrue="1" operator="between">
      <formula>0</formula>
      <formula>0.5</formula>
    </cfRule>
  </conditionalFormatting>
  <conditionalFormatting sqref="AD73">
    <cfRule type="cellIs" dxfId="14665" priority="23485" operator="between">
      <formula>0.76</formula>
      <formula>0.95</formula>
    </cfRule>
    <cfRule type="cellIs" dxfId="14664" priority="23486" operator="between">
      <formula>0.51</formula>
      <formula>0.75</formula>
    </cfRule>
    <cfRule type="cellIs" dxfId="14663" priority="23487" operator="greaterThan">
      <formula>1</formula>
    </cfRule>
    <cfRule type="cellIs" dxfId="14662" priority="23488" operator="between">
      <formula>0.95</formula>
      <formula>1</formula>
    </cfRule>
    <cfRule type="cellIs" dxfId="14661" priority="23489" stopIfTrue="1" operator="between">
      <formula>0</formula>
      <formula>0.5</formula>
    </cfRule>
  </conditionalFormatting>
  <conditionalFormatting sqref="AD74">
    <cfRule type="cellIs" dxfId="14660" priority="23480" operator="between">
      <formula>0.76</formula>
      <formula>0.95</formula>
    </cfRule>
    <cfRule type="cellIs" dxfId="14659" priority="23481" operator="between">
      <formula>0.51</formula>
      <formula>0.75</formula>
    </cfRule>
    <cfRule type="cellIs" dxfId="14658" priority="23482" operator="greaterThan">
      <formula>1</formula>
    </cfRule>
    <cfRule type="cellIs" dxfId="14657" priority="23483" operator="between">
      <formula>0.95</formula>
      <formula>1</formula>
    </cfRule>
    <cfRule type="cellIs" dxfId="14656" priority="23484" stopIfTrue="1" operator="between">
      <formula>0</formula>
      <formula>0.5</formula>
    </cfRule>
  </conditionalFormatting>
  <conditionalFormatting sqref="AD75">
    <cfRule type="cellIs" dxfId="14655" priority="23475" operator="between">
      <formula>0.76</formula>
      <formula>0.95</formula>
    </cfRule>
    <cfRule type="cellIs" dxfId="14654" priority="23476" operator="between">
      <formula>0.51</formula>
      <formula>0.75</formula>
    </cfRule>
    <cfRule type="cellIs" dxfId="14653" priority="23477" operator="greaterThan">
      <formula>1</formula>
    </cfRule>
    <cfRule type="cellIs" dxfId="14652" priority="23478" operator="between">
      <formula>0.95</formula>
      <formula>1</formula>
    </cfRule>
    <cfRule type="cellIs" dxfId="14651" priority="23479" stopIfTrue="1" operator="between">
      <formula>0</formula>
      <formula>0.5</formula>
    </cfRule>
  </conditionalFormatting>
  <conditionalFormatting sqref="AD76">
    <cfRule type="cellIs" dxfId="14650" priority="23470" operator="between">
      <formula>0.76</formula>
      <formula>0.95</formula>
    </cfRule>
    <cfRule type="cellIs" dxfId="14649" priority="23471" operator="between">
      <formula>0.51</formula>
      <formula>0.75</formula>
    </cfRule>
    <cfRule type="cellIs" dxfId="14648" priority="23472" operator="greaterThan">
      <formula>1</formula>
    </cfRule>
    <cfRule type="cellIs" dxfId="14647" priority="23473" operator="between">
      <formula>0.95</formula>
      <formula>1</formula>
    </cfRule>
    <cfRule type="cellIs" dxfId="14646" priority="23474" stopIfTrue="1" operator="between">
      <formula>0</formula>
      <formula>0.5</formula>
    </cfRule>
  </conditionalFormatting>
  <conditionalFormatting sqref="AD77">
    <cfRule type="cellIs" dxfId="14645" priority="23465" operator="between">
      <formula>0.76</formula>
      <formula>0.95</formula>
    </cfRule>
    <cfRule type="cellIs" dxfId="14644" priority="23466" operator="between">
      <formula>0.51</formula>
      <formula>0.75</formula>
    </cfRule>
    <cfRule type="cellIs" dxfId="14643" priority="23467" operator="greaterThan">
      <formula>1</formula>
    </cfRule>
    <cfRule type="cellIs" dxfId="14642" priority="23468" operator="between">
      <formula>0.95</formula>
      <formula>1</formula>
    </cfRule>
    <cfRule type="cellIs" dxfId="14641" priority="23469" stopIfTrue="1" operator="between">
      <formula>0</formula>
      <formula>0.5</formula>
    </cfRule>
  </conditionalFormatting>
  <conditionalFormatting sqref="AD83">
    <cfRule type="cellIs" dxfId="14640" priority="23460" operator="between">
      <formula>0.76</formula>
      <formula>0.95</formula>
    </cfRule>
    <cfRule type="cellIs" dxfId="14639" priority="23461" operator="between">
      <formula>0.51</formula>
      <formula>0.75</formula>
    </cfRule>
    <cfRule type="cellIs" dxfId="14638" priority="23462" operator="greaterThan">
      <formula>1</formula>
    </cfRule>
    <cfRule type="cellIs" dxfId="14637" priority="23463" operator="between">
      <formula>0.95</formula>
      <formula>1</formula>
    </cfRule>
    <cfRule type="cellIs" dxfId="14636" priority="23464" stopIfTrue="1" operator="between">
      <formula>0</formula>
      <formula>0.5</formula>
    </cfRule>
  </conditionalFormatting>
  <conditionalFormatting sqref="AD84">
    <cfRule type="cellIs" dxfId="14635" priority="23455" operator="between">
      <formula>0.76</formula>
      <formula>0.95</formula>
    </cfRule>
    <cfRule type="cellIs" dxfId="14634" priority="23456" operator="between">
      <formula>0.51</formula>
      <formula>0.75</formula>
    </cfRule>
    <cfRule type="cellIs" dxfId="14633" priority="23457" operator="greaterThan">
      <formula>1</formula>
    </cfRule>
    <cfRule type="cellIs" dxfId="14632" priority="23458" operator="between">
      <formula>0.95</formula>
      <formula>1</formula>
    </cfRule>
    <cfRule type="cellIs" dxfId="14631" priority="23459" stopIfTrue="1" operator="between">
      <formula>0</formula>
      <formula>0.5</formula>
    </cfRule>
  </conditionalFormatting>
  <conditionalFormatting sqref="AD85">
    <cfRule type="cellIs" dxfId="14630" priority="23450" operator="between">
      <formula>0.76</formula>
      <formula>0.95</formula>
    </cfRule>
    <cfRule type="cellIs" dxfId="14629" priority="23451" operator="between">
      <formula>0.51</formula>
      <formula>0.75</formula>
    </cfRule>
    <cfRule type="cellIs" dxfId="14628" priority="23452" operator="greaterThan">
      <formula>1</formula>
    </cfRule>
    <cfRule type="cellIs" dxfId="14627" priority="23453" operator="between">
      <formula>0.95</formula>
      <formula>1</formula>
    </cfRule>
    <cfRule type="cellIs" dxfId="14626" priority="23454" stopIfTrue="1" operator="between">
      <formula>0</formula>
      <formula>0.5</formula>
    </cfRule>
  </conditionalFormatting>
  <conditionalFormatting sqref="AD86">
    <cfRule type="cellIs" dxfId="14625" priority="23445" operator="between">
      <formula>0.76</formula>
      <formula>0.95</formula>
    </cfRule>
    <cfRule type="cellIs" dxfId="14624" priority="23446" operator="between">
      <formula>0.51</formula>
      <formula>0.75</formula>
    </cfRule>
    <cfRule type="cellIs" dxfId="14623" priority="23447" operator="greaterThan">
      <formula>1</formula>
    </cfRule>
    <cfRule type="cellIs" dxfId="14622" priority="23448" operator="between">
      <formula>0.95</formula>
      <formula>1</formula>
    </cfRule>
    <cfRule type="cellIs" dxfId="14621" priority="23449" stopIfTrue="1" operator="between">
      <formula>0</formula>
      <formula>0.5</formula>
    </cfRule>
  </conditionalFormatting>
  <conditionalFormatting sqref="AD90">
    <cfRule type="cellIs" dxfId="14620" priority="23440" operator="between">
      <formula>0.76</formula>
      <formula>0.95</formula>
    </cfRule>
    <cfRule type="cellIs" dxfId="14619" priority="23441" operator="between">
      <formula>0.51</formula>
      <formula>0.75</formula>
    </cfRule>
    <cfRule type="cellIs" dxfId="14618" priority="23442" operator="greaterThan">
      <formula>1</formula>
    </cfRule>
    <cfRule type="cellIs" dxfId="14617" priority="23443" operator="between">
      <formula>0.95</formula>
      <formula>1</formula>
    </cfRule>
    <cfRule type="cellIs" dxfId="14616" priority="23444" stopIfTrue="1" operator="between">
      <formula>0</formula>
      <formula>0.5</formula>
    </cfRule>
  </conditionalFormatting>
  <conditionalFormatting sqref="AD89">
    <cfRule type="cellIs" dxfId="14615" priority="23435" operator="between">
      <formula>0.76</formula>
      <formula>0.95</formula>
    </cfRule>
    <cfRule type="cellIs" dxfId="14614" priority="23436" operator="between">
      <formula>0.51</formula>
      <formula>0.75</formula>
    </cfRule>
    <cfRule type="cellIs" dxfId="14613" priority="23437" operator="greaterThan">
      <formula>1</formula>
    </cfRule>
    <cfRule type="cellIs" dxfId="14612" priority="23438" operator="between">
      <formula>0.95</formula>
      <formula>1</formula>
    </cfRule>
    <cfRule type="cellIs" dxfId="14611" priority="23439" stopIfTrue="1" operator="between">
      <formula>0</formula>
      <formula>0.5</formula>
    </cfRule>
  </conditionalFormatting>
  <conditionalFormatting sqref="AD91">
    <cfRule type="cellIs" dxfId="14610" priority="23430" operator="between">
      <formula>0.76</formula>
      <formula>0.95</formula>
    </cfRule>
    <cfRule type="cellIs" dxfId="14609" priority="23431" operator="between">
      <formula>0.51</formula>
      <formula>0.75</formula>
    </cfRule>
    <cfRule type="cellIs" dxfId="14608" priority="23432" operator="greaterThan">
      <formula>1</formula>
    </cfRule>
    <cfRule type="cellIs" dxfId="14607" priority="23433" operator="between">
      <formula>0.95</formula>
      <formula>1</formula>
    </cfRule>
    <cfRule type="cellIs" dxfId="14606" priority="23434" stopIfTrue="1" operator="between">
      <formula>0</formula>
      <formula>0.5</formula>
    </cfRule>
  </conditionalFormatting>
  <conditionalFormatting sqref="AD92">
    <cfRule type="cellIs" dxfId="14605" priority="23425" operator="between">
      <formula>0.76</formula>
      <formula>0.95</formula>
    </cfRule>
    <cfRule type="cellIs" dxfId="14604" priority="23426" operator="between">
      <formula>0.51</formula>
      <formula>0.75</formula>
    </cfRule>
    <cfRule type="cellIs" dxfId="14603" priority="23427" operator="greaterThan">
      <formula>1</formula>
    </cfRule>
    <cfRule type="cellIs" dxfId="14602" priority="23428" operator="between">
      <formula>0.95</formula>
      <formula>1</formula>
    </cfRule>
    <cfRule type="cellIs" dxfId="14601" priority="23429" stopIfTrue="1" operator="between">
      <formula>0</formula>
      <formula>0.5</formula>
    </cfRule>
  </conditionalFormatting>
  <conditionalFormatting sqref="AD93">
    <cfRule type="cellIs" dxfId="14600" priority="23420" operator="between">
      <formula>0.76</formula>
      <formula>0.95</formula>
    </cfRule>
    <cfRule type="cellIs" dxfId="14599" priority="23421" operator="between">
      <formula>0.51</formula>
      <formula>0.75</formula>
    </cfRule>
    <cfRule type="cellIs" dxfId="14598" priority="23422" operator="greaterThan">
      <formula>1</formula>
    </cfRule>
    <cfRule type="cellIs" dxfId="14597" priority="23423" operator="between">
      <formula>0.95</formula>
      <formula>1</formula>
    </cfRule>
    <cfRule type="cellIs" dxfId="14596" priority="23424" stopIfTrue="1" operator="between">
      <formula>0</formula>
      <formula>0.5</formula>
    </cfRule>
  </conditionalFormatting>
  <conditionalFormatting sqref="AD94">
    <cfRule type="cellIs" dxfId="14595" priority="23415" operator="between">
      <formula>0.76</formula>
      <formula>0.95</formula>
    </cfRule>
    <cfRule type="cellIs" dxfId="14594" priority="23416" operator="between">
      <formula>0.51</formula>
      <formula>0.75</formula>
    </cfRule>
    <cfRule type="cellIs" dxfId="14593" priority="23417" operator="greaterThan">
      <formula>1</formula>
    </cfRule>
    <cfRule type="cellIs" dxfId="14592" priority="23418" operator="between">
      <formula>0.95</formula>
      <formula>1</formula>
    </cfRule>
    <cfRule type="cellIs" dxfId="14591" priority="23419" stopIfTrue="1" operator="between">
      <formula>0</formula>
      <formula>0.5</formula>
    </cfRule>
  </conditionalFormatting>
  <conditionalFormatting sqref="AD99">
    <cfRule type="cellIs" dxfId="14590" priority="23395" operator="between">
      <formula>0.76</formula>
      <formula>0.95</formula>
    </cfRule>
    <cfRule type="cellIs" dxfId="14589" priority="23396" operator="between">
      <formula>0.51</formula>
      <formula>0.75</formula>
    </cfRule>
    <cfRule type="cellIs" dxfId="14588" priority="23397" operator="greaterThan">
      <formula>1</formula>
    </cfRule>
    <cfRule type="cellIs" dxfId="14587" priority="23398" operator="between">
      <formula>0.95</formula>
      <formula>1</formula>
    </cfRule>
    <cfRule type="cellIs" dxfId="14586" priority="23399" stopIfTrue="1" operator="between">
      <formula>0</formula>
      <formula>0.5</formula>
    </cfRule>
  </conditionalFormatting>
  <conditionalFormatting sqref="AD103">
    <cfRule type="cellIs" dxfId="14585" priority="23390" operator="between">
      <formula>0.76</formula>
      <formula>0.95</formula>
    </cfRule>
    <cfRule type="cellIs" dxfId="14584" priority="23391" operator="between">
      <formula>0.51</formula>
      <formula>0.75</formula>
    </cfRule>
    <cfRule type="cellIs" dxfId="14583" priority="23392" operator="greaterThan">
      <formula>1</formula>
    </cfRule>
    <cfRule type="cellIs" dxfId="14582" priority="23393" operator="between">
      <formula>0.95</formula>
      <formula>1</formula>
    </cfRule>
    <cfRule type="cellIs" dxfId="14581" priority="23394" stopIfTrue="1" operator="between">
      <formula>0</formula>
      <formula>0.5</formula>
    </cfRule>
  </conditionalFormatting>
  <conditionalFormatting sqref="AD102">
    <cfRule type="cellIs" dxfId="14580" priority="23385" operator="between">
      <formula>0.76</formula>
      <formula>0.95</formula>
    </cfRule>
    <cfRule type="cellIs" dxfId="14579" priority="23386" operator="between">
      <formula>0.51</formula>
      <formula>0.75</formula>
    </cfRule>
    <cfRule type="cellIs" dxfId="14578" priority="23387" operator="greaterThan">
      <formula>1</formula>
    </cfRule>
    <cfRule type="cellIs" dxfId="14577" priority="23388" operator="between">
      <formula>0.95</formula>
      <formula>1</formula>
    </cfRule>
    <cfRule type="cellIs" dxfId="14576" priority="23389" stopIfTrue="1" operator="between">
      <formula>0</formula>
      <formula>0.5</formula>
    </cfRule>
  </conditionalFormatting>
  <conditionalFormatting sqref="AD107">
    <cfRule type="cellIs" dxfId="14575" priority="23380" operator="between">
      <formula>0.76</formula>
      <formula>0.95</formula>
    </cfRule>
    <cfRule type="cellIs" dxfId="14574" priority="23381" operator="between">
      <formula>0.51</formula>
      <formula>0.75</formula>
    </cfRule>
    <cfRule type="cellIs" dxfId="14573" priority="23382" operator="greaterThan">
      <formula>1</formula>
    </cfRule>
    <cfRule type="cellIs" dxfId="14572" priority="23383" operator="between">
      <formula>0.95</formula>
      <formula>1</formula>
    </cfRule>
    <cfRule type="cellIs" dxfId="14571" priority="23384" stopIfTrue="1" operator="between">
      <formula>0</formula>
      <formula>0.5</formula>
    </cfRule>
  </conditionalFormatting>
  <conditionalFormatting sqref="AD108">
    <cfRule type="cellIs" dxfId="14570" priority="23375" operator="between">
      <formula>0.76</formula>
      <formula>0.95</formula>
    </cfRule>
    <cfRule type="cellIs" dxfId="14569" priority="23376" operator="between">
      <formula>0.51</formula>
      <formula>0.75</formula>
    </cfRule>
    <cfRule type="cellIs" dxfId="14568" priority="23377" operator="greaterThan">
      <formula>1</formula>
    </cfRule>
    <cfRule type="cellIs" dxfId="14567" priority="23378" operator="between">
      <formula>0.95</formula>
      <formula>1</formula>
    </cfRule>
    <cfRule type="cellIs" dxfId="14566" priority="23379" stopIfTrue="1" operator="between">
      <formula>0</formula>
      <formula>0.5</formula>
    </cfRule>
  </conditionalFormatting>
  <conditionalFormatting sqref="AD109">
    <cfRule type="cellIs" dxfId="14565" priority="23370" operator="between">
      <formula>0.76</formula>
      <formula>0.95</formula>
    </cfRule>
    <cfRule type="cellIs" dxfId="14564" priority="23371" operator="between">
      <formula>0.51</formula>
      <formula>0.75</formula>
    </cfRule>
    <cfRule type="cellIs" dxfId="14563" priority="23372" operator="greaterThan">
      <formula>1</formula>
    </cfRule>
    <cfRule type="cellIs" dxfId="14562" priority="23373" operator="between">
      <formula>0.95</formula>
      <formula>1</formula>
    </cfRule>
    <cfRule type="cellIs" dxfId="14561" priority="23374" stopIfTrue="1" operator="between">
      <formula>0</formula>
      <formula>0.5</formula>
    </cfRule>
  </conditionalFormatting>
  <conditionalFormatting sqref="AD110">
    <cfRule type="cellIs" dxfId="14560" priority="23365" operator="between">
      <formula>0.76</formula>
      <formula>0.95</formula>
    </cfRule>
    <cfRule type="cellIs" dxfId="14559" priority="23366" operator="between">
      <formula>0.51</formula>
      <formula>0.75</formula>
    </cfRule>
    <cfRule type="cellIs" dxfId="14558" priority="23367" operator="greaterThan">
      <formula>1</formula>
    </cfRule>
    <cfRule type="cellIs" dxfId="14557" priority="23368" operator="between">
      <formula>0.95</formula>
      <formula>1</formula>
    </cfRule>
    <cfRule type="cellIs" dxfId="14556" priority="23369" stopIfTrue="1" operator="between">
      <formula>0</formula>
      <formula>0.5</formula>
    </cfRule>
  </conditionalFormatting>
  <conditionalFormatting sqref="AD112">
    <cfRule type="cellIs" dxfId="14555" priority="23360" operator="between">
      <formula>0.76</formula>
      <formula>0.95</formula>
    </cfRule>
    <cfRule type="cellIs" dxfId="14554" priority="23361" operator="between">
      <formula>0.51</formula>
      <formula>0.75</formula>
    </cfRule>
    <cfRule type="cellIs" dxfId="14553" priority="23362" operator="greaterThan">
      <formula>1</formula>
    </cfRule>
    <cfRule type="cellIs" dxfId="14552" priority="23363" operator="between">
      <formula>0.95</formula>
      <formula>1</formula>
    </cfRule>
    <cfRule type="cellIs" dxfId="14551" priority="23364" stopIfTrue="1" operator="between">
      <formula>0</formula>
      <formula>0.5</formula>
    </cfRule>
  </conditionalFormatting>
  <conditionalFormatting sqref="AD113">
    <cfRule type="cellIs" dxfId="14550" priority="23345" operator="between">
      <formula>0.76</formula>
      <formula>0.95</formula>
    </cfRule>
    <cfRule type="cellIs" dxfId="14549" priority="23346" operator="between">
      <formula>0.51</formula>
      <formula>0.75</formula>
    </cfRule>
    <cfRule type="cellIs" dxfId="14548" priority="23347" operator="greaterThan">
      <formula>1</formula>
    </cfRule>
    <cfRule type="cellIs" dxfId="14547" priority="23348" operator="between">
      <formula>0.95</formula>
      <formula>1</formula>
    </cfRule>
    <cfRule type="cellIs" dxfId="14546" priority="23349" stopIfTrue="1" operator="between">
      <formula>0</formula>
      <formula>0.5</formula>
    </cfRule>
  </conditionalFormatting>
  <conditionalFormatting sqref="AD116">
    <cfRule type="cellIs" dxfId="14545" priority="23340" operator="between">
      <formula>0.76</formula>
      <formula>0.95</formula>
    </cfRule>
    <cfRule type="cellIs" dxfId="14544" priority="23341" operator="between">
      <formula>0.51</formula>
      <formula>0.75</formula>
    </cfRule>
    <cfRule type="cellIs" dxfId="14543" priority="23342" operator="greaterThan">
      <formula>1</formula>
    </cfRule>
    <cfRule type="cellIs" dxfId="14542" priority="23343" operator="between">
      <formula>0.95</formula>
      <formula>1</formula>
    </cfRule>
    <cfRule type="cellIs" dxfId="14541" priority="23344" stopIfTrue="1" operator="between">
      <formula>0</formula>
      <formula>0.5</formula>
    </cfRule>
  </conditionalFormatting>
  <conditionalFormatting sqref="AD118">
    <cfRule type="cellIs" dxfId="14540" priority="23330" operator="between">
      <formula>0.76</formula>
      <formula>0.95</formula>
    </cfRule>
    <cfRule type="cellIs" dxfId="14539" priority="23331" operator="between">
      <formula>0.51</formula>
      <formula>0.75</formula>
    </cfRule>
    <cfRule type="cellIs" dxfId="14538" priority="23332" operator="greaterThan">
      <formula>1</formula>
    </cfRule>
    <cfRule type="cellIs" dxfId="14537" priority="23333" operator="between">
      <formula>0.95</formula>
      <formula>1</formula>
    </cfRule>
    <cfRule type="cellIs" dxfId="14536" priority="23334" stopIfTrue="1" operator="between">
      <formula>0</formula>
      <formula>0.5</formula>
    </cfRule>
  </conditionalFormatting>
  <conditionalFormatting sqref="AD120">
    <cfRule type="cellIs" dxfId="14535" priority="23320" operator="between">
      <formula>0.76</formula>
      <formula>0.95</formula>
    </cfRule>
    <cfRule type="cellIs" dxfId="14534" priority="23321" operator="between">
      <formula>0.51</formula>
      <formula>0.75</formula>
    </cfRule>
    <cfRule type="cellIs" dxfId="14533" priority="23322" operator="greaterThan">
      <formula>1</formula>
    </cfRule>
    <cfRule type="cellIs" dxfId="14532" priority="23323" operator="between">
      <formula>0.95</formula>
      <formula>1</formula>
    </cfRule>
    <cfRule type="cellIs" dxfId="14531" priority="23324" stopIfTrue="1" operator="between">
      <formula>0</formula>
      <formula>0.5</formula>
    </cfRule>
  </conditionalFormatting>
  <conditionalFormatting sqref="AD121">
    <cfRule type="cellIs" dxfId="14530" priority="23315" operator="between">
      <formula>0.76</formula>
      <formula>0.95</formula>
    </cfRule>
    <cfRule type="cellIs" dxfId="14529" priority="23316" operator="between">
      <formula>0.51</formula>
      <formula>0.75</formula>
    </cfRule>
    <cfRule type="cellIs" dxfId="14528" priority="23317" operator="greaterThan">
      <formula>1</formula>
    </cfRule>
    <cfRule type="cellIs" dxfId="14527" priority="23318" operator="between">
      <formula>0.95</formula>
      <formula>1</formula>
    </cfRule>
    <cfRule type="cellIs" dxfId="14526" priority="23319" stopIfTrue="1" operator="between">
      <formula>0</formula>
      <formula>0.5</formula>
    </cfRule>
  </conditionalFormatting>
  <conditionalFormatting sqref="AD122">
    <cfRule type="cellIs" dxfId="14525" priority="23310" operator="between">
      <formula>0.76</formula>
      <formula>0.95</formula>
    </cfRule>
    <cfRule type="cellIs" dxfId="14524" priority="23311" operator="between">
      <formula>0.51</formula>
      <formula>0.75</formula>
    </cfRule>
    <cfRule type="cellIs" dxfId="14523" priority="23312" operator="greaterThan">
      <formula>1</formula>
    </cfRule>
    <cfRule type="cellIs" dxfId="14522" priority="23313" operator="between">
      <formula>0.95</formula>
      <formula>1</formula>
    </cfRule>
    <cfRule type="cellIs" dxfId="14521" priority="23314" stopIfTrue="1" operator="between">
      <formula>0</formula>
      <formula>0.5</formula>
    </cfRule>
  </conditionalFormatting>
  <conditionalFormatting sqref="AD123">
    <cfRule type="cellIs" dxfId="14520" priority="23305" operator="between">
      <formula>0.76</formula>
      <formula>0.95</formula>
    </cfRule>
    <cfRule type="cellIs" dxfId="14519" priority="23306" operator="between">
      <formula>0.51</formula>
      <formula>0.75</formula>
    </cfRule>
    <cfRule type="cellIs" dxfId="14518" priority="23307" operator="greaterThan">
      <formula>1</formula>
    </cfRule>
    <cfRule type="cellIs" dxfId="14517" priority="23308" operator="between">
      <formula>0.95</formula>
      <formula>1</formula>
    </cfRule>
    <cfRule type="cellIs" dxfId="14516" priority="23309" stopIfTrue="1" operator="between">
      <formula>0</formula>
      <formula>0.5</formula>
    </cfRule>
  </conditionalFormatting>
  <conditionalFormatting sqref="AD124">
    <cfRule type="cellIs" dxfId="14515" priority="23300" operator="between">
      <formula>0.76</formula>
      <formula>0.95</formula>
    </cfRule>
    <cfRule type="cellIs" dxfId="14514" priority="23301" operator="between">
      <formula>0.51</formula>
      <formula>0.75</formula>
    </cfRule>
    <cfRule type="cellIs" dxfId="14513" priority="23302" operator="greaterThan">
      <formula>1</formula>
    </cfRule>
    <cfRule type="cellIs" dxfId="14512" priority="23303" operator="between">
      <formula>0.95</formula>
      <formula>1</formula>
    </cfRule>
    <cfRule type="cellIs" dxfId="14511" priority="23304" stopIfTrue="1" operator="between">
      <formula>0</formula>
      <formula>0.5</formula>
    </cfRule>
  </conditionalFormatting>
  <conditionalFormatting sqref="AD144">
    <cfRule type="cellIs" dxfId="14510" priority="23295" operator="between">
      <formula>0.76</formula>
      <formula>0.95</formula>
    </cfRule>
    <cfRule type="cellIs" dxfId="14509" priority="23296" operator="between">
      <formula>0.51</formula>
      <formula>0.75</formula>
    </cfRule>
    <cfRule type="cellIs" dxfId="14508" priority="23297" operator="greaterThan">
      <formula>1</formula>
    </cfRule>
    <cfRule type="cellIs" dxfId="14507" priority="23298" operator="between">
      <formula>0.95</formula>
      <formula>1</formula>
    </cfRule>
    <cfRule type="cellIs" dxfId="14506" priority="23299" stopIfTrue="1" operator="between">
      <formula>0</formula>
      <formula>0.5</formula>
    </cfRule>
  </conditionalFormatting>
  <conditionalFormatting sqref="AD151">
    <cfRule type="cellIs" dxfId="14505" priority="23290" operator="between">
      <formula>0.76</formula>
      <formula>0.95</formula>
    </cfRule>
    <cfRule type="cellIs" dxfId="14504" priority="23291" operator="between">
      <formula>0.51</formula>
      <formula>0.75</formula>
    </cfRule>
    <cfRule type="cellIs" dxfId="14503" priority="23292" operator="greaterThan">
      <formula>1</formula>
    </cfRule>
    <cfRule type="cellIs" dxfId="14502" priority="23293" operator="between">
      <formula>0.95</formula>
      <formula>1</formula>
    </cfRule>
    <cfRule type="cellIs" dxfId="14501" priority="23294" stopIfTrue="1" operator="between">
      <formula>0</formula>
      <formula>0.5</formula>
    </cfRule>
  </conditionalFormatting>
  <conditionalFormatting sqref="AD152">
    <cfRule type="cellIs" dxfId="14500" priority="23285" operator="between">
      <formula>0.76</formula>
      <formula>0.95</formula>
    </cfRule>
    <cfRule type="cellIs" dxfId="14499" priority="23286" operator="between">
      <formula>0.51</formula>
      <formula>0.75</formula>
    </cfRule>
    <cfRule type="cellIs" dxfId="14498" priority="23287" operator="greaterThan">
      <formula>1</formula>
    </cfRule>
    <cfRule type="cellIs" dxfId="14497" priority="23288" operator="between">
      <formula>0.95</formula>
      <formula>1</formula>
    </cfRule>
    <cfRule type="cellIs" dxfId="14496" priority="23289" stopIfTrue="1" operator="between">
      <formula>0</formula>
      <formula>0.5</formula>
    </cfRule>
  </conditionalFormatting>
  <conditionalFormatting sqref="AD155">
    <cfRule type="cellIs" dxfId="14495" priority="23275" operator="between">
      <formula>0.76</formula>
      <formula>0.95</formula>
    </cfRule>
    <cfRule type="cellIs" dxfId="14494" priority="23276" operator="between">
      <formula>0.51</formula>
      <formula>0.75</formula>
    </cfRule>
    <cfRule type="cellIs" dxfId="14493" priority="23277" operator="greaterThan">
      <formula>1</formula>
    </cfRule>
    <cfRule type="cellIs" dxfId="14492" priority="23278" operator="between">
      <formula>0.95</formula>
      <formula>1</formula>
    </cfRule>
    <cfRule type="cellIs" dxfId="14491" priority="23279" stopIfTrue="1" operator="between">
      <formula>0</formula>
      <formula>0.5</formula>
    </cfRule>
  </conditionalFormatting>
  <conditionalFormatting sqref="AD166">
    <cfRule type="cellIs" dxfId="14490" priority="23270" operator="between">
      <formula>0.76</formula>
      <formula>0.95</formula>
    </cfRule>
    <cfRule type="cellIs" dxfId="14489" priority="23271" operator="between">
      <formula>0.51</formula>
      <formula>0.75</formula>
    </cfRule>
    <cfRule type="cellIs" dxfId="14488" priority="23272" operator="greaterThan">
      <formula>1</formula>
    </cfRule>
    <cfRule type="cellIs" dxfId="14487" priority="23273" operator="between">
      <formula>0.95</formula>
      <formula>1</formula>
    </cfRule>
    <cfRule type="cellIs" dxfId="14486" priority="23274" stopIfTrue="1" operator="between">
      <formula>0</formula>
      <formula>0.5</formula>
    </cfRule>
  </conditionalFormatting>
  <conditionalFormatting sqref="AD177">
    <cfRule type="cellIs" dxfId="14485" priority="23265" operator="between">
      <formula>0.76</formula>
      <formula>0.95</formula>
    </cfRule>
    <cfRule type="cellIs" dxfId="14484" priority="23266" operator="between">
      <formula>0.51</formula>
      <formula>0.75</formula>
    </cfRule>
    <cfRule type="cellIs" dxfId="14483" priority="23267" operator="greaterThan">
      <formula>1</formula>
    </cfRule>
    <cfRule type="cellIs" dxfId="14482" priority="23268" operator="between">
      <formula>0.95</formula>
      <formula>1</formula>
    </cfRule>
    <cfRule type="cellIs" dxfId="14481" priority="23269" stopIfTrue="1" operator="between">
      <formula>0</formula>
      <formula>0.5</formula>
    </cfRule>
  </conditionalFormatting>
  <conditionalFormatting sqref="AD183">
    <cfRule type="cellIs" dxfId="14480" priority="23260" operator="between">
      <formula>0.76</formula>
      <formula>0.95</formula>
    </cfRule>
    <cfRule type="cellIs" dxfId="14479" priority="23261" operator="between">
      <formula>0.51</formula>
      <formula>0.75</formula>
    </cfRule>
    <cfRule type="cellIs" dxfId="14478" priority="23262" operator="greaterThan">
      <formula>1</formula>
    </cfRule>
    <cfRule type="cellIs" dxfId="14477" priority="23263" operator="between">
      <formula>0.95</formula>
      <formula>1</formula>
    </cfRule>
    <cfRule type="cellIs" dxfId="14476" priority="23264" stopIfTrue="1" operator="between">
      <formula>0</formula>
      <formula>0.5</formula>
    </cfRule>
  </conditionalFormatting>
  <conditionalFormatting sqref="AD184">
    <cfRule type="cellIs" dxfId="14475" priority="23255" operator="between">
      <formula>0.76</formula>
      <formula>0.95</formula>
    </cfRule>
    <cfRule type="cellIs" dxfId="14474" priority="23256" operator="between">
      <formula>0.51</formula>
      <formula>0.75</formula>
    </cfRule>
    <cfRule type="cellIs" dxfId="14473" priority="23257" operator="greaterThan">
      <formula>1</formula>
    </cfRule>
    <cfRule type="cellIs" dxfId="14472" priority="23258" operator="between">
      <formula>0.95</formula>
      <formula>1</formula>
    </cfRule>
    <cfRule type="cellIs" dxfId="14471" priority="23259" stopIfTrue="1" operator="between">
      <formula>0</formula>
      <formula>0.5</formula>
    </cfRule>
  </conditionalFormatting>
  <conditionalFormatting sqref="AD185">
    <cfRule type="cellIs" dxfId="14470" priority="23250" operator="between">
      <formula>0.76</formula>
      <formula>0.95</formula>
    </cfRule>
    <cfRule type="cellIs" dxfId="14469" priority="23251" operator="between">
      <formula>0.51</formula>
      <formula>0.75</formula>
    </cfRule>
    <cfRule type="cellIs" dxfId="14468" priority="23252" operator="greaterThan">
      <formula>1</formula>
    </cfRule>
    <cfRule type="cellIs" dxfId="14467" priority="23253" operator="between">
      <formula>0.95</formula>
      <formula>1</formula>
    </cfRule>
    <cfRule type="cellIs" dxfId="14466" priority="23254" stopIfTrue="1" operator="between">
      <formula>0</formula>
      <formula>0.5</formula>
    </cfRule>
  </conditionalFormatting>
  <conditionalFormatting sqref="AD186">
    <cfRule type="cellIs" dxfId="14465" priority="23245" operator="between">
      <formula>0.76</formula>
      <formula>0.95</formula>
    </cfRule>
    <cfRule type="cellIs" dxfId="14464" priority="23246" operator="between">
      <formula>0.51</formula>
      <formula>0.75</formula>
    </cfRule>
    <cfRule type="cellIs" dxfId="14463" priority="23247" operator="greaterThan">
      <formula>1</formula>
    </cfRule>
    <cfRule type="cellIs" dxfId="14462" priority="23248" operator="between">
      <formula>0.95</formula>
      <formula>1</formula>
    </cfRule>
    <cfRule type="cellIs" dxfId="14461" priority="23249" stopIfTrue="1" operator="between">
      <formula>0</formula>
      <formula>0.5</formula>
    </cfRule>
  </conditionalFormatting>
  <conditionalFormatting sqref="AD187">
    <cfRule type="cellIs" dxfId="14460" priority="23240" operator="between">
      <formula>0.76</formula>
      <formula>0.95</formula>
    </cfRule>
    <cfRule type="cellIs" dxfId="14459" priority="23241" operator="between">
      <formula>0.51</formula>
      <formula>0.75</formula>
    </cfRule>
    <cfRule type="cellIs" dxfId="14458" priority="23242" operator="greaterThan">
      <formula>1</formula>
    </cfRule>
    <cfRule type="cellIs" dxfId="14457" priority="23243" operator="between">
      <formula>0.95</formula>
      <formula>1</formula>
    </cfRule>
    <cfRule type="cellIs" dxfId="14456" priority="23244" stopIfTrue="1" operator="between">
      <formula>0</formula>
      <formula>0.5</formula>
    </cfRule>
  </conditionalFormatting>
  <conditionalFormatting sqref="AD188">
    <cfRule type="cellIs" dxfId="14455" priority="23235" operator="between">
      <formula>0.76</formula>
      <formula>0.95</formula>
    </cfRule>
    <cfRule type="cellIs" dxfId="14454" priority="23236" operator="between">
      <formula>0.51</formula>
      <formula>0.75</formula>
    </cfRule>
    <cfRule type="cellIs" dxfId="14453" priority="23237" operator="greaterThan">
      <formula>1</formula>
    </cfRule>
    <cfRule type="cellIs" dxfId="14452" priority="23238" operator="between">
      <formula>0.95</formula>
      <formula>1</formula>
    </cfRule>
    <cfRule type="cellIs" dxfId="14451" priority="23239" stopIfTrue="1" operator="between">
      <formula>0</formula>
      <formula>0.5</formula>
    </cfRule>
  </conditionalFormatting>
  <conditionalFormatting sqref="AD189">
    <cfRule type="cellIs" dxfId="14450" priority="23230" operator="between">
      <formula>0.76</formula>
      <formula>0.95</formula>
    </cfRule>
    <cfRule type="cellIs" dxfId="14449" priority="23231" operator="between">
      <formula>0.51</formula>
      <formula>0.75</formula>
    </cfRule>
    <cfRule type="cellIs" dxfId="14448" priority="23232" operator="greaterThan">
      <formula>1</formula>
    </cfRule>
    <cfRule type="cellIs" dxfId="14447" priority="23233" operator="between">
      <formula>0.95</formula>
      <formula>1</formula>
    </cfRule>
    <cfRule type="cellIs" dxfId="14446" priority="23234" stopIfTrue="1" operator="between">
      <formula>0</formula>
      <formula>0.5</formula>
    </cfRule>
  </conditionalFormatting>
  <conditionalFormatting sqref="AD190">
    <cfRule type="cellIs" dxfId="14445" priority="23225" operator="between">
      <formula>0.76</formula>
      <formula>0.95</formula>
    </cfRule>
    <cfRule type="cellIs" dxfId="14444" priority="23226" operator="between">
      <formula>0.51</formula>
      <formula>0.75</formula>
    </cfRule>
    <cfRule type="cellIs" dxfId="14443" priority="23227" operator="greaterThan">
      <formula>1</formula>
    </cfRule>
    <cfRule type="cellIs" dxfId="14442" priority="23228" operator="between">
      <formula>0.95</formula>
      <formula>1</formula>
    </cfRule>
    <cfRule type="cellIs" dxfId="14441" priority="23229" stopIfTrue="1" operator="between">
      <formula>0</formula>
      <formula>0.5</formula>
    </cfRule>
  </conditionalFormatting>
  <conditionalFormatting sqref="AD191">
    <cfRule type="cellIs" dxfId="14440" priority="23220" operator="between">
      <formula>0.76</formula>
      <formula>0.95</formula>
    </cfRule>
    <cfRule type="cellIs" dxfId="14439" priority="23221" operator="between">
      <formula>0.51</formula>
      <formula>0.75</formula>
    </cfRule>
    <cfRule type="cellIs" dxfId="14438" priority="23222" operator="greaterThan">
      <formula>1</formula>
    </cfRule>
    <cfRule type="cellIs" dxfId="14437" priority="23223" operator="between">
      <formula>0.95</formula>
      <formula>1</formula>
    </cfRule>
    <cfRule type="cellIs" dxfId="14436" priority="23224" stopIfTrue="1" operator="between">
      <formula>0</formula>
      <formula>0.5</formula>
    </cfRule>
  </conditionalFormatting>
  <conditionalFormatting sqref="AD192">
    <cfRule type="cellIs" dxfId="14435" priority="23215" operator="between">
      <formula>0.76</formula>
      <formula>0.95</formula>
    </cfRule>
    <cfRule type="cellIs" dxfId="14434" priority="23216" operator="between">
      <formula>0.51</formula>
      <formula>0.75</formula>
    </cfRule>
    <cfRule type="cellIs" dxfId="14433" priority="23217" operator="greaterThan">
      <formula>1</formula>
    </cfRule>
    <cfRule type="cellIs" dxfId="14432" priority="23218" operator="between">
      <formula>0.95</formula>
      <formula>1</formula>
    </cfRule>
    <cfRule type="cellIs" dxfId="14431" priority="23219" stopIfTrue="1" operator="between">
      <formula>0</formula>
      <formula>0.5</formula>
    </cfRule>
  </conditionalFormatting>
  <conditionalFormatting sqref="AD193">
    <cfRule type="cellIs" dxfId="14430" priority="23210" operator="between">
      <formula>0.76</formula>
      <formula>0.95</formula>
    </cfRule>
    <cfRule type="cellIs" dxfId="14429" priority="23211" operator="between">
      <formula>0.51</formula>
      <formula>0.75</formula>
    </cfRule>
    <cfRule type="cellIs" dxfId="14428" priority="23212" operator="greaterThan">
      <formula>1</formula>
    </cfRule>
    <cfRule type="cellIs" dxfId="14427" priority="23213" operator="between">
      <formula>0.95</formula>
      <formula>1</formula>
    </cfRule>
    <cfRule type="cellIs" dxfId="14426" priority="23214" stopIfTrue="1" operator="between">
      <formula>0</formula>
      <formula>0.5</formula>
    </cfRule>
  </conditionalFormatting>
  <conditionalFormatting sqref="AD194">
    <cfRule type="cellIs" dxfId="14425" priority="23205" operator="between">
      <formula>0.76</formula>
      <formula>0.95</formula>
    </cfRule>
    <cfRule type="cellIs" dxfId="14424" priority="23206" operator="between">
      <formula>0.51</formula>
      <formula>0.75</formula>
    </cfRule>
    <cfRule type="cellIs" dxfId="14423" priority="23207" operator="greaterThan">
      <formula>1</formula>
    </cfRule>
    <cfRule type="cellIs" dxfId="14422" priority="23208" operator="between">
      <formula>0.95</formula>
      <formula>1</formula>
    </cfRule>
    <cfRule type="cellIs" dxfId="14421" priority="23209" stopIfTrue="1" operator="between">
      <formula>0</formula>
      <formula>0.5</formula>
    </cfRule>
  </conditionalFormatting>
  <conditionalFormatting sqref="AD195">
    <cfRule type="cellIs" dxfId="14420" priority="23200" operator="between">
      <formula>0.76</formula>
      <formula>0.95</formula>
    </cfRule>
    <cfRule type="cellIs" dxfId="14419" priority="23201" operator="between">
      <formula>0.51</formula>
      <formula>0.75</formula>
    </cfRule>
    <cfRule type="cellIs" dxfId="14418" priority="23202" operator="greaterThan">
      <formula>1</formula>
    </cfRule>
    <cfRule type="cellIs" dxfId="14417" priority="23203" operator="between">
      <formula>0.95</formula>
      <formula>1</formula>
    </cfRule>
    <cfRule type="cellIs" dxfId="14416" priority="23204" stopIfTrue="1" operator="between">
      <formula>0</formula>
      <formula>0.5</formula>
    </cfRule>
  </conditionalFormatting>
  <conditionalFormatting sqref="AD196">
    <cfRule type="cellIs" dxfId="14415" priority="23195" operator="between">
      <formula>0.76</formula>
      <formula>0.95</formula>
    </cfRule>
    <cfRule type="cellIs" dxfId="14414" priority="23196" operator="between">
      <formula>0.51</formula>
      <formula>0.75</formula>
    </cfRule>
    <cfRule type="cellIs" dxfId="14413" priority="23197" operator="greaterThan">
      <formula>1</formula>
    </cfRule>
    <cfRule type="cellIs" dxfId="14412" priority="23198" operator="between">
      <formula>0.95</formula>
      <formula>1</formula>
    </cfRule>
    <cfRule type="cellIs" dxfId="14411" priority="23199" stopIfTrue="1" operator="between">
      <formula>0</formula>
      <formula>0.5</formula>
    </cfRule>
  </conditionalFormatting>
  <conditionalFormatting sqref="AD197">
    <cfRule type="cellIs" dxfId="14410" priority="23190" operator="between">
      <formula>0.76</formula>
      <formula>0.95</formula>
    </cfRule>
    <cfRule type="cellIs" dxfId="14409" priority="23191" operator="between">
      <formula>0.51</formula>
      <formula>0.75</formula>
    </cfRule>
    <cfRule type="cellIs" dxfId="14408" priority="23192" operator="greaterThan">
      <formula>1</formula>
    </cfRule>
    <cfRule type="cellIs" dxfId="14407" priority="23193" operator="between">
      <formula>0.95</formula>
      <formula>1</formula>
    </cfRule>
    <cfRule type="cellIs" dxfId="14406" priority="23194" stopIfTrue="1" operator="between">
      <formula>0</formula>
      <formula>0.5</formula>
    </cfRule>
  </conditionalFormatting>
  <conditionalFormatting sqref="AD198">
    <cfRule type="cellIs" dxfId="14405" priority="23185" operator="between">
      <formula>0.76</formula>
      <formula>0.95</formula>
    </cfRule>
    <cfRule type="cellIs" dxfId="14404" priority="23186" operator="between">
      <formula>0.51</formula>
      <formula>0.75</formula>
    </cfRule>
    <cfRule type="cellIs" dxfId="14403" priority="23187" operator="greaterThan">
      <formula>1</formula>
    </cfRule>
    <cfRule type="cellIs" dxfId="14402" priority="23188" operator="between">
      <formula>0.95</formula>
      <formula>1</formula>
    </cfRule>
    <cfRule type="cellIs" dxfId="14401" priority="23189" stopIfTrue="1" operator="between">
      <formula>0</formula>
      <formula>0.5</formula>
    </cfRule>
  </conditionalFormatting>
  <conditionalFormatting sqref="AD199">
    <cfRule type="cellIs" dxfId="14400" priority="23180" operator="between">
      <formula>0.76</formula>
      <formula>0.95</formula>
    </cfRule>
    <cfRule type="cellIs" dxfId="14399" priority="23181" operator="between">
      <formula>0.51</formula>
      <formula>0.75</formula>
    </cfRule>
    <cfRule type="cellIs" dxfId="14398" priority="23182" operator="greaterThan">
      <formula>1</formula>
    </cfRule>
    <cfRule type="cellIs" dxfId="14397" priority="23183" operator="between">
      <formula>0.95</formula>
      <formula>1</formula>
    </cfRule>
    <cfRule type="cellIs" dxfId="14396" priority="23184" stopIfTrue="1" operator="between">
      <formula>0</formula>
      <formula>0.5</formula>
    </cfRule>
  </conditionalFormatting>
  <conditionalFormatting sqref="AD200">
    <cfRule type="cellIs" dxfId="14395" priority="23175" operator="between">
      <formula>0.76</formula>
      <formula>0.95</formula>
    </cfRule>
    <cfRule type="cellIs" dxfId="14394" priority="23176" operator="between">
      <formula>0.51</formula>
      <formula>0.75</formula>
    </cfRule>
    <cfRule type="cellIs" dxfId="14393" priority="23177" operator="greaterThan">
      <formula>1</formula>
    </cfRule>
    <cfRule type="cellIs" dxfId="14392" priority="23178" operator="between">
      <formula>0.95</formula>
      <formula>1</formula>
    </cfRule>
    <cfRule type="cellIs" dxfId="14391" priority="23179" stopIfTrue="1" operator="between">
      <formula>0</formula>
      <formula>0.5</formula>
    </cfRule>
  </conditionalFormatting>
  <conditionalFormatting sqref="AD202">
    <cfRule type="cellIs" dxfId="14390" priority="23170" operator="between">
      <formula>0.76</formula>
      <formula>0.95</formula>
    </cfRule>
    <cfRule type="cellIs" dxfId="14389" priority="23171" operator="between">
      <formula>0.51</formula>
      <formula>0.75</formula>
    </cfRule>
    <cfRule type="cellIs" dxfId="14388" priority="23172" operator="greaterThan">
      <formula>1</formula>
    </cfRule>
    <cfRule type="cellIs" dxfId="14387" priority="23173" operator="between">
      <formula>0.95</formula>
      <formula>1</formula>
    </cfRule>
    <cfRule type="cellIs" dxfId="14386" priority="23174" stopIfTrue="1" operator="between">
      <formula>0</formula>
      <formula>0.5</formula>
    </cfRule>
  </conditionalFormatting>
  <conditionalFormatting sqref="AD203:AD204">
    <cfRule type="cellIs" dxfId="14385" priority="23160" operator="between">
      <formula>0.76</formula>
      <formula>0.95</formula>
    </cfRule>
    <cfRule type="cellIs" dxfId="14384" priority="23161" operator="between">
      <formula>0.51</formula>
      <formula>0.75</formula>
    </cfRule>
    <cfRule type="cellIs" dxfId="14383" priority="23162" operator="greaterThan">
      <formula>1</formula>
    </cfRule>
    <cfRule type="cellIs" dxfId="14382" priority="23163" operator="between">
      <formula>0.95</formula>
      <formula>1</formula>
    </cfRule>
    <cfRule type="cellIs" dxfId="14381" priority="23164" stopIfTrue="1" operator="between">
      <formula>0</formula>
      <formula>0.5</formula>
    </cfRule>
  </conditionalFormatting>
  <conditionalFormatting sqref="AD205">
    <cfRule type="cellIs" dxfId="14380" priority="23155" operator="between">
      <formula>0.76</formula>
      <formula>0.95</formula>
    </cfRule>
    <cfRule type="cellIs" dxfId="14379" priority="23156" operator="between">
      <formula>0.51</formula>
      <formula>0.75</formula>
    </cfRule>
    <cfRule type="cellIs" dxfId="14378" priority="23157" operator="greaterThan">
      <formula>1</formula>
    </cfRule>
    <cfRule type="cellIs" dxfId="14377" priority="23158" operator="between">
      <formula>0.95</formula>
      <formula>1</formula>
    </cfRule>
    <cfRule type="cellIs" dxfId="14376" priority="23159" stopIfTrue="1" operator="between">
      <formula>0</formula>
      <formula>0.5</formula>
    </cfRule>
  </conditionalFormatting>
  <conditionalFormatting sqref="AD206">
    <cfRule type="cellIs" dxfId="14375" priority="23150" operator="between">
      <formula>0.76</formula>
      <formula>0.95</formula>
    </cfRule>
    <cfRule type="cellIs" dxfId="14374" priority="23151" operator="between">
      <formula>0.51</formula>
      <formula>0.75</formula>
    </cfRule>
    <cfRule type="cellIs" dxfId="14373" priority="23152" operator="greaterThan">
      <formula>1</formula>
    </cfRule>
    <cfRule type="cellIs" dxfId="14372" priority="23153" operator="between">
      <formula>0.95</formula>
      <formula>1</formula>
    </cfRule>
    <cfRule type="cellIs" dxfId="14371" priority="23154" stopIfTrue="1" operator="between">
      <formula>0</formula>
      <formula>0.5</formula>
    </cfRule>
  </conditionalFormatting>
  <conditionalFormatting sqref="AD207">
    <cfRule type="cellIs" dxfId="14370" priority="23145" operator="between">
      <formula>0.76</formula>
      <formula>0.95</formula>
    </cfRule>
    <cfRule type="cellIs" dxfId="14369" priority="23146" operator="between">
      <formula>0.51</formula>
      <formula>0.75</formula>
    </cfRule>
    <cfRule type="cellIs" dxfId="14368" priority="23147" operator="greaterThan">
      <formula>1</formula>
    </cfRule>
    <cfRule type="cellIs" dxfId="14367" priority="23148" operator="between">
      <formula>0.95</formula>
      <formula>1</formula>
    </cfRule>
    <cfRule type="cellIs" dxfId="14366" priority="23149" stopIfTrue="1" operator="between">
      <formula>0</formula>
      <formula>0.5</formula>
    </cfRule>
  </conditionalFormatting>
  <conditionalFormatting sqref="AD208">
    <cfRule type="cellIs" dxfId="14365" priority="23140" operator="between">
      <formula>0.76</formula>
      <formula>0.95</formula>
    </cfRule>
    <cfRule type="cellIs" dxfId="14364" priority="23141" operator="between">
      <formula>0.51</formula>
      <formula>0.75</formula>
    </cfRule>
    <cfRule type="cellIs" dxfId="14363" priority="23142" operator="greaterThan">
      <formula>1</formula>
    </cfRule>
    <cfRule type="cellIs" dxfId="14362" priority="23143" operator="between">
      <formula>0.95</formula>
      <formula>1</formula>
    </cfRule>
    <cfRule type="cellIs" dxfId="14361" priority="23144" stopIfTrue="1" operator="between">
      <formula>0</formula>
      <formula>0.5</formula>
    </cfRule>
  </conditionalFormatting>
  <conditionalFormatting sqref="AD209">
    <cfRule type="cellIs" dxfId="14360" priority="23135" operator="between">
      <formula>0.76</formula>
      <formula>0.95</formula>
    </cfRule>
    <cfRule type="cellIs" dxfId="14359" priority="23136" operator="between">
      <formula>0.51</formula>
      <formula>0.75</formula>
    </cfRule>
    <cfRule type="cellIs" dxfId="14358" priority="23137" operator="greaterThan">
      <formula>1</formula>
    </cfRule>
    <cfRule type="cellIs" dxfId="14357" priority="23138" operator="between">
      <formula>0.95</formula>
      <formula>1</formula>
    </cfRule>
    <cfRule type="cellIs" dxfId="14356" priority="23139" stopIfTrue="1" operator="between">
      <formula>0</formula>
      <formula>0.5</formula>
    </cfRule>
  </conditionalFormatting>
  <conditionalFormatting sqref="AD210">
    <cfRule type="cellIs" dxfId="14355" priority="23130" operator="between">
      <formula>0.76</formula>
      <formula>0.95</formula>
    </cfRule>
    <cfRule type="cellIs" dxfId="14354" priority="23131" operator="between">
      <formula>0.51</formula>
      <formula>0.75</formula>
    </cfRule>
    <cfRule type="cellIs" dxfId="14353" priority="23132" operator="greaterThan">
      <formula>1</formula>
    </cfRule>
    <cfRule type="cellIs" dxfId="14352" priority="23133" operator="between">
      <formula>0.95</formula>
      <formula>1</formula>
    </cfRule>
    <cfRule type="cellIs" dxfId="14351" priority="23134" stopIfTrue="1" operator="between">
      <formula>0</formula>
      <formula>0.5</formula>
    </cfRule>
  </conditionalFormatting>
  <conditionalFormatting sqref="AD211">
    <cfRule type="cellIs" dxfId="14350" priority="23125" operator="between">
      <formula>0.76</formula>
      <formula>0.95</formula>
    </cfRule>
    <cfRule type="cellIs" dxfId="14349" priority="23126" operator="between">
      <formula>0.51</formula>
      <formula>0.75</formula>
    </cfRule>
    <cfRule type="cellIs" dxfId="14348" priority="23127" operator="greaterThan">
      <formula>1</formula>
    </cfRule>
    <cfRule type="cellIs" dxfId="14347" priority="23128" operator="between">
      <formula>0.95</formula>
      <formula>1</formula>
    </cfRule>
    <cfRule type="cellIs" dxfId="14346" priority="23129" stopIfTrue="1" operator="between">
      <formula>0</formula>
      <formula>0.5</formula>
    </cfRule>
  </conditionalFormatting>
  <conditionalFormatting sqref="AD212">
    <cfRule type="cellIs" dxfId="14345" priority="23120" operator="between">
      <formula>0.76</formula>
      <formula>0.95</formula>
    </cfRule>
    <cfRule type="cellIs" dxfId="14344" priority="23121" operator="between">
      <formula>0.51</formula>
      <formula>0.75</formula>
    </cfRule>
    <cfRule type="cellIs" dxfId="14343" priority="23122" operator="greaterThan">
      <formula>1</formula>
    </cfRule>
    <cfRule type="cellIs" dxfId="14342" priority="23123" operator="between">
      <formula>0.95</formula>
      <formula>1</formula>
    </cfRule>
    <cfRule type="cellIs" dxfId="14341" priority="23124" stopIfTrue="1" operator="between">
      <formula>0</formula>
      <formula>0.5</formula>
    </cfRule>
  </conditionalFormatting>
  <conditionalFormatting sqref="AD213">
    <cfRule type="cellIs" dxfId="14340" priority="23115" operator="between">
      <formula>0.76</formula>
      <formula>0.95</formula>
    </cfRule>
    <cfRule type="cellIs" dxfId="14339" priority="23116" operator="between">
      <formula>0.51</formula>
      <formula>0.75</formula>
    </cfRule>
    <cfRule type="cellIs" dxfId="14338" priority="23117" operator="greaterThan">
      <formula>1</formula>
    </cfRule>
    <cfRule type="cellIs" dxfId="14337" priority="23118" operator="between">
      <formula>0.95</formula>
      <formula>1</formula>
    </cfRule>
    <cfRule type="cellIs" dxfId="14336" priority="23119" stopIfTrue="1" operator="between">
      <formula>0</formula>
      <formula>0.5</formula>
    </cfRule>
  </conditionalFormatting>
  <conditionalFormatting sqref="AD214">
    <cfRule type="cellIs" dxfId="14335" priority="23110" operator="between">
      <formula>0.76</formula>
      <formula>0.95</formula>
    </cfRule>
    <cfRule type="cellIs" dxfId="14334" priority="23111" operator="between">
      <formula>0.51</formula>
      <formula>0.75</formula>
    </cfRule>
    <cfRule type="cellIs" dxfId="14333" priority="23112" operator="greaterThan">
      <formula>1</formula>
    </cfRule>
    <cfRule type="cellIs" dxfId="14332" priority="23113" operator="between">
      <formula>0.95</formula>
      <formula>1</formula>
    </cfRule>
    <cfRule type="cellIs" dxfId="14331" priority="23114" stopIfTrue="1" operator="between">
      <formula>0</formula>
      <formula>0.5</formula>
    </cfRule>
  </conditionalFormatting>
  <conditionalFormatting sqref="AD215">
    <cfRule type="cellIs" dxfId="14330" priority="23105" operator="between">
      <formula>0.76</formula>
      <formula>0.95</formula>
    </cfRule>
    <cfRule type="cellIs" dxfId="14329" priority="23106" operator="between">
      <formula>0.51</formula>
      <formula>0.75</formula>
    </cfRule>
    <cfRule type="cellIs" dxfId="14328" priority="23107" operator="greaterThan">
      <formula>1</formula>
    </cfRule>
    <cfRule type="cellIs" dxfId="14327" priority="23108" operator="between">
      <formula>0.95</formula>
      <formula>1</formula>
    </cfRule>
    <cfRule type="cellIs" dxfId="14326" priority="23109" stopIfTrue="1" operator="between">
      <formula>0</formula>
      <formula>0.5</formula>
    </cfRule>
  </conditionalFormatting>
  <conditionalFormatting sqref="AD216">
    <cfRule type="cellIs" dxfId="14325" priority="23100" operator="between">
      <formula>0.76</formula>
      <formula>0.95</formula>
    </cfRule>
    <cfRule type="cellIs" dxfId="14324" priority="23101" operator="between">
      <formula>0.51</formula>
      <formula>0.75</formula>
    </cfRule>
    <cfRule type="cellIs" dxfId="14323" priority="23102" operator="greaterThan">
      <formula>1</formula>
    </cfRule>
    <cfRule type="cellIs" dxfId="14322" priority="23103" operator="between">
      <formula>0.95</formula>
      <formula>1</formula>
    </cfRule>
    <cfRule type="cellIs" dxfId="14321" priority="23104" stopIfTrue="1" operator="between">
      <formula>0</formula>
      <formula>0.5</formula>
    </cfRule>
  </conditionalFormatting>
  <conditionalFormatting sqref="AD217">
    <cfRule type="cellIs" dxfId="14320" priority="23095" operator="between">
      <formula>0.76</formula>
      <formula>0.95</formula>
    </cfRule>
    <cfRule type="cellIs" dxfId="14319" priority="23096" operator="between">
      <formula>0.51</formula>
      <formula>0.75</formula>
    </cfRule>
    <cfRule type="cellIs" dxfId="14318" priority="23097" operator="greaterThan">
      <formula>1</formula>
    </cfRule>
    <cfRule type="cellIs" dxfId="14317" priority="23098" operator="between">
      <formula>0.95</formula>
      <formula>1</formula>
    </cfRule>
    <cfRule type="cellIs" dxfId="14316" priority="23099" stopIfTrue="1" operator="between">
      <formula>0</formula>
      <formula>0.5</formula>
    </cfRule>
  </conditionalFormatting>
  <conditionalFormatting sqref="AD218">
    <cfRule type="cellIs" dxfId="14315" priority="23090" operator="between">
      <formula>0.76</formula>
      <formula>0.95</formula>
    </cfRule>
    <cfRule type="cellIs" dxfId="14314" priority="23091" operator="between">
      <formula>0.51</formula>
      <formula>0.75</formula>
    </cfRule>
    <cfRule type="cellIs" dxfId="14313" priority="23092" operator="greaterThan">
      <formula>1</formula>
    </cfRule>
    <cfRule type="cellIs" dxfId="14312" priority="23093" operator="between">
      <formula>0.95</formula>
      <formula>1</formula>
    </cfRule>
    <cfRule type="cellIs" dxfId="14311" priority="23094" stopIfTrue="1" operator="between">
      <formula>0</formula>
      <formula>0.5</formula>
    </cfRule>
  </conditionalFormatting>
  <conditionalFormatting sqref="AD219">
    <cfRule type="cellIs" dxfId="14310" priority="23085" operator="between">
      <formula>0.76</formula>
      <formula>0.95</formula>
    </cfRule>
    <cfRule type="cellIs" dxfId="14309" priority="23086" operator="between">
      <formula>0.51</formula>
      <formula>0.75</formula>
    </cfRule>
    <cfRule type="cellIs" dxfId="14308" priority="23087" operator="greaterThan">
      <formula>1</formula>
    </cfRule>
    <cfRule type="cellIs" dxfId="14307" priority="23088" operator="between">
      <formula>0.95</formula>
      <formula>1</formula>
    </cfRule>
    <cfRule type="cellIs" dxfId="14306" priority="23089" stopIfTrue="1" operator="between">
      <formula>0</formula>
      <formula>0.5</formula>
    </cfRule>
  </conditionalFormatting>
  <conditionalFormatting sqref="AD220">
    <cfRule type="cellIs" dxfId="14305" priority="23080" operator="between">
      <formula>0.76</formula>
      <formula>0.95</formula>
    </cfRule>
    <cfRule type="cellIs" dxfId="14304" priority="23081" operator="between">
      <formula>0.51</formula>
      <formula>0.75</formula>
    </cfRule>
    <cfRule type="cellIs" dxfId="14303" priority="23082" operator="greaterThan">
      <formula>1</formula>
    </cfRule>
    <cfRule type="cellIs" dxfId="14302" priority="23083" operator="between">
      <formula>0.95</formula>
      <formula>1</formula>
    </cfRule>
    <cfRule type="cellIs" dxfId="14301" priority="23084" stopIfTrue="1" operator="between">
      <formula>0</formula>
      <formula>0.5</formula>
    </cfRule>
  </conditionalFormatting>
  <conditionalFormatting sqref="AD221">
    <cfRule type="cellIs" dxfId="14300" priority="23075" operator="between">
      <formula>0.76</formula>
      <formula>0.95</formula>
    </cfRule>
    <cfRule type="cellIs" dxfId="14299" priority="23076" operator="between">
      <formula>0.51</formula>
      <formula>0.75</formula>
    </cfRule>
    <cfRule type="cellIs" dxfId="14298" priority="23077" operator="greaterThan">
      <formula>1</formula>
    </cfRule>
    <cfRule type="cellIs" dxfId="14297" priority="23078" operator="between">
      <formula>0.95</formula>
      <formula>1</formula>
    </cfRule>
    <cfRule type="cellIs" dxfId="14296" priority="23079" stopIfTrue="1" operator="between">
      <formula>0</formula>
      <formula>0.5</formula>
    </cfRule>
  </conditionalFormatting>
  <conditionalFormatting sqref="AD222">
    <cfRule type="cellIs" dxfId="14295" priority="23070" operator="between">
      <formula>0.76</formula>
      <formula>0.95</formula>
    </cfRule>
    <cfRule type="cellIs" dxfId="14294" priority="23071" operator="between">
      <formula>0.51</formula>
      <formula>0.75</formula>
    </cfRule>
    <cfRule type="cellIs" dxfId="14293" priority="23072" operator="greaterThan">
      <formula>1</formula>
    </cfRule>
    <cfRule type="cellIs" dxfId="14292" priority="23073" operator="between">
      <formula>0.95</formula>
      <formula>1</formula>
    </cfRule>
    <cfRule type="cellIs" dxfId="14291" priority="23074" stopIfTrue="1" operator="between">
      <formula>0</formula>
      <formula>0.5</formula>
    </cfRule>
  </conditionalFormatting>
  <conditionalFormatting sqref="AD223">
    <cfRule type="cellIs" dxfId="14290" priority="23065" operator="between">
      <formula>0.76</formula>
      <formula>0.95</formula>
    </cfRule>
    <cfRule type="cellIs" dxfId="14289" priority="23066" operator="between">
      <formula>0.51</formula>
      <formula>0.75</formula>
    </cfRule>
    <cfRule type="cellIs" dxfId="14288" priority="23067" operator="greaterThan">
      <formula>1</formula>
    </cfRule>
    <cfRule type="cellIs" dxfId="14287" priority="23068" operator="between">
      <formula>0.95</formula>
      <formula>1</formula>
    </cfRule>
    <cfRule type="cellIs" dxfId="14286" priority="23069" stopIfTrue="1" operator="between">
      <formula>0</formula>
      <formula>0.5</formula>
    </cfRule>
  </conditionalFormatting>
  <conditionalFormatting sqref="AD224">
    <cfRule type="cellIs" dxfId="14285" priority="23060" operator="between">
      <formula>0.76</formula>
      <formula>0.95</formula>
    </cfRule>
    <cfRule type="cellIs" dxfId="14284" priority="23061" operator="between">
      <formula>0.51</formula>
      <formula>0.75</formula>
    </cfRule>
    <cfRule type="cellIs" dxfId="14283" priority="23062" operator="greaterThan">
      <formula>1</formula>
    </cfRule>
    <cfRule type="cellIs" dxfId="14282" priority="23063" operator="between">
      <formula>0.95</formula>
      <formula>1</formula>
    </cfRule>
    <cfRule type="cellIs" dxfId="14281" priority="23064" stopIfTrue="1" operator="between">
      <formula>0</formula>
      <formula>0.5</formula>
    </cfRule>
  </conditionalFormatting>
  <conditionalFormatting sqref="AD225">
    <cfRule type="cellIs" dxfId="14280" priority="23055" operator="between">
      <formula>0.76</formula>
      <formula>0.95</formula>
    </cfRule>
    <cfRule type="cellIs" dxfId="14279" priority="23056" operator="between">
      <formula>0.51</formula>
      <formula>0.75</formula>
    </cfRule>
    <cfRule type="cellIs" dxfId="14278" priority="23057" operator="greaterThan">
      <formula>1</formula>
    </cfRule>
    <cfRule type="cellIs" dxfId="14277" priority="23058" operator="between">
      <formula>0.95</formula>
      <formula>1</formula>
    </cfRule>
    <cfRule type="cellIs" dxfId="14276" priority="23059" stopIfTrue="1" operator="between">
      <formula>0</formula>
      <formula>0.5</formula>
    </cfRule>
  </conditionalFormatting>
  <conditionalFormatting sqref="AD226">
    <cfRule type="cellIs" dxfId="14275" priority="23050" operator="between">
      <formula>0.76</formula>
      <formula>0.95</formula>
    </cfRule>
    <cfRule type="cellIs" dxfId="14274" priority="23051" operator="between">
      <formula>0.51</formula>
      <formula>0.75</formula>
    </cfRule>
    <cfRule type="cellIs" dxfId="14273" priority="23052" operator="greaterThan">
      <formula>1</formula>
    </cfRule>
    <cfRule type="cellIs" dxfId="14272" priority="23053" operator="between">
      <formula>0.95</formula>
      <formula>1</formula>
    </cfRule>
    <cfRule type="cellIs" dxfId="14271" priority="23054" stopIfTrue="1" operator="between">
      <formula>0</formula>
      <formula>0.5</formula>
    </cfRule>
  </conditionalFormatting>
  <conditionalFormatting sqref="AD227">
    <cfRule type="cellIs" dxfId="14270" priority="23045" operator="between">
      <formula>0.76</formula>
      <formula>0.95</formula>
    </cfRule>
    <cfRule type="cellIs" dxfId="14269" priority="23046" operator="between">
      <formula>0.51</formula>
      <formula>0.75</formula>
    </cfRule>
    <cfRule type="cellIs" dxfId="14268" priority="23047" operator="greaterThan">
      <formula>1</formula>
    </cfRule>
    <cfRule type="cellIs" dxfId="14267" priority="23048" operator="between">
      <formula>0.95</formula>
      <formula>1</formula>
    </cfRule>
    <cfRule type="cellIs" dxfId="14266" priority="23049" stopIfTrue="1" operator="between">
      <formula>0</formula>
      <formula>0.5</formula>
    </cfRule>
  </conditionalFormatting>
  <conditionalFormatting sqref="AD228">
    <cfRule type="cellIs" dxfId="14265" priority="23040" operator="between">
      <formula>0.76</formula>
      <formula>0.95</formula>
    </cfRule>
    <cfRule type="cellIs" dxfId="14264" priority="23041" operator="between">
      <formula>0.51</formula>
      <formula>0.75</formula>
    </cfRule>
    <cfRule type="cellIs" dxfId="14263" priority="23042" operator="greaterThan">
      <formula>1</formula>
    </cfRule>
    <cfRule type="cellIs" dxfId="14262" priority="23043" operator="between">
      <formula>0.95</formula>
      <formula>1</formula>
    </cfRule>
    <cfRule type="cellIs" dxfId="14261" priority="23044" stopIfTrue="1" operator="between">
      <formula>0</formula>
      <formula>0.5</formula>
    </cfRule>
  </conditionalFormatting>
  <conditionalFormatting sqref="AD229">
    <cfRule type="cellIs" dxfId="14260" priority="23035" operator="between">
      <formula>0.76</formula>
      <formula>0.95</formula>
    </cfRule>
    <cfRule type="cellIs" dxfId="14259" priority="23036" operator="between">
      <formula>0.51</formula>
      <formula>0.75</formula>
    </cfRule>
    <cfRule type="cellIs" dxfId="14258" priority="23037" operator="greaterThan">
      <formula>1</formula>
    </cfRule>
    <cfRule type="cellIs" dxfId="14257" priority="23038" operator="between">
      <formula>0.95</formula>
      <formula>1</formula>
    </cfRule>
    <cfRule type="cellIs" dxfId="14256" priority="23039" stopIfTrue="1" operator="between">
      <formula>0</formula>
      <formula>0.5</formula>
    </cfRule>
  </conditionalFormatting>
  <conditionalFormatting sqref="AD230">
    <cfRule type="cellIs" dxfId="14255" priority="23030" operator="between">
      <formula>0.76</formula>
      <formula>0.95</formula>
    </cfRule>
    <cfRule type="cellIs" dxfId="14254" priority="23031" operator="between">
      <formula>0.51</formula>
      <formula>0.75</formula>
    </cfRule>
    <cfRule type="cellIs" dxfId="14253" priority="23032" operator="greaterThan">
      <formula>1</formula>
    </cfRule>
    <cfRule type="cellIs" dxfId="14252" priority="23033" operator="between">
      <formula>0.95</formula>
      <formula>1</formula>
    </cfRule>
    <cfRule type="cellIs" dxfId="14251" priority="23034" stopIfTrue="1" operator="between">
      <formula>0</formula>
      <formula>0.5</formula>
    </cfRule>
  </conditionalFormatting>
  <conditionalFormatting sqref="AD231">
    <cfRule type="cellIs" dxfId="14250" priority="23025" operator="between">
      <formula>0.76</formula>
      <formula>0.95</formula>
    </cfRule>
    <cfRule type="cellIs" dxfId="14249" priority="23026" operator="between">
      <formula>0.51</formula>
      <formula>0.75</formula>
    </cfRule>
    <cfRule type="cellIs" dxfId="14248" priority="23027" operator="greaterThan">
      <formula>1</formula>
    </cfRule>
    <cfRule type="cellIs" dxfId="14247" priority="23028" operator="between">
      <formula>0.95</formula>
      <formula>1</formula>
    </cfRule>
    <cfRule type="cellIs" dxfId="14246" priority="23029" stopIfTrue="1" operator="between">
      <formula>0</formula>
      <formula>0.5</formula>
    </cfRule>
  </conditionalFormatting>
  <conditionalFormatting sqref="AD232">
    <cfRule type="cellIs" dxfId="14245" priority="23020" operator="between">
      <formula>0.76</formula>
      <formula>0.95</formula>
    </cfRule>
    <cfRule type="cellIs" dxfId="14244" priority="23021" operator="between">
      <formula>0.51</formula>
      <formula>0.75</formula>
    </cfRule>
    <cfRule type="cellIs" dxfId="14243" priority="23022" operator="greaterThan">
      <formula>1</formula>
    </cfRule>
    <cfRule type="cellIs" dxfId="14242" priority="23023" operator="between">
      <formula>0.95</formula>
      <formula>1</formula>
    </cfRule>
    <cfRule type="cellIs" dxfId="14241" priority="23024" stopIfTrue="1" operator="between">
      <formula>0</formula>
      <formula>0.5</formula>
    </cfRule>
  </conditionalFormatting>
  <conditionalFormatting sqref="AD233">
    <cfRule type="cellIs" dxfId="14240" priority="23015" operator="between">
      <formula>0.76</formula>
      <formula>0.95</formula>
    </cfRule>
    <cfRule type="cellIs" dxfId="14239" priority="23016" operator="between">
      <formula>0.51</formula>
      <formula>0.75</formula>
    </cfRule>
    <cfRule type="cellIs" dxfId="14238" priority="23017" operator="greaterThan">
      <formula>1</formula>
    </cfRule>
    <cfRule type="cellIs" dxfId="14237" priority="23018" operator="between">
      <formula>0.95</formula>
      <formula>1</formula>
    </cfRule>
    <cfRule type="cellIs" dxfId="14236" priority="23019" stopIfTrue="1" operator="between">
      <formula>0</formula>
      <formula>0.5</formula>
    </cfRule>
  </conditionalFormatting>
  <conditionalFormatting sqref="AD234">
    <cfRule type="cellIs" dxfId="14235" priority="23010" operator="between">
      <formula>0.76</formula>
      <formula>0.95</formula>
    </cfRule>
    <cfRule type="cellIs" dxfId="14234" priority="23011" operator="between">
      <formula>0.51</formula>
      <formula>0.75</formula>
    </cfRule>
    <cfRule type="cellIs" dxfId="14233" priority="23012" operator="greaterThan">
      <formula>1</formula>
    </cfRule>
    <cfRule type="cellIs" dxfId="14232" priority="23013" operator="between">
      <formula>0.95</formula>
      <formula>1</formula>
    </cfRule>
    <cfRule type="cellIs" dxfId="14231" priority="23014" stopIfTrue="1" operator="between">
      <formula>0</formula>
      <formula>0.5</formula>
    </cfRule>
  </conditionalFormatting>
  <conditionalFormatting sqref="AD235">
    <cfRule type="cellIs" dxfId="14230" priority="23005" operator="between">
      <formula>0.76</formula>
      <formula>0.95</formula>
    </cfRule>
    <cfRule type="cellIs" dxfId="14229" priority="23006" operator="between">
      <formula>0.51</formula>
      <formula>0.75</formula>
    </cfRule>
    <cfRule type="cellIs" dxfId="14228" priority="23007" operator="greaterThan">
      <formula>1</formula>
    </cfRule>
    <cfRule type="cellIs" dxfId="14227" priority="23008" operator="between">
      <formula>0.95</formula>
      <formula>1</formula>
    </cfRule>
    <cfRule type="cellIs" dxfId="14226" priority="23009" stopIfTrue="1" operator="between">
      <formula>0</formula>
      <formula>0.5</formula>
    </cfRule>
  </conditionalFormatting>
  <conditionalFormatting sqref="AD236">
    <cfRule type="cellIs" dxfId="14225" priority="23000" operator="between">
      <formula>0.76</formula>
      <formula>0.95</formula>
    </cfRule>
    <cfRule type="cellIs" dxfId="14224" priority="23001" operator="between">
      <formula>0.51</formula>
      <formula>0.75</formula>
    </cfRule>
    <cfRule type="cellIs" dxfId="14223" priority="23002" operator="greaterThan">
      <formula>1</formula>
    </cfRule>
    <cfRule type="cellIs" dxfId="14222" priority="23003" operator="between">
      <formula>0.95</formula>
      <formula>1</formula>
    </cfRule>
    <cfRule type="cellIs" dxfId="14221" priority="23004" stopIfTrue="1" operator="between">
      <formula>0</formula>
      <formula>0.5</formula>
    </cfRule>
  </conditionalFormatting>
  <conditionalFormatting sqref="AD237">
    <cfRule type="cellIs" dxfId="14220" priority="22995" operator="between">
      <formula>0.76</formula>
      <formula>0.95</formula>
    </cfRule>
    <cfRule type="cellIs" dxfId="14219" priority="22996" operator="between">
      <formula>0.51</formula>
      <formula>0.75</formula>
    </cfRule>
    <cfRule type="cellIs" dxfId="14218" priority="22997" operator="greaterThan">
      <formula>1</formula>
    </cfRule>
    <cfRule type="cellIs" dxfId="14217" priority="22998" operator="between">
      <formula>0.95</formula>
      <formula>1</formula>
    </cfRule>
    <cfRule type="cellIs" dxfId="14216" priority="22999" stopIfTrue="1" operator="between">
      <formula>0</formula>
      <formula>0.5</formula>
    </cfRule>
  </conditionalFormatting>
  <conditionalFormatting sqref="AD321">
    <cfRule type="cellIs" dxfId="14215" priority="22850" operator="between">
      <formula>0.76</formula>
      <formula>0.95</formula>
    </cfRule>
    <cfRule type="cellIs" dxfId="14214" priority="22851" operator="between">
      <formula>0.51</formula>
      <formula>0.75</formula>
    </cfRule>
    <cfRule type="cellIs" dxfId="14213" priority="22852" operator="greaterThan">
      <formula>1</formula>
    </cfRule>
    <cfRule type="cellIs" dxfId="14212" priority="22853" operator="between">
      <formula>0.95</formula>
      <formula>1</formula>
    </cfRule>
    <cfRule type="cellIs" dxfId="14211" priority="22854" stopIfTrue="1" operator="between">
      <formula>0</formula>
      <formula>0.5</formula>
    </cfRule>
  </conditionalFormatting>
  <conditionalFormatting sqref="AD239">
    <cfRule type="cellIs" dxfId="14210" priority="22985" operator="between">
      <formula>0.76</formula>
      <formula>0.95</formula>
    </cfRule>
    <cfRule type="cellIs" dxfId="14209" priority="22986" operator="between">
      <formula>0.51</formula>
      <formula>0.75</formula>
    </cfRule>
    <cfRule type="cellIs" dxfId="14208" priority="22987" operator="greaterThan">
      <formula>1</formula>
    </cfRule>
    <cfRule type="cellIs" dxfId="14207" priority="22988" operator="between">
      <formula>0.95</formula>
      <formula>1</formula>
    </cfRule>
    <cfRule type="cellIs" dxfId="14206" priority="22989" stopIfTrue="1" operator="between">
      <formula>0</formula>
      <formula>0.5</formula>
    </cfRule>
  </conditionalFormatting>
  <conditionalFormatting sqref="AD240">
    <cfRule type="cellIs" dxfId="14205" priority="22980" operator="between">
      <formula>0.76</formula>
      <formula>0.95</formula>
    </cfRule>
    <cfRule type="cellIs" dxfId="14204" priority="22981" operator="between">
      <formula>0.51</formula>
      <formula>0.75</formula>
    </cfRule>
    <cfRule type="cellIs" dxfId="14203" priority="22982" operator="greaterThan">
      <formula>1</formula>
    </cfRule>
    <cfRule type="cellIs" dxfId="14202" priority="22983" operator="between">
      <formula>0.95</formula>
      <formula>1</formula>
    </cfRule>
    <cfRule type="cellIs" dxfId="14201" priority="22984" stopIfTrue="1" operator="between">
      <formula>0</formula>
      <formula>0.5</formula>
    </cfRule>
  </conditionalFormatting>
  <conditionalFormatting sqref="AD243">
    <cfRule type="cellIs" dxfId="14200" priority="22975" operator="between">
      <formula>0.76</formula>
      <formula>0.95</formula>
    </cfRule>
    <cfRule type="cellIs" dxfId="14199" priority="22976" operator="between">
      <formula>0.51</formula>
      <formula>0.75</formula>
    </cfRule>
    <cfRule type="cellIs" dxfId="14198" priority="22977" operator="greaterThan">
      <formula>1</formula>
    </cfRule>
    <cfRule type="cellIs" dxfId="14197" priority="22978" operator="between">
      <formula>0.95</formula>
      <formula>1</formula>
    </cfRule>
    <cfRule type="cellIs" dxfId="14196" priority="22979" stopIfTrue="1" operator="between">
      <formula>0</formula>
      <formula>0.5</formula>
    </cfRule>
  </conditionalFormatting>
  <conditionalFormatting sqref="AD244">
    <cfRule type="cellIs" dxfId="14195" priority="22970" operator="between">
      <formula>0.76</formula>
      <formula>0.95</formula>
    </cfRule>
    <cfRule type="cellIs" dxfId="14194" priority="22971" operator="between">
      <formula>0.51</formula>
      <formula>0.75</formula>
    </cfRule>
    <cfRule type="cellIs" dxfId="14193" priority="22972" operator="greaterThan">
      <formula>1</formula>
    </cfRule>
    <cfRule type="cellIs" dxfId="14192" priority="22973" operator="between">
      <formula>0.95</formula>
      <formula>1</formula>
    </cfRule>
    <cfRule type="cellIs" dxfId="14191" priority="22974" stopIfTrue="1" operator="between">
      <formula>0</formula>
      <formula>0.5</formula>
    </cfRule>
  </conditionalFormatting>
  <conditionalFormatting sqref="AD247">
    <cfRule type="cellIs" dxfId="14190" priority="22965" operator="between">
      <formula>0.76</formula>
      <formula>0.95</formula>
    </cfRule>
    <cfRule type="cellIs" dxfId="14189" priority="22966" operator="between">
      <formula>0.51</formula>
      <formula>0.75</formula>
    </cfRule>
    <cfRule type="cellIs" dxfId="14188" priority="22967" operator="greaterThan">
      <formula>1</formula>
    </cfRule>
    <cfRule type="cellIs" dxfId="14187" priority="22968" operator="between">
      <formula>0.95</formula>
      <formula>1</formula>
    </cfRule>
    <cfRule type="cellIs" dxfId="14186" priority="22969" stopIfTrue="1" operator="between">
      <formula>0</formula>
      <formula>0.5</formula>
    </cfRule>
  </conditionalFormatting>
  <conditionalFormatting sqref="AD248">
    <cfRule type="cellIs" dxfId="14185" priority="22960" operator="between">
      <formula>0.76</formula>
      <formula>0.95</formula>
    </cfRule>
    <cfRule type="cellIs" dxfId="14184" priority="22961" operator="between">
      <formula>0.51</formula>
      <formula>0.75</formula>
    </cfRule>
    <cfRule type="cellIs" dxfId="14183" priority="22962" operator="greaterThan">
      <formula>1</formula>
    </cfRule>
    <cfRule type="cellIs" dxfId="14182" priority="22963" operator="between">
      <formula>0.95</formula>
      <formula>1</formula>
    </cfRule>
    <cfRule type="cellIs" dxfId="14181" priority="22964" stopIfTrue="1" operator="between">
      <formula>0</formula>
      <formula>0.5</formula>
    </cfRule>
  </conditionalFormatting>
  <conditionalFormatting sqref="AD251">
    <cfRule type="cellIs" dxfId="14180" priority="22955" operator="between">
      <formula>0.76</formula>
      <formula>0.95</formula>
    </cfRule>
    <cfRule type="cellIs" dxfId="14179" priority="22956" operator="between">
      <formula>0.51</formula>
      <formula>0.75</formula>
    </cfRule>
    <cfRule type="cellIs" dxfId="14178" priority="22957" operator="greaterThan">
      <formula>1</formula>
    </cfRule>
    <cfRule type="cellIs" dxfId="14177" priority="22958" operator="between">
      <formula>0.95</formula>
      <formula>1</formula>
    </cfRule>
    <cfRule type="cellIs" dxfId="14176" priority="22959" stopIfTrue="1" operator="between">
      <formula>0</formula>
      <formula>0.5</formula>
    </cfRule>
  </conditionalFormatting>
  <conditionalFormatting sqref="AD252">
    <cfRule type="cellIs" dxfId="14175" priority="22950" operator="between">
      <formula>0.76</formula>
      <formula>0.95</formula>
    </cfRule>
    <cfRule type="cellIs" dxfId="14174" priority="22951" operator="between">
      <formula>0.51</formula>
      <formula>0.75</formula>
    </cfRule>
    <cfRule type="cellIs" dxfId="14173" priority="22952" operator="greaterThan">
      <formula>1</formula>
    </cfRule>
    <cfRule type="cellIs" dxfId="14172" priority="22953" operator="between">
      <formula>0.95</formula>
      <formula>1</formula>
    </cfRule>
    <cfRule type="cellIs" dxfId="14171" priority="22954" stopIfTrue="1" operator="between">
      <formula>0</formula>
      <formula>0.5</formula>
    </cfRule>
  </conditionalFormatting>
  <conditionalFormatting sqref="AD257">
    <cfRule type="cellIs" dxfId="14170" priority="22945" operator="between">
      <formula>0.76</formula>
      <formula>0.95</formula>
    </cfRule>
    <cfRule type="cellIs" dxfId="14169" priority="22946" operator="between">
      <formula>0.51</formula>
      <formula>0.75</formula>
    </cfRule>
    <cfRule type="cellIs" dxfId="14168" priority="22947" operator="greaterThan">
      <formula>1</formula>
    </cfRule>
    <cfRule type="cellIs" dxfId="14167" priority="22948" operator="between">
      <formula>0.95</formula>
      <formula>1</formula>
    </cfRule>
    <cfRule type="cellIs" dxfId="14166" priority="22949" stopIfTrue="1" operator="between">
      <formula>0</formula>
      <formula>0.5</formula>
    </cfRule>
  </conditionalFormatting>
  <conditionalFormatting sqref="AD258">
    <cfRule type="cellIs" dxfId="14165" priority="22940" operator="between">
      <formula>0.76</formula>
      <formula>0.95</formula>
    </cfRule>
    <cfRule type="cellIs" dxfId="14164" priority="22941" operator="between">
      <formula>0.51</formula>
      <formula>0.75</formula>
    </cfRule>
    <cfRule type="cellIs" dxfId="14163" priority="22942" operator="greaterThan">
      <formula>1</formula>
    </cfRule>
    <cfRule type="cellIs" dxfId="14162" priority="22943" operator="between">
      <formula>0.95</formula>
      <formula>1</formula>
    </cfRule>
    <cfRule type="cellIs" dxfId="14161" priority="22944" stopIfTrue="1" operator="between">
      <formula>0</formula>
      <formula>0.5</formula>
    </cfRule>
  </conditionalFormatting>
  <conditionalFormatting sqref="AD259">
    <cfRule type="cellIs" dxfId="14160" priority="22935" operator="between">
      <formula>0.76</formula>
      <formula>0.95</formula>
    </cfRule>
    <cfRule type="cellIs" dxfId="14159" priority="22936" operator="between">
      <formula>0.51</formula>
      <formula>0.75</formula>
    </cfRule>
    <cfRule type="cellIs" dxfId="14158" priority="22937" operator="greaterThan">
      <formula>1</formula>
    </cfRule>
    <cfRule type="cellIs" dxfId="14157" priority="22938" operator="between">
      <formula>0.95</formula>
      <formula>1</formula>
    </cfRule>
    <cfRule type="cellIs" dxfId="14156" priority="22939" stopIfTrue="1" operator="between">
      <formula>0</formula>
      <formula>0.5</formula>
    </cfRule>
  </conditionalFormatting>
  <conditionalFormatting sqref="AD260">
    <cfRule type="cellIs" dxfId="14155" priority="22930" operator="between">
      <formula>0.76</formula>
      <formula>0.95</formula>
    </cfRule>
    <cfRule type="cellIs" dxfId="14154" priority="22931" operator="between">
      <formula>0.51</formula>
      <formula>0.75</formula>
    </cfRule>
    <cfRule type="cellIs" dxfId="14153" priority="22932" operator="greaterThan">
      <formula>1</formula>
    </cfRule>
    <cfRule type="cellIs" dxfId="14152" priority="22933" operator="between">
      <formula>0.95</formula>
      <formula>1</formula>
    </cfRule>
    <cfRule type="cellIs" dxfId="14151" priority="22934" stopIfTrue="1" operator="between">
      <formula>0</formula>
      <formula>0.5</formula>
    </cfRule>
  </conditionalFormatting>
  <conditionalFormatting sqref="AD261">
    <cfRule type="cellIs" dxfId="14150" priority="22925" operator="between">
      <formula>0.76</formula>
      <formula>0.95</formula>
    </cfRule>
    <cfRule type="cellIs" dxfId="14149" priority="22926" operator="between">
      <formula>0.51</formula>
      <formula>0.75</formula>
    </cfRule>
    <cfRule type="cellIs" dxfId="14148" priority="22927" operator="greaterThan">
      <formula>1</formula>
    </cfRule>
    <cfRule type="cellIs" dxfId="14147" priority="22928" operator="between">
      <formula>0.95</formula>
      <formula>1</formula>
    </cfRule>
    <cfRule type="cellIs" dxfId="14146" priority="22929" stopIfTrue="1" operator="between">
      <formula>0</formula>
      <formula>0.5</formula>
    </cfRule>
  </conditionalFormatting>
  <conditionalFormatting sqref="AD262">
    <cfRule type="cellIs" dxfId="14145" priority="22920" operator="between">
      <formula>0.76</formula>
      <formula>0.95</formula>
    </cfRule>
    <cfRule type="cellIs" dxfId="14144" priority="22921" operator="between">
      <formula>0.51</formula>
      <formula>0.75</formula>
    </cfRule>
    <cfRule type="cellIs" dxfId="14143" priority="22922" operator="greaterThan">
      <formula>1</formula>
    </cfRule>
    <cfRule type="cellIs" dxfId="14142" priority="22923" operator="between">
      <formula>0.95</formula>
      <formula>1</formula>
    </cfRule>
    <cfRule type="cellIs" dxfId="14141" priority="22924" stopIfTrue="1" operator="between">
      <formula>0</formula>
      <formula>0.5</formula>
    </cfRule>
  </conditionalFormatting>
  <conditionalFormatting sqref="AD277">
    <cfRule type="cellIs" dxfId="14140" priority="22915" operator="between">
      <formula>0.76</formula>
      <formula>0.95</formula>
    </cfRule>
    <cfRule type="cellIs" dxfId="14139" priority="22916" operator="between">
      <formula>0.51</formula>
      <formula>0.75</formula>
    </cfRule>
    <cfRule type="cellIs" dxfId="14138" priority="22917" operator="greaterThan">
      <formula>1</formula>
    </cfRule>
    <cfRule type="cellIs" dxfId="14137" priority="22918" operator="between">
      <formula>0.95</formula>
      <formula>1</formula>
    </cfRule>
    <cfRule type="cellIs" dxfId="14136" priority="22919" stopIfTrue="1" operator="between">
      <formula>0</formula>
      <formula>0.5</formula>
    </cfRule>
  </conditionalFormatting>
  <conditionalFormatting sqref="AD278">
    <cfRule type="cellIs" dxfId="14135" priority="22910" operator="between">
      <formula>0.76</formula>
      <formula>0.95</formula>
    </cfRule>
    <cfRule type="cellIs" dxfId="14134" priority="22911" operator="between">
      <formula>0.51</formula>
      <formula>0.75</formula>
    </cfRule>
    <cfRule type="cellIs" dxfId="14133" priority="22912" operator="greaterThan">
      <formula>1</formula>
    </cfRule>
    <cfRule type="cellIs" dxfId="14132" priority="22913" operator="between">
      <formula>0.95</formula>
      <formula>1</formula>
    </cfRule>
    <cfRule type="cellIs" dxfId="14131" priority="22914" stopIfTrue="1" operator="between">
      <formula>0</formula>
      <formula>0.5</formula>
    </cfRule>
  </conditionalFormatting>
  <conditionalFormatting sqref="AD279">
    <cfRule type="cellIs" dxfId="14130" priority="22905" operator="between">
      <formula>0.76</formula>
      <formula>0.95</formula>
    </cfRule>
    <cfRule type="cellIs" dxfId="14129" priority="22906" operator="between">
      <formula>0.51</formula>
      <formula>0.75</formula>
    </cfRule>
    <cfRule type="cellIs" dxfId="14128" priority="22907" operator="greaterThan">
      <formula>1</formula>
    </cfRule>
    <cfRule type="cellIs" dxfId="14127" priority="22908" operator="between">
      <formula>0.95</formula>
      <formula>1</formula>
    </cfRule>
    <cfRule type="cellIs" dxfId="14126" priority="22909" stopIfTrue="1" operator="between">
      <formula>0</formula>
      <formula>0.5</formula>
    </cfRule>
  </conditionalFormatting>
  <conditionalFormatting sqref="AD280">
    <cfRule type="cellIs" dxfId="14125" priority="22900" operator="between">
      <formula>0.76</formula>
      <formula>0.95</formula>
    </cfRule>
    <cfRule type="cellIs" dxfId="14124" priority="22901" operator="between">
      <formula>0.51</formula>
      <formula>0.75</formula>
    </cfRule>
    <cfRule type="cellIs" dxfId="14123" priority="22902" operator="greaterThan">
      <formula>1</formula>
    </cfRule>
    <cfRule type="cellIs" dxfId="14122" priority="22903" operator="between">
      <formula>0.95</formula>
      <formula>1</formula>
    </cfRule>
    <cfRule type="cellIs" dxfId="14121" priority="22904" stopIfTrue="1" operator="between">
      <formula>0</formula>
      <formula>0.5</formula>
    </cfRule>
  </conditionalFormatting>
  <conditionalFormatting sqref="AD281">
    <cfRule type="cellIs" dxfId="14120" priority="22895" operator="between">
      <formula>0.76</formula>
      <formula>0.95</formula>
    </cfRule>
    <cfRule type="cellIs" dxfId="14119" priority="22896" operator="between">
      <formula>0.51</formula>
      <formula>0.75</formula>
    </cfRule>
    <cfRule type="cellIs" dxfId="14118" priority="22897" operator="greaterThan">
      <formula>1</formula>
    </cfRule>
    <cfRule type="cellIs" dxfId="14117" priority="22898" operator="between">
      <formula>0.95</formula>
      <formula>1</formula>
    </cfRule>
    <cfRule type="cellIs" dxfId="14116" priority="22899" stopIfTrue="1" operator="between">
      <formula>0</formula>
      <formula>0.5</formula>
    </cfRule>
  </conditionalFormatting>
  <conditionalFormatting sqref="AD282">
    <cfRule type="cellIs" dxfId="14115" priority="22890" operator="between">
      <formula>0.76</formula>
      <formula>0.95</formula>
    </cfRule>
    <cfRule type="cellIs" dxfId="14114" priority="22891" operator="between">
      <formula>0.51</formula>
      <formula>0.75</formula>
    </cfRule>
    <cfRule type="cellIs" dxfId="14113" priority="22892" operator="greaterThan">
      <formula>1</formula>
    </cfRule>
    <cfRule type="cellIs" dxfId="14112" priority="22893" operator="between">
      <formula>0.95</formula>
      <formula>1</formula>
    </cfRule>
    <cfRule type="cellIs" dxfId="14111" priority="22894" stopIfTrue="1" operator="between">
      <formula>0</formula>
      <formula>0.5</formula>
    </cfRule>
  </conditionalFormatting>
  <conditionalFormatting sqref="AD286">
    <cfRule type="cellIs" dxfId="14110" priority="22885" operator="between">
      <formula>0.76</formula>
      <formula>0.95</formula>
    </cfRule>
    <cfRule type="cellIs" dxfId="14109" priority="22886" operator="between">
      <formula>0.51</formula>
      <formula>0.75</formula>
    </cfRule>
    <cfRule type="cellIs" dxfId="14108" priority="22887" operator="greaterThan">
      <formula>1</formula>
    </cfRule>
    <cfRule type="cellIs" dxfId="14107" priority="22888" operator="between">
      <formula>0.95</formula>
      <formula>1</formula>
    </cfRule>
    <cfRule type="cellIs" dxfId="14106" priority="22889" stopIfTrue="1" operator="between">
      <formula>0</formula>
      <formula>0.5</formula>
    </cfRule>
  </conditionalFormatting>
  <conditionalFormatting sqref="AD303">
    <cfRule type="cellIs" dxfId="14105" priority="22875" operator="between">
      <formula>0.76</formula>
      <formula>0.95</formula>
    </cfRule>
    <cfRule type="cellIs" dxfId="14104" priority="22876" operator="between">
      <formula>0.51</formula>
      <formula>0.75</formula>
    </cfRule>
    <cfRule type="cellIs" dxfId="14103" priority="22877" operator="greaterThan">
      <formula>1</formula>
    </cfRule>
    <cfRule type="cellIs" dxfId="14102" priority="22878" operator="between">
      <formula>0.95</formula>
      <formula>1</formula>
    </cfRule>
    <cfRule type="cellIs" dxfId="14101" priority="22879" stopIfTrue="1" operator="between">
      <formula>0</formula>
      <formula>0.5</formula>
    </cfRule>
  </conditionalFormatting>
  <conditionalFormatting sqref="AD304">
    <cfRule type="cellIs" dxfId="14100" priority="22870" operator="between">
      <formula>0.76</formula>
      <formula>0.95</formula>
    </cfRule>
    <cfRule type="cellIs" dxfId="14099" priority="22871" operator="between">
      <formula>0.51</formula>
      <formula>0.75</formula>
    </cfRule>
    <cfRule type="cellIs" dxfId="14098" priority="22872" operator="greaterThan">
      <formula>1</formula>
    </cfRule>
    <cfRule type="cellIs" dxfId="14097" priority="22873" operator="between">
      <formula>0.95</formula>
      <formula>1</formula>
    </cfRule>
    <cfRule type="cellIs" dxfId="14096" priority="22874" stopIfTrue="1" operator="between">
      <formula>0</formula>
      <formula>0.5</formula>
    </cfRule>
  </conditionalFormatting>
  <conditionalFormatting sqref="AD306">
    <cfRule type="cellIs" dxfId="14095" priority="22865" operator="between">
      <formula>0.76</formula>
      <formula>0.95</formula>
    </cfRule>
    <cfRule type="cellIs" dxfId="14094" priority="22866" operator="between">
      <formula>0.51</formula>
      <formula>0.75</formula>
    </cfRule>
    <cfRule type="cellIs" dxfId="14093" priority="22867" operator="greaterThan">
      <formula>1</formula>
    </cfRule>
    <cfRule type="cellIs" dxfId="14092" priority="22868" operator="between">
      <formula>0.95</formula>
      <formula>1</formula>
    </cfRule>
    <cfRule type="cellIs" dxfId="14091" priority="22869" stopIfTrue="1" operator="between">
      <formula>0</formula>
      <formula>0.5</formula>
    </cfRule>
  </conditionalFormatting>
  <conditionalFormatting sqref="AD308">
    <cfRule type="cellIs" dxfId="14090" priority="22860" operator="between">
      <formula>0.76</formula>
      <formula>0.95</formula>
    </cfRule>
    <cfRule type="cellIs" dxfId="14089" priority="22861" operator="between">
      <formula>0.51</formula>
      <formula>0.75</formula>
    </cfRule>
    <cfRule type="cellIs" dxfId="14088" priority="22862" operator="greaterThan">
      <formula>1</formula>
    </cfRule>
    <cfRule type="cellIs" dxfId="14087" priority="22863" operator="between">
      <formula>0.95</formula>
      <formula>1</formula>
    </cfRule>
    <cfRule type="cellIs" dxfId="14086" priority="22864" stopIfTrue="1" operator="between">
      <formula>0</formula>
      <formula>0.5</formula>
    </cfRule>
  </conditionalFormatting>
  <conditionalFormatting sqref="AD320">
    <cfRule type="cellIs" dxfId="14085" priority="22855" operator="between">
      <formula>0.76</formula>
      <formula>0.95</formula>
    </cfRule>
    <cfRule type="cellIs" dxfId="14084" priority="22856" operator="between">
      <formula>0.51</formula>
      <formula>0.75</formula>
    </cfRule>
    <cfRule type="cellIs" dxfId="14083" priority="22857" operator="greaterThan">
      <formula>1</formula>
    </cfRule>
    <cfRule type="cellIs" dxfId="14082" priority="22858" operator="between">
      <formula>0.95</formula>
      <formula>1</formula>
    </cfRule>
    <cfRule type="cellIs" dxfId="14081" priority="22859" stopIfTrue="1" operator="between">
      <formula>0</formula>
      <formula>0.5</formula>
    </cfRule>
  </conditionalFormatting>
  <conditionalFormatting sqref="AD322">
    <cfRule type="cellIs" dxfId="14080" priority="22845" operator="between">
      <formula>0.76</formula>
      <formula>0.95</formula>
    </cfRule>
    <cfRule type="cellIs" dxfId="14079" priority="22846" operator="between">
      <formula>0.51</formula>
      <formula>0.75</formula>
    </cfRule>
    <cfRule type="cellIs" dxfId="14078" priority="22847" operator="greaterThan">
      <formula>1</formula>
    </cfRule>
    <cfRule type="cellIs" dxfId="14077" priority="22848" operator="between">
      <formula>0.95</formula>
      <formula>1</formula>
    </cfRule>
    <cfRule type="cellIs" dxfId="14076" priority="22849" stopIfTrue="1" operator="between">
      <formula>0</formula>
      <formula>0.5</formula>
    </cfRule>
  </conditionalFormatting>
  <conditionalFormatting sqref="AD323">
    <cfRule type="cellIs" dxfId="14075" priority="22840" operator="between">
      <formula>0.76</formula>
      <formula>0.95</formula>
    </cfRule>
    <cfRule type="cellIs" dxfId="14074" priority="22841" operator="between">
      <formula>0.51</formula>
      <formula>0.75</formula>
    </cfRule>
    <cfRule type="cellIs" dxfId="14073" priority="22842" operator="greaterThan">
      <formula>1</formula>
    </cfRule>
    <cfRule type="cellIs" dxfId="14072" priority="22843" operator="between">
      <formula>0.95</formula>
      <formula>1</formula>
    </cfRule>
    <cfRule type="cellIs" dxfId="14071" priority="22844" stopIfTrue="1" operator="between">
      <formula>0</formula>
      <formula>0.5</formula>
    </cfRule>
  </conditionalFormatting>
  <conditionalFormatting sqref="AD324">
    <cfRule type="cellIs" dxfId="14070" priority="22835" operator="between">
      <formula>0.76</formula>
      <formula>0.95</formula>
    </cfRule>
    <cfRule type="cellIs" dxfId="14069" priority="22836" operator="between">
      <formula>0.51</formula>
      <formula>0.75</formula>
    </cfRule>
    <cfRule type="cellIs" dxfId="14068" priority="22837" operator="greaterThan">
      <formula>1</formula>
    </cfRule>
    <cfRule type="cellIs" dxfId="14067" priority="22838" operator="between">
      <formula>0.95</formula>
      <formula>1</formula>
    </cfRule>
    <cfRule type="cellIs" dxfId="14066" priority="22839" stopIfTrue="1" operator="between">
      <formula>0</formula>
      <formula>0.5</formula>
    </cfRule>
  </conditionalFormatting>
  <conditionalFormatting sqref="AD325">
    <cfRule type="cellIs" dxfId="14065" priority="22830" operator="between">
      <formula>0.76</formula>
      <formula>0.95</formula>
    </cfRule>
    <cfRule type="cellIs" dxfId="14064" priority="22831" operator="between">
      <formula>0.51</formula>
      <formula>0.75</formula>
    </cfRule>
    <cfRule type="cellIs" dxfId="14063" priority="22832" operator="greaterThan">
      <formula>1</formula>
    </cfRule>
    <cfRule type="cellIs" dxfId="14062" priority="22833" operator="between">
      <formula>0.95</formula>
      <formula>1</formula>
    </cfRule>
    <cfRule type="cellIs" dxfId="14061" priority="22834" stopIfTrue="1" operator="between">
      <formula>0</formula>
      <formula>0.5</formula>
    </cfRule>
  </conditionalFormatting>
  <conditionalFormatting sqref="AD327">
    <cfRule type="cellIs" dxfId="14060" priority="22825" operator="between">
      <formula>0.76</formula>
      <formula>0.95</formula>
    </cfRule>
    <cfRule type="cellIs" dxfId="14059" priority="22826" operator="between">
      <formula>0.51</formula>
      <formula>0.75</formula>
    </cfRule>
    <cfRule type="cellIs" dxfId="14058" priority="22827" operator="greaterThan">
      <formula>1</formula>
    </cfRule>
    <cfRule type="cellIs" dxfId="14057" priority="22828" operator="between">
      <formula>0.95</formula>
      <formula>1</formula>
    </cfRule>
    <cfRule type="cellIs" dxfId="14056" priority="22829" stopIfTrue="1" operator="between">
      <formula>0</formula>
      <formula>0.5</formula>
    </cfRule>
  </conditionalFormatting>
  <conditionalFormatting sqref="AD328">
    <cfRule type="cellIs" dxfId="14055" priority="22820" operator="between">
      <formula>0.76</formula>
      <formula>0.95</formula>
    </cfRule>
    <cfRule type="cellIs" dxfId="14054" priority="22821" operator="between">
      <formula>0.51</formula>
      <formula>0.75</formula>
    </cfRule>
    <cfRule type="cellIs" dxfId="14053" priority="22822" operator="greaterThan">
      <formula>1</formula>
    </cfRule>
    <cfRule type="cellIs" dxfId="14052" priority="22823" operator="between">
      <formula>0.95</formula>
      <formula>1</formula>
    </cfRule>
    <cfRule type="cellIs" dxfId="14051" priority="22824" stopIfTrue="1" operator="between">
      <formula>0</formula>
      <formula>0.5</formula>
    </cfRule>
  </conditionalFormatting>
  <conditionalFormatting sqref="AD331">
    <cfRule type="cellIs" dxfId="14050" priority="22815" operator="between">
      <formula>0.76</formula>
      <formula>0.95</formula>
    </cfRule>
    <cfRule type="cellIs" dxfId="14049" priority="22816" operator="between">
      <formula>0.51</formula>
      <formula>0.75</formula>
    </cfRule>
    <cfRule type="cellIs" dxfId="14048" priority="22817" operator="greaterThan">
      <formula>1</formula>
    </cfRule>
    <cfRule type="cellIs" dxfId="14047" priority="22818" operator="between">
      <formula>0.95</formula>
      <formula>1</formula>
    </cfRule>
    <cfRule type="cellIs" dxfId="14046" priority="22819" stopIfTrue="1" operator="between">
      <formula>0</formula>
      <formula>0.5</formula>
    </cfRule>
  </conditionalFormatting>
  <conditionalFormatting sqref="AD332">
    <cfRule type="cellIs" dxfId="14045" priority="22810" operator="between">
      <formula>0.76</formula>
      <formula>0.95</formula>
    </cfRule>
    <cfRule type="cellIs" dxfId="14044" priority="22811" operator="between">
      <formula>0.51</formula>
      <formula>0.75</formula>
    </cfRule>
    <cfRule type="cellIs" dxfId="14043" priority="22812" operator="greaterThan">
      <formula>1</formula>
    </cfRule>
    <cfRule type="cellIs" dxfId="14042" priority="22813" operator="between">
      <formula>0.95</formula>
      <formula>1</formula>
    </cfRule>
    <cfRule type="cellIs" dxfId="14041" priority="22814" stopIfTrue="1" operator="between">
      <formula>0</formula>
      <formula>0.5</formula>
    </cfRule>
  </conditionalFormatting>
  <conditionalFormatting sqref="AD334">
    <cfRule type="cellIs" dxfId="14040" priority="22800" operator="between">
      <formula>0.76</formula>
      <formula>0.95</formula>
    </cfRule>
    <cfRule type="cellIs" dxfId="14039" priority="22801" operator="between">
      <formula>0.51</formula>
      <formula>0.75</formula>
    </cfRule>
    <cfRule type="cellIs" dxfId="14038" priority="22802" operator="greaterThan">
      <formula>1</formula>
    </cfRule>
    <cfRule type="cellIs" dxfId="14037" priority="22803" operator="between">
      <formula>0.95</formula>
      <formula>1</formula>
    </cfRule>
    <cfRule type="cellIs" dxfId="14036" priority="22804" stopIfTrue="1" operator="between">
      <formula>0</formula>
      <formula>0.5</formula>
    </cfRule>
  </conditionalFormatting>
  <conditionalFormatting sqref="AD363">
    <cfRule type="cellIs" dxfId="14035" priority="22795" operator="between">
      <formula>0.76</formula>
      <formula>0.95</formula>
    </cfRule>
    <cfRule type="cellIs" dxfId="14034" priority="22796" operator="between">
      <formula>0.51</formula>
      <formula>0.75</formula>
    </cfRule>
    <cfRule type="cellIs" dxfId="14033" priority="22797" operator="greaterThan">
      <formula>1</formula>
    </cfRule>
    <cfRule type="cellIs" dxfId="14032" priority="22798" operator="between">
      <formula>0.95</formula>
      <formula>1</formula>
    </cfRule>
    <cfRule type="cellIs" dxfId="14031" priority="22799" stopIfTrue="1" operator="between">
      <formula>0</formula>
      <formula>0.5</formula>
    </cfRule>
  </conditionalFormatting>
  <conditionalFormatting sqref="AD376">
    <cfRule type="cellIs" dxfId="14030" priority="22790" operator="between">
      <formula>0.76</formula>
      <formula>0.95</formula>
    </cfRule>
    <cfRule type="cellIs" dxfId="14029" priority="22791" operator="between">
      <formula>0.51</formula>
      <formula>0.75</formula>
    </cfRule>
    <cfRule type="cellIs" dxfId="14028" priority="22792" operator="greaterThan">
      <formula>1</formula>
    </cfRule>
    <cfRule type="cellIs" dxfId="14027" priority="22793" operator="between">
      <formula>0.95</formula>
      <formula>1</formula>
    </cfRule>
    <cfRule type="cellIs" dxfId="14026" priority="22794" stopIfTrue="1" operator="between">
      <formula>0</formula>
      <formula>0.5</formula>
    </cfRule>
  </conditionalFormatting>
  <conditionalFormatting sqref="AD382">
    <cfRule type="cellIs" dxfId="14025" priority="22785" operator="between">
      <formula>0.76</formula>
      <formula>0.95</formula>
    </cfRule>
    <cfRule type="cellIs" dxfId="14024" priority="22786" operator="between">
      <formula>0.51</formula>
      <formula>0.75</formula>
    </cfRule>
    <cfRule type="cellIs" dxfId="14023" priority="22787" operator="greaterThan">
      <formula>1</formula>
    </cfRule>
    <cfRule type="cellIs" dxfId="14022" priority="22788" operator="between">
      <formula>0.95</formula>
      <formula>1</formula>
    </cfRule>
    <cfRule type="cellIs" dxfId="14021" priority="22789" stopIfTrue="1" operator="between">
      <formula>0</formula>
      <formula>0.5</formula>
    </cfRule>
  </conditionalFormatting>
  <conditionalFormatting sqref="AD383">
    <cfRule type="cellIs" dxfId="14020" priority="22780" operator="between">
      <formula>0.76</formula>
      <formula>0.95</formula>
    </cfRule>
    <cfRule type="cellIs" dxfId="14019" priority="22781" operator="between">
      <formula>0.51</formula>
      <formula>0.75</formula>
    </cfRule>
    <cfRule type="cellIs" dxfId="14018" priority="22782" operator="greaterThan">
      <formula>1</formula>
    </cfRule>
    <cfRule type="cellIs" dxfId="14017" priority="22783" operator="between">
      <formula>0.95</formula>
      <formula>1</formula>
    </cfRule>
    <cfRule type="cellIs" dxfId="14016" priority="22784" stopIfTrue="1" operator="between">
      <formula>0</formula>
      <formula>0.5</formula>
    </cfRule>
  </conditionalFormatting>
  <conditionalFormatting sqref="AD384">
    <cfRule type="cellIs" dxfId="14015" priority="22775" operator="between">
      <formula>0.76</formula>
      <formula>0.95</formula>
    </cfRule>
    <cfRule type="cellIs" dxfId="14014" priority="22776" operator="between">
      <formula>0.51</formula>
      <formula>0.75</formula>
    </cfRule>
    <cfRule type="cellIs" dxfId="14013" priority="22777" operator="greaterThan">
      <formula>1</formula>
    </cfRule>
    <cfRule type="cellIs" dxfId="14012" priority="22778" operator="between">
      <formula>0.95</formula>
      <formula>1</formula>
    </cfRule>
    <cfRule type="cellIs" dxfId="14011" priority="22779" stopIfTrue="1" operator="between">
      <formula>0</formula>
      <formula>0.5</formula>
    </cfRule>
  </conditionalFormatting>
  <conditionalFormatting sqref="R15 R287 R179 R140:R141 R163 R143 R147:R148 R150 R292:R299 R364:R375 R38">
    <cfRule type="cellIs" dxfId="14010" priority="21180" operator="between">
      <formula>0.3751</formula>
      <formula>0.475</formula>
    </cfRule>
    <cfRule type="cellIs" dxfId="14009" priority="21181" operator="between">
      <formula>0.2551</formula>
      <formula>0.375</formula>
    </cfRule>
    <cfRule type="cellIs" dxfId="14008" priority="21182" operator="greaterThan">
      <formula>0.505</formula>
    </cfRule>
    <cfRule type="cellIs" dxfId="14007" priority="21183" operator="between">
      <formula>0.48</formula>
      <formula>0.5</formula>
    </cfRule>
    <cfRule type="cellIs" dxfId="14006" priority="21184" stopIfTrue="1" operator="between">
      <formula>0</formula>
      <formula>0.255</formula>
    </cfRule>
  </conditionalFormatting>
  <conditionalFormatting sqref="R384">
    <cfRule type="cellIs" dxfId="14005" priority="20215" operator="between">
      <formula>0.3751</formula>
      <formula>0.475</formula>
    </cfRule>
    <cfRule type="cellIs" dxfId="14004" priority="20216" operator="between">
      <formula>0.2551</formula>
      <formula>0.375</formula>
    </cfRule>
    <cfRule type="cellIs" dxfId="14003" priority="20217" operator="greaterThan">
      <formula>0.505</formula>
    </cfRule>
    <cfRule type="cellIs" dxfId="14002" priority="20218" operator="between">
      <formula>0.48</formula>
      <formula>0.51</formula>
    </cfRule>
    <cfRule type="cellIs" dxfId="14001" priority="20219" stopIfTrue="1" operator="between">
      <formula>0</formula>
      <formula>0.255</formula>
    </cfRule>
  </conditionalFormatting>
  <conditionalFormatting sqref="Y84">
    <cfRule type="cellIs" dxfId="14000" priority="19905" operator="between">
      <formula>0.76</formula>
      <formula>0.95</formula>
    </cfRule>
    <cfRule type="cellIs" dxfId="13999" priority="19906" operator="between">
      <formula>0.51</formula>
      <formula>0.75</formula>
    </cfRule>
    <cfRule type="cellIs" dxfId="13998" priority="19907" operator="greaterThan">
      <formula>1</formula>
    </cfRule>
    <cfRule type="cellIs" dxfId="13997" priority="19908" operator="between">
      <formula>0.95</formula>
      <formula>1</formula>
    </cfRule>
    <cfRule type="cellIs" dxfId="13996" priority="19909" stopIfTrue="1" operator="between">
      <formula>0</formula>
      <formula>0.5</formula>
    </cfRule>
  </conditionalFormatting>
  <conditionalFormatting sqref="Y227">
    <cfRule type="cellIs" dxfId="13995" priority="19505" operator="between">
      <formula>0.76</formula>
      <formula>0.95</formula>
    </cfRule>
    <cfRule type="cellIs" dxfId="13994" priority="19506" operator="between">
      <formula>0.51</formula>
      <formula>0.75</formula>
    </cfRule>
    <cfRule type="cellIs" dxfId="13993" priority="19507" operator="greaterThan">
      <formula>1</formula>
    </cfRule>
    <cfRule type="cellIs" dxfId="13992" priority="19508" operator="between">
      <formula>0.95</formula>
      <formula>1</formula>
    </cfRule>
    <cfRule type="cellIs" dxfId="13991" priority="19509" stopIfTrue="1" operator="between">
      <formula>0</formula>
      <formula>0.5</formula>
    </cfRule>
  </conditionalFormatting>
  <conditionalFormatting sqref="Y322">
    <cfRule type="cellIs" dxfId="13990" priority="19300" operator="between">
      <formula>0.76</formula>
      <formula>0.95</formula>
    </cfRule>
    <cfRule type="cellIs" dxfId="13989" priority="19301" operator="between">
      <formula>0.51</formula>
      <formula>0.75</formula>
    </cfRule>
    <cfRule type="cellIs" dxfId="13988" priority="19302" operator="greaterThan">
      <formula>1</formula>
    </cfRule>
    <cfRule type="cellIs" dxfId="13987" priority="19303" operator="between">
      <formula>0.95</formula>
      <formula>1</formula>
    </cfRule>
    <cfRule type="cellIs" dxfId="13986" priority="19304" stopIfTrue="1" operator="between">
      <formula>0</formula>
      <formula>0.5</formula>
    </cfRule>
  </conditionalFormatting>
  <conditionalFormatting sqref="AF20">
    <cfRule type="cellIs" dxfId="13985" priority="19180" operator="between">
      <formula>0.76</formula>
      <formula>0.95</formula>
    </cfRule>
    <cfRule type="cellIs" dxfId="13984" priority="19181" operator="between">
      <formula>0.51</formula>
      <formula>0.75</formula>
    </cfRule>
    <cfRule type="cellIs" dxfId="13983" priority="19182" operator="greaterThan">
      <formula>1</formula>
    </cfRule>
    <cfRule type="cellIs" dxfId="13982" priority="19183" operator="between">
      <formula>0.95</formula>
      <formula>1</formula>
    </cfRule>
    <cfRule type="cellIs" dxfId="13981" priority="19184" stopIfTrue="1" operator="between">
      <formula>0</formula>
      <formula>0.5</formula>
    </cfRule>
  </conditionalFormatting>
  <conditionalFormatting sqref="Y382 Y334:AA379 Y15:AA38">
    <cfRule type="cellIs" dxfId="13980" priority="19240" operator="between">
      <formula>0.56251</formula>
      <formula>0.7125</formula>
    </cfRule>
    <cfRule type="cellIs" dxfId="13979" priority="19241" operator="between">
      <formula>0.3751</formula>
      <formula>0.5625</formula>
    </cfRule>
    <cfRule type="cellIs" dxfId="13978" priority="19242" operator="greaterThan">
      <formula>0.751</formula>
    </cfRule>
    <cfRule type="cellIs" dxfId="13977" priority="19243" operator="between">
      <formula>0.71251</formula>
      <formula>0.75</formula>
    </cfRule>
    <cfRule type="cellIs" dxfId="13976" priority="19244" stopIfTrue="1" operator="between">
      <formula>0</formula>
      <formula>0.375</formula>
    </cfRule>
  </conditionalFormatting>
  <conditionalFormatting sqref="AF15">
    <cfRule type="cellIs" dxfId="13975" priority="19225" operator="between">
      <formula>0.76</formula>
      <formula>0.95</formula>
    </cfRule>
    <cfRule type="cellIs" dxfId="13974" priority="19226" operator="between">
      <formula>0.51</formula>
      <formula>0.75</formula>
    </cfRule>
    <cfRule type="cellIs" dxfId="13973" priority="19227" operator="greaterThan">
      <formula>1</formula>
    </cfRule>
    <cfRule type="cellIs" dxfId="13972" priority="19228" operator="between">
      <formula>0.95</formula>
      <formula>1</formula>
    </cfRule>
    <cfRule type="cellIs" dxfId="13971" priority="19229" stopIfTrue="1" operator="between">
      <formula>0</formula>
      <formula>0.5</formula>
    </cfRule>
  </conditionalFormatting>
  <conditionalFormatting sqref="AF16">
    <cfRule type="cellIs" dxfId="13970" priority="19220" operator="between">
      <formula>0.76</formula>
      <formula>0.95</formula>
    </cfRule>
    <cfRule type="cellIs" dxfId="13969" priority="19221" operator="between">
      <formula>0.51</formula>
      <formula>0.75</formula>
    </cfRule>
    <cfRule type="cellIs" dxfId="13968" priority="19222" operator="greaterThan">
      <formula>1</formula>
    </cfRule>
    <cfRule type="cellIs" dxfId="13967" priority="19223" operator="between">
      <formula>0.95</formula>
      <formula>1</formula>
    </cfRule>
    <cfRule type="cellIs" dxfId="13966" priority="19224" stopIfTrue="1" operator="between">
      <formula>0</formula>
      <formula>0.5</formula>
    </cfRule>
  </conditionalFormatting>
  <conditionalFormatting sqref="AF17">
    <cfRule type="cellIs" dxfId="13965" priority="19215" operator="between">
      <formula>0.76</formula>
      <formula>0.95</formula>
    </cfRule>
    <cfRule type="cellIs" dxfId="13964" priority="19216" operator="between">
      <formula>0.51</formula>
      <formula>0.75</formula>
    </cfRule>
    <cfRule type="cellIs" dxfId="13963" priority="19217" operator="greaterThan">
      <formula>1</formula>
    </cfRule>
    <cfRule type="cellIs" dxfId="13962" priority="19218" operator="between">
      <formula>0.95</formula>
      <formula>1</formula>
    </cfRule>
    <cfRule type="cellIs" dxfId="13961" priority="19219" stopIfTrue="1" operator="between">
      <formula>0</formula>
      <formula>0.5</formula>
    </cfRule>
  </conditionalFormatting>
  <conditionalFormatting sqref="AF18">
    <cfRule type="cellIs" dxfId="13960" priority="19195" operator="between">
      <formula>0.76</formula>
      <formula>0.95</formula>
    </cfRule>
    <cfRule type="cellIs" dxfId="13959" priority="19196" operator="between">
      <formula>0.51</formula>
      <formula>0.75</formula>
    </cfRule>
    <cfRule type="cellIs" dxfId="13958" priority="19197" operator="greaterThan">
      <formula>1</formula>
    </cfRule>
    <cfRule type="cellIs" dxfId="13957" priority="19198" operator="between">
      <formula>0.95</formula>
      <formula>1</formula>
    </cfRule>
    <cfRule type="cellIs" dxfId="13956" priority="19199" stopIfTrue="1" operator="between">
      <formula>0</formula>
      <formula>0.5</formula>
    </cfRule>
  </conditionalFormatting>
  <conditionalFormatting sqref="AF19">
    <cfRule type="cellIs" dxfId="13955" priority="19190" operator="between">
      <formula>0.76</formula>
      <formula>0.95</formula>
    </cfRule>
    <cfRule type="cellIs" dxfId="13954" priority="19191" operator="between">
      <formula>0.51</formula>
      <formula>0.75</formula>
    </cfRule>
    <cfRule type="cellIs" dxfId="13953" priority="19192" operator="greaterThan">
      <formula>1</formula>
    </cfRule>
    <cfRule type="cellIs" dxfId="13952" priority="19193" operator="between">
      <formula>0.95</formula>
      <formula>1</formula>
    </cfRule>
    <cfRule type="cellIs" dxfId="13951" priority="19194" stopIfTrue="1" operator="between">
      <formula>0</formula>
      <formula>0.5</formula>
    </cfRule>
  </conditionalFormatting>
  <conditionalFormatting sqref="AF21">
    <cfRule type="cellIs" dxfId="13950" priority="19175" operator="between">
      <formula>0.76</formula>
      <formula>0.95</formula>
    </cfRule>
    <cfRule type="cellIs" dxfId="13949" priority="19176" operator="between">
      <formula>0.51</formula>
      <formula>0.75</formula>
    </cfRule>
    <cfRule type="cellIs" dxfId="13948" priority="19177" operator="greaterThan">
      <formula>1</formula>
    </cfRule>
    <cfRule type="cellIs" dxfId="13947" priority="19178" operator="between">
      <formula>0.95</formula>
      <formula>1</formula>
    </cfRule>
    <cfRule type="cellIs" dxfId="13946" priority="19179" stopIfTrue="1" operator="between">
      <formula>0</formula>
      <formula>0.5</formula>
    </cfRule>
  </conditionalFormatting>
  <conditionalFormatting sqref="AF22">
    <cfRule type="cellIs" dxfId="13945" priority="19170" operator="between">
      <formula>0.76</formula>
      <formula>0.95</formula>
    </cfRule>
    <cfRule type="cellIs" dxfId="13944" priority="19171" operator="between">
      <formula>0.51</formula>
      <formula>0.75</formula>
    </cfRule>
    <cfRule type="cellIs" dxfId="13943" priority="19172" operator="greaterThan">
      <formula>1</formula>
    </cfRule>
    <cfRule type="cellIs" dxfId="13942" priority="19173" operator="between">
      <formula>0.95</formula>
      <formula>1</formula>
    </cfRule>
    <cfRule type="cellIs" dxfId="13941" priority="19174" stopIfTrue="1" operator="between">
      <formula>0</formula>
      <formula>0.5</formula>
    </cfRule>
  </conditionalFormatting>
  <conditionalFormatting sqref="AF23">
    <cfRule type="cellIs" dxfId="13940" priority="19165" operator="between">
      <formula>0.76</formula>
      <formula>0.95</formula>
    </cfRule>
    <cfRule type="cellIs" dxfId="13939" priority="19166" operator="between">
      <formula>0.51</formula>
      <formula>0.75</formula>
    </cfRule>
    <cfRule type="cellIs" dxfId="13938" priority="19167" operator="greaterThan">
      <formula>1</formula>
    </cfRule>
    <cfRule type="cellIs" dxfId="13937" priority="19168" operator="between">
      <formula>0.95</formula>
      <formula>1</formula>
    </cfRule>
    <cfRule type="cellIs" dxfId="13936" priority="19169" stopIfTrue="1" operator="between">
      <formula>0</formula>
      <formula>0.5</formula>
    </cfRule>
  </conditionalFormatting>
  <conditionalFormatting sqref="AF26">
    <cfRule type="cellIs" dxfId="13935" priority="19160" operator="between">
      <formula>0.76</formula>
      <formula>0.95</formula>
    </cfRule>
    <cfRule type="cellIs" dxfId="13934" priority="19161" operator="between">
      <formula>0.51</formula>
      <formula>0.75</formula>
    </cfRule>
    <cfRule type="cellIs" dxfId="13933" priority="19162" operator="greaterThan">
      <formula>1</formula>
    </cfRule>
    <cfRule type="cellIs" dxfId="13932" priority="19163" operator="between">
      <formula>0.95</formula>
      <formula>1</formula>
    </cfRule>
    <cfRule type="cellIs" dxfId="13931" priority="19164" stopIfTrue="1" operator="between">
      <formula>0</formula>
      <formula>0.5</formula>
    </cfRule>
  </conditionalFormatting>
  <conditionalFormatting sqref="AF25">
    <cfRule type="cellIs" dxfId="13930" priority="19155" operator="between">
      <formula>0.76</formula>
      <formula>0.95</formula>
    </cfRule>
    <cfRule type="cellIs" dxfId="13929" priority="19156" operator="between">
      <formula>0.51</formula>
      <formula>0.75</formula>
    </cfRule>
    <cfRule type="cellIs" dxfId="13928" priority="19157" operator="greaterThan">
      <formula>1</formula>
    </cfRule>
    <cfRule type="cellIs" dxfId="13927" priority="19158" operator="between">
      <formula>0.95</formula>
      <formula>1</formula>
    </cfRule>
    <cfRule type="cellIs" dxfId="13926" priority="19159" stopIfTrue="1" operator="between">
      <formula>0</formula>
      <formula>0.5</formula>
    </cfRule>
  </conditionalFormatting>
  <conditionalFormatting sqref="AF27">
    <cfRule type="cellIs" dxfId="13925" priority="19150" operator="between">
      <formula>0.76</formula>
      <formula>0.95</formula>
    </cfRule>
    <cfRule type="cellIs" dxfId="13924" priority="19151" operator="between">
      <formula>0.51</formula>
      <formula>0.75</formula>
    </cfRule>
    <cfRule type="cellIs" dxfId="13923" priority="19152" operator="greaterThan">
      <formula>1</formula>
    </cfRule>
    <cfRule type="cellIs" dxfId="13922" priority="19153" operator="between">
      <formula>0.95</formula>
      <formula>1</formula>
    </cfRule>
    <cfRule type="cellIs" dxfId="13921" priority="19154" stopIfTrue="1" operator="between">
      <formula>0</formula>
      <formula>0.5</formula>
    </cfRule>
  </conditionalFormatting>
  <conditionalFormatting sqref="AF28">
    <cfRule type="cellIs" dxfId="13920" priority="19145" operator="between">
      <formula>0.76</formula>
      <formula>0.95</formula>
    </cfRule>
    <cfRule type="cellIs" dxfId="13919" priority="19146" operator="between">
      <formula>0.51</formula>
      <formula>0.75</formula>
    </cfRule>
    <cfRule type="cellIs" dxfId="13918" priority="19147" operator="greaterThan">
      <formula>1</formula>
    </cfRule>
    <cfRule type="cellIs" dxfId="13917" priority="19148" operator="between">
      <formula>0.95</formula>
      <formula>1</formula>
    </cfRule>
    <cfRule type="cellIs" dxfId="13916" priority="19149" stopIfTrue="1" operator="between">
      <formula>0</formula>
      <formula>0.5</formula>
    </cfRule>
  </conditionalFormatting>
  <conditionalFormatting sqref="AF29">
    <cfRule type="cellIs" dxfId="13915" priority="19140" operator="between">
      <formula>0.76</formula>
      <formula>0.95</formula>
    </cfRule>
    <cfRule type="cellIs" dxfId="13914" priority="19141" operator="between">
      <formula>0.51</formula>
      <formula>0.75</formula>
    </cfRule>
    <cfRule type="cellIs" dxfId="13913" priority="19142" operator="greaterThan">
      <formula>1</formula>
    </cfRule>
    <cfRule type="cellIs" dxfId="13912" priority="19143" operator="between">
      <formula>0.95</formula>
      <formula>1</formula>
    </cfRule>
    <cfRule type="cellIs" dxfId="13911" priority="19144" stopIfTrue="1" operator="between">
      <formula>0</formula>
      <formula>0.5</formula>
    </cfRule>
  </conditionalFormatting>
  <conditionalFormatting sqref="AF30">
    <cfRule type="cellIs" dxfId="13910" priority="19135" operator="between">
      <formula>0.76</formula>
      <formula>0.95</formula>
    </cfRule>
    <cfRule type="cellIs" dxfId="13909" priority="19136" operator="between">
      <formula>0.51</formula>
      <formula>0.75</formula>
    </cfRule>
    <cfRule type="cellIs" dxfId="13908" priority="19137" operator="greaterThan">
      <formula>1</formula>
    </cfRule>
    <cfRule type="cellIs" dxfId="13907" priority="19138" operator="between">
      <formula>0.95</formula>
      <formula>1</formula>
    </cfRule>
    <cfRule type="cellIs" dxfId="13906" priority="19139" stopIfTrue="1" operator="between">
      <formula>0</formula>
      <formula>0.5</formula>
    </cfRule>
  </conditionalFormatting>
  <conditionalFormatting sqref="AF34">
    <cfRule type="cellIs" dxfId="13905" priority="19130" operator="between">
      <formula>0.76</formula>
      <formula>0.95</formula>
    </cfRule>
    <cfRule type="cellIs" dxfId="13904" priority="19131" operator="between">
      <formula>0.51</formula>
      <formula>0.75</formula>
    </cfRule>
    <cfRule type="cellIs" dxfId="13903" priority="19132" operator="greaterThan">
      <formula>1</formula>
    </cfRule>
    <cfRule type="cellIs" dxfId="13902" priority="19133" operator="between">
      <formula>0.95</formula>
      <formula>1</formula>
    </cfRule>
    <cfRule type="cellIs" dxfId="13901" priority="19134" stopIfTrue="1" operator="between">
      <formula>0</formula>
      <formula>0.5</formula>
    </cfRule>
  </conditionalFormatting>
  <conditionalFormatting sqref="AF42">
    <cfRule type="cellIs" dxfId="13900" priority="19110" operator="between">
      <formula>0.76</formula>
      <formula>0.95</formula>
    </cfRule>
    <cfRule type="cellIs" dxfId="13899" priority="19111" operator="between">
      <formula>0.51</formula>
      <formula>0.75</formula>
    </cfRule>
    <cfRule type="cellIs" dxfId="13898" priority="19112" operator="greaterThan">
      <formula>1</formula>
    </cfRule>
    <cfRule type="cellIs" dxfId="13897" priority="19113" operator="between">
      <formula>0.95</formula>
      <formula>1</formula>
    </cfRule>
    <cfRule type="cellIs" dxfId="13896" priority="19114" stopIfTrue="1" operator="between">
      <formula>0</formula>
      <formula>0.5</formula>
    </cfRule>
  </conditionalFormatting>
  <conditionalFormatting sqref="AF43">
    <cfRule type="cellIs" dxfId="13895" priority="19105" operator="between">
      <formula>0.76</formula>
      <formula>0.95</formula>
    </cfRule>
    <cfRule type="cellIs" dxfId="13894" priority="19106" operator="between">
      <formula>0.51</formula>
      <formula>0.75</formula>
    </cfRule>
    <cfRule type="cellIs" dxfId="13893" priority="19107" operator="greaterThan">
      <formula>1</formula>
    </cfRule>
    <cfRule type="cellIs" dxfId="13892" priority="19108" operator="between">
      <formula>0.95</formula>
      <formula>1</formula>
    </cfRule>
    <cfRule type="cellIs" dxfId="13891" priority="19109" stopIfTrue="1" operator="between">
      <formula>0</formula>
      <formula>0.5</formula>
    </cfRule>
  </conditionalFormatting>
  <conditionalFormatting sqref="AF44">
    <cfRule type="cellIs" dxfId="13890" priority="19100" operator="between">
      <formula>0.76</formula>
      <formula>0.95</formula>
    </cfRule>
    <cfRule type="cellIs" dxfId="13889" priority="19101" operator="between">
      <formula>0.51</formula>
      <formula>0.75</formula>
    </cfRule>
    <cfRule type="cellIs" dxfId="13888" priority="19102" operator="greaterThan">
      <formula>1</formula>
    </cfRule>
    <cfRule type="cellIs" dxfId="13887" priority="19103" operator="between">
      <formula>0.95</formula>
      <formula>1</formula>
    </cfRule>
    <cfRule type="cellIs" dxfId="13886" priority="19104" stopIfTrue="1" operator="between">
      <formula>0</formula>
      <formula>0.5</formula>
    </cfRule>
  </conditionalFormatting>
  <conditionalFormatting sqref="AF45">
    <cfRule type="cellIs" dxfId="13885" priority="19095" operator="between">
      <formula>0.76</formula>
      <formula>0.95</formula>
    </cfRule>
    <cfRule type="cellIs" dxfId="13884" priority="19096" operator="between">
      <formula>0.51</formula>
      <formula>0.75</formula>
    </cfRule>
    <cfRule type="cellIs" dxfId="13883" priority="19097" operator="greaterThan">
      <formula>1</formula>
    </cfRule>
    <cfRule type="cellIs" dxfId="13882" priority="19098" operator="between">
      <formula>0.95</formula>
      <formula>1</formula>
    </cfRule>
    <cfRule type="cellIs" dxfId="13881" priority="19099" stopIfTrue="1" operator="between">
      <formula>0</formula>
      <formula>0.5</formula>
    </cfRule>
  </conditionalFormatting>
  <conditionalFormatting sqref="AF46">
    <cfRule type="cellIs" dxfId="13880" priority="19090" operator="between">
      <formula>0.76</formula>
      <formula>0.95</formula>
    </cfRule>
    <cfRule type="cellIs" dxfId="13879" priority="19091" operator="between">
      <formula>0.51</formula>
      <formula>0.75</formula>
    </cfRule>
    <cfRule type="cellIs" dxfId="13878" priority="19092" operator="greaterThan">
      <formula>1</formula>
    </cfRule>
    <cfRule type="cellIs" dxfId="13877" priority="19093" operator="between">
      <formula>0.95</formula>
      <formula>1</formula>
    </cfRule>
    <cfRule type="cellIs" dxfId="13876" priority="19094" stopIfTrue="1" operator="between">
      <formula>0</formula>
      <formula>0.5</formula>
    </cfRule>
  </conditionalFormatting>
  <conditionalFormatting sqref="AF47">
    <cfRule type="cellIs" dxfId="13875" priority="19085" operator="between">
      <formula>0.76</formula>
      <formula>0.95</formula>
    </cfRule>
    <cfRule type="cellIs" dxfId="13874" priority="19086" operator="between">
      <formula>0.51</formula>
      <formula>0.75</formula>
    </cfRule>
    <cfRule type="cellIs" dxfId="13873" priority="19087" operator="greaterThan">
      <formula>1</formula>
    </cfRule>
    <cfRule type="cellIs" dxfId="13872" priority="19088" operator="between">
      <formula>0.95</formula>
      <formula>1</formula>
    </cfRule>
    <cfRule type="cellIs" dxfId="13871" priority="19089" stopIfTrue="1" operator="between">
      <formula>0</formula>
      <formula>0.5</formula>
    </cfRule>
  </conditionalFormatting>
  <conditionalFormatting sqref="AF48">
    <cfRule type="cellIs" dxfId="13870" priority="19080" operator="between">
      <formula>0.76</formula>
      <formula>0.95</formula>
    </cfRule>
    <cfRule type="cellIs" dxfId="13869" priority="19081" operator="between">
      <formula>0.51</formula>
      <formula>0.75</formula>
    </cfRule>
    <cfRule type="cellIs" dxfId="13868" priority="19082" operator="greaterThan">
      <formula>1</formula>
    </cfRule>
    <cfRule type="cellIs" dxfId="13867" priority="19083" operator="between">
      <formula>0.95</formula>
      <formula>1</formula>
    </cfRule>
    <cfRule type="cellIs" dxfId="13866" priority="19084" stopIfTrue="1" operator="between">
      <formula>0</formula>
      <formula>0.5</formula>
    </cfRule>
  </conditionalFormatting>
  <conditionalFormatting sqref="AF49">
    <cfRule type="cellIs" dxfId="13865" priority="19075" operator="between">
      <formula>0.76</formula>
      <formula>0.95</formula>
    </cfRule>
    <cfRule type="cellIs" dxfId="13864" priority="19076" operator="between">
      <formula>0.51</formula>
      <formula>0.75</formula>
    </cfRule>
    <cfRule type="cellIs" dxfId="13863" priority="19077" operator="greaterThan">
      <formula>1</formula>
    </cfRule>
    <cfRule type="cellIs" dxfId="13862" priority="19078" operator="between">
      <formula>0.95</formula>
      <formula>1</formula>
    </cfRule>
    <cfRule type="cellIs" dxfId="13861" priority="19079" stopIfTrue="1" operator="between">
      <formula>0</formula>
      <formula>0.5</formula>
    </cfRule>
  </conditionalFormatting>
  <conditionalFormatting sqref="AF50">
    <cfRule type="cellIs" dxfId="13860" priority="19070" operator="between">
      <formula>0.76</formula>
      <formula>0.95</formula>
    </cfRule>
    <cfRule type="cellIs" dxfId="13859" priority="19071" operator="between">
      <formula>0.51</formula>
      <formula>0.75</formula>
    </cfRule>
    <cfRule type="cellIs" dxfId="13858" priority="19072" operator="greaterThan">
      <formula>1</formula>
    </cfRule>
    <cfRule type="cellIs" dxfId="13857" priority="19073" operator="between">
      <formula>0.95</formula>
      <formula>1</formula>
    </cfRule>
    <cfRule type="cellIs" dxfId="13856" priority="19074" stopIfTrue="1" operator="between">
      <formula>0</formula>
      <formula>0.5</formula>
    </cfRule>
  </conditionalFormatting>
  <conditionalFormatting sqref="AF51">
    <cfRule type="cellIs" dxfId="13855" priority="19065" operator="between">
      <formula>0.76</formula>
      <formula>0.95</formula>
    </cfRule>
    <cfRule type="cellIs" dxfId="13854" priority="19066" operator="between">
      <formula>0.51</formula>
      <formula>0.75</formula>
    </cfRule>
    <cfRule type="cellIs" dxfId="13853" priority="19067" operator="greaterThan">
      <formula>1</formula>
    </cfRule>
    <cfRule type="cellIs" dxfId="13852" priority="19068" operator="between">
      <formula>0.95</formula>
      <formula>1</formula>
    </cfRule>
    <cfRule type="cellIs" dxfId="13851" priority="19069" stopIfTrue="1" operator="between">
      <formula>0</formula>
      <formula>0.5</formula>
    </cfRule>
  </conditionalFormatting>
  <conditionalFormatting sqref="AF52">
    <cfRule type="cellIs" dxfId="13850" priority="19060" operator="between">
      <formula>0.76</formula>
      <formula>0.95</formula>
    </cfRule>
    <cfRule type="cellIs" dxfId="13849" priority="19061" operator="between">
      <formula>0.51</formula>
      <formula>0.75</formula>
    </cfRule>
    <cfRule type="cellIs" dxfId="13848" priority="19062" operator="greaterThan">
      <formula>1</formula>
    </cfRule>
    <cfRule type="cellIs" dxfId="13847" priority="19063" operator="between">
      <formula>0.95</formula>
      <formula>1</formula>
    </cfRule>
    <cfRule type="cellIs" dxfId="13846" priority="19064" stopIfTrue="1" operator="between">
      <formula>0</formula>
      <formula>0.5</formula>
    </cfRule>
  </conditionalFormatting>
  <conditionalFormatting sqref="AF53">
    <cfRule type="cellIs" dxfId="13845" priority="19055" operator="between">
      <formula>0.76</formula>
      <formula>0.95</formula>
    </cfRule>
    <cfRule type="cellIs" dxfId="13844" priority="19056" operator="between">
      <formula>0.51</formula>
      <formula>0.75</formula>
    </cfRule>
    <cfRule type="cellIs" dxfId="13843" priority="19057" operator="greaterThan">
      <formula>1</formula>
    </cfRule>
    <cfRule type="cellIs" dxfId="13842" priority="19058" operator="between">
      <formula>0.95</formula>
      <formula>1</formula>
    </cfRule>
    <cfRule type="cellIs" dxfId="13841" priority="19059" stopIfTrue="1" operator="between">
      <formula>0</formula>
      <formula>0.5</formula>
    </cfRule>
  </conditionalFormatting>
  <conditionalFormatting sqref="AF54">
    <cfRule type="cellIs" dxfId="13840" priority="19050" operator="between">
      <formula>0.76</formula>
      <formula>0.95</formula>
    </cfRule>
    <cfRule type="cellIs" dxfId="13839" priority="19051" operator="between">
      <formula>0.51</formula>
      <formula>0.75</formula>
    </cfRule>
    <cfRule type="cellIs" dxfId="13838" priority="19052" operator="greaterThan">
      <formula>1</formula>
    </cfRule>
    <cfRule type="cellIs" dxfId="13837" priority="19053" operator="between">
      <formula>0.95</formula>
      <formula>1</formula>
    </cfRule>
    <cfRule type="cellIs" dxfId="13836" priority="19054" stopIfTrue="1" operator="between">
      <formula>0</formula>
      <formula>0.5</formula>
    </cfRule>
  </conditionalFormatting>
  <conditionalFormatting sqref="AF55">
    <cfRule type="cellIs" dxfId="13835" priority="19045" operator="between">
      <formula>0.76</formula>
      <formula>0.95</formula>
    </cfRule>
    <cfRule type="cellIs" dxfId="13834" priority="19046" operator="between">
      <formula>0.51</formula>
      <formula>0.75</formula>
    </cfRule>
    <cfRule type="cellIs" dxfId="13833" priority="19047" operator="greaterThan">
      <formula>1</formula>
    </cfRule>
    <cfRule type="cellIs" dxfId="13832" priority="19048" operator="between">
      <formula>0.95</formula>
      <formula>1</formula>
    </cfRule>
    <cfRule type="cellIs" dxfId="13831" priority="19049" stopIfTrue="1" operator="between">
      <formula>0</formula>
      <formula>0.5</formula>
    </cfRule>
  </conditionalFormatting>
  <conditionalFormatting sqref="AF56">
    <cfRule type="cellIs" dxfId="13830" priority="19040" operator="between">
      <formula>0.76</formula>
      <formula>0.95</formula>
    </cfRule>
    <cfRule type="cellIs" dxfId="13829" priority="19041" operator="between">
      <formula>0.51</formula>
      <formula>0.75</formula>
    </cfRule>
    <cfRule type="cellIs" dxfId="13828" priority="19042" operator="greaterThan">
      <formula>1</formula>
    </cfRule>
    <cfRule type="cellIs" dxfId="13827" priority="19043" operator="between">
      <formula>0.95</formula>
      <formula>1</formula>
    </cfRule>
    <cfRule type="cellIs" dxfId="13826" priority="19044" stopIfTrue="1" operator="between">
      <formula>0</formula>
      <formula>0.5</formula>
    </cfRule>
  </conditionalFormatting>
  <conditionalFormatting sqref="AF57">
    <cfRule type="cellIs" dxfId="13825" priority="19035" operator="between">
      <formula>0.76</formula>
      <formula>0.95</formula>
    </cfRule>
    <cfRule type="cellIs" dxfId="13824" priority="19036" operator="between">
      <formula>0.51</formula>
      <formula>0.75</formula>
    </cfRule>
    <cfRule type="cellIs" dxfId="13823" priority="19037" operator="greaterThan">
      <formula>1</formula>
    </cfRule>
    <cfRule type="cellIs" dxfId="13822" priority="19038" operator="between">
      <formula>0.95</formula>
      <formula>1</formula>
    </cfRule>
    <cfRule type="cellIs" dxfId="13821" priority="19039" stopIfTrue="1" operator="between">
      <formula>0</formula>
      <formula>0.5</formula>
    </cfRule>
  </conditionalFormatting>
  <conditionalFormatting sqref="AF58">
    <cfRule type="cellIs" dxfId="13820" priority="19030" operator="between">
      <formula>0.76</formula>
      <formula>0.95</formula>
    </cfRule>
    <cfRule type="cellIs" dxfId="13819" priority="19031" operator="between">
      <formula>0.51</formula>
      <formula>0.75</formula>
    </cfRule>
    <cfRule type="cellIs" dxfId="13818" priority="19032" operator="greaterThan">
      <formula>1</formula>
    </cfRule>
    <cfRule type="cellIs" dxfId="13817" priority="19033" operator="between">
      <formula>0.95</formula>
      <formula>1</formula>
    </cfRule>
    <cfRule type="cellIs" dxfId="13816" priority="19034" stopIfTrue="1" operator="between">
      <formula>0</formula>
      <formula>0.5</formula>
    </cfRule>
  </conditionalFormatting>
  <conditionalFormatting sqref="AF59">
    <cfRule type="cellIs" dxfId="13815" priority="19025" operator="between">
      <formula>0.76</formula>
      <formula>0.95</formula>
    </cfRule>
    <cfRule type="cellIs" dxfId="13814" priority="19026" operator="between">
      <formula>0.51</formula>
      <formula>0.75</formula>
    </cfRule>
    <cfRule type="cellIs" dxfId="13813" priority="19027" operator="greaterThan">
      <formula>1</formula>
    </cfRule>
    <cfRule type="cellIs" dxfId="13812" priority="19028" operator="between">
      <formula>0.95</formula>
      <formula>1</formula>
    </cfRule>
    <cfRule type="cellIs" dxfId="13811" priority="19029" stopIfTrue="1" operator="between">
      <formula>0</formula>
      <formula>0.5</formula>
    </cfRule>
  </conditionalFormatting>
  <conditionalFormatting sqref="AF60">
    <cfRule type="cellIs" dxfId="13810" priority="19020" operator="between">
      <formula>0.76</formula>
      <formula>0.95</formula>
    </cfRule>
    <cfRule type="cellIs" dxfId="13809" priority="19021" operator="between">
      <formula>0.51</formula>
      <formula>0.75</formula>
    </cfRule>
    <cfRule type="cellIs" dxfId="13808" priority="19022" operator="greaterThan">
      <formula>1</formula>
    </cfRule>
    <cfRule type="cellIs" dxfId="13807" priority="19023" operator="between">
      <formula>0.95</formula>
      <formula>1</formula>
    </cfRule>
    <cfRule type="cellIs" dxfId="13806" priority="19024" stopIfTrue="1" operator="between">
      <formula>0</formula>
      <formula>0.5</formula>
    </cfRule>
  </conditionalFormatting>
  <conditionalFormatting sqref="AF61">
    <cfRule type="cellIs" dxfId="13805" priority="19015" operator="between">
      <formula>0.76</formula>
      <formula>0.95</formula>
    </cfRule>
    <cfRule type="cellIs" dxfId="13804" priority="19016" operator="between">
      <formula>0.51</formula>
      <formula>0.75</formula>
    </cfRule>
    <cfRule type="cellIs" dxfId="13803" priority="19017" operator="greaterThan">
      <formula>1</formula>
    </cfRule>
    <cfRule type="cellIs" dxfId="13802" priority="19018" operator="between">
      <formula>0.95</formula>
      <formula>1</formula>
    </cfRule>
    <cfRule type="cellIs" dxfId="13801" priority="19019" stopIfTrue="1" operator="between">
      <formula>0</formula>
      <formula>0.5</formula>
    </cfRule>
  </conditionalFormatting>
  <conditionalFormatting sqref="AF62">
    <cfRule type="cellIs" dxfId="13800" priority="19010" operator="between">
      <formula>0.76</formula>
      <formula>0.95</formula>
    </cfRule>
    <cfRule type="cellIs" dxfId="13799" priority="19011" operator="between">
      <formula>0.51</formula>
      <formula>0.75</formula>
    </cfRule>
    <cfRule type="cellIs" dxfId="13798" priority="19012" operator="greaterThan">
      <formula>1</formula>
    </cfRule>
    <cfRule type="cellIs" dxfId="13797" priority="19013" operator="between">
      <formula>0.95</formula>
      <formula>1</formula>
    </cfRule>
    <cfRule type="cellIs" dxfId="13796" priority="19014" stopIfTrue="1" operator="between">
      <formula>0</formula>
      <formula>0.5</formula>
    </cfRule>
  </conditionalFormatting>
  <conditionalFormatting sqref="AF63">
    <cfRule type="cellIs" dxfId="13795" priority="19005" operator="between">
      <formula>0.76</formula>
      <formula>0.95</formula>
    </cfRule>
    <cfRule type="cellIs" dxfId="13794" priority="19006" operator="between">
      <formula>0.51</formula>
      <formula>0.75</formula>
    </cfRule>
    <cfRule type="cellIs" dxfId="13793" priority="19007" operator="greaterThan">
      <formula>1</formula>
    </cfRule>
    <cfRule type="cellIs" dxfId="13792" priority="19008" operator="between">
      <formula>0.95</formula>
      <formula>1</formula>
    </cfRule>
    <cfRule type="cellIs" dxfId="13791" priority="19009" stopIfTrue="1" operator="between">
      <formula>0</formula>
      <formula>0.5</formula>
    </cfRule>
  </conditionalFormatting>
  <conditionalFormatting sqref="AF64">
    <cfRule type="cellIs" dxfId="13790" priority="19000" operator="between">
      <formula>0.76</formula>
      <formula>0.95</formula>
    </cfRule>
    <cfRule type="cellIs" dxfId="13789" priority="19001" operator="between">
      <formula>0.51</formula>
      <formula>0.75</formula>
    </cfRule>
    <cfRule type="cellIs" dxfId="13788" priority="19002" operator="greaterThan">
      <formula>1</formula>
    </cfRule>
    <cfRule type="cellIs" dxfId="13787" priority="19003" operator="between">
      <formula>0.95</formula>
      <formula>1</formula>
    </cfRule>
    <cfRule type="cellIs" dxfId="13786" priority="19004" stopIfTrue="1" operator="between">
      <formula>0</formula>
      <formula>0.5</formula>
    </cfRule>
  </conditionalFormatting>
  <conditionalFormatting sqref="AF65">
    <cfRule type="cellIs" dxfId="13785" priority="18990" operator="between">
      <formula>0.76</formula>
      <formula>0.95</formula>
    </cfRule>
    <cfRule type="cellIs" dxfId="13784" priority="18991" operator="between">
      <formula>0.51</formula>
      <formula>0.75</formula>
    </cfRule>
    <cfRule type="cellIs" dxfId="13783" priority="18992" operator="greaterThan">
      <formula>1</formula>
    </cfRule>
    <cfRule type="cellIs" dxfId="13782" priority="18993" operator="between">
      <formula>0.95</formula>
      <formula>1</formula>
    </cfRule>
    <cfRule type="cellIs" dxfId="13781" priority="18994" stopIfTrue="1" operator="between">
      <formula>0</formula>
      <formula>0.5</formula>
    </cfRule>
  </conditionalFormatting>
  <conditionalFormatting sqref="AF66">
    <cfRule type="cellIs" dxfId="13780" priority="18985" operator="between">
      <formula>0.76</formula>
      <formula>0.95</formula>
    </cfRule>
    <cfRule type="cellIs" dxfId="13779" priority="18986" operator="between">
      <formula>0.51</formula>
      <formula>0.75</formula>
    </cfRule>
    <cfRule type="cellIs" dxfId="13778" priority="18987" operator="greaterThan">
      <formula>1</formula>
    </cfRule>
    <cfRule type="cellIs" dxfId="13777" priority="18988" operator="between">
      <formula>0.95</formula>
      <formula>1</formula>
    </cfRule>
    <cfRule type="cellIs" dxfId="13776" priority="18989" stopIfTrue="1" operator="between">
      <formula>0</formula>
      <formula>0.5</formula>
    </cfRule>
  </conditionalFormatting>
  <conditionalFormatting sqref="AF67">
    <cfRule type="cellIs" dxfId="13775" priority="18980" operator="between">
      <formula>0.76</formula>
      <formula>0.95</formula>
    </cfRule>
    <cfRule type="cellIs" dxfId="13774" priority="18981" operator="between">
      <formula>0.51</formula>
      <formula>0.75</formula>
    </cfRule>
    <cfRule type="cellIs" dxfId="13773" priority="18982" operator="greaterThan">
      <formula>1</formula>
    </cfRule>
    <cfRule type="cellIs" dxfId="13772" priority="18983" operator="between">
      <formula>0.95</formula>
      <formula>1</formula>
    </cfRule>
    <cfRule type="cellIs" dxfId="13771" priority="18984" stopIfTrue="1" operator="between">
      <formula>0</formula>
      <formula>0.5</formula>
    </cfRule>
  </conditionalFormatting>
  <conditionalFormatting sqref="AF68">
    <cfRule type="cellIs" dxfId="13770" priority="18975" operator="between">
      <formula>0.76</formula>
      <formula>0.95</formula>
    </cfRule>
    <cfRule type="cellIs" dxfId="13769" priority="18976" operator="between">
      <formula>0.51</formula>
      <formula>0.75</formula>
    </cfRule>
    <cfRule type="cellIs" dxfId="13768" priority="18977" operator="greaterThan">
      <formula>1</formula>
    </cfRule>
    <cfRule type="cellIs" dxfId="13767" priority="18978" operator="between">
      <formula>0.95</formula>
      <formula>1</formula>
    </cfRule>
    <cfRule type="cellIs" dxfId="13766" priority="18979" stopIfTrue="1" operator="between">
      <formula>0</formula>
      <formula>0.5</formula>
    </cfRule>
  </conditionalFormatting>
  <conditionalFormatting sqref="AF69">
    <cfRule type="cellIs" dxfId="13765" priority="18970" operator="between">
      <formula>0.76</formula>
      <formula>0.95</formula>
    </cfRule>
    <cfRule type="cellIs" dxfId="13764" priority="18971" operator="between">
      <formula>0.51</formula>
      <formula>0.75</formula>
    </cfRule>
    <cfRule type="cellIs" dxfId="13763" priority="18972" operator="greaterThan">
      <formula>1</formula>
    </cfRule>
    <cfRule type="cellIs" dxfId="13762" priority="18973" operator="between">
      <formula>0.95</formula>
      <formula>1</formula>
    </cfRule>
    <cfRule type="cellIs" dxfId="13761" priority="18974" stopIfTrue="1" operator="between">
      <formula>0</formula>
      <formula>0.5</formula>
    </cfRule>
  </conditionalFormatting>
  <conditionalFormatting sqref="AF70">
    <cfRule type="cellIs" dxfId="13760" priority="18965" operator="between">
      <formula>0.76</formula>
      <formula>0.95</formula>
    </cfRule>
    <cfRule type="cellIs" dxfId="13759" priority="18966" operator="between">
      <formula>0.51</formula>
      <formula>0.75</formula>
    </cfRule>
    <cfRule type="cellIs" dxfId="13758" priority="18967" operator="greaterThan">
      <formula>1</formula>
    </cfRule>
    <cfRule type="cellIs" dxfId="13757" priority="18968" operator="between">
      <formula>0.95</formula>
      <formula>1</formula>
    </cfRule>
    <cfRule type="cellIs" dxfId="13756" priority="18969" stopIfTrue="1" operator="between">
      <formula>0</formula>
      <formula>0.5</formula>
    </cfRule>
  </conditionalFormatting>
  <conditionalFormatting sqref="AF71">
    <cfRule type="cellIs" dxfId="13755" priority="18960" operator="between">
      <formula>0.76</formula>
      <formula>0.95</formula>
    </cfRule>
    <cfRule type="cellIs" dxfId="13754" priority="18961" operator="between">
      <formula>0.51</formula>
      <formula>0.75</formula>
    </cfRule>
    <cfRule type="cellIs" dxfId="13753" priority="18962" operator="greaterThan">
      <formula>1</formula>
    </cfRule>
    <cfRule type="cellIs" dxfId="13752" priority="18963" operator="between">
      <formula>0.95</formula>
      <formula>1</formula>
    </cfRule>
    <cfRule type="cellIs" dxfId="13751" priority="18964" stopIfTrue="1" operator="between">
      <formula>0</formula>
      <formula>0.5</formula>
    </cfRule>
  </conditionalFormatting>
  <conditionalFormatting sqref="AF72">
    <cfRule type="cellIs" dxfId="13750" priority="18955" operator="between">
      <formula>0.76</formula>
      <formula>0.95</formula>
    </cfRule>
    <cfRule type="cellIs" dxfId="13749" priority="18956" operator="between">
      <formula>0.51</formula>
      <formula>0.75</formula>
    </cfRule>
    <cfRule type="cellIs" dxfId="13748" priority="18957" operator="greaterThan">
      <formula>1</formula>
    </cfRule>
    <cfRule type="cellIs" dxfId="13747" priority="18958" operator="between">
      <formula>0.95</formula>
      <formula>1</formula>
    </cfRule>
    <cfRule type="cellIs" dxfId="13746" priority="18959" stopIfTrue="1" operator="between">
      <formula>0</formula>
      <formula>0.5</formula>
    </cfRule>
  </conditionalFormatting>
  <conditionalFormatting sqref="AF73">
    <cfRule type="cellIs" dxfId="13745" priority="18950" operator="between">
      <formula>0.76</formula>
      <formula>0.95</formula>
    </cfRule>
    <cfRule type="cellIs" dxfId="13744" priority="18951" operator="between">
      <formula>0.51</formula>
      <formula>0.75</formula>
    </cfRule>
    <cfRule type="cellIs" dxfId="13743" priority="18952" operator="greaterThan">
      <formula>1</formula>
    </cfRule>
    <cfRule type="cellIs" dxfId="13742" priority="18953" operator="between">
      <formula>0.95</formula>
      <formula>1</formula>
    </cfRule>
    <cfRule type="cellIs" dxfId="13741" priority="18954" stopIfTrue="1" operator="between">
      <formula>0</formula>
      <formula>0.5</formula>
    </cfRule>
  </conditionalFormatting>
  <conditionalFormatting sqref="AF74">
    <cfRule type="cellIs" dxfId="13740" priority="18945" operator="between">
      <formula>0.76</formula>
      <formula>0.95</formula>
    </cfRule>
    <cfRule type="cellIs" dxfId="13739" priority="18946" operator="between">
      <formula>0.51</formula>
      <formula>0.75</formula>
    </cfRule>
    <cfRule type="cellIs" dxfId="13738" priority="18947" operator="greaterThan">
      <formula>1</formula>
    </cfRule>
    <cfRule type="cellIs" dxfId="13737" priority="18948" operator="between">
      <formula>0.95</formula>
      <formula>1</formula>
    </cfRule>
    <cfRule type="cellIs" dxfId="13736" priority="18949" stopIfTrue="1" operator="between">
      <formula>0</formula>
      <formula>0.5</formula>
    </cfRule>
  </conditionalFormatting>
  <conditionalFormatting sqref="AF75">
    <cfRule type="cellIs" dxfId="13735" priority="18940" operator="between">
      <formula>0.76</formula>
      <formula>0.95</formula>
    </cfRule>
    <cfRule type="cellIs" dxfId="13734" priority="18941" operator="between">
      <formula>0.51</formula>
      <formula>0.75</formula>
    </cfRule>
    <cfRule type="cellIs" dxfId="13733" priority="18942" operator="greaterThan">
      <formula>1</formula>
    </cfRule>
    <cfRule type="cellIs" dxfId="13732" priority="18943" operator="between">
      <formula>0.95</formula>
      <formula>1</formula>
    </cfRule>
    <cfRule type="cellIs" dxfId="13731" priority="18944" stopIfTrue="1" operator="between">
      <formula>0</formula>
      <formula>0.5</formula>
    </cfRule>
  </conditionalFormatting>
  <conditionalFormatting sqref="AF76">
    <cfRule type="cellIs" dxfId="13730" priority="18935" operator="between">
      <formula>0.76</formula>
      <formula>0.95</formula>
    </cfRule>
    <cfRule type="cellIs" dxfId="13729" priority="18936" operator="between">
      <formula>0.51</formula>
      <formula>0.75</formula>
    </cfRule>
    <cfRule type="cellIs" dxfId="13728" priority="18937" operator="greaterThan">
      <formula>1</formula>
    </cfRule>
    <cfRule type="cellIs" dxfId="13727" priority="18938" operator="between">
      <formula>0.95</formula>
      <formula>1</formula>
    </cfRule>
    <cfRule type="cellIs" dxfId="13726" priority="18939" stopIfTrue="1" operator="between">
      <formula>0</formula>
      <formula>0.5</formula>
    </cfRule>
  </conditionalFormatting>
  <conditionalFormatting sqref="AF77">
    <cfRule type="cellIs" dxfId="13725" priority="18930" operator="between">
      <formula>0.76</formula>
      <formula>0.95</formula>
    </cfRule>
    <cfRule type="cellIs" dxfId="13724" priority="18931" operator="between">
      <formula>0.51</formula>
      <formula>0.75</formula>
    </cfRule>
    <cfRule type="cellIs" dxfId="13723" priority="18932" operator="greaterThan">
      <formula>1</formula>
    </cfRule>
    <cfRule type="cellIs" dxfId="13722" priority="18933" operator="between">
      <formula>0.95</formula>
      <formula>1</formula>
    </cfRule>
    <cfRule type="cellIs" dxfId="13721" priority="18934" stopIfTrue="1" operator="between">
      <formula>0</formula>
      <formula>0.5</formula>
    </cfRule>
  </conditionalFormatting>
  <conditionalFormatting sqref="AF83">
    <cfRule type="cellIs" dxfId="13720" priority="18925" operator="between">
      <formula>0.76</formula>
      <formula>0.95</formula>
    </cfRule>
    <cfRule type="cellIs" dxfId="13719" priority="18926" operator="between">
      <formula>0.51</formula>
      <formula>0.75</formula>
    </cfRule>
    <cfRule type="cellIs" dxfId="13718" priority="18927" operator="greaterThan">
      <formula>1</formula>
    </cfRule>
    <cfRule type="cellIs" dxfId="13717" priority="18928" operator="between">
      <formula>0.95</formula>
      <formula>1</formula>
    </cfRule>
    <cfRule type="cellIs" dxfId="13716" priority="18929" stopIfTrue="1" operator="between">
      <formula>0</formula>
      <formula>0.5</formula>
    </cfRule>
  </conditionalFormatting>
  <conditionalFormatting sqref="AF84">
    <cfRule type="cellIs" dxfId="13715" priority="18920" operator="between">
      <formula>0.76</formula>
      <formula>0.95</formula>
    </cfRule>
    <cfRule type="cellIs" dxfId="13714" priority="18921" operator="between">
      <formula>0.51</formula>
      <formula>0.75</formula>
    </cfRule>
    <cfRule type="cellIs" dxfId="13713" priority="18922" operator="greaterThan">
      <formula>1</formula>
    </cfRule>
    <cfRule type="cellIs" dxfId="13712" priority="18923" operator="between">
      <formula>0.95</formula>
      <formula>1</formula>
    </cfRule>
    <cfRule type="cellIs" dxfId="13711" priority="18924" stopIfTrue="1" operator="between">
      <formula>0</formula>
      <formula>0.5</formula>
    </cfRule>
  </conditionalFormatting>
  <conditionalFormatting sqref="AF85">
    <cfRule type="cellIs" dxfId="13710" priority="18915" operator="between">
      <formula>0.76</formula>
      <formula>0.95</formula>
    </cfRule>
    <cfRule type="cellIs" dxfId="13709" priority="18916" operator="between">
      <formula>0.51</formula>
      <formula>0.75</formula>
    </cfRule>
    <cfRule type="cellIs" dxfId="13708" priority="18917" operator="greaterThan">
      <formula>1</formula>
    </cfRule>
    <cfRule type="cellIs" dxfId="13707" priority="18918" operator="between">
      <formula>0.95</formula>
      <formula>1</formula>
    </cfRule>
    <cfRule type="cellIs" dxfId="13706" priority="18919" stopIfTrue="1" operator="between">
      <formula>0</formula>
      <formula>0.5</formula>
    </cfRule>
  </conditionalFormatting>
  <conditionalFormatting sqref="AF86">
    <cfRule type="cellIs" dxfId="13705" priority="18910" operator="between">
      <formula>0.76</formula>
      <formula>0.95</formula>
    </cfRule>
    <cfRule type="cellIs" dxfId="13704" priority="18911" operator="between">
      <formula>0.51</formula>
      <formula>0.75</formula>
    </cfRule>
    <cfRule type="cellIs" dxfId="13703" priority="18912" operator="greaterThan">
      <formula>1</formula>
    </cfRule>
    <cfRule type="cellIs" dxfId="13702" priority="18913" operator="between">
      <formula>0.95</formula>
      <formula>1</formula>
    </cfRule>
    <cfRule type="cellIs" dxfId="13701" priority="18914" stopIfTrue="1" operator="between">
      <formula>0</formula>
      <formula>0.5</formula>
    </cfRule>
  </conditionalFormatting>
  <conditionalFormatting sqref="AF89">
    <cfRule type="cellIs" dxfId="13700" priority="18905" operator="between">
      <formula>0.76</formula>
      <formula>0.95</formula>
    </cfRule>
    <cfRule type="cellIs" dxfId="13699" priority="18906" operator="between">
      <formula>0.51</formula>
      <formula>0.75</formula>
    </cfRule>
    <cfRule type="cellIs" dxfId="13698" priority="18907" operator="greaterThan">
      <formula>1</formula>
    </cfRule>
    <cfRule type="cellIs" dxfId="13697" priority="18908" operator="between">
      <formula>0.95</formula>
      <formula>1</formula>
    </cfRule>
    <cfRule type="cellIs" dxfId="13696" priority="18909" stopIfTrue="1" operator="between">
      <formula>0</formula>
      <formula>0.5</formula>
    </cfRule>
  </conditionalFormatting>
  <conditionalFormatting sqref="AF90">
    <cfRule type="cellIs" dxfId="13695" priority="18900" operator="between">
      <formula>0.76</formula>
      <formula>0.95</formula>
    </cfRule>
    <cfRule type="cellIs" dxfId="13694" priority="18901" operator="between">
      <formula>0.51</formula>
      <formula>0.75</formula>
    </cfRule>
    <cfRule type="cellIs" dxfId="13693" priority="18902" operator="greaterThan">
      <formula>1</formula>
    </cfRule>
    <cfRule type="cellIs" dxfId="13692" priority="18903" operator="between">
      <formula>0.95</formula>
      <formula>1</formula>
    </cfRule>
    <cfRule type="cellIs" dxfId="13691" priority="18904" stopIfTrue="1" operator="between">
      <formula>0</formula>
      <formula>0.5</formula>
    </cfRule>
  </conditionalFormatting>
  <conditionalFormatting sqref="AF91">
    <cfRule type="cellIs" dxfId="13690" priority="18890" operator="between">
      <formula>0.76</formula>
      <formula>0.95</formula>
    </cfRule>
    <cfRule type="cellIs" dxfId="13689" priority="18891" operator="between">
      <formula>0.51</formula>
      <formula>0.75</formula>
    </cfRule>
    <cfRule type="cellIs" dxfId="13688" priority="18892" operator="greaterThan">
      <formula>1</formula>
    </cfRule>
    <cfRule type="cellIs" dxfId="13687" priority="18893" operator="between">
      <formula>0.95</formula>
      <formula>1</formula>
    </cfRule>
    <cfRule type="cellIs" dxfId="13686" priority="18894" stopIfTrue="1" operator="between">
      <formula>0</formula>
      <formula>0.5</formula>
    </cfRule>
  </conditionalFormatting>
  <conditionalFormatting sqref="AF92">
    <cfRule type="cellIs" dxfId="13685" priority="18885" operator="between">
      <formula>0.76</formula>
      <formula>0.95</formula>
    </cfRule>
    <cfRule type="cellIs" dxfId="13684" priority="18886" operator="between">
      <formula>0.51</formula>
      <formula>0.75</formula>
    </cfRule>
    <cfRule type="cellIs" dxfId="13683" priority="18887" operator="greaterThan">
      <formula>1</formula>
    </cfRule>
    <cfRule type="cellIs" dxfId="13682" priority="18888" operator="between">
      <formula>0.95</formula>
      <formula>1</formula>
    </cfRule>
    <cfRule type="cellIs" dxfId="13681" priority="18889" stopIfTrue="1" operator="between">
      <formula>0</formula>
      <formula>0.5</formula>
    </cfRule>
  </conditionalFormatting>
  <conditionalFormatting sqref="AF93">
    <cfRule type="cellIs" dxfId="13680" priority="18880" operator="between">
      <formula>0.76</formula>
      <formula>0.95</formula>
    </cfRule>
    <cfRule type="cellIs" dxfId="13679" priority="18881" operator="between">
      <formula>0.51</formula>
      <formula>0.75</formula>
    </cfRule>
    <cfRule type="cellIs" dxfId="13678" priority="18882" operator="greaterThan">
      <formula>1</formula>
    </cfRule>
    <cfRule type="cellIs" dxfId="13677" priority="18883" operator="between">
      <formula>0.95</formula>
      <formula>1</formula>
    </cfRule>
    <cfRule type="cellIs" dxfId="13676" priority="18884" stopIfTrue="1" operator="between">
      <formula>0</formula>
      <formula>0.5</formula>
    </cfRule>
  </conditionalFormatting>
  <conditionalFormatting sqref="AF94">
    <cfRule type="cellIs" dxfId="13675" priority="18875" operator="between">
      <formula>0.76</formula>
      <formula>0.95</formula>
    </cfRule>
    <cfRule type="cellIs" dxfId="13674" priority="18876" operator="between">
      <formula>0.51</formula>
      <formula>0.75</formula>
    </cfRule>
    <cfRule type="cellIs" dxfId="13673" priority="18877" operator="greaterThan">
      <formula>1</formula>
    </cfRule>
    <cfRule type="cellIs" dxfId="13672" priority="18878" operator="between">
      <formula>0.95</formula>
      <formula>1</formula>
    </cfRule>
    <cfRule type="cellIs" dxfId="13671" priority="18879" stopIfTrue="1" operator="between">
      <formula>0</formula>
      <formula>0.5</formula>
    </cfRule>
  </conditionalFormatting>
  <conditionalFormatting sqref="AF99">
    <cfRule type="cellIs" dxfId="13670" priority="18870" operator="between">
      <formula>0.76</formula>
      <formula>0.95</formula>
    </cfRule>
    <cfRule type="cellIs" dxfId="13669" priority="18871" operator="between">
      <formula>0.51</formula>
      <formula>0.75</formula>
    </cfRule>
    <cfRule type="cellIs" dxfId="13668" priority="18872" operator="greaterThan">
      <formula>1</formula>
    </cfRule>
    <cfRule type="cellIs" dxfId="13667" priority="18873" operator="between">
      <formula>0.95</formula>
      <formula>1</formula>
    </cfRule>
    <cfRule type="cellIs" dxfId="13666" priority="18874" stopIfTrue="1" operator="between">
      <formula>0</formula>
      <formula>0.5</formula>
    </cfRule>
  </conditionalFormatting>
  <conditionalFormatting sqref="AF102">
    <cfRule type="cellIs" dxfId="13665" priority="18865" operator="between">
      <formula>0.76</formula>
      <formula>0.95</formula>
    </cfRule>
    <cfRule type="cellIs" dxfId="13664" priority="18866" operator="between">
      <formula>0.51</formula>
      <formula>0.75</formula>
    </cfRule>
    <cfRule type="cellIs" dxfId="13663" priority="18867" operator="greaterThan">
      <formula>1</formula>
    </cfRule>
    <cfRule type="cellIs" dxfId="13662" priority="18868" operator="between">
      <formula>0.95</formula>
      <formula>1</formula>
    </cfRule>
    <cfRule type="cellIs" dxfId="13661" priority="18869" stopIfTrue="1" operator="between">
      <formula>0</formula>
      <formula>0.5</formula>
    </cfRule>
  </conditionalFormatting>
  <conditionalFormatting sqref="AF103">
    <cfRule type="cellIs" dxfId="13660" priority="18860" operator="between">
      <formula>0.76</formula>
      <formula>0.95</formula>
    </cfRule>
    <cfRule type="cellIs" dxfId="13659" priority="18861" operator="between">
      <formula>0.51</formula>
      <formula>0.75</formula>
    </cfRule>
    <cfRule type="cellIs" dxfId="13658" priority="18862" operator="greaterThan">
      <formula>1</formula>
    </cfRule>
    <cfRule type="cellIs" dxfId="13657" priority="18863" operator="between">
      <formula>0.95</formula>
      <formula>1</formula>
    </cfRule>
    <cfRule type="cellIs" dxfId="13656" priority="18864" stopIfTrue="1" operator="between">
      <formula>0</formula>
      <formula>0.5</formula>
    </cfRule>
  </conditionalFormatting>
  <conditionalFormatting sqref="AF107">
    <cfRule type="cellIs" dxfId="13655" priority="18855" operator="between">
      <formula>0.76</formula>
      <formula>0.95</formula>
    </cfRule>
    <cfRule type="cellIs" dxfId="13654" priority="18856" operator="between">
      <formula>0.51</formula>
      <formula>0.75</formula>
    </cfRule>
    <cfRule type="cellIs" dxfId="13653" priority="18857" operator="greaterThan">
      <formula>1</formula>
    </cfRule>
    <cfRule type="cellIs" dxfId="13652" priority="18858" operator="between">
      <formula>0.95</formula>
      <formula>1</formula>
    </cfRule>
    <cfRule type="cellIs" dxfId="13651" priority="18859" stopIfTrue="1" operator="between">
      <formula>0</formula>
      <formula>0.5</formula>
    </cfRule>
  </conditionalFormatting>
  <conditionalFormatting sqref="AF108">
    <cfRule type="cellIs" dxfId="13650" priority="18850" operator="between">
      <formula>0.76</formula>
      <formula>0.95</formula>
    </cfRule>
    <cfRule type="cellIs" dxfId="13649" priority="18851" operator="between">
      <formula>0.51</formula>
      <formula>0.75</formula>
    </cfRule>
    <cfRule type="cellIs" dxfId="13648" priority="18852" operator="greaterThan">
      <formula>1</formula>
    </cfRule>
    <cfRule type="cellIs" dxfId="13647" priority="18853" operator="between">
      <formula>0.95</formula>
      <formula>1</formula>
    </cfRule>
    <cfRule type="cellIs" dxfId="13646" priority="18854" stopIfTrue="1" operator="between">
      <formula>0</formula>
      <formula>0.5</formula>
    </cfRule>
  </conditionalFormatting>
  <conditionalFormatting sqref="AF109">
    <cfRule type="cellIs" dxfId="13645" priority="18845" operator="between">
      <formula>0.76</formula>
      <formula>0.95</formula>
    </cfRule>
    <cfRule type="cellIs" dxfId="13644" priority="18846" operator="between">
      <formula>0.51</formula>
      <formula>0.75</formula>
    </cfRule>
    <cfRule type="cellIs" dxfId="13643" priority="18847" operator="greaterThan">
      <formula>1</formula>
    </cfRule>
    <cfRule type="cellIs" dxfId="13642" priority="18848" operator="between">
      <formula>0.95</formula>
      <formula>1</formula>
    </cfRule>
    <cfRule type="cellIs" dxfId="13641" priority="18849" stopIfTrue="1" operator="between">
      <formula>0</formula>
      <formula>0.5</formula>
    </cfRule>
  </conditionalFormatting>
  <conditionalFormatting sqref="AF110">
    <cfRule type="cellIs" dxfId="13640" priority="18840" operator="between">
      <formula>0.76</formula>
      <formula>0.95</formula>
    </cfRule>
    <cfRule type="cellIs" dxfId="13639" priority="18841" operator="between">
      <formula>0.51</formula>
      <formula>0.75</formula>
    </cfRule>
    <cfRule type="cellIs" dxfId="13638" priority="18842" operator="greaterThan">
      <formula>1</formula>
    </cfRule>
    <cfRule type="cellIs" dxfId="13637" priority="18843" operator="between">
      <formula>0.95</formula>
      <formula>1</formula>
    </cfRule>
    <cfRule type="cellIs" dxfId="13636" priority="18844" stopIfTrue="1" operator="between">
      <formula>0</formula>
      <formula>0.5</formula>
    </cfRule>
  </conditionalFormatting>
  <conditionalFormatting sqref="AF112">
    <cfRule type="cellIs" dxfId="13635" priority="18835" operator="between">
      <formula>0.76</formula>
      <formula>0.95</formula>
    </cfRule>
    <cfRule type="cellIs" dxfId="13634" priority="18836" operator="between">
      <formula>0.51</formula>
      <formula>0.75</formula>
    </cfRule>
    <cfRule type="cellIs" dxfId="13633" priority="18837" operator="greaterThan">
      <formula>1</formula>
    </cfRule>
    <cfRule type="cellIs" dxfId="13632" priority="18838" operator="between">
      <formula>0.95</formula>
      <formula>1</formula>
    </cfRule>
    <cfRule type="cellIs" dxfId="13631" priority="18839" stopIfTrue="1" operator="between">
      <formula>0</formula>
      <formula>0.5</formula>
    </cfRule>
  </conditionalFormatting>
  <conditionalFormatting sqref="AF113">
    <cfRule type="cellIs" dxfId="13630" priority="18825" operator="between">
      <formula>0.76</formula>
      <formula>0.95</formula>
    </cfRule>
    <cfRule type="cellIs" dxfId="13629" priority="18826" operator="between">
      <formula>0.51</formula>
      <formula>0.75</formula>
    </cfRule>
    <cfRule type="cellIs" dxfId="13628" priority="18827" operator="greaterThan">
      <formula>1</formula>
    </cfRule>
    <cfRule type="cellIs" dxfId="13627" priority="18828" operator="between">
      <formula>0.95</formula>
      <formula>1</formula>
    </cfRule>
    <cfRule type="cellIs" dxfId="13626" priority="18829" stopIfTrue="1" operator="between">
      <formula>0</formula>
      <formula>0.5</formula>
    </cfRule>
  </conditionalFormatting>
  <conditionalFormatting sqref="AF116">
    <cfRule type="cellIs" dxfId="13625" priority="18815" operator="between">
      <formula>0.76</formula>
      <formula>0.95</formula>
    </cfRule>
    <cfRule type="cellIs" dxfId="13624" priority="18816" operator="between">
      <formula>0.51</formula>
      <formula>0.75</formula>
    </cfRule>
    <cfRule type="cellIs" dxfId="13623" priority="18817" operator="greaterThan">
      <formula>1</formula>
    </cfRule>
    <cfRule type="cellIs" dxfId="13622" priority="18818" operator="between">
      <formula>0.95</formula>
      <formula>1</formula>
    </cfRule>
    <cfRule type="cellIs" dxfId="13621" priority="18819" stopIfTrue="1" operator="between">
      <formula>0</formula>
      <formula>0.5</formula>
    </cfRule>
  </conditionalFormatting>
  <conditionalFormatting sqref="AF118">
    <cfRule type="cellIs" dxfId="13620" priority="18805" operator="between">
      <formula>0.76</formula>
      <formula>0.95</formula>
    </cfRule>
    <cfRule type="cellIs" dxfId="13619" priority="18806" operator="between">
      <formula>0.51</formula>
      <formula>0.75</formula>
    </cfRule>
    <cfRule type="cellIs" dxfId="13618" priority="18807" operator="greaterThan">
      <formula>1</formula>
    </cfRule>
    <cfRule type="cellIs" dxfId="13617" priority="18808" operator="between">
      <formula>0.95</formula>
      <formula>1</formula>
    </cfRule>
    <cfRule type="cellIs" dxfId="13616" priority="18809" stopIfTrue="1" operator="between">
      <formula>0</formula>
      <formula>0.5</formula>
    </cfRule>
  </conditionalFormatting>
  <conditionalFormatting sqref="AF120">
    <cfRule type="cellIs" dxfId="13615" priority="18795" operator="between">
      <formula>0.76</formula>
      <formula>0.95</formula>
    </cfRule>
    <cfRule type="cellIs" dxfId="13614" priority="18796" operator="between">
      <formula>0.51</formula>
      <formula>0.75</formula>
    </cfRule>
    <cfRule type="cellIs" dxfId="13613" priority="18797" operator="greaterThan">
      <formula>1</formula>
    </cfRule>
    <cfRule type="cellIs" dxfId="13612" priority="18798" operator="between">
      <formula>0.95</formula>
      <formula>1</formula>
    </cfRule>
    <cfRule type="cellIs" dxfId="13611" priority="18799" stopIfTrue="1" operator="between">
      <formula>0</formula>
      <formula>0.5</formula>
    </cfRule>
  </conditionalFormatting>
  <conditionalFormatting sqref="AF121">
    <cfRule type="cellIs" dxfId="13610" priority="18790" operator="between">
      <formula>0.76</formula>
      <formula>0.95</formula>
    </cfRule>
    <cfRule type="cellIs" dxfId="13609" priority="18791" operator="between">
      <formula>0.51</formula>
      <formula>0.75</formula>
    </cfRule>
    <cfRule type="cellIs" dxfId="13608" priority="18792" operator="greaterThan">
      <formula>1</formula>
    </cfRule>
    <cfRule type="cellIs" dxfId="13607" priority="18793" operator="between">
      <formula>0.95</formula>
      <formula>1</formula>
    </cfRule>
    <cfRule type="cellIs" dxfId="13606" priority="18794" stopIfTrue="1" operator="between">
      <formula>0</formula>
      <formula>0.5</formula>
    </cfRule>
  </conditionalFormatting>
  <conditionalFormatting sqref="AF122">
    <cfRule type="cellIs" dxfId="13605" priority="18785" operator="between">
      <formula>0.76</formula>
      <formula>0.95</formula>
    </cfRule>
    <cfRule type="cellIs" dxfId="13604" priority="18786" operator="between">
      <formula>0.51</formula>
      <formula>0.75</formula>
    </cfRule>
    <cfRule type="cellIs" dxfId="13603" priority="18787" operator="greaterThan">
      <formula>1</formula>
    </cfRule>
    <cfRule type="cellIs" dxfId="13602" priority="18788" operator="between">
      <formula>0.95</formula>
      <formula>1</formula>
    </cfRule>
    <cfRule type="cellIs" dxfId="13601" priority="18789" stopIfTrue="1" operator="between">
      <formula>0</formula>
      <formula>0.5</formula>
    </cfRule>
  </conditionalFormatting>
  <conditionalFormatting sqref="AF123">
    <cfRule type="cellIs" dxfId="13600" priority="18780" operator="between">
      <formula>0.76</formula>
      <formula>0.95</formula>
    </cfRule>
    <cfRule type="cellIs" dxfId="13599" priority="18781" operator="between">
      <formula>0.51</formula>
      <formula>0.75</formula>
    </cfRule>
    <cfRule type="cellIs" dxfId="13598" priority="18782" operator="greaterThan">
      <formula>1</formula>
    </cfRule>
    <cfRule type="cellIs" dxfId="13597" priority="18783" operator="between">
      <formula>0.95</formula>
      <formula>1</formula>
    </cfRule>
    <cfRule type="cellIs" dxfId="13596" priority="18784" stopIfTrue="1" operator="between">
      <formula>0</formula>
      <formula>0.5</formula>
    </cfRule>
  </conditionalFormatting>
  <conditionalFormatting sqref="AF124">
    <cfRule type="cellIs" dxfId="13595" priority="18775" operator="between">
      <formula>0.76</formula>
      <formula>0.95</formula>
    </cfRule>
    <cfRule type="cellIs" dxfId="13594" priority="18776" operator="between">
      <formula>0.51</formula>
      <formula>0.75</formula>
    </cfRule>
    <cfRule type="cellIs" dxfId="13593" priority="18777" operator="greaterThan">
      <formula>1</formula>
    </cfRule>
    <cfRule type="cellIs" dxfId="13592" priority="18778" operator="between">
      <formula>0.95</formula>
      <formula>1</formula>
    </cfRule>
    <cfRule type="cellIs" dxfId="13591" priority="18779" stopIfTrue="1" operator="between">
      <formula>0</formula>
      <formula>0.5</formula>
    </cfRule>
  </conditionalFormatting>
  <conditionalFormatting sqref="AF144">
    <cfRule type="cellIs" dxfId="13590" priority="18770" operator="between">
      <formula>0.76</formula>
      <formula>0.95</formula>
    </cfRule>
    <cfRule type="cellIs" dxfId="13589" priority="18771" operator="between">
      <formula>0.51</formula>
      <formula>0.75</formula>
    </cfRule>
    <cfRule type="cellIs" dxfId="13588" priority="18772" operator="greaterThan">
      <formula>1</formula>
    </cfRule>
    <cfRule type="cellIs" dxfId="13587" priority="18773" operator="between">
      <formula>0.95</formula>
      <formula>1</formula>
    </cfRule>
    <cfRule type="cellIs" dxfId="13586" priority="18774" stopIfTrue="1" operator="between">
      <formula>0</formula>
      <formula>0.5</formula>
    </cfRule>
  </conditionalFormatting>
  <conditionalFormatting sqref="AF152">
    <cfRule type="cellIs" dxfId="13585" priority="18760" operator="between">
      <formula>0.76</formula>
      <formula>0.95</formula>
    </cfRule>
    <cfRule type="cellIs" dxfId="13584" priority="18761" operator="between">
      <formula>0.51</formula>
      <formula>0.75</formula>
    </cfRule>
    <cfRule type="cellIs" dxfId="13583" priority="18762" operator="greaterThan">
      <formula>1</formula>
    </cfRule>
    <cfRule type="cellIs" dxfId="13582" priority="18763" operator="between">
      <formula>0.95</formula>
      <formula>1</formula>
    </cfRule>
    <cfRule type="cellIs" dxfId="13581" priority="18764" stopIfTrue="1" operator="between">
      <formula>0</formula>
      <formula>0.5</formula>
    </cfRule>
  </conditionalFormatting>
  <conditionalFormatting sqref="AF155">
    <cfRule type="cellIs" dxfId="13580" priority="18750" operator="between">
      <formula>0.76</formula>
      <formula>0.95</formula>
    </cfRule>
    <cfRule type="cellIs" dxfId="13579" priority="18751" operator="between">
      <formula>0.51</formula>
      <formula>0.75</formula>
    </cfRule>
    <cfRule type="cellIs" dxfId="13578" priority="18752" operator="greaterThan">
      <formula>1</formula>
    </cfRule>
    <cfRule type="cellIs" dxfId="13577" priority="18753" operator="between">
      <formula>0.95</formula>
      <formula>1</formula>
    </cfRule>
    <cfRule type="cellIs" dxfId="13576" priority="18754" stopIfTrue="1" operator="between">
      <formula>0</formula>
      <formula>0.5</formula>
    </cfRule>
  </conditionalFormatting>
  <conditionalFormatting sqref="AF151">
    <cfRule type="cellIs" dxfId="13575" priority="18745" operator="between">
      <formula>0.76</formula>
      <formula>0.95</formula>
    </cfRule>
    <cfRule type="cellIs" dxfId="13574" priority="18746" operator="between">
      <formula>0.51</formula>
      <formula>0.75</formula>
    </cfRule>
    <cfRule type="cellIs" dxfId="13573" priority="18747" operator="greaterThan">
      <formula>1</formula>
    </cfRule>
    <cfRule type="cellIs" dxfId="13572" priority="18748" operator="between">
      <formula>0.95</formula>
      <formula>1</formula>
    </cfRule>
    <cfRule type="cellIs" dxfId="13571" priority="18749" stopIfTrue="1" operator="between">
      <formula>0</formula>
      <formula>0.5</formula>
    </cfRule>
  </conditionalFormatting>
  <conditionalFormatting sqref="AF166">
    <cfRule type="cellIs" dxfId="13570" priority="18740" operator="between">
      <formula>0.76</formula>
      <formula>0.95</formula>
    </cfRule>
    <cfRule type="cellIs" dxfId="13569" priority="18741" operator="between">
      <formula>0.51</formula>
      <formula>0.75</formula>
    </cfRule>
    <cfRule type="cellIs" dxfId="13568" priority="18742" operator="greaterThan">
      <formula>1</formula>
    </cfRule>
    <cfRule type="cellIs" dxfId="13567" priority="18743" operator="between">
      <formula>0.95</formula>
      <formula>1</formula>
    </cfRule>
    <cfRule type="cellIs" dxfId="13566" priority="18744" stopIfTrue="1" operator="between">
      <formula>0</formula>
      <formula>0.5</formula>
    </cfRule>
  </conditionalFormatting>
  <conditionalFormatting sqref="AF177">
    <cfRule type="cellIs" dxfId="13565" priority="18735" operator="between">
      <formula>0.76</formula>
      <formula>0.95</formula>
    </cfRule>
    <cfRule type="cellIs" dxfId="13564" priority="18736" operator="between">
      <formula>0.51</formula>
      <formula>0.75</formula>
    </cfRule>
    <cfRule type="cellIs" dxfId="13563" priority="18737" operator="greaterThan">
      <formula>1</formula>
    </cfRule>
    <cfRule type="cellIs" dxfId="13562" priority="18738" operator="between">
      <formula>0.95</formula>
      <formula>1</formula>
    </cfRule>
    <cfRule type="cellIs" dxfId="13561" priority="18739" stopIfTrue="1" operator="between">
      <formula>0</formula>
      <formula>0.5</formula>
    </cfRule>
  </conditionalFormatting>
  <conditionalFormatting sqref="AF183">
    <cfRule type="cellIs" dxfId="13560" priority="18730" operator="between">
      <formula>0.76</formula>
      <formula>0.95</formula>
    </cfRule>
    <cfRule type="cellIs" dxfId="13559" priority="18731" operator="between">
      <formula>0.51</formula>
      <formula>0.75</formula>
    </cfRule>
    <cfRule type="cellIs" dxfId="13558" priority="18732" operator="greaterThan">
      <formula>1</formula>
    </cfRule>
    <cfRule type="cellIs" dxfId="13557" priority="18733" operator="between">
      <formula>0.95</formula>
      <formula>1</formula>
    </cfRule>
    <cfRule type="cellIs" dxfId="13556" priority="18734" stopIfTrue="1" operator="between">
      <formula>0</formula>
      <formula>0.5</formula>
    </cfRule>
  </conditionalFormatting>
  <conditionalFormatting sqref="AF184">
    <cfRule type="cellIs" dxfId="13555" priority="18725" operator="between">
      <formula>0.76</formula>
      <formula>0.95</formula>
    </cfRule>
    <cfRule type="cellIs" dxfId="13554" priority="18726" operator="between">
      <formula>0.51</formula>
      <formula>0.75</formula>
    </cfRule>
    <cfRule type="cellIs" dxfId="13553" priority="18727" operator="greaterThan">
      <formula>1</formula>
    </cfRule>
    <cfRule type="cellIs" dxfId="13552" priority="18728" operator="between">
      <formula>0.95</formula>
      <formula>1</formula>
    </cfRule>
    <cfRule type="cellIs" dxfId="13551" priority="18729" stopIfTrue="1" operator="between">
      <formula>0</formula>
      <formula>0.5</formula>
    </cfRule>
  </conditionalFormatting>
  <conditionalFormatting sqref="AF185">
    <cfRule type="cellIs" dxfId="13550" priority="18720" operator="between">
      <formula>0.76</formula>
      <formula>0.95</formula>
    </cfRule>
    <cfRule type="cellIs" dxfId="13549" priority="18721" operator="between">
      <formula>0.51</formula>
      <formula>0.75</formula>
    </cfRule>
    <cfRule type="cellIs" dxfId="13548" priority="18722" operator="greaterThan">
      <formula>1</formula>
    </cfRule>
    <cfRule type="cellIs" dxfId="13547" priority="18723" operator="between">
      <formula>0.95</formula>
      <formula>1</formula>
    </cfRule>
    <cfRule type="cellIs" dxfId="13546" priority="18724" stopIfTrue="1" operator="between">
      <formula>0</formula>
      <formula>0.5</formula>
    </cfRule>
  </conditionalFormatting>
  <conditionalFormatting sqref="AF186">
    <cfRule type="cellIs" dxfId="13545" priority="18715" operator="between">
      <formula>0.76</formula>
      <formula>0.95</formula>
    </cfRule>
    <cfRule type="cellIs" dxfId="13544" priority="18716" operator="between">
      <formula>0.51</formula>
      <formula>0.75</formula>
    </cfRule>
    <cfRule type="cellIs" dxfId="13543" priority="18717" operator="greaterThan">
      <formula>1</formula>
    </cfRule>
    <cfRule type="cellIs" dxfId="13542" priority="18718" operator="between">
      <formula>0.95</formula>
      <formula>1</formula>
    </cfRule>
    <cfRule type="cellIs" dxfId="13541" priority="18719" stopIfTrue="1" operator="between">
      <formula>0</formula>
      <formula>0.5</formula>
    </cfRule>
  </conditionalFormatting>
  <conditionalFormatting sqref="AF187">
    <cfRule type="cellIs" dxfId="13540" priority="18710" operator="between">
      <formula>0.76</formula>
      <formula>0.95</formula>
    </cfRule>
    <cfRule type="cellIs" dxfId="13539" priority="18711" operator="between">
      <formula>0.51</formula>
      <formula>0.75</formula>
    </cfRule>
    <cfRule type="cellIs" dxfId="13538" priority="18712" operator="greaterThan">
      <formula>1</formula>
    </cfRule>
    <cfRule type="cellIs" dxfId="13537" priority="18713" operator="between">
      <formula>0.95</formula>
      <formula>1</formula>
    </cfRule>
    <cfRule type="cellIs" dxfId="13536" priority="18714" stopIfTrue="1" operator="between">
      <formula>0</formula>
      <formula>0.5</formula>
    </cfRule>
  </conditionalFormatting>
  <conditionalFormatting sqref="AF188">
    <cfRule type="cellIs" dxfId="13535" priority="18705" operator="between">
      <formula>0.76</formula>
      <formula>0.95</formula>
    </cfRule>
    <cfRule type="cellIs" dxfId="13534" priority="18706" operator="between">
      <formula>0.51</formula>
      <formula>0.75</formula>
    </cfRule>
    <cfRule type="cellIs" dxfId="13533" priority="18707" operator="greaterThan">
      <formula>1</formula>
    </cfRule>
    <cfRule type="cellIs" dxfId="13532" priority="18708" operator="between">
      <formula>0.95</formula>
      <formula>1</formula>
    </cfRule>
    <cfRule type="cellIs" dxfId="13531" priority="18709" stopIfTrue="1" operator="between">
      <formula>0</formula>
      <formula>0.5</formula>
    </cfRule>
  </conditionalFormatting>
  <conditionalFormatting sqref="AF189">
    <cfRule type="cellIs" dxfId="13530" priority="18700" operator="between">
      <formula>0.76</formula>
      <formula>0.95</formula>
    </cfRule>
    <cfRule type="cellIs" dxfId="13529" priority="18701" operator="between">
      <formula>0.51</formula>
      <formula>0.75</formula>
    </cfRule>
    <cfRule type="cellIs" dxfId="13528" priority="18702" operator="greaterThan">
      <formula>1</formula>
    </cfRule>
    <cfRule type="cellIs" dxfId="13527" priority="18703" operator="between">
      <formula>0.95</formula>
      <formula>1</formula>
    </cfRule>
    <cfRule type="cellIs" dxfId="13526" priority="18704" stopIfTrue="1" operator="between">
      <formula>0</formula>
      <formula>0.5</formula>
    </cfRule>
  </conditionalFormatting>
  <conditionalFormatting sqref="AF190">
    <cfRule type="cellIs" dxfId="13525" priority="18695" operator="between">
      <formula>0.76</formula>
      <formula>0.95</formula>
    </cfRule>
    <cfRule type="cellIs" dxfId="13524" priority="18696" operator="between">
      <formula>0.51</formula>
      <formula>0.75</formula>
    </cfRule>
    <cfRule type="cellIs" dxfId="13523" priority="18697" operator="greaterThan">
      <formula>1</formula>
    </cfRule>
    <cfRule type="cellIs" dxfId="13522" priority="18698" operator="between">
      <formula>0.95</formula>
      <formula>1</formula>
    </cfRule>
    <cfRule type="cellIs" dxfId="13521" priority="18699" stopIfTrue="1" operator="between">
      <formula>0</formula>
      <formula>0.5</formula>
    </cfRule>
  </conditionalFormatting>
  <conditionalFormatting sqref="AF191">
    <cfRule type="cellIs" dxfId="13520" priority="18690" operator="between">
      <formula>0.76</formula>
      <formula>0.95</formula>
    </cfRule>
    <cfRule type="cellIs" dxfId="13519" priority="18691" operator="between">
      <formula>0.51</formula>
      <formula>0.75</formula>
    </cfRule>
    <cfRule type="cellIs" dxfId="13518" priority="18692" operator="greaterThan">
      <formula>1</formula>
    </cfRule>
    <cfRule type="cellIs" dxfId="13517" priority="18693" operator="between">
      <formula>0.95</formula>
      <formula>1</formula>
    </cfRule>
    <cfRule type="cellIs" dxfId="13516" priority="18694" stopIfTrue="1" operator="between">
      <formula>0</formula>
      <formula>0.5</formula>
    </cfRule>
  </conditionalFormatting>
  <conditionalFormatting sqref="AF192">
    <cfRule type="cellIs" dxfId="13515" priority="18685" operator="between">
      <formula>0.76</formula>
      <formula>0.95</formula>
    </cfRule>
    <cfRule type="cellIs" dxfId="13514" priority="18686" operator="between">
      <formula>0.51</formula>
      <formula>0.75</formula>
    </cfRule>
    <cfRule type="cellIs" dxfId="13513" priority="18687" operator="greaterThan">
      <formula>1</formula>
    </cfRule>
    <cfRule type="cellIs" dxfId="13512" priority="18688" operator="between">
      <formula>0.95</formula>
      <formula>1</formula>
    </cfRule>
    <cfRule type="cellIs" dxfId="13511" priority="18689" stopIfTrue="1" operator="between">
      <formula>0</formula>
      <formula>0.5</formula>
    </cfRule>
  </conditionalFormatting>
  <conditionalFormatting sqref="AF193">
    <cfRule type="cellIs" dxfId="13510" priority="18680" operator="between">
      <formula>0.76</formula>
      <formula>0.95</formula>
    </cfRule>
    <cfRule type="cellIs" dxfId="13509" priority="18681" operator="between">
      <formula>0.51</formula>
      <formula>0.75</formula>
    </cfRule>
    <cfRule type="cellIs" dxfId="13508" priority="18682" operator="greaterThan">
      <formula>1</formula>
    </cfRule>
    <cfRule type="cellIs" dxfId="13507" priority="18683" operator="between">
      <formula>0.95</formula>
      <formula>1</formula>
    </cfRule>
    <cfRule type="cellIs" dxfId="13506" priority="18684" stopIfTrue="1" operator="between">
      <formula>0</formula>
      <formula>0.5</formula>
    </cfRule>
  </conditionalFormatting>
  <conditionalFormatting sqref="AF195">
    <cfRule type="cellIs" dxfId="13505" priority="18675" operator="between">
      <formula>0.76</formula>
      <formula>0.95</formula>
    </cfRule>
    <cfRule type="cellIs" dxfId="13504" priority="18676" operator="between">
      <formula>0.51</formula>
      <formula>0.75</formula>
    </cfRule>
    <cfRule type="cellIs" dxfId="13503" priority="18677" operator="greaterThan">
      <formula>1</formula>
    </cfRule>
    <cfRule type="cellIs" dxfId="13502" priority="18678" operator="between">
      <formula>0.95</formula>
      <formula>1</formula>
    </cfRule>
    <cfRule type="cellIs" dxfId="13501" priority="18679" stopIfTrue="1" operator="between">
      <formula>0</formula>
      <formula>0.5</formula>
    </cfRule>
  </conditionalFormatting>
  <conditionalFormatting sqref="AF196">
    <cfRule type="cellIs" dxfId="13500" priority="18670" operator="between">
      <formula>0.76</formula>
      <formula>0.95</formula>
    </cfRule>
    <cfRule type="cellIs" dxfId="13499" priority="18671" operator="between">
      <formula>0.51</formula>
      <formula>0.75</formula>
    </cfRule>
    <cfRule type="cellIs" dxfId="13498" priority="18672" operator="greaterThan">
      <formula>1</formula>
    </cfRule>
    <cfRule type="cellIs" dxfId="13497" priority="18673" operator="between">
      <formula>0.95</formula>
      <formula>1</formula>
    </cfRule>
    <cfRule type="cellIs" dxfId="13496" priority="18674" stopIfTrue="1" operator="between">
      <formula>0</formula>
      <formula>0.5</formula>
    </cfRule>
  </conditionalFormatting>
  <conditionalFormatting sqref="AF197">
    <cfRule type="cellIs" dxfId="13495" priority="18665" operator="between">
      <formula>0.76</formula>
      <formula>0.95</formula>
    </cfRule>
    <cfRule type="cellIs" dxfId="13494" priority="18666" operator="between">
      <formula>0.51</formula>
      <formula>0.75</formula>
    </cfRule>
    <cfRule type="cellIs" dxfId="13493" priority="18667" operator="greaterThan">
      <formula>1</formula>
    </cfRule>
    <cfRule type="cellIs" dxfId="13492" priority="18668" operator="between">
      <formula>0.95</formula>
      <formula>1</formula>
    </cfRule>
    <cfRule type="cellIs" dxfId="13491" priority="18669" stopIfTrue="1" operator="between">
      <formula>0</formula>
      <formula>0.5</formula>
    </cfRule>
  </conditionalFormatting>
  <conditionalFormatting sqref="AF198">
    <cfRule type="cellIs" dxfId="13490" priority="18660" operator="between">
      <formula>0.76</formula>
      <formula>0.95</formula>
    </cfRule>
    <cfRule type="cellIs" dxfId="13489" priority="18661" operator="between">
      <formula>0.51</formula>
      <formula>0.75</formula>
    </cfRule>
    <cfRule type="cellIs" dxfId="13488" priority="18662" operator="greaterThan">
      <formula>1</formula>
    </cfRule>
    <cfRule type="cellIs" dxfId="13487" priority="18663" operator="between">
      <formula>0.95</formula>
      <formula>1</formula>
    </cfRule>
    <cfRule type="cellIs" dxfId="13486" priority="18664" stopIfTrue="1" operator="between">
      <formula>0</formula>
      <formula>0.5</formula>
    </cfRule>
  </conditionalFormatting>
  <conditionalFormatting sqref="AF199">
    <cfRule type="cellIs" dxfId="13485" priority="18655" operator="between">
      <formula>0.76</formula>
      <formula>0.95</formula>
    </cfRule>
    <cfRule type="cellIs" dxfId="13484" priority="18656" operator="between">
      <formula>0.51</formula>
      <formula>0.75</formula>
    </cfRule>
    <cfRule type="cellIs" dxfId="13483" priority="18657" operator="greaterThan">
      <formula>1</formula>
    </cfRule>
    <cfRule type="cellIs" dxfId="13482" priority="18658" operator="between">
      <formula>0.95</formula>
      <formula>1</formula>
    </cfRule>
    <cfRule type="cellIs" dxfId="13481" priority="18659" stopIfTrue="1" operator="between">
      <formula>0</formula>
      <formula>0.5</formula>
    </cfRule>
  </conditionalFormatting>
  <conditionalFormatting sqref="AF200">
    <cfRule type="cellIs" dxfId="13480" priority="18650" operator="between">
      <formula>0.76</formula>
      <formula>0.95</formula>
    </cfRule>
    <cfRule type="cellIs" dxfId="13479" priority="18651" operator="between">
      <formula>0.51</formula>
      <formula>0.75</formula>
    </cfRule>
    <cfRule type="cellIs" dxfId="13478" priority="18652" operator="greaterThan">
      <formula>1</formula>
    </cfRule>
    <cfRule type="cellIs" dxfId="13477" priority="18653" operator="between">
      <formula>0.95</formula>
      <formula>1</formula>
    </cfRule>
    <cfRule type="cellIs" dxfId="13476" priority="18654" stopIfTrue="1" operator="between">
      <formula>0</formula>
      <formula>0.5</formula>
    </cfRule>
  </conditionalFormatting>
  <conditionalFormatting sqref="AF202">
    <cfRule type="cellIs" dxfId="13475" priority="18645" operator="between">
      <formula>0.76</formula>
      <formula>0.95</formula>
    </cfRule>
    <cfRule type="cellIs" dxfId="13474" priority="18646" operator="between">
      <formula>0.51</formula>
      <formula>0.75</formula>
    </cfRule>
    <cfRule type="cellIs" dxfId="13473" priority="18647" operator="greaterThan">
      <formula>1</formula>
    </cfRule>
    <cfRule type="cellIs" dxfId="13472" priority="18648" operator="between">
      <formula>0.95</formula>
      <formula>1</formula>
    </cfRule>
    <cfRule type="cellIs" dxfId="13471" priority="18649" stopIfTrue="1" operator="between">
      <formula>0</formula>
      <formula>0.5</formula>
    </cfRule>
  </conditionalFormatting>
  <conditionalFormatting sqref="AF203">
    <cfRule type="cellIs" dxfId="13470" priority="18640" operator="between">
      <formula>0.76</formula>
      <formula>0.95</formula>
    </cfRule>
    <cfRule type="cellIs" dxfId="13469" priority="18641" operator="between">
      <formula>0.51</formula>
      <formula>0.75</formula>
    </cfRule>
    <cfRule type="cellIs" dxfId="13468" priority="18642" operator="greaterThan">
      <formula>1</formula>
    </cfRule>
    <cfRule type="cellIs" dxfId="13467" priority="18643" operator="between">
      <formula>0.95</formula>
      <formula>1</formula>
    </cfRule>
    <cfRule type="cellIs" dxfId="13466" priority="18644" stopIfTrue="1" operator="between">
      <formula>0</formula>
      <formula>0.5</formula>
    </cfRule>
  </conditionalFormatting>
  <conditionalFormatting sqref="AF204">
    <cfRule type="cellIs" dxfId="13465" priority="18635" operator="between">
      <formula>0.76</formula>
      <formula>0.95</formula>
    </cfRule>
    <cfRule type="cellIs" dxfId="13464" priority="18636" operator="between">
      <formula>0.51</formula>
      <formula>0.75</formula>
    </cfRule>
    <cfRule type="cellIs" dxfId="13463" priority="18637" operator="greaterThan">
      <formula>1</formula>
    </cfRule>
    <cfRule type="cellIs" dxfId="13462" priority="18638" operator="between">
      <formula>0.95</formula>
      <formula>1</formula>
    </cfRule>
    <cfRule type="cellIs" dxfId="13461" priority="18639" stopIfTrue="1" operator="between">
      <formula>0</formula>
      <formula>0.5</formula>
    </cfRule>
  </conditionalFormatting>
  <conditionalFormatting sqref="AF205">
    <cfRule type="cellIs" dxfId="13460" priority="18630" operator="between">
      <formula>0.76</formula>
      <formula>0.95</formula>
    </cfRule>
    <cfRule type="cellIs" dxfId="13459" priority="18631" operator="between">
      <formula>0.51</formula>
      <formula>0.75</formula>
    </cfRule>
    <cfRule type="cellIs" dxfId="13458" priority="18632" operator="greaterThan">
      <formula>1</formula>
    </cfRule>
    <cfRule type="cellIs" dxfId="13457" priority="18633" operator="between">
      <formula>0.95</formula>
      <formula>1</formula>
    </cfRule>
    <cfRule type="cellIs" dxfId="13456" priority="18634" stopIfTrue="1" operator="between">
      <formula>0</formula>
      <formula>0.5</formula>
    </cfRule>
  </conditionalFormatting>
  <conditionalFormatting sqref="AF244">
    <cfRule type="cellIs" dxfId="13455" priority="18445" operator="between">
      <formula>0.76</formula>
      <formula>0.95</formula>
    </cfRule>
    <cfRule type="cellIs" dxfId="13454" priority="18446" operator="between">
      <formula>0.51</formula>
      <formula>0.75</formula>
    </cfRule>
    <cfRule type="cellIs" dxfId="13453" priority="18447" operator="greaterThan">
      <formula>1</formula>
    </cfRule>
    <cfRule type="cellIs" dxfId="13452" priority="18448" operator="between">
      <formula>0.95</formula>
      <formula>1</formula>
    </cfRule>
    <cfRule type="cellIs" dxfId="13451" priority="18449" stopIfTrue="1" operator="between">
      <formula>0</formula>
      <formula>0.5</formula>
    </cfRule>
  </conditionalFormatting>
  <conditionalFormatting sqref="AF207">
    <cfRule type="cellIs" dxfId="13450" priority="18620" operator="between">
      <formula>0.76</formula>
      <formula>0.95</formula>
    </cfRule>
    <cfRule type="cellIs" dxfId="13449" priority="18621" operator="between">
      <formula>0.51</formula>
      <formula>0.75</formula>
    </cfRule>
    <cfRule type="cellIs" dxfId="13448" priority="18622" operator="greaterThan">
      <formula>1</formula>
    </cfRule>
    <cfRule type="cellIs" dxfId="13447" priority="18623" operator="between">
      <formula>0.95</formula>
      <formula>1</formula>
    </cfRule>
    <cfRule type="cellIs" dxfId="13446" priority="18624" stopIfTrue="1" operator="between">
      <formula>0</formula>
      <formula>0.5</formula>
    </cfRule>
  </conditionalFormatting>
  <conditionalFormatting sqref="AF208">
    <cfRule type="cellIs" dxfId="13445" priority="18615" operator="between">
      <formula>0.76</formula>
      <formula>0.95</formula>
    </cfRule>
    <cfRule type="cellIs" dxfId="13444" priority="18616" operator="between">
      <formula>0.51</formula>
      <formula>0.75</formula>
    </cfRule>
    <cfRule type="cellIs" dxfId="13443" priority="18617" operator="greaterThan">
      <formula>1</formula>
    </cfRule>
    <cfRule type="cellIs" dxfId="13442" priority="18618" operator="between">
      <formula>0.95</formula>
      <formula>1</formula>
    </cfRule>
    <cfRule type="cellIs" dxfId="13441" priority="18619" stopIfTrue="1" operator="between">
      <formula>0</formula>
      <formula>0.5</formula>
    </cfRule>
  </conditionalFormatting>
  <conditionalFormatting sqref="AF209">
    <cfRule type="cellIs" dxfId="13440" priority="18610" operator="between">
      <formula>0.76</formula>
      <formula>0.95</formula>
    </cfRule>
    <cfRule type="cellIs" dxfId="13439" priority="18611" operator="between">
      <formula>0.51</formula>
      <formula>0.75</formula>
    </cfRule>
    <cfRule type="cellIs" dxfId="13438" priority="18612" operator="greaterThan">
      <formula>1</formula>
    </cfRule>
    <cfRule type="cellIs" dxfId="13437" priority="18613" operator="between">
      <formula>0.95</formula>
      <formula>1</formula>
    </cfRule>
    <cfRule type="cellIs" dxfId="13436" priority="18614" stopIfTrue="1" operator="between">
      <formula>0</formula>
      <formula>0.5</formula>
    </cfRule>
  </conditionalFormatting>
  <conditionalFormatting sqref="AF210">
    <cfRule type="cellIs" dxfId="13435" priority="18605" operator="between">
      <formula>0.76</formula>
      <formula>0.95</formula>
    </cfRule>
    <cfRule type="cellIs" dxfId="13434" priority="18606" operator="between">
      <formula>0.51</formula>
      <formula>0.75</formula>
    </cfRule>
    <cfRule type="cellIs" dxfId="13433" priority="18607" operator="greaterThan">
      <formula>1</formula>
    </cfRule>
    <cfRule type="cellIs" dxfId="13432" priority="18608" operator="between">
      <formula>0.95</formula>
      <formula>1</formula>
    </cfRule>
    <cfRule type="cellIs" dxfId="13431" priority="18609" stopIfTrue="1" operator="between">
      <formula>0</formula>
      <formula>0.5</formula>
    </cfRule>
  </conditionalFormatting>
  <conditionalFormatting sqref="AF211">
    <cfRule type="cellIs" dxfId="13430" priority="18600" operator="between">
      <formula>0.76</formula>
      <formula>0.95</formula>
    </cfRule>
    <cfRule type="cellIs" dxfId="13429" priority="18601" operator="between">
      <formula>0.51</formula>
      <formula>0.75</formula>
    </cfRule>
    <cfRule type="cellIs" dxfId="13428" priority="18602" operator="greaterThan">
      <formula>1</formula>
    </cfRule>
    <cfRule type="cellIs" dxfId="13427" priority="18603" operator="between">
      <formula>0.95</formula>
      <formula>1</formula>
    </cfRule>
    <cfRule type="cellIs" dxfId="13426" priority="18604" stopIfTrue="1" operator="between">
      <formula>0</formula>
      <formula>0.5</formula>
    </cfRule>
  </conditionalFormatting>
  <conditionalFormatting sqref="AF212">
    <cfRule type="cellIs" dxfId="13425" priority="18595" operator="between">
      <formula>0.76</formula>
      <formula>0.95</formula>
    </cfRule>
    <cfRule type="cellIs" dxfId="13424" priority="18596" operator="between">
      <formula>0.51</formula>
      <formula>0.75</formula>
    </cfRule>
    <cfRule type="cellIs" dxfId="13423" priority="18597" operator="greaterThan">
      <formula>1</formula>
    </cfRule>
    <cfRule type="cellIs" dxfId="13422" priority="18598" operator="between">
      <formula>0.95</formula>
      <formula>1</formula>
    </cfRule>
    <cfRule type="cellIs" dxfId="13421" priority="18599" stopIfTrue="1" operator="between">
      <formula>0</formula>
      <formula>0.5</formula>
    </cfRule>
  </conditionalFormatting>
  <conditionalFormatting sqref="AF213">
    <cfRule type="cellIs" dxfId="13420" priority="18590" operator="between">
      <formula>0.76</formula>
      <formula>0.95</formula>
    </cfRule>
    <cfRule type="cellIs" dxfId="13419" priority="18591" operator="between">
      <formula>0.51</formula>
      <formula>0.75</formula>
    </cfRule>
    <cfRule type="cellIs" dxfId="13418" priority="18592" operator="greaterThan">
      <formula>1</formula>
    </cfRule>
    <cfRule type="cellIs" dxfId="13417" priority="18593" operator="between">
      <formula>0.95</formula>
      <formula>1</formula>
    </cfRule>
    <cfRule type="cellIs" dxfId="13416" priority="18594" stopIfTrue="1" operator="between">
      <formula>0</formula>
      <formula>0.5</formula>
    </cfRule>
  </conditionalFormatting>
  <conditionalFormatting sqref="AF214">
    <cfRule type="cellIs" dxfId="13415" priority="18585" operator="between">
      <formula>0.76</formula>
      <formula>0.95</formula>
    </cfRule>
    <cfRule type="cellIs" dxfId="13414" priority="18586" operator="between">
      <formula>0.51</formula>
      <formula>0.75</formula>
    </cfRule>
    <cfRule type="cellIs" dxfId="13413" priority="18587" operator="greaterThan">
      <formula>1</formula>
    </cfRule>
    <cfRule type="cellIs" dxfId="13412" priority="18588" operator="between">
      <formula>0.95</formula>
      <formula>1</formula>
    </cfRule>
    <cfRule type="cellIs" dxfId="13411" priority="18589" stopIfTrue="1" operator="between">
      <formula>0</formula>
      <formula>0.5</formula>
    </cfRule>
  </conditionalFormatting>
  <conditionalFormatting sqref="AF215">
    <cfRule type="cellIs" dxfId="13410" priority="18580" operator="between">
      <formula>0.76</formula>
      <formula>0.95</formula>
    </cfRule>
    <cfRule type="cellIs" dxfId="13409" priority="18581" operator="between">
      <formula>0.51</formula>
      <formula>0.75</formula>
    </cfRule>
    <cfRule type="cellIs" dxfId="13408" priority="18582" operator="greaterThan">
      <formula>1</formula>
    </cfRule>
    <cfRule type="cellIs" dxfId="13407" priority="18583" operator="between">
      <formula>0.95</formula>
      <formula>1</formula>
    </cfRule>
    <cfRule type="cellIs" dxfId="13406" priority="18584" stopIfTrue="1" operator="between">
      <formula>0</formula>
      <formula>0.5</formula>
    </cfRule>
  </conditionalFormatting>
  <conditionalFormatting sqref="AF216">
    <cfRule type="cellIs" dxfId="13405" priority="18575" operator="between">
      <formula>0.76</formula>
      <formula>0.95</formula>
    </cfRule>
    <cfRule type="cellIs" dxfId="13404" priority="18576" operator="between">
      <formula>0.51</formula>
      <formula>0.75</formula>
    </cfRule>
    <cfRule type="cellIs" dxfId="13403" priority="18577" operator="greaterThan">
      <formula>1</formula>
    </cfRule>
    <cfRule type="cellIs" dxfId="13402" priority="18578" operator="between">
      <formula>0.95</formula>
      <formula>1</formula>
    </cfRule>
    <cfRule type="cellIs" dxfId="13401" priority="18579" stopIfTrue="1" operator="between">
      <formula>0</formula>
      <formula>0.5</formula>
    </cfRule>
  </conditionalFormatting>
  <conditionalFormatting sqref="AF217">
    <cfRule type="cellIs" dxfId="13400" priority="18570" operator="between">
      <formula>0.76</formula>
      <formula>0.95</formula>
    </cfRule>
    <cfRule type="cellIs" dxfId="13399" priority="18571" operator="between">
      <formula>0.51</formula>
      <formula>0.75</formula>
    </cfRule>
    <cfRule type="cellIs" dxfId="13398" priority="18572" operator="greaterThan">
      <formula>1</formula>
    </cfRule>
    <cfRule type="cellIs" dxfId="13397" priority="18573" operator="between">
      <formula>0.95</formula>
      <formula>1</formula>
    </cfRule>
    <cfRule type="cellIs" dxfId="13396" priority="18574" stopIfTrue="1" operator="between">
      <formula>0</formula>
      <formula>0.5</formula>
    </cfRule>
  </conditionalFormatting>
  <conditionalFormatting sqref="AF218">
    <cfRule type="cellIs" dxfId="13395" priority="18565" operator="between">
      <formula>0.76</formula>
      <formula>0.95</formula>
    </cfRule>
    <cfRule type="cellIs" dxfId="13394" priority="18566" operator="between">
      <formula>0.51</formula>
      <formula>0.75</formula>
    </cfRule>
    <cfRule type="cellIs" dxfId="13393" priority="18567" operator="greaterThan">
      <formula>1</formula>
    </cfRule>
    <cfRule type="cellIs" dxfId="13392" priority="18568" operator="between">
      <formula>0.95</formula>
      <formula>1</formula>
    </cfRule>
    <cfRule type="cellIs" dxfId="13391" priority="18569" stopIfTrue="1" operator="between">
      <formula>0</formula>
      <formula>0.5</formula>
    </cfRule>
  </conditionalFormatting>
  <conditionalFormatting sqref="AF219">
    <cfRule type="cellIs" dxfId="13390" priority="18560" operator="between">
      <formula>0.76</formula>
      <formula>0.95</formula>
    </cfRule>
    <cfRule type="cellIs" dxfId="13389" priority="18561" operator="between">
      <formula>0.51</formula>
      <formula>0.75</formula>
    </cfRule>
    <cfRule type="cellIs" dxfId="13388" priority="18562" operator="greaterThan">
      <formula>1</formula>
    </cfRule>
    <cfRule type="cellIs" dxfId="13387" priority="18563" operator="between">
      <formula>0.95</formula>
      <formula>1</formula>
    </cfRule>
    <cfRule type="cellIs" dxfId="13386" priority="18564" stopIfTrue="1" operator="between">
      <formula>0</formula>
      <formula>0.5</formula>
    </cfRule>
  </conditionalFormatting>
  <conditionalFormatting sqref="AF220">
    <cfRule type="cellIs" dxfId="13385" priority="18555" operator="between">
      <formula>0.76</formula>
      <formula>0.95</formula>
    </cfRule>
    <cfRule type="cellIs" dxfId="13384" priority="18556" operator="between">
      <formula>0.51</formula>
      <formula>0.75</formula>
    </cfRule>
    <cfRule type="cellIs" dxfId="13383" priority="18557" operator="greaterThan">
      <formula>1</formula>
    </cfRule>
    <cfRule type="cellIs" dxfId="13382" priority="18558" operator="between">
      <formula>0.95</formula>
      <formula>1</formula>
    </cfRule>
    <cfRule type="cellIs" dxfId="13381" priority="18559" stopIfTrue="1" operator="between">
      <formula>0</formula>
      <formula>0.5</formula>
    </cfRule>
  </conditionalFormatting>
  <conditionalFormatting sqref="AF221">
    <cfRule type="cellIs" dxfId="13380" priority="18550" operator="between">
      <formula>0.76</formula>
      <formula>0.95</formula>
    </cfRule>
    <cfRule type="cellIs" dxfId="13379" priority="18551" operator="between">
      <formula>0.51</formula>
      <formula>0.75</formula>
    </cfRule>
    <cfRule type="cellIs" dxfId="13378" priority="18552" operator="greaterThan">
      <formula>1</formula>
    </cfRule>
    <cfRule type="cellIs" dxfId="13377" priority="18553" operator="between">
      <formula>0.95</formula>
      <formula>1</formula>
    </cfRule>
    <cfRule type="cellIs" dxfId="13376" priority="18554" stopIfTrue="1" operator="between">
      <formula>0</formula>
      <formula>0.5</formula>
    </cfRule>
  </conditionalFormatting>
  <conditionalFormatting sqref="AF222">
    <cfRule type="cellIs" dxfId="13375" priority="18545" operator="between">
      <formula>0.76</formula>
      <formula>0.95</formula>
    </cfRule>
    <cfRule type="cellIs" dxfId="13374" priority="18546" operator="between">
      <formula>0.51</formula>
      <formula>0.75</formula>
    </cfRule>
    <cfRule type="cellIs" dxfId="13373" priority="18547" operator="greaterThan">
      <formula>1</formula>
    </cfRule>
    <cfRule type="cellIs" dxfId="13372" priority="18548" operator="between">
      <formula>0.95</formula>
      <formula>1</formula>
    </cfRule>
    <cfRule type="cellIs" dxfId="13371" priority="18549" stopIfTrue="1" operator="between">
      <formula>0</formula>
      <formula>0.5</formula>
    </cfRule>
  </conditionalFormatting>
  <conditionalFormatting sqref="AF223">
    <cfRule type="cellIs" dxfId="13370" priority="18540" operator="between">
      <formula>0.76</formula>
      <formula>0.95</formula>
    </cfRule>
    <cfRule type="cellIs" dxfId="13369" priority="18541" operator="between">
      <formula>0.51</formula>
      <formula>0.75</formula>
    </cfRule>
    <cfRule type="cellIs" dxfId="13368" priority="18542" operator="greaterThan">
      <formula>1</formula>
    </cfRule>
    <cfRule type="cellIs" dxfId="13367" priority="18543" operator="between">
      <formula>0.95</formula>
      <formula>1</formula>
    </cfRule>
    <cfRule type="cellIs" dxfId="13366" priority="18544" stopIfTrue="1" operator="between">
      <formula>0</formula>
      <formula>0.5</formula>
    </cfRule>
  </conditionalFormatting>
  <conditionalFormatting sqref="AF224">
    <cfRule type="cellIs" dxfId="13365" priority="18535" operator="between">
      <formula>0.76</formula>
      <formula>0.95</formula>
    </cfRule>
    <cfRule type="cellIs" dxfId="13364" priority="18536" operator="between">
      <formula>0.51</formula>
      <formula>0.75</formula>
    </cfRule>
    <cfRule type="cellIs" dxfId="13363" priority="18537" operator="greaterThan">
      <formula>1</formula>
    </cfRule>
    <cfRule type="cellIs" dxfId="13362" priority="18538" operator="between">
      <formula>0.95</formula>
      <formula>1</formula>
    </cfRule>
    <cfRule type="cellIs" dxfId="13361" priority="18539" stopIfTrue="1" operator="between">
      <formula>0</formula>
      <formula>0.5</formula>
    </cfRule>
  </conditionalFormatting>
  <conditionalFormatting sqref="AF225">
    <cfRule type="cellIs" dxfId="13360" priority="18530" operator="between">
      <formula>0.76</formula>
      <formula>0.95</formula>
    </cfRule>
    <cfRule type="cellIs" dxfId="13359" priority="18531" operator="between">
      <formula>0.51</formula>
      <formula>0.75</formula>
    </cfRule>
    <cfRule type="cellIs" dxfId="13358" priority="18532" operator="greaterThan">
      <formula>1</formula>
    </cfRule>
    <cfRule type="cellIs" dxfId="13357" priority="18533" operator="between">
      <formula>0.95</formula>
      <formula>1</formula>
    </cfRule>
    <cfRule type="cellIs" dxfId="13356" priority="18534" stopIfTrue="1" operator="between">
      <formula>0</formula>
      <formula>0.5</formula>
    </cfRule>
  </conditionalFormatting>
  <conditionalFormatting sqref="AF226">
    <cfRule type="cellIs" dxfId="13355" priority="18525" operator="between">
      <formula>0.76</formula>
      <formula>0.95</formula>
    </cfRule>
    <cfRule type="cellIs" dxfId="13354" priority="18526" operator="between">
      <formula>0.51</formula>
      <formula>0.75</formula>
    </cfRule>
    <cfRule type="cellIs" dxfId="13353" priority="18527" operator="greaterThan">
      <formula>1</formula>
    </cfRule>
    <cfRule type="cellIs" dxfId="13352" priority="18528" operator="between">
      <formula>0.95</formula>
      <formula>1</formula>
    </cfRule>
    <cfRule type="cellIs" dxfId="13351" priority="18529" stopIfTrue="1" operator="between">
      <formula>0</formula>
      <formula>0.5</formula>
    </cfRule>
  </conditionalFormatting>
  <conditionalFormatting sqref="AF227">
    <cfRule type="cellIs" dxfId="13350" priority="18520" operator="between">
      <formula>0.76</formula>
      <formula>0.95</formula>
    </cfRule>
    <cfRule type="cellIs" dxfId="13349" priority="18521" operator="between">
      <formula>0.51</formula>
      <formula>0.75</formula>
    </cfRule>
    <cfRule type="cellIs" dxfId="13348" priority="18522" operator="greaterThan">
      <formula>1</formula>
    </cfRule>
    <cfRule type="cellIs" dxfId="13347" priority="18523" operator="between">
      <formula>0.95</formula>
      <formula>1</formula>
    </cfRule>
    <cfRule type="cellIs" dxfId="13346" priority="18524" stopIfTrue="1" operator="between">
      <formula>0</formula>
      <formula>0.5</formula>
    </cfRule>
  </conditionalFormatting>
  <conditionalFormatting sqref="AF228">
    <cfRule type="cellIs" dxfId="13345" priority="18515" operator="between">
      <formula>0.76</formula>
      <formula>0.95</formula>
    </cfRule>
    <cfRule type="cellIs" dxfId="13344" priority="18516" operator="between">
      <formula>0.51</formula>
      <formula>0.75</formula>
    </cfRule>
    <cfRule type="cellIs" dxfId="13343" priority="18517" operator="greaterThan">
      <formula>1</formula>
    </cfRule>
    <cfRule type="cellIs" dxfId="13342" priority="18518" operator="between">
      <formula>0.95</formula>
      <formula>1</formula>
    </cfRule>
    <cfRule type="cellIs" dxfId="13341" priority="18519" stopIfTrue="1" operator="between">
      <formula>0</formula>
      <formula>0.5</formula>
    </cfRule>
  </conditionalFormatting>
  <conditionalFormatting sqref="AF229">
    <cfRule type="cellIs" dxfId="13340" priority="18510" operator="between">
      <formula>0.76</formula>
      <formula>0.95</formula>
    </cfRule>
    <cfRule type="cellIs" dxfId="13339" priority="18511" operator="between">
      <formula>0.51</formula>
      <formula>0.75</formula>
    </cfRule>
    <cfRule type="cellIs" dxfId="13338" priority="18512" operator="greaterThan">
      <formula>1</formula>
    </cfRule>
    <cfRule type="cellIs" dxfId="13337" priority="18513" operator="between">
      <formula>0.95</formula>
      <formula>1</formula>
    </cfRule>
    <cfRule type="cellIs" dxfId="13336" priority="18514" stopIfTrue="1" operator="between">
      <formula>0</formula>
      <formula>0.5</formula>
    </cfRule>
  </conditionalFormatting>
  <conditionalFormatting sqref="AF230">
    <cfRule type="cellIs" dxfId="13335" priority="18505" operator="between">
      <formula>0.76</formula>
      <formula>0.95</formula>
    </cfRule>
    <cfRule type="cellIs" dxfId="13334" priority="18506" operator="between">
      <formula>0.51</formula>
      <formula>0.75</formula>
    </cfRule>
    <cfRule type="cellIs" dxfId="13333" priority="18507" operator="greaterThan">
      <formula>1</formula>
    </cfRule>
    <cfRule type="cellIs" dxfId="13332" priority="18508" operator="between">
      <formula>0.95</formula>
      <formula>1</formula>
    </cfRule>
    <cfRule type="cellIs" dxfId="13331" priority="18509" stopIfTrue="1" operator="between">
      <formula>0</formula>
      <formula>0.5</formula>
    </cfRule>
  </conditionalFormatting>
  <conditionalFormatting sqref="AF231">
    <cfRule type="cellIs" dxfId="13330" priority="18500" operator="between">
      <formula>0.76</formula>
      <formula>0.95</formula>
    </cfRule>
    <cfRule type="cellIs" dxfId="13329" priority="18501" operator="between">
      <formula>0.51</formula>
      <formula>0.75</formula>
    </cfRule>
    <cfRule type="cellIs" dxfId="13328" priority="18502" operator="greaterThan">
      <formula>1</formula>
    </cfRule>
    <cfRule type="cellIs" dxfId="13327" priority="18503" operator="between">
      <formula>0.95</formula>
      <formula>1</formula>
    </cfRule>
    <cfRule type="cellIs" dxfId="13326" priority="18504" stopIfTrue="1" operator="between">
      <formula>0</formula>
      <formula>0.5</formula>
    </cfRule>
  </conditionalFormatting>
  <conditionalFormatting sqref="AF232">
    <cfRule type="cellIs" dxfId="13325" priority="18495" operator="between">
      <formula>0.76</formula>
      <formula>0.95</formula>
    </cfRule>
    <cfRule type="cellIs" dxfId="13324" priority="18496" operator="between">
      <formula>0.51</formula>
      <formula>0.75</formula>
    </cfRule>
    <cfRule type="cellIs" dxfId="13323" priority="18497" operator="greaterThan">
      <formula>1</formula>
    </cfRule>
    <cfRule type="cellIs" dxfId="13322" priority="18498" operator="between">
      <formula>0.95</formula>
      <formula>1</formula>
    </cfRule>
    <cfRule type="cellIs" dxfId="13321" priority="18499" stopIfTrue="1" operator="between">
      <formula>0</formula>
      <formula>0.5</formula>
    </cfRule>
  </conditionalFormatting>
  <conditionalFormatting sqref="AF233">
    <cfRule type="cellIs" dxfId="13320" priority="18490" operator="between">
      <formula>0.76</formula>
      <formula>0.95</formula>
    </cfRule>
    <cfRule type="cellIs" dxfId="13319" priority="18491" operator="between">
      <formula>0.51</formula>
      <formula>0.75</formula>
    </cfRule>
    <cfRule type="cellIs" dxfId="13318" priority="18492" operator="greaterThan">
      <formula>1</formula>
    </cfRule>
    <cfRule type="cellIs" dxfId="13317" priority="18493" operator="between">
      <formula>0.95</formula>
      <formula>1</formula>
    </cfRule>
    <cfRule type="cellIs" dxfId="13316" priority="18494" stopIfTrue="1" operator="between">
      <formula>0</formula>
      <formula>0.5</formula>
    </cfRule>
  </conditionalFormatting>
  <conditionalFormatting sqref="AF234">
    <cfRule type="cellIs" dxfId="13315" priority="18485" operator="between">
      <formula>0.76</formula>
      <formula>0.95</formula>
    </cfRule>
    <cfRule type="cellIs" dxfId="13314" priority="18486" operator="between">
      <formula>0.51</formula>
      <formula>0.75</formula>
    </cfRule>
    <cfRule type="cellIs" dxfId="13313" priority="18487" operator="greaterThan">
      <formula>1</formula>
    </cfRule>
    <cfRule type="cellIs" dxfId="13312" priority="18488" operator="between">
      <formula>0.95</formula>
      <formula>1</formula>
    </cfRule>
    <cfRule type="cellIs" dxfId="13311" priority="18489" stopIfTrue="1" operator="between">
      <formula>0</formula>
      <formula>0.5</formula>
    </cfRule>
  </conditionalFormatting>
  <conditionalFormatting sqref="AF235">
    <cfRule type="cellIs" dxfId="13310" priority="18480" operator="between">
      <formula>0.76</formula>
      <formula>0.95</formula>
    </cfRule>
    <cfRule type="cellIs" dxfId="13309" priority="18481" operator="between">
      <formula>0.51</formula>
      <formula>0.75</formula>
    </cfRule>
    <cfRule type="cellIs" dxfId="13308" priority="18482" operator="greaterThan">
      <formula>1</formula>
    </cfRule>
    <cfRule type="cellIs" dxfId="13307" priority="18483" operator="between">
      <formula>0.95</formula>
      <formula>1</formula>
    </cfRule>
    <cfRule type="cellIs" dxfId="13306" priority="18484" stopIfTrue="1" operator="between">
      <formula>0</formula>
      <formula>0.5</formula>
    </cfRule>
  </conditionalFormatting>
  <conditionalFormatting sqref="AF236">
    <cfRule type="cellIs" dxfId="13305" priority="18475" operator="between">
      <formula>0.76</formula>
      <formula>0.95</formula>
    </cfRule>
    <cfRule type="cellIs" dxfId="13304" priority="18476" operator="between">
      <formula>0.51</formula>
      <formula>0.75</formula>
    </cfRule>
    <cfRule type="cellIs" dxfId="13303" priority="18477" operator="greaterThan">
      <formula>1</formula>
    </cfRule>
    <cfRule type="cellIs" dxfId="13302" priority="18478" operator="between">
      <formula>0.95</formula>
      <formula>1</formula>
    </cfRule>
    <cfRule type="cellIs" dxfId="13301" priority="18479" stopIfTrue="1" operator="between">
      <formula>0</formula>
      <formula>0.5</formula>
    </cfRule>
  </conditionalFormatting>
  <conditionalFormatting sqref="AF237">
    <cfRule type="cellIs" dxfId="13300" priority="18470" operator="between">
      <formula>0.76</formula>
      <formula>0.95</formula>
    </cfRule>
    <cfRule type="cellIs" dxfId="13299" priority="18471" operator="between">
      <formula>0.51</formula>
      <formula>0.75</formula>
    </cfRule>
    <cfRule type="cellIs" dxfId="13298" priority="18472" operator="greaterThan">
      <formula>1</formula>
    </cfRule>
    <cfRule type="cellIs" dxfId="13297" priority="18473" operator="between">
      <formula>0.95</formula>
      <formula>1</formula>
    </cfRule>
    <cfRule type="cellIs" dxfId="13296" priority="18474" stopIfTrue="1" operator="between">
      <formula>0</formula>
      <formula>0.5</formula>
    </cfRule>
  </conditionalFormatting>
  <conditionalFormatting sqref="AF303">
    <cfRule type="cellIs" dxfId="13295" priority="18325" operator="between">
      <formula>0.76</formula>
      <formula>0.95</formula>
    </cfRule>
    <cfRule type="cellIs" dxfId="13294" priority="18326" operator="between">
      <formula>0.51</formula>
      <formula>0.75</formula>
    </cfRule>
    <cfRule type="cellIs" dxfId="13293" priority="18327" operator="greaterThan">
      <formula>1</formula>
    </cfRule>
    <cfRule type="cellIs" dxfId="13292" priority="18328" operator="between">
      <formula>0.95</formula>
      <formula>1</formula>
    </cfRule>
    <cfRule type="cellIs" dxfId="13291" priority="18329" stopIfTrue="1" operator="between">
      <formula>0</formula>
      <formula>0.5</formula>
    </cfRule>
  </conditionalFormatting>
  <conditionalFormatting sqref="AF239">
    <cfRule type="cellIs" dxfId="13290" priority="18460" operator="between">
      <formula>0.76</formula>
      <formula>0.95</formula>
    </cfRule>
    <cfRule type="cellIs" dxfId="13289" priority="18461" operator="between">
      <formula>0.51</formula>
      <formula>0.75</formula>
    </cfRule>
    <cfRule type="cellIs" dxfId="13288" priority="18462" operator="greaterThan">
      <formula>1</formula>
    </cfRule>
    <cfRule type="cellIs" dxfId="13287" priority="18463" operator="between">
      <formula>0.95</formula>
      <formula>1</formula>
    </cfRule>
    <cfRule type="cellIs" dxfId="13286" priority="18464" stopIfTrue="1" operator="between">
      <formula>0</formula>
      <formula>0.5</formula>
    </cfRule>
  </conditionalFormatting>
  <conditionalFormatting sqref="AF240">
    <cfRule type="cellIs" dxfId="13285" priority="18455" operator="between">
      <formula>0.76</formula>
      <formula>0.95</formula>
    </cfRule>
    <cfRule type="cellIs" dxfId="13284" priority="18456" operator="between">
      <formula>0.51</formula>
      <formula>0.75</formula>
    </cfRule>
    <cfRule type="cellIs" dxfId="13283" priority="18457" operator="greaterThan">
      <formula>1</formula>
    </cfRule>
    <cfRule type="cellIs" dxfId="13282" priority="18458" operator="between">
      <formula>0.95</formula>
      <formula>1</formula>
    </cfRule>
    <cfRule type="cellIs" dxfId="13281" priority="18459" stopIfTrue="1" operator="between">
      <formula>0</formula>
      <formula>0.5</formula>
    </cfRule>
  </conditionalFormatting>
  <conditionalFormatting sqref="AF243">
    <cfRule type="cellIs" dxfId="13280" priority="18450" operator="between">
      <formula>0.76</formula>
      <formula>0.95</formula>
    </cfRule>
    <cfRule type="cellIs" dxfId="13279" priority="18451" operator="between">
      <formula>0.51</formula>
      <formula>0.75</formula>
    </cfRule>
    <cfRule type="cellIs" dxfId="13278" priority="18452" operator="greaterThan">
      <formula>1</formula>
    </cfRule>
    <cfRule type="cellIs" dxfId="13277" priority="18453" operator="between">
      <formula>0.95</formula>
      <formula>1</formula>
    </cfRule>
    <cfRule type="cellIs" dxfId="13276" priority="18454" stopIfTrue="1" operator="between">
      <formula>0</formula>
      <formula>0.5</formula>
    </cfRule>
  </conditionalFormatting>
  <conditionalFormatting sqref="AF247">
    <cfRule type="cellIs" dxfId="13275" priority="18440" operator="between">
      <formula>0.76</formula>
      <formula>0.95</formula>
    </cfRule>
    <cfRule type="cellIs" dxfId="13274" priority="18441" operator="between">
      <formula>0.51</formula>
      <formula>0.75</formula>
    </cfRule>
    <cfRule type="cellIs" dxfId="13273" priority="18442" operator="greaterThan">
      <formula>1</formula>
    </cfRule>
    <cfRule type="cellIs" dxfId="13272" priority="18443" operator="between">
      <formula>0.95</formula>
      <formula>1</formula>
    </cfRule>
    <cfRule type="cellIs" dxfId="13271" priority="18444" stopIfTrue="1" operator="between">
      <formula>0</formula>
      <formula>0.5</formula>
    </cfRule>
  </conditionalFormatting>
  <conditionalFormatting sqref="AF248">
    <cfRule type="cellIs" dxfId="13270" priority="18435" operator="between">
      <formula>0.76</formula>
      <formula>0.95</formula>
    </cfRule>
    <cfRule type="cellIs" dxfId="13269" priority="18436" operator="between">
      <formula>0.51</formula>
      <formula>0.75</formula>
    </cfRule>
    <cfRule type="cellIs" dxfId="13268" priority="18437" operator="greaterThan">
      <formula>1</formula>
    </cfRule>
    <cfRule type="cellIs" dxfId="13267" priority="18438" operator="between">
      <formula>0.95</formula>
      <formula>1</formula>
    </cfRule>
    <cfRule type="cellIs" dxfId="13266" priority="18439" stopIfTrue="1" operator="between">
      <formula>0</formula>
      <formula>0.5</formula>
    </cfRule>
  </conditionalFormatting>
  <conditionalFormatting sqref="AF251">
    <cfRule type="cellIs" dxfId="13265" priority="18430" operator="between">
      <formula>0.76</formula>
      <formula>0.95</formula>
    </cfRule>
    <cfRule type="cellIs" dxfId="13264" priority="18431" operator="between">
      <formula>0.51</formula>
      <formula>0.75</formula>
    </cfRule>
    <cfRule type="cellIs" dxfId="13263" priority="18432" operator="greaterThan">
      <formula>1</formula>
    </cfRule>
    <cfRule type="cellIs" dxfId="13262" priority="18433" operator="between">
      <formula>0.95</formula>
      <formula>1</formula>
    </cfRule>
    <cfRule type="cellIs" dxfId="13261" priority="18434" stopIfTrue="1" operator="between">
      <formula>0</formula>
      <formula>0.5</formula>
    </cfRule>
  </conditionalFormatting>
  <conditionalFormatting sqref="AF252">
    <cfRule type="cellIs" dxfId="13260" priority="18425" operator="between">
      <formula>0.76</formula>
      <formula>0.95</formula>
    </cfRule>
    <cfRule type="cellIs" dxfId="13259" priority="18426" operator="between">
      <formula>0.51</formula>
      <formula>0.75</formula>
    </cfRule>
    <cfRule type="cellIs" dxfId="13258" priority="18427" operator="greaterThan">
      <formula>1</formula>
    </cfRule>
    <cfRule type="cellIs" dxfId="13257" priority="18428" operator="between">
      <formula>0.95</formula>
      <formula>1</formula>
    </cfRule>
    <cfRule type="cellIs" dxfId="13256" priority="18429" stopIfTrue="1" operator="between">
      <formula>0</formula>
      <formula>0.5</formula>
    </cfRule>
  </conditionalFormatting>
  <conditionalFormatting sqref="AF257">
    <cfRule type="cellIs" dxfId="13255" priority="18420" operator="between">
      <formula>0.76</formula>
      <formula>0.95</formula>
    </cfRule>
    <cfRule type="cellIs" dxfId="13254" priority="18421" operator="between">
      <formula>0.51</formula>
      <formula>0.75</formula>
    </cfRule>
    <cfRule type="cellIs" dxfId="13253" priority="18422" operator="greaterThan">
      <formula>1</formula>
    </cfRule>
    <cfRule type="cellIs" dxfId="13252" priority="18423" operator="between">
      <formula>0.95</formula>
      <formula>1</formula>
    </cfRule>
    <cfRule type="cellIs" dxfId="13251" priority="18424" stopIfTrue="1" operator="between">
      <formula>0</formula>
      <formula>0.5</formula>
    </cfRule>
  </conditionalFormatting>
  <conditionalFormatting sqref="AF258">
    <cfRule type="cellIs" dxfId="13250" priority="18410" operator="between">
      <formula>0.76</formula>
      <formula>0.95</formula>
    </cfRule>
    <cfRule type="cellIs" dxfId="13249" priority="18411" operator="between">
      <formula>0.51</formula>
      <formula>0.75</formula>
    </cfRule>
    <cfRule type="cellIs" dxfId="13248" priority="18412" operator="greaterThan">
      <formula>1</formula>
    </cfRule>
    <cfRule type="cellIs" dxfId="13247" priority="18413" operator="between">
      <formula>0.95</formula>
      <formula>1</formula>
    </cfRule>
    <cfRule type="cellIs" dxfId="13246" priority="18414" stopIfTrue="1" operator="between">
      <formula>0</formula>
      <formula>0.5</formula>
    </cfRule>
  </conditionalFormatting>
  <conditionalFormatting sqref="AF259">
    <cfRule type="cellIs" dxfId="13245" priority="18405" operator="between">
      <formula>0.76</formula>
      <formula>0.95</formula>
    </cfRule>
    <cfRule type="cellIs" dxfId="13244" priority="18406" operator="between">
      <formula>0.51</formula>
      <formula>0.75</formula>
    </cfRule>
    <cfRule type="cellIs" dxfId="13243" priority="18407" operator="greaterThan">
      <formula>1</formula>
    </cfRule>
    <cfRule type="cellIs" dxfId="13242" priority="18408" operator="between">
      <formula>0.95</formula>
      <formula>1</formula>
    </cfRule>
    <cfRule type="cellIs" dxfId="13241" priority="18409" stopIfTrue="1" operator="between">
      <formula>0</formula>
      <formula>0.5</formula>
    </cfRule>
  </conditionalFormatting>
  <conditionalFormatting sqref="AF260">
    <cfRule type="cellIs" dxfId="13240" priority="18400" operator="between">
      <formula>0.76</formula>
      <formula>0.95</formula>
    </cfRule>
    <cfRule type="cellIs" dxfId="13239" priority="18401" operator="between">
      <formula>0.51</formula>
      <formula>0.75</formula>
    </cfRule>
    <cfRule type="cellIs" dxfId="13238" priority="18402" operator="greaterThan">
      <formula>1</formula>
    </cfRule>
    <cfRule type="cellIs" dxfId="13237" priority="18403" operator="between">
      <formula>0.95</formula>
      <formula>1</formula>
    </cfRule>
    <cfRule type="cellIs" dxfId="13236" priority="18404" stopIfTrue="1" operator="between">
      <formula>0</formula>
      <formula>0.5</formula>
    </cfRule>
  </conditionalFormatting>
  <conditionalFormatting sqref="AF261">
    <cfRule type="cellIs" dxfId="13235" priority="18395" operator="between">
      <formula>0.76</formula>
      <formula>0.95</formula>
    </cfRule>
    <cfRule type="cellIs" dxfId="13234" priority="18396" operator="between">
      <formula>0.51</formula>
      <formula>0.75</formula>
    </cfRule>
    <cfRule type="cellIs" dxfId="13233" priority="18397" operator="greaterThan">
      <formula>1</formula>
    </cfRule>
    <cfRule type="cellIs" dxfId="13232" priority="18398" operator="between">
      <formula>0.95</formula>
      <formula>1</formula>
    </cfRule>
    <cfRule type="cellIs" dxfId="13231" priority="18399" stopIfTrue="1" operator="between">
      <formula>0</formula>
      <formula>0.5</formula>
    </cfRule>
  </conditionalFormatting>
  <conditionalFormatting sqref="AF262">
    <cfRule type="cellIs" dxfId="13230" priority="18390" operator="between">
      <formula>0.76</formula>
      <formula>0.95</formula>
    </cfRule>
    <cfRule type="cellIs" dxfId="13229" priority="18391" operator="between">
      <formula>0.51</formula>
      <formula>0.75</formula>
    </cfRule>
    <cfRule type="cellIs" dxfId="13228" priority="18392" operator="greaterThan">
      <formula>1</formula>
    </cfRule>
    <cfRule type="cellIs" dxfId="13227" priority="18393" operator="between">
      <formula>0.95</formula>
      <formula>1</formula>
    </cfRule>
    <cfRule type="cellIs" dxfId="13226" priority="18394" stopIfTrue="1" operator="between">
      <formula>0</formula>
      <formula>0.5</formula>
    </cfRule>
  </conditionalFormatting>
  <conditionalFormatting sqref="AF277">
    <cfRule type="cellIs" dxfId="13225" priority="18385" operator="between">
      <formula>0.76</formula>
      <formula>0.95</formula>
    </cfRule>
    <cfRule type="cellIs" dxfId="13224" priority="18386" operator="between">
      <formula>0.51</formula>
      <formula>0.75</formula>
    </cfRule>
    <cfRule type="cellIs" dxfId="13223" priority="18387" operator="greaterThan">
      <formula>1</formula>
    </cfRule>
    <cfRule type="cellIs" dxfId="13222" priority="18388" operator="between">
      <formula>0.95</formula>
      <formula>1</formula>
    </cfRule>
    <cfRule type="cellIs" dxfId="13221" priority="18389" stopIfTrue="1" operator="between">
      <formula>0</formula>
      <formula>0.5</formula>
    </cfRule>
  </conditionalFormatting>
  <conditionalFormatting sqref="AF278">
    <cfRule type="cellIs" dxfId="13220" priority="18380" operator="between">
      <formula>0.76</formula>
      <formula>0.95</formula>
    </cfRule>
    <cfRule type="cellIs" dxfId="13219" priority="18381" operator="between">
      <formula>0.51</formula>
      <formula>0.75</formula>
    </cfRule>
    <cfRule type="cellIs" dxfId="13218" priority="18382" operator="greaterThan">
      <formula>1</formula>
    </cfRule>
    <cfRule type="cellIs" dxfId="13217" priority="18383" operator="between">
      <formula>0.95</formula>
      <formula>1</formula>
    </cfRule>
    <cfRule type="cellIs" dxfId="13216" priority="18384" stopIfTrue="1" operator="between">
      <formula>0</formula>
      <formula>0.5</formula>
    </cfRule>
  </conditionalFormatting>
  <conditionalFormatting sqref="AF279">
    <cfRule type="cellIs" dxfId="13215" priority="18365" operator="between">
      <formula>0.76</formula>
      <formula>0.95</formula>
    </cfRule>
    <cfRule type="cellIs" dxfId="13214" priority="18366" operator="between">
      <formula>0.51</formula>
      <formula>0.75</formula>
    </cfRule>
    <cfRule type="cellIs" dxfId="13213" priority="18367" operator="greaterThan">
      <formula>1</formula>
    </cfRule>
    <cfRule type="cellIs" dxfId="13212" priority="18368" operator="between">
      <formula>0.95</formula>
      <formula>1</formula>
    </cfRule>
    <cfRule type="cellIs" dxfId="13211" priority="18369" stopIfTrue="1" operator="between">
      <formula>0</formula>
      <formula>0.5</formula>
    </cfRule>
  </conditionalFormatting>
  <conditionalFormatting sqref="AF280">
    <cfRule type="cellIs" dxfId="13210" priority="18360" operator="between">
      <formula>0.76</formula>
      <formula>0.95</formula>
    </cfRule>
    <cfRule type="cellIs" dxfId="13209" priority="18361" operator="between">
      <formula>0.51</formula>
      <formula>0.75</formula>
    </cfRule>
    <cfRule type="cellIs" dxfId="13208" priority="18362" operator="greaterThan">
      <formula>1</formula>
    </cfRule>
    <cfRule type="cellIs" dxfId="13207" priority="18363" operator="between">
      <formula>0.95</formula>
      <formula>1</formula>
    </cfRule>
    <cfRule type="cellIs" dxfId="13206" priority="18364" stopIfTrue="1" operator="between">
      <formula>0</formula>
      <formula>0.5</formula>
    </cfRule>
  </conditionalFormatting>
  <conditionalFormatting sqref="AF281">
    <cfRule type="cellIs" dxfId="13205" priority="18355" operator="between">
      <formula>0.76</formula>
      <formula>0.95</formula>
    </cfRule>
    <cfRule type="cellIs" dxfId="13204" priority="18356" operator="between">
      <formula>0.51</formula>
      <formula>0.75</formula>
    </cfRule>
    <cfRule type="cellIs" dxfId="13203" priority="18357" operator="greaterThan">
      <formula>1</formula>
    </cfRule>
    <cfRule type="cellIs" dxfId="13202" priority="18358" operator="between">
      <formula>0.95</formula>
      <formula>1</formula>
    </cfRule>
    <cfRule type="cellIs" dxfId="13201" priority="18359" stopIfTrue="1" operator="between">
      <formula>0</formula>
      <formula>0.5</formula>
    </cfRule>
  </conditionalFormatting>
  <conditionalFormatting sqref="AF282">
    <cfRule type="cellIs" dxfId="13200" priority="18350" operator="between">
      <formula>0.76</formula>
      <formula>0.95</formula>
    </cfRule>
    <cfRule type="cellIs" dxfId="13199" priority="18351" operator="between">
      <formula>0.51</formula>
      <formula>0.75</formula>
    </cfRule>
    <cfRule type="cellIs" dxfId="13198" priority="18352" operator="greaterThan">
      <formula>1</formula>
    </cfRule>
    <cfRule type="cellIs" dxfId="13197" priority="18353" operator="between">
      <formula>0.95</formula>
      <formula>1</formula>
    </cfRule>
    <cfRule type="cellIs" dxfId="13196" priority="18354" stopIfTrue="1" operator="between">
      <formula>0</formula>
      <formula>0.5</formula>
    </cfRule>
  </conditionalFormatting>
  <conditionalFormatting sqref="AF286">
    <cfRule type="cellIs" dxfId="13195" priority="18345" operator="between">
      <formula>0.76</formula>
      <formula>0.95</formula>
    </cfRule>
    <cfRule type="cellIs" dxfId="13194" priority="18346" operator="between">
      <formula>0.51</formula>
      <formula>0.75</formula>
    </cfRule>
    <cfRule type="cellIs" dxfId="13193" priority="18347" operator="greaterThan">
      <formula>1</formula>
    </cfRule>
    <cfRule type="cellIs" dxfId="13192" priority="18348" operator="between">
      <formula>0.95</formula>
      <formula>1</formula>
    </cfRule>
    <cfRule type="cellIs" dxfId="13191" priority="18349" stopIfTrue="1" operator="between">
      <formula>0</formula>
      <formula>0.5</formula>
    </cfRule>
  </conditionalFormatting>
  <conditionalFormatting sqref="AF304">
    <cfRule type="cellIs" dxfId="13190" priority="18320" operator="between">
      <formula>0.76</formula>
      <formula>0.95</formula>
    </cfRule>
    <cfRule type="cellIs" dxfId="13189" priority="18321" operator="between">
      <formula>0.51</formula>
      <formula>0.75</formula>
    </cfRule>
    <cfRule type="cellIs" dxfId="13188" priority="18322" operator="greaterThan">
      <formula>1</formula>
    </cfRule>
    <cfRule type="cellIs" dxfId="13187" priority="18323" operator="between">
      <formula>0.95</formula>
      <formula>1</formula>
    </cfRule>
    <cfRule type="cellIs" dxfId="13186" priority="18324" stopIfTrue="1" operator="between">
      <formula>0</formula>
      <formula>0.5</formula>
    </cfRule>
  </conditionalFormatting>
  <conditionalFormatting sqref="AF306">
    <cfRule type="cellIs" dxfId="13185" priority="18315" operator="between">
      <formula>0.76</formula>
      <formula>0.95</formula>
    </cfRule>
    <cfRule type="cellIs" dxfId="13184" priority="18316" operator="between">
      <formula>0.51</formula>
      <formula>0.75</formula>
    </cfRule>
    <cfRule type="cellIs" dxfId="13183" priority="18317" operator="greaterThan">
      <formula>1</formula>
    </cfRule>
    <cfRule type="cellIs" dxfId="13182" priority="18318" operator="between">
      <formula>0.95</formula>
      <formula>1</formula>
    </cfRule>
    <cfRule type="cellIs" dxfId="13181" priority="18319" stopIfTrue="1" operator="between">
      <formula>0</formula>
      <formula>0.5</formula>
    </cfRule>
  </conditionalFormatting>
  <conditionalFormatting sqref="AF307">
    <cfRule type="cellIs" dxfId="13180" priority="18310" operator="between">
      <formula>0.76</formula>
      <formula>0.95</formula>
    </cfRule>
    <cfRule type="cellIs" dxfId="13179" priority="18311" operator="between">
      <formula>0.51</formula>
      <formula>0.75</formula>
    </cfRule>
    <cfRule type="cellIs" dxfId="13178" priority="18312" operator="greaterThan">
      <formula>1</formula>
    </cfRule>
    <cfRule type="cellIs" dxfId="13177" priority="18313" operator="between">
      <formula>0.95</formula>
      <formula>1</formula>
    </cfRule>
    <cfRule type="cellIs" dxfId="13176" priority="18314" stopIfTrue="1" operator="between">
      <formula>0</formula>
      <formula>0.5</formula>
    </cfRule>
  </conditionalFormatting>
  <conditionalFormatting sqref="AF308">
    <cfRule type="cellIs" dxfId="13175" priority="18305" operator="between">
      <formula>0.76</formula>
      <formula>0.95</formula>
    </cfRule>
    <cfRule type="cellIs" dxfId="13174" priority="18306" operator="between">
      <formula>0.51</formula>
      <formula>0.75</formula>
    </cfRule>
    <cfRule type="cellIs" dxfId="13173" priority="18307" operator="greaterThan">
      <formula>1</formula>
    </cfRule>
    <cfRule type="cellIs" dxfId="13172" priority="18308" operator="between">
      <formula>0.95</formula>
      <formula>1</formula>
    </cfRule>
    <cfRule type="cellIs" dxfId="13171" priority="18309" stopIfTrue="1" operator="between">
      <formula>0</formula>
      <formula>0.5</formula>
    </cfRule>
  </conditionalFormatting>
  <conditionalFormatting sqref="AF320">
    <cfRule type="cellIs" dxfId="13170" priority="18300" operator="between">
      <formula>0.76</formula>
      <formula>0.95</formula>
    </cfRule>
    <cfRule type="cellIs" dxfId="13169" priority="18301" operator="between">
      <formula>0.51</formula>
      <formula>0.75</formula>
    </cfRule>
    <cfRule type="cellIs" dxfId="13168" priority="18302" operator="greaterThan">
      <formula>1</formula>
    </cfRule>
    <cfRule type="cellIs" dxfId="13167" priority="18303" operator="between">
      <formula>0.95</formula>
      <formula>1</formula>
    </cfRule>
    <cfRule type="cellIs" dxfId="13166" priority="18304" stopIfTrue="1" operator="between">
      <formula>0</formula>
      <formula>0.5</formula>
    </cfRule>
  </conditionalFormatting>
  <conditionalFormatting sqref="AF321">
    <cfRule type="cellIs" dxfId="13165" priority="18295" operator="between">
      <formula>0.76</formula>
      <formula>0.95</formula>
    </cfRule>
    <cfRule type="cellIs" dxfId="13164" priority="18296" operator="between">
      <formula>0.51</formula>
      <formula>0.75</formula>
    </cfRule>
    <cfRule type="cellIs" dxfId="13163" priority="18297" operator="greaterThan">
      <formula>1</formula>
    </cfRule>
    <cfRule type="cellIs" dxfId="13162" priority="18298" operator="between">
      <formula>0.95</formula>
      <formula>1</formula>
    </cfRule>
    <cfRule type="cellIs" dxfId="13161" priority="18299" stopIfTrue="1" operator="between">
      <formula>0</formula>
      <formula>0.5</formula>
    </cfRule>
  </conditionalFormatting>
  <conditionalFormatting sqref="AF322">
    <cfRule type="cellIs" dxfId="13160" priority="18290" operator="between">
      <formula>0.76</formula>
      <formula>0.95</formula>
    </cfRule>
    <cfRule type="cellIs" dxfId="13159" priority="18291" operator="between">
      <formula>0.51</formula>
      <formula>0.75</formula>
    </cfRule>
    <cfRule type="cellIs" dxfId="13158" priority="18292" operator="greaterThan">
      <formula>1</formula>
    </cfRule>
    <cfRule type="cellIs" dxfId="13157" priority="18293" operator="between">
      <formula>0.95</formula>
      <formula>1</formula>
    </cfRule>
    <cfRule type="cellIs" dxfId="13156" priority="18294" stopIfTrue="1" operator="between">
      <formula>0</formula>
      <formula>0.5</formula>
    </cfRule>
  </conditionalFormatting>
  <conditionalFormatting sqref="AF323">
    <cfRule type="cellIs" dxfId="13155" priority="18285" operator="between">
      <formula>0.76</formula>
      <formula>0.95</formula>
    </cfRule>
    <cfRule type="cellIs" dxfId="13154" priority="18286" operator="between">
      <formula>0.51</formula>
      <formula>0.75</formula>
    </cfRule>
    <cfRule type="cellIs" dxfId="13153" priority="18287" operator="greaterThan">
      <formula>1</formula>
    </cfRule>
    <cfRule type="cellIs" dxfId="13152" priority="18288" operator="between">
      <formula>0.95</formula>
      <formula>1</formula>
    </cfRule>
    <cfRule type="cellIs" dxfId="13151" priority="18289" stopIfTrue="1" operator="between">
      <formula>0</formula>
      <formula>0.5</formula>
    </cfRule>
  </conditionalFormatting>
  <conditionalFormatting sqref="AF324">
    <cfRule type="cellIs" dxfId="13150" priority="18280" operator="between">
      <formula>0.76</formula>
      <formula>0.95</formula>
    </cfRule>
    <cfRule type="cellIs" dxfId="13149" priority="18281" operator="between">
      <formula>0.51</formula>
      <formula>0.75</formula>
    </cfRule>
    <cfRule type="cellIs" dxfId="13148" priority="18282" operator="greaterThan">
      <formula>1</formula>
    </cfRule>
    <cfRule type="cellIs" dxfId="13147" priority="18283" operator="between">
      <formula>0.95</formula>
      <formula>1</formula>
    </cfRule>
    <cfRule type="cellIs" dxfId="13146" priority="18284" stopIfTrue="1" operator="between">
      <formula>0</formula>
      <formula>0.5</formula>
    </cfRule>
  </conditionalFormatting>
  <conditionalFormatting sqref="AF325">
    <cfRule type="cellIs" dxfId="13145" priority="18275" operator="between">
      <formula>0.76</formula>
      <formula>0.95</formula>
    </cfRule>
    <cfRule type="cellIs" dxfId="13144" priority="18276" operator="between">
      <formula>0.51</formula>
      <formula>0.75</formula>
    </cfRule>
    <cfRule type="cellIs" dxfId="13143" priority="18277" operator="greaterThan">
      <formula>1</formula>
    </cfRule>
    <cfRule type="cellIs" dxfId="13142" priority="18278" operator="between">
      <formula>0.95</formula>
      <formula>1</formula>
    </cfRule>
    <cfRule type="cellIs" dxfId="13141" priority="18279" stopIfTrue="1" operator="between">
      <formula>0</formula>
      <formula>0.5</formula>
    </cfRule>
  </conditionalFormatting>
  <conditionalFormatting sqref="AF327">
    <cfRule type="cellIs" dxfId="13140" priority="18270" operator="between">
      <formula>0.76</formula>
      <formula>0.95</formula>
    </cfRule>
    <cfRule type="cellIs" dxfId="13139" priority="18271" operator="between">
      <formula>0.51</formula>
      <formula>0.75</formula>
    </cfRule>
    <cfRule type="cellIs" dxfId="13138" priority="18272" operator="greaterThan">
      <formula>1</formula>
    </cfRule>
    <cfRule type="cellIs" dxfId="13137" priority="18273" operator="between">
      <formula>0.95</formula>
      <formula>1</formula>
    </cfRule>
    <cfRule type="cellIs" dxfId="13136" priority="18274" stopIfTrue="1" operator="between">
      <formula>0</formula>
      <formula>0.5</formula>
    </cfRule>
  </conditionalFormatting>
  <conditionalFormatting sqref="AF328">
    <cfRule type="cellIs" dxfId="13135" priority="18265" operator="between">
      <formula>0.76</formula>
      <formula>0.95</formula>
    </cfRule>
    <cfRule type="cellIs" dxfId="13134" priority="18266" operator="between">
      <formula>0.51</formula>
      <formula>0.75</formula>
    </cfRule>
    <cfRule type="cellIs" dxfId="13133" priority="18267" operator="greaterThan">
      <formula>1</formula>
    </cfRule>
    <cfRule type="cellIs" dxfId="13132" priority="18268" operator="between">
      <formula>0.95</formula>
      <formula>1</formula>
    </cfRule>
    <cfRule type="cellIs" dxfId="13131" priority="18269" stopIfTrue="1" operator="between">
      <formula>0</formula>
      <formula>0.5</formula>
    </cfRule>
  </conditionalFormatting>
  <conditionalFormatting sqref="AF331">
    <cfRule type="cellIs" dxfId="13130" priority="18260" operator="between">
      <formula>0.76</formula>
      <formula>0.95</formula>
    </cfRule>
    <cfRule type="cellIs" dxfId="13129" priority="18261" operator="between">
      <formula>0.51</formula>
      <formula>0.75</formula>
    </cfRule>
    <cfRule type="cellIs" dxfId="13128" priority="18262" operator="greaterThan">
      <formula>1</formula>
    </cfRule>
    <cfRule type="cellIs" dxfId="13127" priority="18263" operator="between">
      <formula>0.95</formula>
      <formula>1</formula>
    </cfRule>
    <cfRule type="cellIs" dxfId="13126" priority="18264" stopIfTrue="1" operator="between">
      <formula>0</formula>
      <formula>0.5</formula>
    </cfRule>
  </conditionalFormatting>
  <conditionalFormatting sqref="AF332:AF333">
    <cfRule type="cellIs" dxfId="13125" priority="18255" operator="between">
      <formula>0.76</formula>
      <formula>0.95</formula>
    </cfRule>
    <cfRule type="cellIs" dxfId="13124" priority="18256" operator="between">
      <formula>0.51</formula>
      <formula>0.75</formula>
    </cfRule>
    <cfRule type="cellIs" dxfId="13123" priority="18257" operator="greaterThan">
      <formula>1</formula>
    </cfRule>
    <cfRule type="cellIs" dxfId="13122" priority="18258" operator="between">
      <formula>0.95</formula>
      <formula>1</formula>
    </cfRule>
    <cfRule type="cellIs" dxfId="13121" priority="18259" stopIfTrue="1" operator="between">
      <formula>0</formula>
      <formula>0.5</formula>
    </cfRule>
  </conditionalFormatting>
  <conditionalFormatting sqref="AF334">
    <cfRule type="cellIs" dxfId="13120" priority="18245" operator="between">
      <formula>0.76</formula>
      <formula>0.95</formula>
    </cfRule>
    <cfRule type="cellIs" dxfId="13119" priority="18246" operator="between">
      <formula>0.51</formula>
      <formula>0.75</formula>
    </cfRule>
    <cfRule type="cellIs" dxfId="13118" priority="18247" operator="greaterThan">
      <formula>1</formula>
    </cfRule>
    <cfRule type="cellIs" dxfId="13117" priority="18248" operator="between">
      <formula>0.95</formula>
      <formula>1</formula>
    </cfRule>
    <cfRule type="cellIs" dxfId="13116" priority="18249" stopIfTrue="1" operator="between">
      <formula>0</formula>
      <formula>0.5</formula>
    </cfRule>
  </conditionalFormatting>
  <conditionalFormatting sqref="AF363">
    <cfRule type="cellIs" dxfId="13115" priority="18240" operator="between">
      <formula>0.76</formula>
      <formula>0.95</formula>
    </cfRule>
    <cfRule type="cellIs" dxfId="13114" priority="18241" operator="between">
      <formula>0.51</formula>
      <formula>0.75</formula>
    </cfRule>
    <cfRule type="cellIs" dxfId="13113" priority="18242" operator="greaterThan">
      <formula>1</formula>
    </cfRule>
    <cfRule type="cellIs" dxfId="13112" priority="18243" operator="between">
      <formula>0.95</formula>
      <formula>1</formula>
    </cfRule>
    <cfRule type="cellIs" dxfId="13111" priority="18244" stopIfTrue="1" operator="between">
      <formula>0</formula>
      <formula>0.5</formula>
    </cfRule>
  </conditionalFormatting>
  <conditionalFormatting sqref="AF376">
    <cfRule type="cellIs" dxfId="13110" priority="18235" operator="between">
      <formula>0.76</formula>
      <formula>0.95</formula>
    </cfRule>
    <cfRule type="cellIs" dxfId="13109" priority="18236" operator="between">
      <formula>0.51</formula>
      <formula>0.75</formula>
    </cfRule>
    <cfRule type="cellIs" dxfId="13108" priority="18237" operator="greaterThan">
      <formula>1</formula>
    </cfRule>
    <cfRule type="cellIs" dxfId="13107" priority="18238" operator="between">
      <formula>0.95</formula>
      <formula>1</formula>
    </cfRule>
    <cfRule type="cellIs" dxfId="13106" priority="18239" stopIfTrue="1" operator="between">
      <formula>0</formula>
      <formula>0.5</formula>
    </cfRule>
  </conditionalFormatting>
  <conditionalFormatting sqref="AF382">
    <cfRule type="cellIs" dxfId="13105" priority="18230" operator="between">
      <formula>0.76</formula>
      <formula>0.95</formula>
    </cfRule>
    <cfRule type="cellIs" dxfId="13104" priority="18231" operator="between">
      <formula>0.51</formula>
      <formula>0.75</formula>
    </cfRule>
    <cfRule type="cellIs" dxfId="13103" priority="18232" operator="greaterThan">
      <formula>1</formula>
    </cfRule>
    <cfRule type="cellIs" dxfId="13102" priority="18233" operator="between">
      <formula>0.95</formula>
      <formula>1</formula>
    </cfRule>
    <cfRule type="cellIs" dxfId="13101" priority="18234" stopIfTrue="1" operator="between">
      <formula>0</formula>
      <formula>0.5</formula>
    </cfRule>
  </conditionalFormatting>
  <conditionalFormatting sqref="AF383">
    <cfRule type="cellIs" dxfId="13100" priority="18225" operator="between">
      <formula>0.76</formula>
      <formula>0.95</formula>
    </cfRule>
    <cfRule type="cellIs" dxfId="13099" priority="18226" operator="between">
      <formula>0.51</formula>
      <formula>0.75</formula>
    </cfRule>
    <cfRule type="cellIs" dxfId="13098" priority="18227" operator="greaterThan">
      <formula>1</formula>
    </cfRule>
    <cfRule type="cellIs" dxfId="13097" priority="18228" operator="between">
      <formula>0.95</formula>
      <formula>1</formula>
    </cfRule>
    <cfRule type="cellIs" dxfId="13096" priority="18229" stopIfTrue="1" operator="between">
      <formula>0</formula>
      <formula>0.5</formula>
    </cfRule>
  </conditionalFormatting>
  <conditionalFormatting sqref="AD307">
    <cfRule type="cellIs" dxfId="13095" priority="16587" operator="between">
      <formula>0.76</formula>
      <formula>0.95</formula>
    </cfRule>
    <cfRule type="cellIs" dxfId="13094" priority="16588" operator="between">
      <formula>0.51</formula>
      <formula>0.75</formula>
    </cfRule>
    <cfRule type="cellIs" dxfId="13093" priority="16589" operator="greaterThan">
      <formula>1</formula>
    </cfRule>
    <cfRule type="cellIs" dxfId="13092" priority="16590" operator="between">
      <formula>0.95</formula>
      <formula>1</formula>
    </cfRule>
    <cfRule type="cellIs" dxfId="13091" priority="16591" stopIfTrue="1" operator="between">
      <formula>0</formula>
      <formula>0.5</formula>
    </cfRule>
  </conditionalFormatting>
  <conditionalFormatting sqref="AF194">
    <cfRule type="cellIs" dxfId="13090" priority="16582" operator="between">
      <formula>0.76</formula>
      <formula>0.95</formula>
    </cfRule>
    <cfRule type="cellIs" dxfId="13089" priority="16583" operator="between">
      <formula>0.51</formula>
      <formula>0.75</formula>
    </cfRule>
    <cfRule type="cellIs" dxfId="13088" priority="16584" operator="greaterThan">
      <formula>1</formula>
    </cfRule>
    <cfRule type="cellIs" dxfId="13087" priority="16585" operator="between">
      <formula>0.95</formula>
      <formula>1</formula>
    </cfRule>
    <cfRule type="cellIs" dxfId="13086" priority="16586" stopIfTrue="1" operator="between">
      <formula>0</formula>
      <formula>0.5</formula>
    </cfRule>
  </conditionalFormatting>
  <conditionalFormatting sqref="K15 M277:M282 K287 M286:M287 K179 K140:K141 K163 T140:T141 T163 K143 K147:K148 T148 K150 K292:K299 M265:M266 M150 M147:M148 M143 M163 M140:M141 M179 L44:M69 L17:L38 L335:L381 K364:K375 M364:M375 K38:M38">
    <cfRule type="cellIs" dxfId="13085" priority="16577" operator="between">
      <formula>0.191</formula>
      <formula>0.24</formula>
    </cfRule>
    <cfRule type="cellIs" dxfId="13084" priority="16578" operator="between">
      <formula>0.1251</formula>
      <formula>0.19</formula>
    </cfRule>
    <cfRule type="cellIs" dxfId="13083" priority="16579" operator="greaterThan">
      <formula>0.2601</formula>
    </cfRule>
    <cfRule type="cellIs" dxfId="13082" priority="16580" operator="between">
      <formula>0.2401</formula>
      <formula>0.26</formula>
    </cfRule>
    <cfRule type="cellIs" dxfId="13081" priority="16581" stopIfTrue="1" operator="between">
      <formula>0</formula>
      <formula>0.125</formula>
    </cfRule>
  </conditionalFormatting>
  <conditionalFormatting sqref="K16:M16 M17:M30 L119:M121 L239:M240 L304:M304 L308 L323:M324 L334:M334 M37:M38 M155:M156 M42 M34:M35 M363 L107:M108 M331 M320 M151:M152 M243:M244 M247:M248 M251:M252 M257:M264 M177 M164 M144 M166 L71:M79 L86:M94 L98:M99 M95:M97 L102:M103 M100:M101 L110:M114 M122:M125 L122:L182 L184:M205 L207:M214 L216:M226 L228:M236 L241:L275 M325:M328 L325:L331 L83:M84 L277:L302 L40:L42 L306:M306 L116:M117">
    <cfRule type="cellIs" dxfId="13080" priority="16562" operator="between">
      <formula>0.191</formula>
      <formula>0.24</formula>
    </cfRule>
    <cfRule type="cellIs" dxfId="13079" priority="16563" operator="between">
      <formula>0.1251</formula>
      <formula>0.19</formula>
    </cfRule>
    <cfRule type="cellIs" dxfId="13078" priority="16564" operator="greaterThan">
      <formula>0.2601</formula>
    </cfRule>
    <cfRule type="cellIs" dxfId="13077" priority="16565" operator="between">
      <formula>0.2401</formula>
      <formula>0.26</formula>
    </cfRule>
    <cfRule type="cellIs" dxfId="13076" priority="16566" stopIfTrue="1" operator="between">
      <formula>0</formula>
      <formula>0.125</formula>
    </cfRule>
  </conditionalFormatting>
  <conditionalFormatting sqref="K17">
    <cfRule type="cellIs" dxfId="13075" priority="16557" operator="between">
      <formula>0.191</formula>
      <formula>0.24</formula>
    </cfRule>
    <cfRule type="cellIs" dxfId="13074" priority="16558" operator="between">
      <formula>0.1251</formula>
      <formula>0.19</formula>
    </cfRule>
    <cfRule type="cellIs" dxfId="13073" priority="16559" operator="greaterThan">
      <formula>0.2601</formula>
    </cfRule>
    <cfRule type="cellIs" dxfId="13072" priority="16560" operator="between">
      <formula>0.2401</formula>
      <formula>0.26</formula>
    </cfRule>
    <cfRule type="cellIs" dxfId="13071" priority="16561" stopIfTrue="1" operator="between">
      <formula>0</formula>
      <formula>0.125</formula>
    </cfRule>
  </conditionalFormatting>
  <conditionalFormatting sqref="K18">
    <cfRule type="cellIs" dxfId="13070" priority="16552" operator="between">
      <formula>0.191</formula>
      <formula>0.24</formula>
    </cfRule>
    <cfRule type="cellIs" dxfId="13069" priority="16553" operator="between">
      <formula>0.1251</formula>
      <formula>0.19</formula>
    </cfRule>
    <cfRule type="cellIs" dxfId="13068" priority="16554" operator="greaterThan">
      <formula>0.2601</formula>
    </cfRule>
    <cfRule type="cellIs" dxfId="13067" priority="16555" operator="between">
      <formula>0.2401</formula>
      <formula>0.26</formula>
    </cfRule>
    <cfRule type="cellIs" dxfId="13066" priority="16556" stopIfTrue="1" operator="between">
      <formula>0</formula>
      <formula>0.125</formula>
    </cfRule>
  </conditionalFormatting>
  <conditionalFormatting sqref="K19">
    <cfRule type="cellIs" dxfId="13065" priority="16547" operator="between">
      <formula>0.191</formula>
      <formula>0.24</formula>
    </cfRule>
    <cfRule type="cellIs" dxfId="13064" priority="16548" operator="between">
      <formula>0.1251</formula>
      <formula>0.19</formula>
    </cfRule>
    <cfRule type="cellIs" dxfId="13063" priority="16549" operator="greaterThan">
      <formula>0.2601</formula>
    </cfRule>
    <cfRule type="cellIs" dxfId="13062" priority="16550" operator="between">
      <formula>0.2401</formula>
      <formula>0.26</formula>
    </cfRule>
    <cfRule type="cellIs" dxfId="13061" priority="16551" stopIfTrue="1" operator="between">
      <formula>0</formula>
      <formula>0.125</formula>
    </cfRule>
  </conditionalFormatting>
  <conditionalFormatting sqref="K20">
    <cfRule type="cellIs" dxfId="13060" priority="16542" operator="between">
      <formula>0.191</formula>
      <formula>0.24</formula>
    </cfRule>
    <cfRule type="cellIs" dxfId="13059" priority="16543" operator="between">
      <formula>0.1251</formula>
      <formula>0.19</formula>
    </cfRule>
    <cfRule type="cellIs" dxfId="13058" priority="16544" operator="greaterThan">
      <formula>0.2601</formula>
    </cfRule>
    <cfRule type="cellIs" dxfId="13057" priority="16545" operator="between">
      <formula>0.2401</formula>
      <formula>0.26</formula>
    </cfRule>
    <cfRule type="cellIs" dxfId="13056" priority="16546" stopIfTrue="1" operator="between">
      <formula>0</formula>
      <formula>0.125</formula>
    </cfRule>
  </conditionalFormatting>
  <conditionalFormatting sqref="K21">
    <cfRule type="cellIs" dxfId="13055" priority="16537" operator="between">
      <formula>0.191</formula>
      <formula>0.24</formula>
    </cfRule>
    <cfRule type="cellIs" dxfId="13054" priority="16538" operator="between">
      <formula>0.1251</formula>
      <formula>0.19</formula>
    </cfRule>
    <cfRule type="cellIs" dxfId="13053" priority="16539" operator="greaterThan">
      <formula>0.2601</formula>
    </cfRule>
    <cfRule type="cellIs" dxfId="13052" priority="16540" operator="between">
      <formula>0.2401</formula>
      <formula>0.26</formula>
    </cfRule>
    <cfRule type="cellIs" dxfId="13051" priority="16541" stopIfTrue="1" operator="between">
      <formula>0</formula>
      <formula>0.125</formula>
    </cfRule>
  </conditionalFormatting>
  <conditionalFormatting sqref="K22">
    <cfRule type="cellIs" dxfId="13050" priority="16532" operator="between">
      <formula>0.191</formula>
      <formula>0.24</formula>
    </cfRule>
    <cfRule type="cellIs" dxfId="13049" priority="16533" operator="between">
      <formula>0.1251</formula>
      <formula>0.19</formula>
    </cfRule>
    <cfRule type="cellIs" dxfId="13048" priority="16534" operator="greaterThan">
      <formula>0.2601</formula>
    </cfRule>
    <cfRule type="cellIs" dxfId="13047" priority="16535" operator="between">
      <formula>0.2401</formula>
      <formula>0.26</formula>
    </cfRule>
    <cfRule type="cellIs" dxfId="13046" priority="16536" stopIfTrue="1" operator="between">
      <formula>0</formula>
      <formula>0.125</formula>
    </cfRule>
  </conditionalFormatting>
  <conditionalFormatting sqref="K23">
    <cfRule type="cellIs" dxfId="13045" priority="16527" operator="between">
      <formula>0.191</formula>
      <formula>0.24</formula>
    </cfRule>
    <cfRule type="cellIs" dxfId="13044" priority="16528" operator="between">
      <formula>0.1251</formula>
      <formula>0.19</formula>
    </cfRule>
    <cfRule type="cellIs" dxfId="13043" priority="16529" operator="greaterThan">
      <formula>0.2601</formula>
    </cfRule>
    <cfRule type="cellIs" dxfId="13042" priority="16530" operator="between">
      <formula>0.2401</formula>
      <formula>0.26</formula>
    </cfRule>
    <cfRule type="cellIs" dxfId="13041" priority="16531" stopIfTrue="1" operator="between">
      <formula>0</formula>
      <formula>0.125</formula>
    </cfRule>
  </conditionalFormatting>
  <conditionalFormatting sqref="K25">
    <cfRule type="cellIs" dxfId="13040" priority="16522" operator="between">
      <formula>0.191</formula>
      <formula>0.24</formula>
    </cfRule>
    <cfRule type="cellIs" dxfId="13039" priority="16523" operator="between">
      <formula>0.1251</formula>
      <formula>0.19</formula>
    </cfRule>
    <cfRule type="cellIs" dxfId="13038" priority="16524" operator="greaterThan">
      <formula>0.2601</formula>
    </cfRule>
    <cfRule type="cellIs" dxfId="13037" priority="16525" operator="between">
      <formula>0.2401</formula>
      <formula>0.26</formula>
    </cfRule>
    <cfRule type="cellIs" dxfId="13036" priority="16526" stopIfTrue="1" operator="between">
      <formula>0</formula>
      <formula>0.125</formula>
    </cfRule>
  </conditionalFormatting>
  <conditionalFormatting sqref="K26">
    <cfRule type="cellIs" dxfId="13035" priority="16517" operator="between">
      <formula>0.191</formula>
      <formula>0.24</formula>
    </cfRule>
    <cfRule type="cellIs" dxfId="13034" priority="16518" operator="between">
      <formula>0.1251</formula>
      <formula>0.19</formula>
    </cfRule>
    <cfRule type="cellIs" dxfId="13033" priority="16519" operator="greaterThan">
      <formula>0.2601</formula>
    </cfRule>
    <cfRule type="cellIs" dxfId="13032" priority="16520" operator="between">
      <formula>0.2401</formula>
      <formula>0.26</formula>
    </cfRule>
    <cfRule type="cellIs" dxfId="13031" priority="16521" stopIfTrue="1" operator="between">
      <formula>0</formula>
      <formula>0.125</formula>
    </cfRule>
  </conditionalFormatting>
  <conditionalFormatting sqref="K27">
    <cfRule type="cellIs" dxfId="13030" priority="16512" operator="between">
      <formula>0.191</formula>
      <formula>0.24</formula>
    </cfRule>
    <cfRule type="cellIs" dxfId="13029" priority="16513" operator="between">
      <formula>0.1251</formula>
      <formula>0.19</formula>
    </cfRule>
    <cfRule type="cellIs" dxfId="13028" priority="16514" operator="greaterThan">
      <formula>0.2601</formula>
    </cfRule>
    <cfRule type="cellIs" dxfId="13027" priority="16515" operator="between">
      <formula>0.2401</formula>
      <formula>0.26</formula>
    </cfRule>
    <cfRule type="cellIs" dxfId="13026" priority="16516" stopIfTrue="1" operator="between">
      <formula>0</formula>
      <formula>0.125</formula>
    </cfRule>
  </conditionalFormatting>
  <conditionalFormatting sqref="K28">
    <cfRule type="cellIs" dxfId="13025" priority="16507" operator="between">
      <formula>0.191</formula>
      <formula>0.24</formula>
    </cfRule>
    <cfRule type="cellIs" dxfId="13024" priority="16508" operator="between">
      <formula>0.1251</formula>
      <formula>0.19</formula>
    </cfRule>
    <cfRule type="cellIs" dxfId="13023" priority="16509" operator="greaterThan">
      <formula>0.2601</formula>
    </cfRule>
    <cfRule type="cellIs" dxfId="13022" priority="16510" operator="between">
      <formula>0.2401</formula>
      <formula>0.26</formula>
    </cfRule>
    <cfRule type="cellIs" dxfId="13021" priority="16511" stopIfTrue="1" operator="between">
      <formula>0</formula>
      <formula>0.125</formula>
    </cfRule>
  </conditionalFormatting>
  <conditionalFormatting sqref="K29">
    <cfRule type="cellIs" dxfId="13020" priority="16502" operator="between">
      <formula>0.191</formula>
      <formula>0.24</formula>
    </cfRule>
    <cfRule type="cellIs" dxfId="13019" priority="16503" operator="between">
      <formula>0.1251</formula>
      <formula>0.19</formula>
    </cfRule>
    <cfRule type="cellIs" dxfId="13018" priority="16504" operator="greaterThan">
      <formula>0.2601</formula>
    </cfRule>
    <cfRule type="cellIs" dxfId="13017" priority="16505" operator="between">
      <formula>0.2401</formula>
      <formula>0.26</formula>
    </cfRule>
    <cfRule type="cellIs" dxfId="13016" priority="16506" stopIfTrue="1" operator="between">
      <formula>0</formula>
      <formula>0.125</formula>
    </cfRule>
  </conditionalFormatting>
  <conditionalFormatting sqref="K30">
    <cfRule type="cellIs" dxfId="13015" priority="16497" operator="between">
      <formula>0.191</formula>
      <formula>0.24</formula>
    </cfRule>
    <cfRule type="cellIs" dxfId="13014" priority="16498" operator="between">
      <formula>0.1251</formula>
      <formula>0.19</formula>
    </cfRule>
    <cfRule type="cellIs" dxfId="13013" priority="16499" operator="greaterThan">
      <formula>0.2601</formula>
    </cfRule>
    <cfRule type="cellIs" dxfId="13012" priority="16500" operator="between">
      <formula>0.2401</formula>
      <formula>0.26</formula>
    </cfRule>
    <cfRule type="cellIs" dxfId="13011" priority="16501" stopIfTrue="1" operator="between">
      <formula>0</formula>
      <formula>0.125</formula>
    </cfRule>
  </conditionalFormatting>
  <conditionalFormatting sqref="K34">
    <cfRule type="cellIs" dxfId="13010" priority="16492" operator="between">
      <formula>0.191</formula>
      <formula>0.24</formula>
    </cfRule>
    <cfRule type="cellIs" dxfId="13009" priority="16493" operator="between">
      <formula>0.1251</formula>
      <formula>0.19</formula>
    </cfRule>
    <cfRule type="cellIs" dxfId="13008" priority="16494" operator="greaterThan">
      <formula>0.2601</formula>
    </cfRule>
    <cfRule type="cellIs" dxfId="13007" priority="16495" operator="between">
      <formula>0.2401</formula>
      <formula>0.26</formula>
    </cfRule>
    <cfRule type="cellIs" dxfId="13006" priority="16496" stopIfTrue="1" operator="between">
      <formula>0</formula>
      <formula>0.125</formula>
    </cfRule>
  </conditionalFormatting>
  <conditionalFormatting sqref="K42">
    <cfRule type="cellIs" dxfId="13005" priority="16482" operator="between">
      <formula>0.191</formula>
      <formula>0.24</formula>
    </cfRule>
    <cfRule type="cellIs" dxfId="13004" priority="16483" operator="between">
      <formula>0.1251</formula>
      <formula>0.19</formula>
    </cfRule>
    <cfRule type="cellIs" dxfId="13003" priority="16484" operator="greaterThan">
      <formula>0.2601</formula>
    </cfRule>
    <cfRule type="cellIs" dxfId="13002" priority="16485" operator="between">
      <formula>0.2401</formula>
      <formula>0.26</formula>
    </cfRule>
    <cfRule type="cellIs" dxfId="13001" priority="16486" stopIfTrue="1" operator="between">
      <formula>0</formula>
      <formula>0.125</formula>
    </cfRule>
  </conditionalFormatting>
  <conditionalFormatting sqref="K43">
    <cfRule type="cellIs" dxfId="13000" priority="16477" operator="between">
      <formula>0.191</formula>
      <formula>0.24</formula>
    </cfRule>
    <cfRule type="cellIs" dxfId="12999" priority="16478" operator="between">
      <formula>0.1251</formula>
      <formula>0.19</formula>
    </cfRule>
    <cfRule type="cellIs" dxfId="12998" priority="16479" operator="greaterThan">
      <formula>0.2601</formula>
    </cfRule>
    <cfRule type="cellIs" dxfId="12997" priority="16480" operator="between">
      <formula>0.2401</formula>
      <formula>0.26</formula>
    </cfRule>
    <cfRule type="cellIs" dxfId="12996" priority="16481" stopIfTrue="1" operator="between">
      <formula>0</formula>
      <formula>0.125</formula>
    </cfRule>
  </conditionalFormatting>
  <conditionalFormatting sqref="K44">
    <cfRule type="cellIs" dxfId="12995" priority="16472" operator="between">
      <formula>0.191</formula>
      <formula>0.24</formula>
    </cfRule>
    <cfRule type="cellIs" dxfId="12994" priority="16473" operator="between">
      <formula>0.1251</formula>
      <formula>0.19</formula>
    </cfRule>
    <cfRule type="cellIs" dxfId="12993" priority="16474" operator="greaterThan">
      <formula>0.2601</formula>
    </cfRule>
    <cfRule type="cellIs" dxfId="12992" priority="16475" operator="between">
      <formula>0.2401</formula>
      <formula>0.26</formula>
    </cfRule>
    <cfRule type="cellIs" dxfId="12991" priority="16476" stopIfTrue="1" operator="between">
      <formula>0</formula>
      <formula>0.125</formula>
    </cfRule>
  </conditionalFormatting>
  <conditionalFormatting sqref="K45">
    <cfRule type="cellIs" dxfId="12990" priority="16467" operator="between">
      <formula>0.191</formula>
      <formula>0.24</formula>
    </cfRule>
    <cfRule type="cellIs" dxfId="12989" priority="16468" operator="between">
      <formula>0.1251</formula>
      <formula>0.19</formula>
    </cfRule>
    <cfRule type="cellIs" dxfId="12988" priority="16469" operator="greaterThan">
      <formula>0.2601</formula>
    </cfRule>
    <cfRule type="cellIs" dxfId="12987" priority="16470" operator="between">
      <formula>0.2401</formula>
      <formula>0.26</formula>
    </cfRule>
    <cfRule type="cellIs" dxfId="12986" priority="16471" stopIfTrue="1" operator="between">
      <formula>0</formula>
      <formula>0.125</formula>
    </cfRule>
  </conditionalFormatting>
  <conditionalFormatting sqref="K46">
    <cfRule type="cellIs" dxfId="12985" priority="16462" operator="between">
      <formula>0.191</formula>
      <formula>0.24</formula>
    </cfRule>
    <cfRule type="cellIs" dxfId="12984" priority="16463" operator="between">
      <formula>0.1251</formula>
      <formula>0.19</formula>
    </cfRule>
    <cfRule type="cellIs" dxfId="12983" priority="16464" operator="greaterThan">
      <formula>0.2601</formula>
    </cfRule>
    <cfRule type="cellIs" dxfId="12982" priority="16465" operator="between">
      <formula>0.2401</formula>
      <formula>0.26</formula>
    </cfRule>
    <cfRule type="cellIs" dxfId="12981" priority="16466" stopIfTrue="1" operator="between">
      <formula>0</formula>
      <formula>0.125</formula>
    </cfRule>
  </conditionalFormatting>
  <conditionalFormatting sqref="K47">
    <cfRule type="cellIs" dxfId="12980" priority="16457" operator="between">
      <formula>0.191</formula>
      <formula>0.24</formula>
    </cfRule>
    <cfRule type="cellIs" dxfId="12979" priority="16458" operator="between">
      <formula>0.1251</formula>
      <formula>0.19</formula>
    </cfRule>
    <cfRule type="cellIs" dxfId="12978" priority="16459" operator="greaterThan">
      <formula>0.2601</formula>
    </cfRule>
    <cfRule type="cellIs" dxfId="12977" priority="16460" operator="between">
      <formula>0.2401</formula>
      <formula>0.26</formula>
    </cfRule>
    <cfRule type="cellIs" dxfId="12976" priority="16461" stopIfTrue="1" operator="between">
      <formula>0</formula>
      <formula>0.125</formula>
    </cfRule>
  </conditionalFormatting>
  <conditionalFormatting sqref="K48">
    <cfRule type="cellIs" dxfId="12975" priority="16452" operator="between">
      <formula>0.191</formula>
      <formula>0.24</formula>
    </cfRule>
    <cfRule type="cellIs" dxfId="12974" priority="16453" operator="between">
      <formula>0.1251</formula>
      <formula>0.19</formula>
    </cfRule>
    <cfRule type="cellIs" dxfId="12973" priority="16454" operator="greaterThan">
      <formula>0.2601</formula>
    </cfRule>
    <cfRule type="cellIs" dxfId="12972" priority="16455" operator="between">
      <formula>0.2401</formula>
      <formula>0.26</formula>
    </cfRule>
    <cfRule type="cellIs" dxfId="12971" priority="16456" stopIfTrue="1" operator="between">
      <formula>0</formula>
      <formula>0.125</formula>
    </cfRule>
  </conditionalFormatting>
  <conditionalFormatting sqref="K49">
    <cfRule type="cellIs" dxfId="12970" priority="16447" operator="between">
      <formula>0.191</formula>
      <formula>0.24</formula>
    </cfRule>
    <cfRule type="cellIs" dxfId="12969" priority="16448" operator="between">
      <formula>0.1251</formula>
      <formula>0.19</formula>
    </cfRule>
    <cfRule type="cellIs" dxfId="12968" priority="16449" operator="greaterThan">
      <formula>0.2601</formula>
    </cfRule>
    <cfRule type="cellIs" dxfId="12967" priority="16450" operator="between">
      <formula>0.2401</formula>
      <formula>0.26</formula>
    </cfRule>
    <cfRule type="cellIs" dxfId="12966" priority="16451" stopIfTrue="1" operator="between">
      <formula>0</formula>
      <formula>0.125</formula>
    </cfRule>
  </conditionalFormatting>
  <conditionalFormatting sqref="K50">
    <cfRule type="cellIs" dxfId="12965" priority="16442" operator="between">
      <formula>0.191</formula>
      <formula>0.24</formula>
    </cfRule>
    <cfRule type="cellIs" dxfId="12964" priority="16443" operator="between">
      <formula>0.1251</formula>
      <formula>0.19</formula>
    </cfRule>
    <cfRule type="cellIs" dxfId="12963" priority="16444" operator="greaterThan">
      <formula>0.2601</formula>
    </cfRule>
    <cfRule type="cellIs" dxfId="12962" priority="16445" operator="between">
      <formula>0.2401</formula>
      <formula>0.26</formula>
    </cfRule>
    <cfRule type="cellIs" dxfId="12961" priority="16446" stopIfTrue="1" operator="between">
      <formula>0</formula>
      <formula>0.125</formula>
    </cfRule>
  </conditionalFormatting>
  <conditionalFormatting sqref="K51">
    <cfRule type="cellIs" dxfId="12960" priority="16437" operator="between">
      <formula>0.191</formula>
      <formula>0.24</formula>
    </cfRule>
    <cfRule type="cellIs" dxfId="12959" priority="16438" operator="between">
      <formula>0.1251</formula>
      <formula>0.19</formula>
    </cfRule>
    <cfRule type="cellIs" dxfId="12958" priority="16439" operator="greaterThan">
      <formula>0.2601</formula>
    </cfRule>
    <cfRule type="cellIs" dxfId="12957" priority="16440" operator="between">
      <formula>0.2401</formula>
      <formula>0.26</formula>
    </cfRule>
    <cfRule type="cellIs" dxfId="12956" priority="16441" stopIfTrue="1" operator="between">
      <formula>0</formula>
      <formula>0.125</formula>
    </cfRule>
  </conditionalFormatting>
  <conditionalFormatting sqref="K52">
    <cfRule type="cellIs" dxfId="12955" priority="16432" operator="between">
      <formula>0.191</formula>
      <formula>0.24</formula>
    </cfRule>
    <cfRule type="cellIs" dxfId="12954" priority="16433" operator="between">
      <formula>0.1251</formula>
      <formula>0.19</formula>
    </cfRule>
    <cfRule type="cellIs" dxfId="12953" priority="16434" operator="greaterThan">
      <formula>0.2601</formula>
    </cfRule>
    <cfRule type="cellIs" dxfId="12952" priority="16435" operator="between">
      <formula>0.2401</formula>
      <formula>0.26</formula>
    </cfRule>
    <cfRule type="cellIs" dxfId="12951" priority="16436" stopIfTrue="1" operator="between">
      <formula>0</formula>
      <formula>0.125</formula>
    </cfRule>
  </conditionalFormatting>
  <conditionalFormatting sqref="K53">
    <cfRule type="cellIs" dxfId="12950" priority="16427" operator="between">
      <formula>0.191</formula>
      <formula>0.24</formula>
    </cfRule>
    <cfRule type="cellIs" dxfId="12949" priority="16428" operator="between">
      <formula>0.1251</formula>
      <formula>0.19</formula>
    </cfRule>
    <cfRule type="cellIs" dxfId="12948" priority="16429" operator="greaterThan">
      <formula>0.2601</formula>
    </cfRule>
    <cfRule type="cellIs" dxfId="12947" priority="16430" operator="between">
      <formula>0.2401</formula>
      <formula>0.26</formula>
    </cfRule>
    <cfRule type="cellIs" dxfId="12946" priority="16431" stopIfTrue="1" operator="between">
      <formula>0</formula>
      <formula>0.125</formula>
    </cfRule>
  </conditionalFormatting>
  <conditionalFormatting sqref="K54">
    <cfRule type="cellIs" dxfId="12945" priority="16422" operator="between">
      <formula>0.191</formula>
      <formula>0.24</formula>
    </cfRule>
    <cfRule type="cellIs" dxfId="12944" priority="16423" operator="between">
      <formula>0.1251</formula>
      <formula>0.19</formula>
    </cfRule>
    <cfRule type="cellIs" dxfId="12943" priority="16424" operator="greaterThan">
      <formula>0.2601</formula>
    </cfRule>
    <cfRule type="cellIs" dxfId="12942" priority="16425" operator="between">
      <formula>0.2401</formula>
      <formula>0.26</formula>
    </cfRule>
    <cfRule type="cellIs" dxfId="12941" priority="16426" stopIfTrue="1" operator="between">
      <formula>0</formula>
      <formula>0.125</formula>
    </cfRule>
  </conditionalFormatting>
  <conditionalFormatting sqref="K55">
    <cfRule type="cellIs" dxfId="12940" priority="16417" operator="between">
      <formula>0.191</formula>
      <formula>0.24</formula>
    </cfRule>
    <cfRule type="cellIs" dxfId="12939" priority="16418" operator="between">
      <formula>0.1251</formula>
      <formula>0.19</formula>
    </cfRule>
    <cfRule type="cellIs" dxfId="12938" priority="16419" operator="greaterThan">
      <formula>0.2601</formula>
    </cfRule>
    <cfRule type="cellIs" dxfId="12937" priority="16420" operator="between">
      <formula>0.2401</formula>
      <formula>0.26</formula>
    </cfRule>
    <cfRule type="cellIs" dxfId="12936" priority="16421" stopIfTrue="1" operator="between">
      <formula>0</formula>
      <formula>0.125</formula>
    </cfRule>
  </conditionalFormatting>
  <conditionalFormatting sqref="K56">
    <cfRule type="cellIs" dxfId="12935" priority="16412" operator="between">
      <formula>0.191</formula>
      <formula>0.24</formula>
    </cfRule>
    <cfRule type="cellIs" dxfId="12934" priority="16413" operator="between">
      <formula>0.1251</formula>
      <formula>0.19</formula>
    </cfRule>
    <cfRule type="cellIs" dxfId="12933" priority="16414" operator="greaterThan">
      <formula>0.2601</formula>
    </cfRule>
    <cfRule type="cellIs" dxfId="12932" priority="16415" operator="between">
      <formula>0.2401</formula>
      <formula>0.26</formula>
    </cfRule>
    <cfRule type="cellIs" dxfId="12931" priority="16416" stopIfTrue="1" operator="between">
      <formula>0</formula>
      <formula>0.125</formula>
    </cfRule>
  </conditionalFormatting>
  <conditionalFormatting sqref="K57">
    <cfRule type="cellIs" dxfId="12930" priority="16407" operator="between">
      <formula>0.191</formula>
      <formula>0.24</formula>
    </cfRule>
    <cfRule type="cellIs" dxfId="12929" priority="16408" operator="between">
      <formula>0.1251</formula>
      <formula>0.19</formula>
    </cfRule>
    <cfRule type="cellIs" dxfId="12928" priority="16409" operator="greaterThan">
      <formula>0.2601</formula>
    </cfRule>
    <cfRule type="cellIs" dxfId="12927" priority="16410" operator="between">
      <formula>0.2401</formula>
      <formula>0.26</formula>
    </cfRule>
    <cfRule type="cellIs" dxfId="12926" priority="16411" stopIfTrue="1" operator="between">
      <formula>0</formula>
      <formula>0.125</formula>
    </cfRule>
  </conditionalFormatting>
  <conditionalFormatting sqref="K58">
    <cfRule type="cellIs" dxfId="12925" priority="16402" operator="between">
      <formula>0.191</formula>
      <formula>0.24</formula>
    </cfRule>
    <cfRule type="cellIs" dxfId="12924" priority="16403" operator="between">
      <formula>0.1251</formula>
      <formula>0.19</formula>
    </cfRule>
    <cfRule type="cellIs" dxfId="12923" priority="16404" operator="greaterThan">
      <formula>0.2601</formula>
    </cfRule>
    <cfRule type="cellIs" dxfId="12922" priority="16405" operator="between">
      <formula>0.2401</formula>
      <formula>0.26</formula>
    </cfRule>
    <cfRule type="cellIs" dxfId="12921" priority="16406" stopIfTrue="1" operator="between">
      <formula>0</formula>
      <formula>0.125</formula>
    </cfRule>
  </conditionalFormatting>
  <conditionalFormatting sqref="K59">
    <cfRule type="cellIs" dxfId="12920" priority="16397" operator="between">
      <formula>0.191</formula>
      <formula>0.24</formula>
    </cfRule>
    <cfRule type="cellIs" dxfId="12919" priority="16398" operator="between">
      <formula>0.1251</formula>
      <formula>0.19</formula>
    </cfRule>
    <cfRule type="cellIs" dxfId="12918" priority="16399" operator="greaterThan">
      <formula>0.2601</formula>
    </cfRule>
    <cfRule type="cellIs" dxfId="12917" priority="16400" operator="between">
      <formula>0.2401</formula>
      <formula>0.26</formula>
    </cfRule>
    <cfRule type="cellIs" dxfId="12916" priority="16401" stopIfTrue="1" operator="between">
      <formula>0</formula>
      <formula>0.125</formula>
    </cfRule>
  </conditionalFormatting>
  <conditionalFormatting sqref="K60">
    <cfRule type="cellIs" dxfId="12915" priority="16392" operator="between">
      <formula>0.191</formula>
      <formula>0.24</formula>
    </cfRule>
    <cfRule type="cellIs" dxfId="12914" priority="16393" operator="between">
      <formula>0.1251</formula>
      <formula>0.19</formula>
    </cfRule>
    <cfRule type="cellIs" dxfId="12913" priority="16394" operator="greaterThan">
      <formula>0.2601</formula>
    </cfRule>
    <cfRule type="cellIs" dxfId="12912" priority="16395" operator="between">
      <formula>0.2401</formula>
      <formula>0.26</formula>
    </cfRule>
    <cfRule type="cellIs" dxfId="12911" priority="16396" stopIfTrue="1" operator="between">
      <formula>0</formula>
      <formula>0.125</formula>
    </cfRule>
  </conditionalFormatting>
  <conditionalFormatting sqref="K61">
    <cfRule type="cellIs" dxfId="12910" priority="16387" operator="between">
      <formula>0.191</formula>
      <formula>0.24</formula>
    </cfRule>
    <cfRule type="cellIs" dxfId="12909" priority="16388" operator="between">
      <formula>0.1251</formula>
      <formula>0.19</formula>
    </cfRule>
    <cfRule type="cellIs" dxfId="12908" priority="16389" operator="greaterThan">
      <formula>0.2601</formula>
    </cfRule>
    <cfRule type="cellIs" dxfId="12907" priority="16390" operator="between">
      <formula>0.2401</formula>
      <formula>0.26</formula>
    </cfRule>
    <cfRule type="cellIs" dxfId="12906" priority="16391" stopIfTrue="1" operator="between">
      <formula>0</formula>
      <formula>0.125</formula>
    </cfRule>
  </conditionalFormatting>
  <conditionalFormatting sqref="K62">
    <cfRule type="cellIs" dxfId="12905" priority="16382" operator="between">
      <formula>0.191</formula>
      <formula>0.24</formula>
    </cfRule>
    <cfRule type="cellIs" dxfId="12904" priority="16383" operator="between">
      <formula>0.1251</formula>
      <formula>0.19</formula>
    </cfRule>
    <cfRule type="cellIs" dxfId="12903" priority="16384" operator="greaterThan">
      <formula>0.2601</formula>
    </cfRule>
    <cfRule type="cellIs" dxfId="12902" priority="16385" operator="between">
      <formula>0.2401</formula>
      <formula>0.26</formula>
    </cfRule>
    <cfRule type="cellIs" dxfId="12901" priority="16386" stopIfTrue="1" operator="between">
      <formula>0</formula>
      <formula>0.125</formula>
    </cfRule>
  </conditionalFormatting>
  <conditionalFormatting sqref="K63">
    <cfRule type="cellIs" dxfId="12900" priority="16377" operator="between">
      <formula>0.191</formula>
      <formula>0.24</formula>
    </cfRule>
    <cfRule type="cellIs" dxfId="12899" priority="16378" operator="between">
      <formula>0.1251</formula>
      <formula>0.19</formula>
    </cfRule>
    <cfRule type="cellIs" dxfId="12898" priority="16379" operator="greaterThan">
      <formula>0.2601</formula>
    </cfRule>
    <cfRule type="cellIs" dxfId="12897" priority="16380" operator="between">
      <formula>0.2401</formula>
      <formula>0.26</formula>
    </cfRule>
    <cfRule type="cellIs" dxfId="12896" priority="16381" stopIfTrue="1" operator="between">
      <formula>0</formula>
      <formula>0.125</formula>
    </cfRule>
  </conditionalFormatting>
  <conditionalFormatting sqref="K64">
    <cfRule type="cellIs" dxfId="12895" priority="16372" operator="between">
      <formula>0.191</formula>
      <formula>0.24</formula>
    </cfRule>
    <cfRule type="cellIs" dxfId="12894" priority="16373" operator="between">
      <formula>0.1251</formula>
      <formula>0.19</formula>
    </cfRule>
    <cfRule type="cellIs" dxfId="12893" priority="16374" operator="greaterThan">
      <formula>0.2601</formula>
    </cfRule>
    <cfRule type="cellIs" dxfId="12892" priority="16375" operator="between">
      <formula>0.2401</formula>
      <formula>0.26</formula>
    </cfRule>
    <cfRule type="cellIs" dxfId="12891" priority="16376" stopIfTrue="1" operator="between">
      <formula>0</formula>
      <formula>0.125</formula>
    </cfRule>
  </conditionalFormatting>
  <conditionalFormatting sqref="K65">
    <cfRule type="cellIs" dxfId="12890" priority="16362" operator="between">
      <formula>0.191</formula>
      <formula>0.24</formula>
    </cfRule>
    <cfRule type="cellIs" dxfId="12889" priority="16363" operator="between">
      <formula>0.1251</formula>
      <formula>0.19</formula>
    </cfRule>
    <cfRule type="cellIs" dxfId="12888" priority="16364" operator="greaterThan">
      <formula>0.2601</formula>
    </cfRule>
    <cfRule type="cellIs" dxfId="12887" priority="16365" operator="between">
      <formula>0.2401</formula>
      <formula>0.26</formula>
    </cfRule>
    <cfRule type="cellIs" dxfId="12886" priority="16366" stopIfTrue="1" operator="between">
      <formula>0</formula>
      <formula>0.125</formula>
    </cfRule>
  </conditionalFormatting>
  <conditionalFormatting sqref="K66">
    <cfRule type="cellIs" dxfId="12885" priority="16357" operator="between">
      <formula>0.191</formula>
      <formula>0.24</formula>
    </cfRule>
    <cfRule type="cellIs" dxfId="12884" priority="16358" operator="between">
      <formula>0.1251</formula>
      <formula>0.19</formula>
    </cfRule>
    <cfRule type="cellIs" dxfId="12883" priority="16359" operator="greaterThan">
      <formula>0.2601</formula>
    </cfRule>
    <cfRule type="cellIs" dxfId="12882" priority="16360" operator="between">
      <formula>0.2401</formula>
      <formula>0.26</formula>
    </cfRule>
    <cfRule type="cellIs" dxfId="12881" priority="16361" stopIfTrue="1" operator="between">
      <formula>0</formula>
      <formula>0.125</formula>
    </cfRule>
  </conditionalFormatting>
  <conditionalFormatting sqref="K67">
    <cfRule type="cellIs" dxfId="12880" priority="16352" operator="between">
      <formula>0.191</formula>
      <formula>0.24</formula>
    </cfRule>
    <cfRule type="cellIs" dxfId="12879" priority="16353" operator="between">
      <formula>0.1251</formula>
      <formula>0.19</formula>
    </cfRule>
    <cfRule type="cellIs" dxfId="12878" priority="16354" operator="greaterThan">
      <formula>0.2601</formula>
    </cfRule>
    <cfRule type="cellIs" dxfId="12877" priority="16355" operator="between">
      <formula>0.2401</formula>
      <formula>0.26</formula>
    </cfRule>
    <cfRule type="cellIs" dxfId="12876" priority="16356" stopIfTrue="1" operator="between">
      <formula>0</formula>
      <formula>0.125</formula>
    </cfRule>
  </conditionalFormatting>
  <conditionalFormatting sqref="K68">
    <cfRule type="cellIs" dxfId="12875" priority="16347" operator="between">
      <formula>0.191</formula>
      <formula>0.24</formula>
    </cfRule>
    <cfRule type="cellIs" dxfId="12874" priority="16348" operator="between">
      <formula>0.1251</formula>
      <formula>0.19</formula>
    </cfRule>
    <cfRule type="cellIs" dxfId="12873" priority="16349" operator="greaterThan">
      <formula>0.2601</formula>
    </cfRule>
    <cfRule type="cellIs" dxfId="12872" priority="16350" operator="between">
      <formula>0.2401</formula>
      <formula>0.26</formula>
    </cfRule>
    <cfRule type="cellIs" dxfId="12871" priority="16351" stopIfTrue="1" operator="between">
      <formula>0</formula>
      <formula>0.125</formula>
    </cfRule>
  </conditionalFormatting>
  <conditionalFormatting sqref="K69">
    <cfRule type="cellIs" dxfId="12870" priority="16342" operator="between">
      <formula>0.191</formula>
      <formula>0.24</formula>
    </cfRule>
    <cfRule type="cellIs" dxfId="12869" priority="16343" operator="between">
      <formula>0.1251</formula>
      <formula>0.19</formula>
    </cfRule>
    <cfRule type="cellIs" dxfId="12868" priority="16344" operator="greaterThan">
      <formula>0.2601</formula>
    </cfRule>
    <cfRule type="cellIs" dxfId="12867" priority="16345" operator="between">
      <formula>0.2401</formula>
      <formula>0.26</formula>
    </cfRule>
    <cfRule type="cellIs" dxfId="12866" priority="16346" stopIfTrue="1" operator="between">
      <formula>0</formula>
      <formula>0.125</formula>
    </cfRule>
  </conditionalFormatting>
  <conditionalFormatting sqref="K71">
    <cfRule type="cellIs" dxfId="12865" priority="16337" operator="between">
      <formula>0.191</formula>
      <formula>0.24</formula>
    </cfRule>
    <cfRule type="cellIs" dxfId="12864" priority="16338" operator="between">
      <formula>0.1251</formula>
      <formula>0.19</formula>
    </cfRule>
    <cfRule type="cellIs" dxfId="12863" priority="16339" operator="greaterThan">
      <formula>0.2601</formula>
    </cfRule>
    <cfRule type="cellIs" dxfId="12862" priority="16340" operator="between">
      <formula>0.2401</formula>
      <formula>0.26</formula>
    </cfRule>
    <cfRule type="cellIs" dxfId="12861" priority="16341" stopIfTrue="1" operator="between">
      <formula>0</formula>
      <formula>0.125</formula>
    </cfRule>
  </conditionalFormatting>
  <conditionalFormatting sqref="K73">
    <cfRule type="cellIs" dxfId="12860" priority="16327" operator="between">
      <formula>0.191</formula>
      <formula>0.24</formula>
    </cfRule>
    <cfRule type="cellIs" dxfId="12859" priority="16328" operator="between">
      <formula>0.1251</formula>
      <formula>0.19</formula>
    </cfRule>
    <cfRule type="cellIs" dxfId="12858" priority="16329" operator="greaterThan">
      <formula>0.2601</formula>
    </cfRule>
    <cfRule type="cellIs" dxfId="12857" priority="16330" operator="between">
      <formula>0.2401</formula>
      <formula>0.26</formula>
    </cfRule>
    <cfRule type="cellIs" dxfId="12856" priority="16331" stopIfTrue="1" operator="between">
      <formula>0</formula>
      <formula>0.125</formula>
    </cfRule>
  </conditionalFormatting>
  <conditionalFormatting sqref="K74">
    <cfRule type="cellIs" dxfId="12855" priority="16322" operator="between">
      <formula>0.191</formula>
      <formula>0.24</formula>
    </cfRule>
    <cfRule type="cellIs" dxfId="12854" priority="16323" operator="between">
      <formula>0.1251</formula>
      <formula>0.19</formula>
    </cfRule>
    <cfRule type="cellIs" dxfId="12853" priority="16324" operator="greaterThan">
      <formula>0.2601</formula>
    </cfRule>
    <cfRule type="cellIs" dxfId="12852" priority="16325" operator="between">
      <formula>0.2401</formula>
      <formula>0.26</formula>
    </cfRule>
    <cfRule type="cellIs" dxfId="12851" priority="16326" stopIfTrue="1" operator="between">
      <formula>0</formula>
      <formula>0.125</formula>
    </cfRule>
  </conditionalFormatting>
  <conditionalFormatting sqref="K75">
    <cfRule type="cellIs" dxfId="12850" priority="16317" operator="between">
      <formula>0.191</formula>
      <formula>0.24</formula>
    </cfRule>
    <cfRule type="cellIs" dxfId="12849" priority="16318" operator="between">
      <formula>0.1251</formula>
      <formula>0.19</formula>
    </cfRule>
    <cfRule type="cellIs" dxfId="12848" priority="16319" operator="greaterThan">
      <formula>0.2601</formula>
    </cfRule>
    <cfRule type="cellIs" dxfId="12847" priority="16320" operator="between">
      <formula>0.2401</formula>
      <formula>0.26</formula>
    </cfRule>
    <cfRule type="cellIs" dxfId="12846" priority="16321" stopIfTrue="1" operator="between">
      <formula>0</formula>
      <formula>0.125</formula>
    </cfRule>
  </conditionalFormatting>
  <conditionalFormatting sqref="K70">
    <cfRule type="cellIs" dxfId="12845" priority="16292" operator="between">
      <formula>0.191</formula>
      <formula>0.24</formula>
    </cfRule>
    <cfRule type="cellIs" dxfId="12844" priority="16293" operator="between">
      <formula>0.1251</formula>
      <formula>0.19</formula>
    </cfRule>
    <cfRule type="cellIs" dxfId="12843" priority="16294" operator="greaterThan">
      <formula>0.2601</formula>
    </cfRule>
    <cfRule type="cellIs" dxfId="12842" priority="16295" operator="between">
      <formula>0.2401</formula>
      <formula>0.26</formula>
    </cfRule>
    <cfRule type="cellIs" dxfId="12841" priority="16296" stopIfTrue="1" operator="between">
      <formula>0</formula>
      <formula>0.125</formula>
    </cfRule>
  </conditionalFormatting>
  <conditionalFormatting sqref="K76">
    <cfRule type="cellIs" dxfId="12840" priority="16287" operator="between">
      <formula>0.191</formula>
      <formula>0.24</formula>
    </cfRule>
    <cfRule type="cellIs" dxfId="12839" priority="16288" operator="between">
      <formula>0.1251</formula>
      <formula>0.19</formula>
    </cfRule>
    <cfRule type="cellIs" dxfId="12838" priority="16289" operator="greaterThan">
      <formula>0.2601</formula>
    </cfRule>
    <cfRule type="cellIs" dxfId="12837" priority="16290" operator="between">
      <formula>0.2401</formula>
      <formula>0.26</formula>
    </cfRule>
    <cfRule type="cellIs" dxfId="12836" priority="16291" stopIfTrue="1" operator="between">
      <formula>0</formula>
      <formula>0.125</formula>
    </cfRule>
  </conditionalFormatting>
  <conditionalFormatting sqref="K77">
    <cfRule type="cellIs" dxfId="12835" priority="16282" operator="between">
      <formula>0.191</formula>
      <formula>0.24</formula>
    </cfRule>
    <cfRule type="cellIs" dxfId="12834" priority="16283" operator="between">
      <formula>0.1251</formula>
      <formula>0.19</formula>
    </cfRule>
    <cfRule type="cellIs" dxfId="12833" priority="16284" operator="greaterThan">
      <formula>0.2601</formula>
    </cfRule>
    <cfRule type="cellIs" dxfId="12832" priority="16285" operator="between">
      <formula>0.2401</formula>
      <formula>0.26</formula>
    </cfRule>
    <cfRule type="cellIs" dxfId="12831" priority="16286" stopIfTrue="1" operator="between">
      <formula>0</formula>
      <formula>0.125</formula>
    </cfRule>
  </conditionalFormatting>
  <conditionalFormatting sqref="K83">
    <cfRule type="cellIs" dxfId="12830" priority="16277" operator="between">
      <formula>0.191</formula>
      <formula>0.24</formula>
    </cfRule>
    <cfRule type="cellIs" dxfId="12829" priority="16278" operator="between">
      <formula>0.1251</formula>
      <formula>0.19</formula>
    </cfRule>
    <cfRule type="cellIs" dxfId="12828" priority="16279" operator="greaterThan">
      <formula>0.2601</formula>
    </cfRule>
    <cfRule type="cellIs" dxfId="12827" priority="16280" operator="between">
      <formula>0.2401</formula>
      <formula>0.26</formula>
    </cfRule>
    <cfRule type="cellIs" dxfId="12826" priority="16281" stopIfTrue="1" operator="between">
      <formula>0</formula>
      <formula>0.125</formula>
    </cfRule>
  </conditionalFormatting>
  <conditionalFormatting sqref="K84">
    <cfRule type="cellIs" dxfId="12825" priority="16272" operator="between">
      <formula>0.191</formula>
      <formula>0.24</formula>
    </cfRule>
    <cfRule type="cellIs" dxfId="12824" priority="16273" operator="between">
      <formula>0.1251</formula>
      <formula>0.19</formula>
    </cfRule>
    <cfRule type="cellIs" dxfId="12823" priority="16274" operator="greaterThan">
      <formula>0.2601</formula>
    </cfRule>
    <cfRule type="cellIs" dxfId="12822" priority="16275" operator="between">
      <formula>0.2401</formula>
      <formula>0.26</formula>
    </cfRule>
    <cfRule type="cellIs" dxfId="12821" priority="16276" stopIfTrue="1" operator="between">
      <formula>0</formula>
      <formula>0.125</formula>
    </cfRule>
  </conditionalFormatting>
  <conditionalFormatting sqref="K85">
    <cfRule type="cellIs" dxfId="12820" priority="16267" operator="between">
      <formula>0.191</formula>
      <formula>0.24</formula>
    </cfRule>
    <cfRule type="cellIs" dxfId="12819" priority="16268" operator="between">
      <formula>0.1251</formula>
      <formula>0.19</formula>
    </cfRule>
    <cfRule type="cellIs" dxfId="12818" priority="16269" operator="greaterThan">
      <formula>0.2601</formula>
    </cfRule>
    <cfRule type="cellIs" dxfId="12817" priority="16270" operator="between">
      <formula>0.2401</formula>
      <formula>0.26</formula>
    </cfRule>
    <cfRule type="cellIs" dxfId="12816" priority="16271" stopIfTrue="1" operator="between">
      <formula>0</formula>
      <formula>0.125</formula>
    </cfRule>
  </conditionalFormatting>
  <conditionalFormatting sqref="K86">
    <cfRule type="cellIs" dxfId="12815" priority="16262" operator="between">
      <formula>0.191</formula>
      <formula>0.24</formula>
    </cfRule>
    <cfRule type="cellIs" dxfId="12814" priority="16263" operator="between">
      <formula>0.1251</formula>
      <formula>0.19</formula>
    </cfRule>
    <cfRule type="cellIs" dxfId="12813" priority="16264" operator="greaterThan">
      <formula>0.2601</formula>
    </cfRule>
    <cfRule type="cellIs" dxfId="12812" priority="16265" operator="between">
      <formula>0.2401</formula>
      <formula>0.26</formula>
    </cfRule>
    <cfRule type="cellIs" dxfId="12811" priority="16266" stopIfTrue="1" operator="between">
      <formula>0</formula>
      <formula>0.125</formula>
    </cfRule>
  </conditionalFormatting>
  <conditionalFormatting sqref="K89">
    <cfRule type="cellIs" dxfId="12810" priority="16257" operator="between">
      <formula>0.191</formula>
      <formula>0.24</formula>
    </cfRule>
    <cfRule type="cellIs" dxfId="12809" priority="16258" operator="between">
      <formula>0.1251</formula>
      <formula>0.19</formula>
    </cfRule>
    <cfRule type="cellIs" dxfId="12808" priority="16259" operator="greaterThan">
      <formula>0.2601</formula>
    </cfRule>
    <cfRule type="cellIs" dxfId="12807" priority="16260" operator="between">
      <formula>0.2401</formula>
      <formula>0.26</formula>
    </cfRule>
    <cfRule type="cellIs" dxfId="12806" priority="16261" stopIfTrue="1" operator="between">
      <formula>0</formula>
      <formula>0.125</formula>
    </cfRule>
  </conditionalFormatting>
  <conditionalFormatting sqref="K90">
    <cfRule type="cellIs" dxfId="12805" priority="16252" operator="between">
      <formula>0.191</formula>
      <formula>0.24</formula>
    </cfRule>
    <cfRule type="cellIs" dxfId="12804" priority="16253" operator="between">
      <formula>0.1251</formula>
      <formula>0.19</formula>
    </cfRule>
    <cfRule type="cellIs" dxfId="12803" priority="16254" operator="greaterThan">
      <formula>0.2601</formula>
    </cfRule>
    <cfRule type="cellIs" dxfId="12802" priority="16255" operator="between">
      <formula>0.2401</formula>
      <formula>0.26</formula>
    </cfRule>
    <cfRule type="cellIs" dxfId="12801" priority="16256" stopIfTrue="1" operator="between">
      <formula>0</formula>
      <formula>0.125</formula>
    </cfRule>
  </conditionalFormatting>
  <conditionalFormatting sqref="K91">
    <cfRule type="cellIs" dxfId="12800" priority="16247" operator="between">
      <formula>0.191</formula>
      <formula>0.24</formula>
    </cfRule>
    <cfRule type="cellIs" dxfId="12799" priority="16248" operator="between">
      <formula>0.1251</formula>
      <formula>0.19</formula>
    </cfRule>
    <cfRule type="cellIs" dxfId="12798" priority="16249" operator="greaterThan">
      <formula>0.2601</formula>
    </cfRule>
    <cfRule type="cellIs" dxfId="12797" priority="16250" operator="between">
      <formula>0.2401</formula>
      <formula>0.26</formula>
    </cfRule>
    <cfRule type="cellIs" dxfId="12796" priority="16251" stopIfTrue="1" operator="between">
      <formula>0</formula>
      <formula>0.125</formula>
    </cfRule>
  </conditionalFormatting>
  <conditionalFormatting sqref="K92">
    <cfRule type="cellIs" dxfId="12795" priority="16242" operator="between">
      <formula>0.191</formula>
      <formula>0.24</formula>
    </cfRule>
    <cfRule type="cellIs" dxfId="12794" priority="16243" operator="between">
      <formula>0.1251</formula>
      <formula>0.19</formula>
    </cfRule>
    <cfRule type="cellIs" dxfId="12793" priority="16244" operator="greaterThan">
      <formula>0.2601</formula>
    </cfRule>
    <cfRule type="cellIs" dxfId="12792" priority="16245" operator="between">
      <formula>0.2401</formula>
      <formula>0.26</formula>
    </cfRule>
    <cfRule type="cellIs" dxfId="12791" priority="16246" stopIfTrue="1" operator="between">
      <formula>0</formula>
      <formula>0.125</formula>
    </cfRule>
  </conditionalFormatting>
  <conditionalFormatting sqref="K93">
    <cfRule type="cellIs" dxfId="12790" priority="16237" operator="between">
      <formula>0.191</formula>
      <formula>0.24</formula>
    </cfRule>
    <cfRule type="cellIs" dxfId="12789" priority="16238" operator="between">
      <formula>0.1251</formula>
      <formula>0.19</formula>
    </cfRule>
    <cfRule type="cellIs" dxfId="12788" priority="16239" operator="greaterThan">
      <formula>0.2601</formula>
    </cfRule>
    <cfRule type="cellIs" dxfId="12787" priority="16240" operator="between">
      <formula>0.2401</formula>
      <formula>0.26</formula>
    </cfRule>
    <cfRule type="cellIs" dxfId="12786" priority="16241" stopIfTrue="1" operator="between">
      <formula>0</formula>
      <formula>0.125</formula>
    </cfRule>
  </conditionalFormatting>
  <conditionalFormatting sqref="K94">
    <cfRule type="cellIs" dxfId="12785" priority="16232" operator="between">
      <formula>0.191</formula>
      <formula>0.24</formula>
    </cfRule>
    <cfRule type="cellIs" dxfId="12784" priority="16233" operator="between">
      <formula>0.1251</formula>
      <formula>0.19</formula>
    </cfRule>
    <cfRule type="cellIs" dxfId="12783" priority="16234" operator="greaterThan">
      <formula>0.2601</formula>
    </cfRule>
    <cfRule type="cellIs" dxfId="12782" priority="16235" operator="between">
      <formula>0.2401</formula>
      <formula>0.26</formula>
    </cfRule>
    <cfRule type="cellIs" dxfId="12781" priority="16236" stopIfTrue="1" operator="between">
      <formula>0</formula>
      <formula>0.125</formula>
    </cfRule>
  </conditionalFormatting>
  <conditionalFormatting sqref="K99">
    <cfRule type="cellIs" dxfId="12780" priority="16227" operator="between">
      <formula>0.191</formula>
      <formula>0.24</formula>
    </cfRule>
    <cfRule type="cellIs" dxfId="12779" priority="16228" operator="between">
      <formula>0.1251</formula>
      <formula>0.19</formula>
    </cfRule>
    <cfRule type="cellIs" dxfId="12778" priority="16229" operator="greaterThan">
      <formula>0.2601</formula>
    </cfRule>
    <cfRule type="cellIs" dxfId="12777" priority="16230" operator="between">
      <formula>0.2401</formula>
      <formula>0.26</formula>
    </cfRule>
    <cfRule type="cellIs" dxfId="12776" priority="16231" stopIfTrue="1" operator="between">
      <formula>0</formula>
      <formula>0.125</formula>
    </cfRule>
  </conditionalFormatting>
  <conditionalFormatting sqref="K102">
    <cfRule type="cellIs" dxfId="12775" priority="16222" operator="between">
      <formula>0.191</formula>
      <formula>0.24</formula>
    </cfRule>
    <cfRule type="cellIs" dxfId="12774" priority="16223" operator="between">
      <formula>0.1251</formula>
      <formula>0.19</formula>
    </cfRule>
    <cfRule type="cellIs" dxfId="12773" priority="16224" operator="greaterThan">
      <formula>0.2601</formula>
    </cfRule>
    <cfRule type="cellIs" dxfId="12772" priority="16225" operator="between">
      <formula>0.2401</formula>
      <formula>0.26</formula>
    </cfRule>
    <cfRule type="cellIs" dxfId="12771" priority="16226" stopIfTrue="1" operator="between">
      <formula>0</formula>
      <formula>0.125</formula>
    </cfRule>
  </conditionalFormatting>
  <conditionalFormatting sqref="K103">
    <cfRule type="cellIs" dxfId="12770" priority="16217" operator="between">
      <formula>0.191</formula>
      <formula>0.24</formula>
    </cfRule>
    <cfRule type="cellIs" dxfId="12769" priority="16218" operator="between">
      <formula>0.1251</formula>
      <formula>0.19</formula>
    </cfRule>
    <cfRule type="cellIs" dxfId="12768" priority="16219" operator="greaterThan">
      <formula>0.2601</formula>
    </cfRule>
    <cfRule type="cellIs" dxfId="12767" priority="16220" operator="between">
      <formula>0.2401</formula>
      <formula>0.26</formula>
    </cfRule>
    <cfRule type="cellIs" dxfId="12766" priority="16221" stopIfTrue="1" operator="between">
      <formula>0</formula>
      <formula>0.125</formula>
    </cfRule>
  </conditionalFormatting>
  <conditionalFormatting sqref="K107">
    <cfRule type="cellIs" dxfId="12765" priority="16212" operator="between">
      <formula>0.191</formula>
      <formula>0.24</formula>
    </cfRule>
    <cfRule type="cellIs" dxfId="12764" priority="16213" operator="between">
      <formula>0.1251</formula>
      <formula>0.19</formula>
    </cfRule>
    <cfRule type="cellIs" dxfId="12763" priority="16214" operator="greaterThan">
      <formula>0.2601</formula>
    </cfRule>
    <cfRule type="cellIs" dxfId="12762" priority="16215" operator="between">
      <formula>0.2401</formula>
      <formula>0.26</formula>
    </cfRule>
    <cfRule type="cellIs" dxfId="12761" priority="16216" stopIfTrue="1" operator="between">
      <formula>0</formula>
      <formula>0.125</formula>
    </cfRule>
  </conditionalFormatting>
  <conditionalFormatting sqref="K108">
    <cfRule type="cellIs" dxfId="12760" priority="16207" operator="between">
      <formula>0.191</formula>
      <formula>0.24</formula>
    </cfRule>
    <cfRule type="cellIs" dxfId="12759" priority="16208" operator="between">
      <formula>0.1251</formula>
      <formula>0.19</formula>
    </cfRule>
    <cfRule type="cellIs" dxfId="12758" priority="16209" operator="greaterThan">
      <formula>0.2601</formula>
    </cfRule>
    <cfRule type="cellIs" dxfId="12757" priority="16210" operator="between">
      <formula>0.2401</formula>
      <formula>0.26</formula>
    </cfRule>
    <cfRule type="cellIs" dxfId="12756" priority="16211" stopIfTrue="1" operator="between">
      <formula>0</formula>
      <formula>0.125</formula>
    </cfRule>
  </conditionalFormatting>
  <conditionalFormatting sqref="K109">
    <cfRule type="cellIs" dxfId="12755" priority="16202" operator="between">
      <formula>0.191</formula>
      <formula>0.24</formula>
    </cfRule>
    <cfRule type="cellIs" dxfId="12754" priority="16203" operator="between">
      <formula>0.1251</formula>
      <formula>0.19</formula>
    </cfRule>
    <cfRule type="cellIs" dxfId="12753" priority="16204" operator="greaterThan">
      <formula>0.2601</formula>
    </cfRule>
    <cfRule type="cellIs" dxfId="12752" priority="16205" operator="between">
      <formula>0.2401</formula>
      <formula>0.26</formula>
    </cfRule>
    <cfRule type="cellIs" dxfId="12751" priority="16206" stopIfTrue="1" operator="between">
      <formula>0</formula>
      <formula>0.125</formula>
    </cfRule>
  </conditionalFormatting>
  <conditionalFormatting sqref="K110">
    <cfRule type="cellIs" dxfId="12750" priority="16197" operator="between">
      <formula>0.191</formula>
      <formula>0.24</formula>
    </cfRule>
    <cfRule type="cellIs" dxfId="12749" priority="16198" operator="between">
      <formula>0.1251</formula>
      <formula>0.19</formula>
    </cfRule>
    <cfRule type="cellIs" dxfId="12748" priority="16199" operator="greaterThan">
      <formula>0.2601</formula>
    </cfRule>
    <cfRule type="cellIs" dxfId="12747" priority="16200" operator="between">
      <formula>0.2401</formula>
      <formula>0.26</formula>
    </cfRule>
    <cfRule type="cellIs" dxfId="12746" priority="16201" stopIfTrue="1" operator="between">
      <formula>0</formula>
      <formula>0.125</formula>
    </cfRule>
  </conditionalFormatting>
  <conditionalFormatting sqref="K112">
    <cfRule type="cellIs" dxfId="12745" priority="16192" operator="between">
      <formula>0.191</formula>
      <formula>0.24</formula>
    </cfRule>
    <cfRule type="cellIs" dxfId="12744" priority="16193" operator="between">
      <formula>0.1251</formula>
      <formula>0.19</formula>
    </cfRule>
    <cfRule type="cellIs" dxfId="12743" priority="16194" operator="greaterThan">
      <formula>0.2601</formula>
    </cfRule>
    <cfRule type="cellIs" dxfId="12742" priority="16195" operator="between">
      <formula>0.2401</formula>
      <formula>0.26</formula>
    </cfRule>
    <cfRule type="cellIs" dxfId="12741" priority="16196" stopIfTrue="1" operator="between">
      <formula>0</formula>
      <formula>0.125</formula>
    </cfRule>
  </conditionalFormatting>
  <conditionalFormatting sqref="K113">
    <cfRule type="cellIs" dxfId="12740" priority="16187" operator="between">
      <formula>0.191</formula>
      <formula>0.24</formula>
    </cfRule>
    <cfRule type="cellIs" dxfId="12739" priority="16188" operator="between">
      <formula>0.1251</formula>
      <formula>0.19</formula>
    </cfRule>
    <cfRule type="cellIs" dxfId="12738" priority="16189" operator="greaterThan">
      <formula>0.2601</formula>
    </cfRule>
    <cfRule type="cellIs" dxfId="12737" priority="16190" operator="between">
      <formula>0.2401</formula>
      <formula>0.26</formula>
    </cfRule>
    <cfRule type="cellIs" dxfId="12736" priority="16191" stopIfTrue="1" operator="between">
      <formula>0</formula>
      <formula>0.125</formula>
    </cfRule>
  </conditionalFormatting>
  <conditionalFormatting sqref="K116">
    <cfRule type="cellIs" dxfId="12735" priority="16177" operator="between">
      <formula>0.191</formula>
      <formula>0.24</formula>
    </cfRule>
    <cfRule type="cellIs" dxfId="12734" priority="16178" operator="between">
      <formula>0.1251</formula>
      <formula>0.19</formula>
    </cfRule>
    <cfRule type="cellIs" dxfId="12733" priority="16179" operator="greaterThan">
      <formula>0.2601</formula>
    </cfRule>
    <cfRule type="cellIs" dxfId="12732" priority="16180" operator="between">
      <formula>0.2401</formula>
      <formula>0.26</formula>
    </cfRule>
    <cfRule type="cellIs" dxfId="12731" priority="16181" stopIfTrue="1" operator="between">
      <formula>0</formula>
      <formula>0.125</formula>
    </cfRule>
  </conditionalFormatting>
  <conditionalFormatting sqref="K118:K119">
    <cfRule type="cellIs" dxfId="12730" priority="16157" operator="between">
      <formula>0.191</formula>
      <formula>0.24</formula>
    </cfRule>
    <cfRule type="cellIs" dxfId="12729" priority="16158" operator="between">
      <formula>0.1251</formula>
      <formula>0.19</formula>
    </cfRule>
    <cfRule type="cellIs" dxfId="12728" priority="16159" operator="greaterThan">
      <formula>0.2601</formula>
    </cfRule>
    <cfRule type="cellIs" dxfId="12727" priority="16160" operator="between">
      <formula>0.2401</formula>
      <formula>0.26</formula>
    </cfRule>
    <cfRule type="cellIs" dxfId="12726" priority="16161" stopIfTrue="1" operator="between">
      <formula>0</formula>
      <formula>0.125</formula>
    </cfRule>
  </conditionalFormatting>
  <conditionalFormatting sqref="K120">
    <cfRule type="cellIs" dxfId="12725" priority="16152" operator="between">
      <formula>0.191</formula>
      <formula>0.24</formula>
    </cfRule>
    <cfRule type="cellIs" dxfId="12724" priority="16153" operator="between">
      <formula>0.1251</formula>
      <formula>0.19</formula>
    </cfRule>
    <cfRule type="cellIs" dxfId="12723" priority="16154" operator="greaterThan">
      <formula>0.2601</formula>
    </cfRule>
    <cfRule type="cellIs" dxfId="12722" priority="16155" operator="between">
      <formula>0.2401</formula>
      <formula>0.26</formula>
    </cfRule>
    <cfRule type="cellIs" dxfId="12721" priority="16156" stopIfTrue="1" operator="between">
      <formula>0</formula>
      <formula>0.125</formula>
    </cfRule>
  </conditionalFormatting>
  <conditionalFormatting sqref="K121">
    <cfRule type="cellIs" dxfId="12720" priority="16147" operator="between">
      <formula>0.191</formula>
      <formula>0.24</formula>
    </cfRule>
    <cfRule type="cellIs" dxfId="12719" priority="16148" operator="between">
      <formula>0.1251</formula>
      <formula>0.19</formula>
    </cfRule>
    <cfRule type="cellIs" dxfId="12718" priority="16149" operator="greaterThan">
      <formula>0.2601</formula>
    </cfRule>
    <cfRule type="cellIs" dxfId="12717" priority="16150" operator="between">
      <formula>0.2401</formula>
      <formula>0.26</formula>
    </cfRule>
    <cfRule type="cellIs" dxfId="12716" priority="16151" stopIfTrue="1" operator="between">
      <formula>0</formula>
      <formula>0.125</formula>
    </cfRule>
  </conditionalFormatting>
  <conditionalFormatting sqref="K122">
    <cfRule type="cellIs" dxfId="12715" priority="16142" operator="between">
      <formula>0.191</formula>
      <formula>0.24</formula>
    </cfRule>
    <cfRule type="cellIs" dxfId="12714" priority="16143" operator="between">
      <formula>0.1251</formula>
      <formula>0.19</formula>
    </cfRule>
    <cfRule type="cellIs" dxfId="12713" priority="16144" operator="greaterThan">
      <formula>0.2601</formula>
    </cfRule>
    <cfRule type="cellIs" dxfId="12712" priority="16145" operator="between">
      <formula>0.2401</formula>
      <formula>0.26</formula>
    </cfRule>
    <cfRule type="cellIs" dxfId="12711" priority="16146" stopIfTrue="1" operator="between">
      <formula>0</formula>
      <formula>0.125</formula>
    </cfRule>
  </conditionalFormatting>
  <conditionalFormatting sqref="K123">
    <cfRule type="cellIs" dxfId="12710" priority="16137" operator="between">
      <formula>0.191</formula>
      <formula>0.24</formula>
    </cfRule>
    <cfRule type="cellIs" dxfId="12709" priority="16138" operator="between">
      <formula>0.1251</formula>
      <formula>0.19</formula>
    </cfRule>
    <cfRule type="cellIs" dxfId="12708" priority="16139" operator="greaterThan">
      <formula>0.2601</formula>
    </cfRule>
    <cfRule type="cellIs" dxfId="12707" priority="16140" operator="between">
      <formula>0.2401</formula>
      <formula>0.26</formula>
    </cfRule>
    <cfRule type="cellIs" dxfId="12706" priority="16141" stopIfTrue="1" operator="between">
      <formula>0</formula>
      <formula>0.125</formula>
    </cfRule>
  </conditionalFormatting>
  <conditionalFormatting sqref="K144">
    <cfRule type="cellIs" dxfId="12705" priority="16127" operator="between">
      <formula>0.191</formula>
      <formula>0.24</formula>
    </cfRule>
    <cfRule type="cellIs" dxfId="12704" priority="16128" operator="between">
      <formula>0.1251</formula>
      <formula>0.19</formula>
    </cfRule>
    <cfRule type="cellIs" dxfId="12703" priority="16129" operator="greaterThan">
      <formula>0.2601</formula>
    </cfRule>
    <cfRule type="cellIs" dxfId="12702" priority="16130" operator="between">
      <formula>0.2401</formula>
      <formula>0.26</formula>
    </cfRule>
    <cfRule type="cellIs" dxfId="12701" priority="16131" stopIfTrue="1" operator="between">
      <formula>0</formula>
      <formula>0.125</formula>
    </cfRule>
  </conditionalFormatting>
  <conditionalFormatting sqref="K124">
    <cfRule type="cellIs" dxfId="12700" priority="16122" operator="between">
      <formula>0.191</formula>
      <formula>0.24</formula>
    </cfRule>
    <cfRule type="cellIs" dxfId="12699" priority="16123" operator="between">
      <formula>0.1251</formula>
      <formula>0.19</formula>
    </cfRule>
    <cfRule type="cellIs" dxfId="12698" priority="16124" operator="greaterThan">
      <formula>0.2601</formula>
    </cfRule>
    <cfRule type="cellIs" dxfId="12697" priority="16125" operator="between">
      <formula>0.2401</formula>
      <formula>0.26</formula>
    </cfRule>
    <cfRule type="cellIs" dxfId="12696" priority="16126" stopIfTrue="1" operator="between">
      <formula>0</formula>
      <formula>0.125</formula>
    </cfRule>
  </conditionalFormatting>
  <conditionalFormatting sqref="K151">
    <cfRule type="cellIs" dxfId="12695" priority="16117" operator="between">
      <formula>0.191</formula>
      <formula>0.24</formula>
    </cfRule>
    <cfRule type="cellIs" dxfId="12694" priority="16118" operator="between">
      <formula>0.1251</formula>
      <formula>0.19</formula>
    </cfRule>
    <cfRule type="cellIs" dxfId="12693" priority="16119" operator="greaterThan">
      <formula>0.2601</formula>
    </cfRule>
    <cfRule type="cellIs" dxfId="12692" priority="16120" operator="between">
      <formula>0.2401</formula>
      <formula>0.26</formula>
    </cfRule>
    <cfRule type="cellIs" dxfId="12691" priority="16121" stopIfTrue="1" operator="between">
      <formula>0</formula>
      <formula>0.125</formula>
    </cfRule>
  </conditionalFormatting>
  <conditionalFormatting sqref="K152">
    <cfRule type="cellIs" dxfId="12690" priority="16112" operator="between">
      <formula>0.191</formula>
      <formula>0.24</formula>
    </cfRule>
    <cfRule type="cellIs" dxfId="12689" priority="16113" operator="between">
      <formula>0.1251</formula>
      <formula>0.19</formula>
    </cfRule>
    <cfRule type="cellIs" dxfId="12688" priority="16114" operator="greaterThan">
      <formula>0.2601</formula>
    </cfRule>
    <cfRule type="cellIs" dxfId="12687" priority="16115" operator="between">
      <formula>0.2401</formula>
      <formula>0.26</formula>
    </cfRule>
    <cfRule type="cellIs" dxfId="12686" priority="16116" stopIfTrue="1" operator="between">
      <formula>0</formula>
      <formula>0.125</formula>
    </cfRule>
  </conditionalFormatting>
  <conditionalFormatting sqref="K155">
    <cfRule type="cellIs" dxfId="12685" priority="16107" operator="between">
      <formula>0.191</formula>
      <formula>0.24</formula>
    </cfRule>
    <cfRule type="cellIs" dxfId="12684" priority="16108" operator="between">
      <formula>0.1251</formula>
      <formula>0.19</formula>
    </cfRule>
    <cfRule type="cellIs" dxfId="12683" priority="16109" operator="greaterThan">
      <formula>0.2601</formula>
    </cfRule>
    <cfRule type="cellIs" dxfId="12682" priority="16110" operator="between">
      <formula>0.2401</formula>
      <formula>0.26</formula>
    </cfRule>
    <cfRule type="cellIs" dxfId="12681" priority="16111" stopIfTrue="1" operator="between">
      <formula>0</formula>
      <formula>0.125</formula>
    </cfRule>
  </conditionalFormatting>
  <conditionalFormatting sqref="K166">
    <cfRule type="cellIs" dxfId="12680" priority="16102" operator="between">
      <formula>0.191</formula>
      <formula>0.24</formula>
    </cfRule>
    <cfRule type="cellIs" dxfId="12679" priority="16103" operator="between">
      <formula>0.1251</formula>
      <formula>0.19</formula>
    </cfRule>
    <cfRule type="cellIs" dxfId="12678" priority="16104" operator="greaterThan">
      <formula>0.2601</formula>
    </cfRule>
    <cfRule type="cellIs" dxfId="12677" priority="16105" operator="between">
      <formula>0.2401</formula>
      <formula>0.26</formula>
    </cfRule>
    <cfRule type="cellIs" dxfId="12676" priority="16106" stopIfTrue="1" operator="between">
      <formula>0</formula>
      <formula>0.125</formula>
    </cfRule>
  </conditionalFormatting>
  <conditionalFormatting sqref="K177">
    <cfRule type="cellIs" dxfId="12675" priority="16097" operator="between">
      <formula>0.191</formula>
      <formula>0.24</formula>
    </cfRule>
    <cfRule type="cellIs" dxfId="12674" priority="16098" operator="between">
      <formula>0.1251</formula>
      <formula>0.19</formula>
    </cfRule>
    <cfRule type="cellIs" dxfId="12673" priority="16099" operator="greaterThan">
      <formula>0.2601</formula>
    </cfRule>
    <cfRule type="cellIs" dxfId="12672" priority="16100" operator="between">
      <formula>0.2401</formula>
      <formula>0.26</formula>
    </cfRule>
    <cfRule type="cellIs" dxfId="12671" priority="16101" stopIfTrue="1" operator="between">
      <formula>0</formula>
      <formula>0.125</formula>
    </cfRule>
  </conditionalFormatting>
  <conditionalFormatting sqref="K183">
    <cfRule type="cellIs" dxfId="12670" priority="16092" operator="between">
      <formula>0.191</formula>
      <formula>0.24</formula>
    </cfRule>
    <cfRule type="cellIs" dxfId="12669" priority="16093" operator="between">
      <formula>0.1251</formula>
      <formula>0.19</formula>
    </cfRule>
    <cfRule type="cellIs" dxfId="12668" priority="16094" operator="greaterThan">
      <formula>0.2601</formula>
    </cfRule>
    <cfRule type="cellIs" dxfId="12667" priority="16095" operator="between">
      <formula>0.2401</formula>
      <formula>0.26</formula>
    </cfRule>
    <cfRule type="cellIs" dxfId="12666" priority="16096" stopIfTrue="1" operator="between">
      <formula>0</formula>
      <formula>0.125</formula>
    </cfRule>
  </conditionalFormatting>
  <conditionalFormatting sqref="K184">
    <cfRule type="cellIs" dxfId="12665" priority="16087" operator="between">
      <formula>0.191</formula>
      <formula>0.24</formula>
    </cfRule>
    <cfRule type="cellIs" dxfId="12664" priority="16088" operator="between">
      <formula>0.1251</formula>
      <formula>0.19</formula>
    </cfRule>
    <cfRule type="cellIs" dxfId="12663" priority="16089" operator="greaterThan">
      <formula>0.2601</formula>
    </cfRule>
    <cfRule type="cellIs" dxfId="12662" priority="16090" operator="between">
      <formula>0.2401</formula>
      <formula>0.26</formula>
    </cfRule>
    <cfRule type="cellIs" dxfId="12661" priority="16091" stopIfTrue="1" operator="between">
      <formula>0</formula>
      <formula>0.125</formula>
    </cfRule>
  </conditionalFormatting>
  <conditionalFormatting sqref="K185">
    <cfRule type="cellIs" dxfId="12660" priority="16082" operator="between">
      <formula>0.191</formula>
      <formula>0.24</formula>
    </cfRule>
    <cfRule type="cellIs" dxfId="12659" priority="16083" operator="between">
      <formula>0.1251</formula>
      <formula>0.19</formula>
    </cfRule>
    <cfRule type="cellIs" dxfId="12658" priority="16084" operator="greaterThan">
      <formula>0.2601</formula>
    </cfRule>
    <cfRule type="cellIs" dxfId="12657" priority="16085" operator="between">
      <formula>0.2401</formula>
      <formula>0.26</formula>
    </cfRule>
    <cfRule type="cellIs" dxfId="12656" priority="16086" stopIfTrue="1" operator="between">
      <formula>0</formula>
      <formula>0.125</formula>
    </cfRule>
  </conditionalFormatting>
  <conditionalFormatting sqref="K186">
    <cfRule type="cellIs" dxfId="12655" priority="16077" operator="between">
      <formula>0.191</formula>
      <formula>0.24</formula>
    </cfRule>
    <cfRule type="cellIs" dxfId="12654" priority="16078" operator="between">
      <formula>0.1251</formula>
      <formula>0.19</formula>
    </cfRule>
    <cfRule type="cellIs" dxfId="12653" priority="16079" operator="greaterThan">
      <formula>0.2601</formula>
    </cfRule>
    <cfRule type="cellIs" dxfId="12652" priority="16080" operator="between">
      <formula>0.2401</formula>
      <formula>0.26</formula>
    </cfRule>
    <cfRule type="cellIs" dxfId="12651" priority="16081" stopIfTrue="1" operator="between">
      <formula>0</formula>
      <formula>0.125</formula>
    </cfRule>
  </conditionalFormatting>
  <conditionalFormatting sqref="K187">
    <cfRule type="cellIs" dxfId="12650" priority="16072" operator="between">
      <formula>0.191</formula>
      <formula>0.24</formula>
    </cfRule>
    <cfRule type="cellIs" dxfId="12649" priority="16073" operator="between">
      <formula>0.1251</formula>
      <formula>0.19</formula>
    </cfRule>
    <cfRule type="cellIs" dxfId="12648" priority="16074" operator="greaterThan">
      <formula>0.2601</formula>
    </cfRule>
    <cfRule type="cellIs" dxfId="12647" priority="16075" operator="between">
      <formula>0.2401</formula>
      <formula>0.26</formula>
    </cfRule>
    <cfRule type="cellIs" dxfId="12646" priority="16076" stopIfTrue="1" operator="between">
      <formula>0</formula>
      <formula>0.125</formula>
    </cfRule>
  </conditionalFormatting>
  <conditionalFormatting sqref="K188">
    <cfRule type="cellIs" dxfId="12645" priority="16067" operator="between">
      <formula>0.191</formula>
      <formula>0.24</formula>
    </cfRule>
    <cfRule type="cellIs" dxfId="12644" priority="16068" operator="between">
      <formula>0.1251</formula>
      <formula>0.19</formula>
    </cfRule>
    <cfRule type="cellIs" dxfId="12643" priority="16069" operator="greaterThan">
      <formula>0.2601</formula>
    </cfRule>
    <cfRule type="cellIs" dxfId="12642" priority="16070" operator="between">
      <formula>0.2401</formula>
      <formula>0.26</formula>
    </cfRule>
    <cfRule type="cellIs" dxfId="12641" priority="16071" stopIfTrue="1" operator="between">
      <formula>0</formula>
      <formula>0.125</formula>
    </cfRule>
  </conditionalFormatting>
  <conditionalFormatting sqref="K189">
    <cfRule type="cellIs" dxfId="12640" priority="16062" operator="between">
      <formula>0.191</formula>
      <formula>0.24</formula>
    </cfRule>
    <cfRule type="cellIs" dxfId="12639" priority="16063" operator="between">
      <formula>0.1251</formula>
      <formula>0.19</formula>
    </cfRule>
    <cfRule type="cellIs" dxfId="12638" priority="16064" operator="greaterThan">
      <formula>0.2601</formula>
    </cfRule>
    <cfRule type="cellIs" dxfId="12637" priority="16065" operator="between">
      <formula>0.2401</formula>
      <formula>0.26</formula>
    </cfRule>
    <cfRule type="cellIs" dxfId="12636" priority="16066" stopIfTrue="1" operator="between">
      <formula>0</formula>
      <formula>0.125</formula>
    </cfRule>
  </conditionalFormatting>
  <conditionalFormatting sqref="K190">
    <cfRule type="cellIs" dxfId="12635" priority="16057" operator="between">
      <formula>0.191</formula>
      <formula>0.24</formula>
    </cfRule>
    <cfRule type="cellIs" dxfId="12634" priority="16058" operator="between">
      <formula>0.1251</formula>
      <formula>0.19</formula>
    </cfRule>
    <cfRule type="cellIs" dxfId="12633" priority="16059" operator="greaterThan">
      <formula>0.2601</formula>
    </cfRule>
    <cfRule type="cellIs" dxfId="12632" priority="16060" operator="between">
      <formula>0.2401</formula>
      <formula>0.26</formula>
    </cfRule>
    <cfRule type="cellIs" dxfId="12631" priority="16061" stopIfTrue="1" operator="between">
      <formula>0</formula>
      <formula>0.125</formula>
    </cfRule>
  </conditionalFormatting>
  <conditionalFormatting sqref="K191">
    <cfRule type="cellIs" dxfId="12630" priority="16052" operator="between">
      <formula>0.191</formula>
      <formula>0.24</formula>
    </cfRule>
    <cfRule type="cellIs" dxfId="12629" priority="16053" operator="between">
      <formula>0.1251</formula>
      <formula>0.19</formula>
    </cfRule>
    <cfRule type="cellIs" dxfId="12628" priority="16054" operator="greaterThan">
      <formula>0.2601</formula>
    </cfRule>
    <cfRule type="cellIs" dxfId="12627" priority="16055" operator="between">
      <formula>0.2401</formula>
      <formula>0.26</formula>
    </cfRule>
    <cfRule type="cellIs" dxfId="12626" priority="16056" stopIfTrue="1" operator="between">
      <formula>0</formula>
      <formula>0.125</formula>
    </cfRule>
  </conditionalFormatting>
  <conditionalFormatting sqref="K192">
    <cfRule type="cellIs" dxfId="12625" priority="16047" operator="between">
      <formula>0.191</formula>
      <formula>0.24</formula>
    </cfRule>
    <cfRule type="cellIs" dxfId="12624" priority="16048" operator="between">
      <formula>0.1251</formula>
      <formula>0.19</formula>
    </cfRule>
    <cfRule type="cellIs" dxfId="12623" priority="16049" operator="greaterThan">
      <formula>0.2601</formula>
    </cfRule>
    <cfRule type="cellIs" dxfId="12622" priority="16050" operator="between">
      <formula>0.2401</formula>
      <formula>0.26</formula>
    </cfRule>
    <cfRule type="cellIs" dxfId="12621" priority="16051" stopIfTrue="1" operator="between">
      <formula>0</formula>
      <formula>0.125</formula>
    </cfRule>
  </conditionalFormatting>
  <conditionalFormatting sqref="K193">
    <cfRule type="cellIs" dxfId="12620" priority="16042" operator="between">
      <formula>0.191</formula>
      <formula>0.24</formula>
    </cfRule>
    <cfRule type="cellIs" dxfId="12619" priority="16043" operator="between">
      <formula>0.1251</formula>
      <formula>0.19</formula>
    </cfRule>
    <cfRule type="cellIs" dxfId="12618" priority="16044" operator="greaterThan">
      <formula>0.2601</formula>
    </cfRule>
    <cfRule type="cellIs" dxfId="12617" priority="16045" operator="between">
      <formula>0.2401</formula>
      <formula>0.26</formula>
    </cfRule>
    <cfRule type="cellIs" dxfId="12616" priority="16046" stopIfTrue="1" operator="between">
      <formula>0</formula>
      <formula>0.125</formula>
    </cfRule>
  </conditionalFormatting>
  <conditionalFormatting sqref="K194">
    <cfRule type="cellIs" dxfId="12615" priority="16037" operator="between">
      <formula>0.191</formula>
      <formula>0.24</formula>
    </cfRule>
    <cfRule type="cellIs" dxfId="12614" priority="16038" operator="between">
      <formula>0.1251</formula>
      <formula>0.19</formula>
    </cfRule>
    <cfRule type="cellIs" dxfId="12613" priority="16039" operator="greaterThan">
      <formula>0.2601</formula>
    </cfRule>
    <cfRule type="cellIs" dxfId="12612" priority="16040" operator="between">
      <formula>0.2401</formula>
      <formula>0.26</formula>
    </cfRule>
    <cfRule type="cellIs" dxfId="12611" priority="16041" stopIfTrue="1" operator="between">
      <formula>0</formula>
      <formula>0.125</formula>
    </cfRule>
  </conditionalFormatting>
  <conditionalFormatting sqref="K195">
    <cfRule type="cellIs" dxfId="12610" priority="16032" operator="between">
      <formula>0.191</formula>
      <formula>0.24</formula>
    </cfRule>
    <cfRule type="cellIs" dxfId="12609" priority="16033" operator="between">
      <formula>0.1251</formula>
      <formula>0.19</formula>
    </cfRule>
    <cfRule type="cellIs" dxfId="12608" priority="16034" operator="greaterThan">
      <formula>0.2601</formula>
    </cfRule>
    <cfRule type="cellIs" dxfId="12607" priority="16035" operator="between">
      <formula>0.2401</formula>
      <formula>0.26</formula>
    </cfRule>
    <cfRule type="cellIs" dxfId="12606" priority="16036" stopIfTrue="1" operator="between">
      <formula>0</formula>
      <formula>0.125</formula>
    </cfRule>
  </conditionalFormatting>
  <conditionalFormatting sqref="K196">
    <cfRule type="cellIs" dxfId="12605" priority="16027" operator="between">
      <formula>0.191</formula>
      <formula>0.24</formula>
    </cfRule>
    <cfRule type="cellIs" dxfId="12604" priority="16028" operator="between">
      <formula>0.1251</formula>
      <formula>0.19</formula>
    </cfRule>
    <cfRule type="cellIs" dxfId="12603" priority="16029" operator="greaterThan">
      <formula>0.2601</formula>
    </cfRule>
    <cfRule type="cellIs" dxfId="12602" priority="16030" operator="between">
      <formula>0.2401</formula>
      <formula>0.26</formula>
    </cfRule>
    <cfRule type="cellIs" dxfId="12601" priority="16031" stopIfTrue="1" operator="between">
      <formula>0</formula>
      <formula>0.125</formula>
    </cfRule>
  </conditionalFormatting>
  <conditionalFormatting sqref="K197">
    <cfRule type="cellIs" dxfId="12600" priority="16022" operator="between">
      <formula>0.191</formula>
      <formula>0.24</formula>
    </cfRule>
    <cfRule type="cellIs" dxfId="12599" priority="16023" operator="between">
      <formula>0.1251</formula>
      <formula>0.19</formula>
    </cfRule>
    <cfRule type="cellIs" dxfId="12598" priority="16024" operator="greaterThan">
      <formula>0.2601</formula>
    </cfRule>
    <cfRule type="cellIs" dxfId="12597" priority="16025" operator="between">
      <formula>0.2401</formula>
      <formula>0.26</formula>
    </cfRule>
    <cfRule type="cellIs" dxfId="12596" priority="16026" stopIfTrue="1" operator="between">
      <formula>0</formula>
      <formula>0.125</formula>
    </cfRule>
  </conditionalFormatting>
  <conditionalFormatting sqref="K198">
    <cfRule type="cellIs" dxfId="12595" priority="16017" operator="between">
      <formula>0.191</formula>
      <formula>0.24</formula>
    </cfRule>
    <cfRule type="cellIs" dxfId="12594" priority="16018" operator="between">
      <formula>0.1251</formula>
      <formula>0.19</formula>
    </cfRule>
    <cfRule type="cellIs" dxfId="12593" priority="16019" operator="greaterThan">
      <formula>0.2601</formula>
    </cfRule>
    <cfRule type="cellIs" dxfId="12592" priority="16020" operator="between">
      <formula>0.2401</formula>
      <formula>0.26</formula>
    </cfRule>
    <cfRule type="cellIs" dxfId="12591" priority="16021" stopIfTrue="1" operator="between">
      <formula>0</formula>
      <formula>0.125</formula>
    </cfRule>
  </conditionalFormatting>
  <conditionalFormatting sqref="K199">
    <cfRule type="cellIs" dxfId="12590" priority="16012" operator="between">
      <formula>0.191</formula>
      <formula>0.24</formula>
    </cfRule>
    <cfRule type="cellIs" dxfId="12589" priority="16013" operator="between">
      <formula>0.1251</formula>
      <formula>0.19</formula>
    </cfRule>
    <cfRule type="cellIs" dxfId="12588" priority="16014" operator="greaterThan">
      <formula>0.2601</formula>
    </cfRule>
    <cfRule type="cellIs" dxfId="12587" priority="16015" operator="between">
      <formula>0.2401</formula>
      <formula>0.26</formula>
    </cfRule>
    <cfRule type="cellIs" dxfId="12586" priority="16016" stopIfTrue="1" operator="between">
      <formula>0</formula>
      <formula>0.125</formula>
    </cfRule>
  </conditionalFormatting>
  <conditionalFormatting sqref="K200">
    <cfRule type="cellIs" dxfId="12585" priority="16007" operator="between">
      <formula>0.191</formula>
      <formula>0.24</formula>
    </cfRule>
    <cfRule type="cellIs" dxfId="12584" priority="16008" operator="between">
      <formula>0.1251</formula>
      <formula>0.19</formula>
    </cfRule>
    <cfRule type="cellIs" dxfId="12583" priority="16009" operator="greaterThan">
      <formula>0.2601</formula>
    </cfRule>
    <cfRule type="cellIs" dxfId="12582" priority="16010" operator="between">
      <formula>0.2401</formula>
      <formula>0.26</formula>
    </cfRule>
    <cfRule type="cellIs" dxfId="12581" priority="16011" stopIfTrue="1" operator="between">
      <formula>0</formula>
      <formula>0.125</formula>
    </cfRule>
  </conditionalFormatting>
  <conditionalFormatting sqref="K202">
    <cfRule type="cellIs" dxfId="12580" priority="16002" operator="between">
      <formula>0.191</formula>
      <formula>0.24</formula>
    </cfRule>
    <cfRule type="cellIs" dxfId="12579" priority="16003" operator="between">
      <formula>0.1251</formula>
      <formula>0.19</formula>
    </cfRule>
    <cfRule type="cellIs" dxfId="12578" priority="16004" operator="greaterThan">
      <formula>0.2601</formula>
    </cfRule>
    <cfRule type="cellIs" dxfId="12577" priority="16005" operator="between">
      <formula>0.2401</formula>
      <formula>0.26</formula>
    </cfRule>
    <cfRule type="cellIs" dxfId="12576" priority="16006" stopIfTrue="1" operator="between">
      <formula>0</formula>
      <formula>0.125</formula>
    </cfRule>
  </conditionalFormatting>
  <conditionalFormatting sqref="K203">
    <cfRule type="cellIs" dxfId="12575" priority="15997" operator="between">
      <formula>0.191</formula>
      <formula>0.24</formula>
    </cfRule>
    <cfRule type="cellIs" dxfId="12574" priority="15998" operator="between">
      <formula>0.1251</formula>
      <formula>0.19</formula>
    </cfRule>
    <cfRule type="cellIs" dxfId="12573" priority="15999" operator="greaterThan">
      <formula>0.2601</formula>
    </cfRule>
    <cfRule type="cellIs" dxfId="12572" priority="16000" operator="between">
      <formula>0.2401</formula>
      <formula>0.26</formula>
    </cfRule>
    <cfRule type="cellIs" dxfId="12571" priority="16001" stopIfTrue="1" operator="between">
      <formula>0</formula>
      <formula>0.125</formula>
    </cfRule>
  </conditionalFormatting>
  <conditionalFormatting sqref="K204">
    <cfRule type="cellIs" dxfId="12570" priority="15992" operator="between">
      <formula>0.191</formula>
      <formula>0.24</formula>
    </cfRule>
    <cfRule type="cellIs" dxfId="12569" priority="15993" operator="between">
      <formula>0.1251</formula>
      <formula>0.19</formula>
    </cfRule>
    <cfRule type="cellIs" dxfId="12568" priority="15994" operator="greaterThan">
      <formula>0.2601</formula>
    </cfRule>
    <cfRule type="cellIs" dxfId="12567" priority="15995" operator="between">
      <formula>0.2401</formula>
      <formula>0.26</formula>
    </cfRule>
    <cfRule type="cellIs" dxfId="12566" priority="15996" stopIfTrue="1" operator="between">
      <formula>0</formula>
      <formula>0.125</formula>
    </cfRule>
  </conditionalFormatting>
  <conditionalFormatting sqref="K205">
    <cfRule type="cellIs" dxfId="12565" priority="15987" operator="between">
      <formula>0.191</formula>
      <formula>0.24</formula>
    </cfRule>
    <cfRule type="cellIs" dxfId="12564" priority="15988" operator="between">
      <formula>0.1251</formula>
      <formula>0.19</formula>
    </cfRule>
    <cfRule type="cellIs" dxfId="12563" priority="15989" operator="greaterThan">
      <formula>0.2601</formula>
    </cfRule>
    <cfRule type="cellIs" dxfId="12562" priority="15990" operator="between">
      <formula>0.2401</formula>
      <formula>0.26</formula>
    </cfRule>
    <cfRule type="cellIs" dxfId="12561" priority="15991" stopIfTrue="1" operator="between">
      <formula>0</formula>
      <formula>0.125</formula>
    </cfRule>
  </conditionalFormatting>
  <conditionalFormatting sqref="K207">
    <cfRule type="cellIs" dxfId="12560" priority="15977" operator="between">
      <formula>0.191</formula>
      <formula>0.24</formula>
    </cfRule>
    <cfRule type="cellIs" dxfId="12559" priority="15978" operator="between">
      <formula>0.1251</formula>
      <formula>0.19</formula>
    </cfRule>
    <cfRule type="cellIs" dxfId="12558" priority="15979" operator="greaterThan">
      <formula>0.2601</formula>
    </cfRule>
    <cfRule type="cellIs" dxfId="12557" priority="15980" operator="between">
      <formula>0.2401</formula>
      <formula>0.26</formula>
    </cfRule>
    <cfRule type="cellIs" dxfId="12556" priority="15981" stopIfTrue="1" operator="between">
      <formula>0</formula>
      <formula>0.125</formula>
    </cfRule>
  </conditionalFormatting>
  <conditionalFormatting sqref="K206">
    <cfRule type="cellIs" dxfId="12555" priority="15972" operator="between">
      <formula>0.191</formula>
      <formula>0.24</formula>
    </cfRule>
    <cfRule type="cellIs" dxfId="12554" priority="15973" operator="between">
      <formula>0.1251</formula>
      <formula>0.19</formula>
    </cfRule>
    <cfRule type="cellIs" dxfId="12553" priority="15974" operator="greaterThan">
      <formula>0.2601</formula>
    </cfRule>
    <cfRule type="cellIs" dxfId="12552" priority="15975" operator="between">
      <formula>0.2401</formula>
      <formula>0.26</formula>
    </cfRule>
    <cfRule type="cellIs" dxfId="12551" priority="15976" stopIfTrue="1" operator="between">
      <formula>0</formula>
      <formula>0.125</formula>
    </cfRule>
  </conditionalFormatting>
  <conditionalFormatting sqref="K208">
    <cfRule type="cellIs" dxfId="12550" priority="15967" operator="between">
      <formula>0.191</formula>
      <formula>0.24</formula>
    </cfRule>
    <cfRule type="cellIs" dxfId="12549" priority="15968" operator="between">
      <formula>0.1251</formula>
      <formula>0.19</formula>
    </cfRule>
    <cfRule type="cellIs" dxfId="12548" priority="15969" operator="greaterThan">
      <formula>0.2601</formula>
    </cfRule>
    <cfRule type="cellIs" dxfId="12547" priority="15970" operator="between">
      <formula>0.2401</formula>
      <formula>0.26</formula>
    </cfRule>
    <cfRule type="cellIs" dxfId="12546" priority="15971" stopIfTrue="1" operator="between">
      <formula>0</formula>
      <formula>0.125</formula>
    </cfRule>
  </conditionalFormatting>
  <conditionalFormatting sqref="K209">
    <cfRule type="cellIs" dxfId="12545" priority="15962" operator="between">
      <formula>0.191</formula>
      <formula>0.24</formula>
    </cfRule>
    <cfRule type="cellIs" dxfId="12544" priority="15963" operator="between">
      <formula>0.1251</formula>
      <formula>0.19</formula>
    </cfRule>
    <cfRule type="cellIs" dxfId="12543" priority="15964" operator="greaterThan">
      <formula>0.2601</formula>
    </cfRule>
    <cfRule type="cellIs" dxfId="12542" priority="15965" operator="between">
      <formula>0.2401</formula>
      <formula>0.26</formula>
    </cfRule>
    <cfRule type="cellIs" dxfId="12541" priority="15966" stopIfTrue="1" operator="between">
      <formula>0</formula>
      <formula>0.125</formula>
    </cfRule>
  </conditionalFormatting>
  <conditionalFormatting sqref="K210">
    <cfRule type="cellIs" dxfId="12540" priority="15957" operator="between">
      <formula>0.191</formula>
      <formula>0.24</formula>
    </cfRule>
    <cfRule type="cellIs" dxfId="12539" priority="15958" operator="between">
      <formula>0.1251</formula>
      <formula>0.19</formula>
    </cfRule>
    <cfRule type="cellIs" dxfId="12538" priority="15959" operator="greaterThan">
      <formula>0.2601</formula>
    </cfRule>
    <cfRule type="cellIs" dxfId="12537" priority="15960" operator="between">
      <formula>0.2401</formula>
      <formula>0.26</formula>
    </cfRule>
    <cfRule type="cellIs" dxfId="12536" priority="15961" stopIfTrue="1" operator="between">
      <formula>0</formula>
      <formula>0.125</formula>
    </cfRule>
  </conditionalFormatting>
  <conditionalFormatting sqref="K211">
    <cfRule type="cellIs" dxfId="12535" priority="15952" operator="between">
      <formula>0.191</formula>
      <formula>0.24</formula>
    </cfRule>
    <cfRule type="cellIs" dxfId="12534" priority="15953" operator="between">
      <formula>0.1251</formula>
      <formula>0.19</formula>
    </cfRule>
    <cfRule type="cellIs" dxfId="12533" priority="15954" operator="greaterThan">
      <formula>0.2601</formula>
    </cfRule>
    <cfRule type="cellIs" dxfId="12532" priority="15955" operator="between">
      <formula>0.2401</formula>
      <formula>0.26</formula>
    </cfRule>
    <cfRule type="cellIs" dxfId="12531" priority="15956" stopIfTrue="1" operator="between">
      <formula>0</formula>
      <formula>0.125</formula>
    </cfRule>
  </conditionalFormatting>
  <conditionalFormatting sqref="K212">
    <cfRule type="cellIs" dxfId="12530" priority="15947" operator="between">
      <formula>0.191</formula>
      <formula>0.24</formula>
    </cfRule>
    <cfRule type="cellIs" dxfId="12529" priority="15948" operator="between">
      <formula>0.1251</formula>
      <formula>0.19</formula>
    </cfRule>
    <cfRule type="cellIs" dxfId="12528" priority="15949" operator="greaterThan">
      <formula>0.2601</formula>
    </cfRule>
    <cfRule type="cellIs" dxfId="12527" priority="15950" operator="between">
      <formula>0.2401</formula>
      <formula>0.26</formula>
    </cfRule>
    <cfRule type="cellIs" dxfId="12526" priority="15951" stopIfTrue="1" operator="between">
      <formula>0</formula>
      <formula>0.125</formula>
    </cfRule>
  </conditionalFormatting>
  <conditionalFormatting sqref="K213">
    <cfRule type="cellIs" dxfId="12525" priority="15942" operator="between">
      <formula>0.191</formula>
      <formula>0.24</formula>
    </cfRule>
    <cfRule type="cellIs" dxfId="12524" priority="15943" operator="between">
      <formula>0.1251</formula>
      <formula>0.19</formula>
    </cfRule>
    <cfRule type="cellIs" dxfId="12523" priority="15944" operator="greaterThan">
      <formula>0.2601</formula>
    </cfRule>
    <cfRule type="cellIs" dxfId="12522" priority="15945" operator="between">
      <formula>0.2401</formula>
      <formula>0.26</formula>
    </cfRule>
    <cfRule type="cellIs" dxfId="12521" priority="15946" stopIfTrue="1" operator="between">
      <formula>0</formula>
      <formula>0.125</formula>
    </cfRule>
  </conditionalFormatting>
  <conditionalFormatting sqref="K214">
    <cfRule type="cellIs" dxfId="12520" priority="15937" operator="between">
      <formula>0.191</formula>
      <formula>0.24</formula>
    </cfRule>
    <cfRule type="cellIs" dxfId="12519" priority="15938" operator="between">
      <formula>0.1251</formula>
      <formula>0.19</formula>
    </cfRule>
    <cfRule type="cellIs" dxfId="12518" priority="15939" operator="greaterThan">
      <formula>0.2601</formula>
    </cfRule>
    <cfRule type="cellIs" dxfId="12517" priority="15940" operator="between">
      <formula>0.2401</formula>
      <formula>0.26</formula>
    </cfRule>
    <cfRule type="cellIs" dxfId="12516" priority="15941" stopIfTrue="1" operator="between">
      <formula>0</formula>
      <formula>0.125</formula>
    </cfRule>
  </conditionalFormatting>
  <conditionalFormatting sqref="K215">
    <cfRule type="cellIs" dxfId="12515" priority="15932" operator="between">
      <formula>0.191</formula>
      <formula>0.24</formula>
    </cfRule>
    <cfRule type="cellIs" dxfId="12514" priority="15933" operator="between">
      <formula>0.1251</formula>
      <formula>0.19</formula>
    </cfRule>
    <cfRule type="cellIs" dxfId="12513" priority="15934" operator="greaterThan">
      <formula>0.2601</formula>
    </cfRule>
    <cfRule type="cellIs" dxfId="12512" priority="15935" operator="between">
      <formula>0.2401</formula>
      <formula>0.26</formula>
    </cfRule>
    <cfRule type="cellIs" dxfId="12511" priority="15936" stopIfTrue="1" operator="between">
      <formula>0</formula>
      <formula>0.125</formula>
    </cfRule>
  </conditionalFormatting>
  <conditionalFormatting sqref="K216">
    <cfRule type="cellIs" dxfId="12510" priority="15927" operator="between">
      <formula>0.191</formula>
      <formula>0.24</formula>
    </cfRule>
    <cfRule type="cellIs" dxfId="12509" priority="15928" operator="between">
      <formula>0.1251</formula>
      <formula>0.19</formula>
    </cfRule>
    <cfRule type="cellIs" dxfId="12508" priority="15929" operator="greaterThan">
      <formula>0.2601</formula>
    </cfRule>
    <cfRule type="cellIs" dxfId="12507" priority="15930" operator="between">
      <formula>0.2401</formula>
      <formula>0.26</formula>
    </cfRule>
    <cfRule type="cellIs" dxfId="12506" priority="15931" stopIfTrue="1" operator="between">
      <formula>0</formula>
      <formula>0.125</formula>
    </cfRule>
  </conditionalFormatting>
  <conditionalFormatting sqref="K217">
    <cfRule type="cellIs" dxfId="12505" priority="15922" operator="between">
      <formula>0.191</formula>
      <formula>0.24</formula>
    </cfRule>
    <cfRule type="cellIs" dxfId="12504" priority="15923" operator="between">
      <formula>0.1251</formula>
      <formula>0.19</formula>
    </cfRule>
    <cfRule type="cellIs" dxfId="12503" priority="15924" operator="greaterThan">
      <formula>0.2601</formula>
    </cfRule>
    <cfRule type="cellIs" dxfId="12502" priority="15925" operator="between">
      <formula>0.2401</formula>
      <formula>0.26</formula>
    </cfRule>
    <cfRule type="cellIs" dxfId="12501" priority="15926" stopIfTrue="1" operator="between">
      <formula>0</formula>
      <formula>0.125</formula>
    </cfRule>
  </conditionalFormatting>
  <conditionalFormatting sqref="K218">
    <cfRule type="cellIs" dxfId="12500" priority="15917" operator="between">
      <formula>0.191</formula>
      <formula>0.24</formula>
    </cfRule>
    <cfRule type="cellIs" dxfId="12499" priority="15918" operator="between">
      <formula>0.1251</formula>
      <formula>0.19</formula>
    </cfRule>
    <cfRule type="cellIs" dxfId="12498" priority="15919" operator="greaterThan">
      <formula>0.2601</formula>
    </cfRule>
    <cfRule type="cellIs" dxfId="12497" priority="15920" operator="between">
      <formula>0.2401</formula>
      <formula>0.26</formula>
    </cfRule>
    <cfRule type="cellIs" dxfId="12496" priority="15921" stopIfTrue="1" operator="between">
      <formula>0</formula>
      <formula>0.125</formula>
    </cfRule>
  </conditionalFormatting>
  <conditionalFormatting sqref="K219">
    <cfRule type="cellIs" dxfId="12495" priority="15912" operator="between">
      <formula>0.191</formula>
      <formula>0.24</formula>
    </cfRule>
    <cfRule type="cellIs" dxfId="12494" priority="15913" operator="between">
      <formula>0.1251</formula>
      <formula>0.19</formula>
    </cfRule>
    <cfRule type="cellIs" dxfId="12493" priority="15914" operator="greaterThan">
      <formula>0.2601</formula>
    </cfRule>
    <cfRule type="cellIs" dxfId="12492" priority="15915" operator="between">
      <formula>0.2401</formula>
      <formula>0.26</formula>
    </cfRule>
    <cfRule type="cellIs" dxfId="12491" priority="15916" stopIfTrue="1" operator="between">
      <formula>0</formula>
      <formula>0.125</formula>
    </cfRule>
  </conditionalFormatting>
  <conditionalFormatting sqref="K220">
    <cfRule type="cellIs" dxfId="12490" priority="15907" operator="between">
      <formula>0.191</formula>
      <formula>0.24</formula>
    </cfRule>
    <cfRule type="cellIs" dxfId="12489" priority="15908" operator="between">
      <formula>0.1251</formula>
      <formula>0.19</formula>
    </cfRule>
    <cfRule type="cellIs" dxfId="12488" priority="15909" operator="greaterThan">
      <formula>0.2601</formula>
    </cfRule>
    <cfRule type="cellIs" dxfId="12487" priority="15910" operator="between">
      <formula>0.2401</formula>
      <formula>0.26</formula>
    </cfRule>
    <cfRule type="cellIs" dxfId="12486" priority="15911" stopIfTrue="1" operator="between">
      <formula>0</formula>
      <formula>0.125</formula>
    </cfRule>
  </conditionalFormatting>
  <conditionalFormatting sqref="K221">
    <cfRule type="cellIs" dxfId="12485" priority="15902" operator="between">
      <formula>0.191</formula>
      <formula>0.24</formula>
    </cfRule>
    <cfRule type="cellIs" dxfId="12484" priority="15903" operator="between">
      <formula>0.1251</formula>
      <formula>0.19</formula>
    </cfRule>
    <cfRule type="cellIs" dxfId="12483" priority="15904" operator="greaterThan">
      <formula>0.2601</formula>
    </cfRule>
    <cfRule type="cellIs" dxfId="12482" priority="15905" operator="between">
      <formula>0.2401</formula>
      <formula>0.26</formula>
    </cfRule>
    <cfRule type="cellIs" dxfId="12481" priority="15906" stopIfTrue="1" operator="between">
      <formula>0</formula>
      <formula>0.125</formula>
    </cfRule>
  </conditionalFormatting>
  <conditionalFormatting sqref="K222">
    <cfRule type="cellIs" dxfId="12480" priority="15897" operator="between">
      <formula>0.191</formula>
      <formula>0.24</formula>
    </cfRule>
    <cfRule type="cellIs" dxfId="12479" priority="15898" operator="between">
      <formula>0.1251</formula>
      <formula>0.19</formula>
    </cfRule>
    <cfRule type="cellIs" dxfId="12478" priority="15899" operator="greaterThan">
      <formula>0.2601</formula>
    </cfRule>
    <cfRule type="cellIs" dxfId="12477" priority="15900" operator="between">
      <formula>0.2401</formula>
      <formula>0.26</formula>
    </cfRule>
    <cfRule type="cellIs" dxfId="12476" priority="15901" stopIfTrue="1" operator="between">
      <formula>0</formula>
      <formula>0.125</formula>
    </cfRule>
  </conditionalFormatting>
  <conditionalFormatting sqref="K223">
    <cfRule type="cellIs" dxfId="12475" priority="15892" operator="between">
      <formula>0.191</formula>
      <formula>0.24</formula>
    </cfRule>
    <cfRule type="cellIs" dxfId="12474" priority="15893" operator="between">
      <formula>0.1251</formula>
      <formula>0.19</formula>
    </cfRule>
    <cfRule type="cellIs" dxfId="12473" priority="15894" operator="greaterThan">
      <formula>0.2601</formula>
    </cfRule>
    <cfRule type="cellIs" dxfId="12472" priority="15895" operator="between">
      <formula>0.2401</formula>
      <formula>0.26</formula>
    </cfRule>
    <cfRule type="cellIs" dxfId="12471" priority="15896" stopIfTrue="1" operator="between">
      <formula>0</formula>
      <formula>0.125</formula>
    </cfRule>
  </conditionalFormatting>
  <conditionalFormatting sqref="K224">
    <cfRule type="cellIs" dxfId="12470" priority="15887" operator="between">
      <formula>0.191</formula>
      <formula>0.24</formula>
    </cfRule>
    <cfRule type="cellIs" dxfId="12469" priority="15888" operator="between">
      <formula>0.1251</formula>
      <formula>0.19</formula>
    </cfRule>
    <cfRule type="cellIs" dxfId="12468" priority="15889" operator="greaterThan">
      <formula>0.2601</formula>
    </cfRule>
    <cfRule type="cellIs" dxfId="12467" priority="15890" operator="between">
      <formula>0.2401</formula>
      <formula>0.26</formula>
    </cfRule>
    <cfRule type="cellIs" dxfId="12466" priority="15891" stopIfTrue="1" operator="between">
      <formula>0</formula>
      <formula>0.125</formula>
    </cfRule>
  </conditionalFormatting>
  <conditionalFormatting sqref="K225">
    <cfRule type="cellIs" dxfId="12465" priority="15882" operator="between">
      <formula>0.191</formula>
      <formula>0.24</formula>
    </cfRule>
    <cfRule type="cellIs" dxfId="12464" priority="15883" operator="between">
      <formula>0.1251</formula>
      <formula>0.19</formula>
    </cfRule>
    <cfRule type="cellIs" dxfId="12463" priority="15884" operator="greaterThan">
      <formula>0.2601</formula>
    </cfRule>
    <cfRule type="cellIs" dxfId="12462" priority="15885" operator="between">
      <formula>0.2401</formula>
      <formula>0.26</formula>
    </cfRule>
    <cfRule type="cellIs" dxfId="12461" priority="15886" stopIfTrue="1" operator="between">
      <formula>0</formula>
      <formula>0.125</formula>
    </cfRule>
  </conditionalFormatting>
  <conditionalFormatting sqref="K226">
    <cfRule type="cellIs" dxfId="12460" priority="15877" operator="between">
      <formula>0.191</formula>
      <formula>0.24</formula>
    </cfRule>
    <cfRule type="cellIs" dxfId="12459" priority="15878" operator="between">
      <formula>0.1251</formula>
      <formula>0.19</formula>
    </cfRule>
    <cfRule type="cellIs" dxfId="12458" priority="15879" operator="greaterThan">
      <formula>0.2601</formula>
    </cfRule>
    <cfRule type="cellIs" dxfId="12457" priority="15880" operator="between">
      <formula>0.2401</formula>
      <formula>0.26</formula>
    </cfRule>
    <cfRule type="cellIs" dxfId="12456" priority="15881" stopIfTrue="1" operator="between">
      <formula>0</formula>
      <formula>0.125</formula>
    </cfRule>
  </conditionalFormatting>
  <conditionalFormatting sqref="K227">
    <cfRule type="cellIs" dxfId="12455" priority="15872" operator="between">
      <formula>0.191</formula>
      <formula>0.24</formula>
    </cfRule>
    <cfRule type="cellIs" dxfId="12454" priority="15873" operator="between">
      <formula>0.1251</formula>
      <formula>0.19</formula>
    </cfRule>
    <cfRule type="cellIs" dxfId="12453" priority="15874" operator="greaterThan">
      <formula>0.2601</formula>
    </cfRule>
    <cfRule type="cellIs" dxfId="12452" priority="15875" operator="between">
      <formula>0.2401</formula>
      <formula>0.26</formula>
    </cfRule>
    <cfRule type="cellIs" dxfId="12451" priority="15876" stopIfTrue="1" operator="between">
      <formula>0</formula>
      <formula>0.125</formula>
    </cfRule>
  </conditionalFormatting>
  <conditionalFormatting sqref="K228">
    <cfRule type="cellIs" dxfId="12450" priority="15867" operator="between">
      <formula>0.191</formula>
      <formula>0.24</formula>
    </cfRule>
    <cfRule type="cellIs" dxfId="12449" priority="15868" operator="between">
      <formula>0.1251</formula>
      <formula>0.19</formula>
    </cfRule>
    <cfRule type="cellIs" dxfId="12448" priority="15869" operator="greaterThan">
      <formula>0.2601</formula>
    </cfRule>
    <cfRule type="cellIs" dxfId="12447" priority="15870" operator="between">
      <formula>0.2401</formula>
      <formula>0.26</formula>
    </cfRule>
    <cfRule type="cellIs" dxfId="12446" priority="15871" stopIfTrue="1" operator="between">
      <formula>0</formula>
      <formula>0.125</formula>
    </cfRule>
  </conditionalFormatting>
  <conditionalFormatting sqref="K229">
    <cfRule type="cellIs" dxfId="12445" priority="15862" operator="between">
      <formula>0.191</formula>
      <formula>0.24</formula>
    </cfRule>
    <cfRule type="cellIs" dxfId="12444" priority="15863" operator="between">
      <formula>0.1251</formula>
      <formula>0.19</formula>
    </cfRule>
    <cfRule type="cellIs" dxfId="12443" priority="15864" operator="greaterThan">
      <formula>0.2601</formula>
    </cfRule>
    <cfRule type="cellIs" dxfId="12442" priority="15865" operator="between">
      <formula>0.2401</formula>
      <formula>0.26</formula>
    </cfRule>
    <cfRule type="cellIs" dxfId="12441" priority="15866" stopIfTrue="1" operator="between">
      <formula>0</formula>
      <formula>0.125</formula>
    </cfRule>
  </conditionalFormatting>
  <conditionalFormatting sqref="K230">
    <cfRule type="cellIs" dxfId="12440" priority="15857" operator="between">
      <formula>0.191</formula>
      <formula>0.24</formula>
    </cfRule>
    <cfRule type="cellIs" dxfId="12439" priority="15858" operator="between">
      <formula>0.1251</formula>
      <formula>0.19</formula>
    </cfRule>
    <cfRule type="cellIs" dxfId="12438" priority="15859" operator="greaterThan">
      <formula>0.2601</formula>
    </cfRule>
    <cfRule type="cellIs" dxfId="12437" priority="15860" operator="between">
      <formula>0.2401</formula>
      <formula>0.26</formula>
    </cfRule>
    <cfRule type="cellIs" dxfId="12436" priority="15861" stopIfTrue="1" operator="between">
      <formula>0</formula>
      <formula>0.125</formula>
    </cfRule>
  </conditionalFormatting>
  <conditionalFormatting sqref="K231">
    <cfRule type="cellIs" dxfId="12435" priority="15852" operator="between">
      <formula>0.191</formula>
      <formula>0.24</formula>
    </cfRule>
    <cfRule type="cellIs" dxfId="12434" priority="15853" operator="between">
      <formula>0.1251</formula>
      <formula>0.19</formula>
    </cfRule>
    <cfRule type="cellIs" dxfId="12433" priority="15854" operator="greaterThan">
      <formula>0.2601</formula>
    </cfRule>
    <cfRule type="cellIs" dxfId="12432" priority="15855" operator="between">
      <formula>0.2401</formula>
      <formula>0.26</formula>
    </cfRule>
    <cfRule type="cellIs" dxfId="12431" priority="15856" stopIfTrue="1" operator="between">
      <formula>0</formula>
      <formula>0.125</formula>
    </cfRule>
  </conditionalFormatting>
  <conditionalFormatting sqref="K232">
    <cfRule type="cellIs" dxfId="12430" priority="15847" operator="between">
      <formula>0.191</formula>
      <formula>0.24</formula>
    </cfRule>
    <cfRule type="cellIs" dxfId="12429" priority="15848" operator="between">
      <formula>0.1251</formula>
      <formula>0.19</formula>
    </cfRule>
    <cfRule type="cellIs" dxfId="12428" priority="15849" operator="greaterThan">
      <formula>0.2601</formula>
    </cfRule>
    <cfRule type="cellIs" dxfId="12427" priority="15850" operator="between">
      <formula>0.2401</formula>
      <formula>0.26</formula>
    </cfRule>
    <cfRule type="cellIs" dxfId="12426" priority="15851" stopIfTrue="1" operator="between">
      <formula>0</formula>
      <formula>0.125</formula>
    </cfRule>
  </conditionalFormatting>
  <conditionalFormatting sqref="K233">
    <cfRule type="cellIs" dxfId="12425" priority="15842" operator="between">
      <formula>0.191</formula>
      <formula>0.24</formula>
    </cfRule>
    <cfRule type="cellIs" dxfId="12424" priority="15843" operator="between">
      <formula>0.1251</formula>
      <formula>0.19</formula>
    </cfRule>
    <cfRule type="cellIs" dxfId="12423" priority="15844" operator="greaterThan">
      <formula>0.2601</formula>
    </cfRule>
    <cfRule type="cellIs" dxfId="12422" priority="15845" operator="between">
      <formula>0.2401</formula>
      <formula>0.26</formula>
    </cfRule>
    <cfRule type="cellIs" dxfId="12421" priority="15846" stopIfTrue="1" operator="between">
      <formula>0</formula>
      <formula>0.125</formula>
    </cfRule>
  </conditionalFormatting>
  <conditionalFormatting sqref="K234">
    <cfRule type="cellIs" dxfId="12420" priority="15837" operator="between">
      <formula>0.191</formula>
      <formula>0.24</formula>
    </cfRule>
    <cfRule type="cellIs" dxfId="12419" priority="15838" operator="between">
      <formula>0.1251</formula>
      <formula>0.19</formula>
    </cfRule>
    <cfRule type="cellIs" dxfId="12418" priority="15839" operator="greaterThan">
      <formula>0.2601</formula>
    </cfRule>
    <cfRule type="cellIs" dxfId="12417" priority="15840" operator="between">
      <formula>0.2401</formula>
      <formula>0.26</formula>
    </cfRule>
    <cfRule type="cellIs" dxfId="12416" priority="15841" stopIfTrue="1" operator="between">
      <formula>0</formula>
      <formula>0.125</formula>
    </cfRule>
  </conditionalFormatting>
  <conditionalFormatting sqref="K236">
    <cfRule type="cellIs" dxfId="12415" priority="15827" operator="between">
      <formula>0.191</formula>
      <formula>0.24</formula>
    </cfRule>
    <cfRule type="cellIs" dxfId="12414" priority="15828" operator="between">
      <formula>0.1251</formula>
      <formula>0.19</formula>
    </cfRule>
    <cfRule type="cellIs" dxfId="12413" priority="15829" operator="greaterThan">
      <formula>0.2601</formula>
    </cfRule>
    <cfRule type="cellIs" dxfId="12412" priority="15830" operator="between">
      <formula>0.2401</formula>
      <formula>0.26</formula>
    </cfRule>
    <cfRule type="cellIs" dxfId="12411" priority="15831" stopIfTrue="1" operator="between">
      <formula>0</formula>
      <formula>0.125</formula>
    </cfRule>
  </conditionalFormatting>
  <conditionalFormatting sqref="K235">
    <cfRule type="cellIs" dxfId="12410" priority="15822" operator="between">
      <formula>0.191</formula>
      <formula>0.24</formula>
    </cfRule>
    <cfRule type="cellIs" dxfId="12409" priority="15823" operator="between">
      <formula>0.1251</formula>
      <formula>0.19</formula>
    </cfRule>
    <cfRule type="cellIs" dxfId="12408" priority="15824" operator="greaterThan">
      <formula>0.2601</formula>
    </cfRule>
    <cfRule type="cellIs" dxfId="12407" priority="15825" operator="between">
      <formula>0.2401</formula>
      <formula>0.26</formula>
    </cfRule>
    <cfRule type="cellIs" dxfId="12406" priority="15826" stopIfTrue="1" operator="between">
      <formula>0</formula>
      <formula>0.125</formula>
    </cfRule>
  </conditionalFormatting>
  <conditionalFormatting sqref="K237:K238">
    <cfRule type="cellIs" dxfId="12405" priority="15807" operator="between">
      <formula>0.191</formula>
      <formula>0.24</formula>
    </cfRule>
    <cfRule type="cellIs" dxfId="12404" priority="15808" operator="between">
      <formula>0.1251</formula>
      <formula>0.19</formula>
    </cfRule>
    <cfRule type="cellIs" dxfId="12403" priority="15809" operator="greaterThan">
      <formula>0.2601</formula>
    </cfRule>
    <cfRule type="cellIs" dxfId="12402" priority="15810" operator="between">
      <formula>0.2401</formula>
      <formula>0.26</formula>
    </cfRule>
    <cfRule type="cellIs" dxfId="12401" priority="15811" stopIfTrue="1" operator="between">
      <formula>0</formula>
      <formula>0.125</formula>
    </cfRule>
  </conditionalFormatting>
  <conditionalFormatting sqref="K239">
    <cfRule type="cellIs" dxfId="12400" priority="15802" operator="between">
      <formula>0.191</formula>
      <formula>0.24</formula>
    </cfRule>
    <cfRule type="cellIs" dxfId="12399" priority="15803" operator="between">
      <formula>0.1251</formula>
      <formula>0.19</formula>
    </cfRule>
    <cfRule type="cellIs" dxfId="12398" priority="15804" operator="greaterThan">
      <formula>0.2601</formula>
    </cfRule>
    <cfRule type="cellIs" dxfId="12397" priority="15805" operator="between">
      <formula>0.2401</formula>
      <formula>0.26</formula>
    </cfRule>
    <cfRule type="cellIs" dxfId="12396" priority="15806" stopIfTrue="1" operator="between">
      <formula>0</formula>
      <formula>0.125</formula>
    </cfRule>
  </conditionalFormatting>
  <conditionalFormatting sqref="K240">
    <cfRule type="cellIs" dxfId="12395" priority="15797" operator="between">
      <formula>0.191</formula>
      <formula>0.24</formula>
    </cfRule>
    <cfRule type="cellIs" dxfId="12394" priority="15798" operator="between">
      <formula>0.1251</formula>
      <formula>0.19</formula>
    </cfRule>
    <cfRule type="cellIs" dxfId="12393" priority="15799" operator="greaterThan">
      <formula>0.2601</formula>
    </cfRule>
    <cfRule type="cellIs" dxfId="12392" priority="15800" operator="between">
      <formula>0.2401</formula>
      <formula>0.26</formula>
    </cfRule>
    <cfRule type="cellIs" dxfId="12391" priority="15801" stopIfTrue="1" operator="between">
      <formula>0</formula>
      <formula>0.125</formula>
    </cfRule>
  </conditionalFormatting>
  <conditionalFormatting sqref="K243">
    <cfRule type="cellIs" dxfId="12390" priority="15792" operator="between">
      <formula>0.191</formula>
      <formula>0.24</formula>
    </cfRule>
    <cfRule type="cellIs" dxfId="12389" priority="15793" operator="between">
      <formula>0.1251</formula>
      <formula>0.19</formula>
    </cfRule>
    <cfRule type="cellIs" dxfId="12388" priority="15794" operator="greaterThan">
      <formula>0.2601</formula>
    </cfRule>
    <cfRule type="cellIs" dxfId="12387" priority="15795" operator="between">
      <formula>0.2401</formula>
      <formula>0.26</formula>
    </cfRule>
    <cfRule type="cellIs" dxfId="12386" priority="15796" stopIfTrue="1" operator="between">
      <formula>0</formula>
      <formula>0.125</formula>
    </cfRule>
  </conditionalFormatting>
  <conditionalFormatting sqref="K244">
    <cfRule type="cellIs" dxfId="12385" priority="15787" operator="between">
      <formula>0.191</formula>
      <formula>0.24</formula>
    </cfRule>
    <cfRule type="cellIs" dxfId="12384" priority="15788" operator="between">
      <formula>0.1251</formula>
      <formula>0.19</formula>
    </cfRule>
    <cfRule type="cellIs" dxfId="12383" priority="15789" operator="greaterThan">
      <formula>0.2601</formula>
    </cfRule>
    <cfRule type="cellIs" dxfId="12382" priority="15790" operator="between">
      <formula>0.2401</formula>
      <formula>0.26</formula>
    </cfRule>
    <cfRule type="cellIs" dxfId="12381" priority="15791" stopIfTrue="1" operator="between">
      <formula>0</formula>
      <formula>0.125</formula>
    </cfRule>
  </conditionalFormatting>
  <conditionalFormatting sqref="K247">
    <cfRule type="cellIs" dxfId="12380" priority="15782" operator="between">
      <formula>0.191</formula>
      <formula>0.24</formula>
    </cfRule>
    <cfRule type="cellIs" dxfId="12379" priority="15783" operator="between">
      <formula>0.1251</formula>
      <formula>0.19</formula>
    </cfRule>
    <cfRule type="cellIs" dxfId="12378" priority="15784" operator="greaterThan">
      <formula>0.2601</formula>
    </cfRule>
    <cfRule type="cellIs" dxfId="12377" priority="15785" operator="between">
      <formula>0.2401</formula>
      <formula>0.26</formula>
    </cfRule>
    <cfRule type="cellIs" dxfId="12376" priority="15786" stopIfTrue="1" operator="between">
      <formula>0</formula>
      <formula>0.125</formula>
    </cfRule>
  </conditionalFormatting>
  <conditionalFormatting sqref="K248">
    <cfRule type="cellIs" dxfId="12375" priority="15777" operator="between">
      <formula>0.191</formula>
      <formula>0.24</formula>
    </cfRule>
    <cfRule type="cellIs" dxfId="12374" priority="15778" operator="between">
      <formula>0.1251</formula>
      <formula>0.19</formula>
    </cfRule>
    <cfRule type="cellIs" dxfId="12373" priority="15779" operator="greaterThan">
      <formula>0.2601</formula>
    </cfRule>
    <cfRule type="cellIs" dxfId="12372" priority="15780" operator="between">
      <formula>0.2401</formula>
      <formula>0.26</formula>
    </cfRule>
    <cfRule type="cellIs" dxfId="12371" priority="15781" stopIfTrue="1" operator="between">
      <formula>0</formula>
      <formula>0.125</formula>
    </cfRule>
  </conditionalFormatting>
  <conditionalFormatting sqref="K251">
    <cfRule type="cellIs" dxfId="12370" priority="15772" operator="between">
      <formula>0.191</formula>
      <formula>0.24</formula>
    </cfRule>
    <cfRule type="cellIs" dxfId="12369" priority="15773" operator="between">
      <formula>0.1251</formula>
      <formula>0.19</formula>
    </cfRule>
    <cfRule type="cellIs" dxfId="12368" priority="15774" operator="greaterThan">
      <formula>0.2601</formula>
    </cfRule>
    <cfRule type="cellIs" dxfId="12367" priority="15775" operator="between">
      <formula>0.2401</formula>
      <formula>0.26</formula>
    </cfRule>
    <cfRule type="cellIs" dxfId="12366" priority="15776" stopIfTrue="1" operator="between">
      <formula>0</formula>
      <formula>0.125</formula>
    </cfRule>
  </conditionalFormatting>
  <conditionalFormatting sqref="K252">
    <cfRule type="cellIs" dxfId="12365" priority="15767" operator="between">
      <formula>0.191</formula>
      <formula>0.24</formula>
    </cfRule>
    <cfRule type="cellIs" dxfId="12364" priority="15768" operator="between">
      <formula>0.1251</formula>
      <formula>0.19</formula>
    </cfRule>
    <cfRule type="cellIs" dxfId="12363" priority="15769" operator="greaterThan">
      <formula>0.2601</formula>
    </cfRule>
    <cfRule type="cellIs" dxfId="12362" priority="15770" operator="between">
      <formula>0.2401</formula>
      <formula>0.26</formula>
    </cfRule>
    <cfRule type="cellIs" dxfId="12361" priority="15771" stopIfTrue="1" operator="between">
      <formula>0</formula>
      <formula>0.125</formula>
    </cfRule>
  </conditionalFormatting>
  <conditionalFormatting sqref="K257">
    <cfRule type="cellIs" dxfId="12360" priority="15762" operator="between">
      <formula>0.191</formula>
      <formula>0.24</formula>
    </cfRule>
    <cfRule type="cellIs" dxfId="12359" priority="15763" operator="between">
      <formula>0.1251</formula>
      <formula>0.19</formula>
    </cfRule>
    <cfRule type="cellIs" dxfId="12358" priority="15764" operator="greaterThan">
      <formula>0.2601</formula>
    </cfRule>
    <cfRule type="cellIs" dxfId="12357" priority="15765" operator="between">
      <formula>0.2401</formula>
      <formula>0.26</formula>
    </cfRule>
    <cfRule type="cellIs" dxfId="12356" priority="15766" stopIfTrue="1" operator="between">
      <formula>0</formula>
      <formula>0.125</formula>
    </cfRule>
  </conditionalFormatting>
  <conditionalFormatting sqref="K258">
    <cfRule type="cellIs" dxfId="12355" priority="15757" operator="between">
      <formula>0.191</formula>
      <formula>0.24</formula>
    </cfRule>
    <cfRule type="cellIs" dxfId="12354" priority="15758" operator="between">
      <formula>0.1251</formula>
      <formula>0.19</formula>
    </cfRule>
    <cfRule type="cellIs" dxfId="12353" priority="15759" operator="greaterThan">
      <formula>0.2601</formula>
    </cfRule>
    <cfRule type="cellIs" dxfId="12352" priority="15760" operator="between">
      <formula>0.2401</formula>
      <formula>0.26</formula>
    </cfRule>
    <cfRule type="cellIs" dxfId="12351" priority="15761" stopIfTrue="1" operator="between">
      <formula>0</formula>
      <formula>0.125</formula>
    </cfRule>
  </conditionalFormatting>
  <conditionalFormatting sqref="K259">
    <cfRule type="cellIs" dxfId="12350" priority="15752" operator="between">
      <formula>0.191</formula>
      <formula>0.24</formula>
    </cfRule>
    <cfRule type="cellIs" dxfId="12349" priority="15753" operator="between">
      <formula>0.1251</formula>
      <formula>0.19</formula>
    </cfRule>
    <cfRule type="cellIs" dxfId="12348" priority="15754" operator="greaterThan">
      <formula>0.2601</formula>
    </cfRule>
    <cfRule type="cellIs" dxfId="12347" priority="15755" operator="between">
      <formula>0.2401</formula>
      <formula>0.26</formula>
    </cfRule>
    <cfRule type="cellIs" dxfId="12346" priority="15756" stopIfTrue="1" operator="between">
      <formula>0</formula>
      <formula>0.125</formula>
    </cfRule>
  </conditionalFormatting>
  <conditionalFormatting sqref="K260">
    <cfRule type="cellIs" dxfId="12345" priority="15747" operator="between">
      <formula>0.191</formula>
      <formula>0.24</formula>
    </cfRule>
    <cfRule type="cellIs" dxfId="12344" priority="15748" operator="between">
      <formula>0.1251</formula>
      <formula>0.19</formula>
    </cfRule>
    <cfRule type="cellIs" dxfId="12343" priority="15749" operator="greaterThan">
      <formula>0.2601</formula>
    </cfRule>
    <cfRule type="cellIs" dxfId="12342" priority="15750" operator="between">
      <formula>0.2401</formula>
      <formula>0.26</formula>
    </cfRule>
    <cfRule type="cellIs" dxfId="12341" priority="15751" stopIfTrue="1" operator="between">
      <formula>0</formula>
      <formula>0.125</formula>
    </cfRule>
  </conditionalFormatting>
  <conditionalFormatting sqref="K261">
    <cfRule type="cellIs" dxfId="12340" priority="15742" operator="between">
      <formula>0.191</formula>
      <formula>0.24</formula>
    </cfRule>
    <cfRule type="cellIs" dxfId="12339" priority="15743" operator="between">
      <formula>0.1251</formula>
      <formula>0.19</formula>
    </cfRule>
    <cfRule type="cellIs" dxfId="12338" priority="15744" operator="greaterThan">
      <formula>0.2601</formula>
    </cfRule>
    <cfRule type="cellIs" dxfId="12337" priority="15745" operator="between">
      <formula>0.2401</formula>
      <formula>0.26</formula>
    </cfRule>
    <cfRule type="cellIs" dxfId="12336" priority="15746" stopIfTrue="1" operator="between">
      <formula>0</formula>
      <formula>0.125</formula>
    </cfRule>
  </conditionalFormatting>
  <conditionalFormatting sqref="K262">
    <cfRule type="cellIs" dxfId="12335" priority="15737" operator="between">
      <formula>0.191</formula>
      <formula>0.24</formula>
    </cfRule>
    <cfRule type="cellIs" dxfId="12334" priority="15738" operator="between">
      <formula>0.1251</formula>
      <formula>0.19</formula>
    </cfRule>
    <cfRule type="cellIs" dxfId="12333" priority="15739" operator="greaterThan">
      <formula>0.2601</formula>
    </cfRule>
    <cfRule type="cellIs" dxfId="12332" priority="15740" operator="between">
      <formula>0.2401</formula>
      <formula>0.26</formula>
    </cfRule>
    <cfRule type="cellIs" dxfId="12331" priority="15741" stopIfTrue="1" operator="between">
      <formula>0</formula>
      <formula>0.125</formula>
    </cfRule>
  </conditionalFormatting>
  <conditionalFormatting sqref="K277">
    <cfRule type="cellIs" dxfId="12330" priority="15732" operator="between">
      <formula>0.191</formula>
      <formula>0.24</formula>
    </cfRule>
    <cfRule type="cellIs" dxfId="12329" priority="15733" operator="between">
      <formula>0.1251</formula>
      <formula>0.19</formula>
    </cfRule>
    <cfRule type="cellIs" dxfId="12328" priority="15734" operator="greaterThan">
      <formula>0.2601</formula>
    </cfRule>
    <cfRule type="cellIs" dxfId="12327" priority="15735" operator="between">
      <formula>0.2401</formula>
      <formula>0.26</formula>
    </cfRule>
    <cfRule type="cellIs" dxfId="12326" priority="15736" stopIfTrue="1" operator="between">
      <formula>0</formula>
      <formula>0.125</formula>
    </cfRule>
  </conditionalFormatting>
  <conditionalFormatting sqref="K278">
    <cfRule type="cellIs" dxfId="12325" priority="15727" operator="between">
      <formula>0.191</formula>
      <formula>0.24</formula>
    </cfRule>
    <cfRule type="cellIs" dxfId="12324" priority="15728" operator="between">
      <formula>0.1251</formula>
      <formula>0.19</formula>
    </cfRule>
    <cfRule type="cellIs" dxfId="12323" priority="15729" operator="greaterThan">
      <formula>0.2601</formula>
    </cfRule>
    <cfRule type="cellIs" dxfId="12322" priority="15730" operator="between">
      <formula>0.2401</formula>
      <formula>0.26</formula>
    </cfRule>
    <cfRule type="cellIs" dxfId="12321" priority="15731" stopIfTrue="1" operator="between">
      <formula>0</formula>
      <formula>0.125</formula>
    </cfRule>
  </conditionalFormatting>
  <conditionalFormatting sqref="K279">
    <cfRule type="cellIs" dxfId="12320" priority="15722" operator="between">
      <formula>0.191</formula>
      <formula>0.24</formula>
    </cfRule>
    <cfRule type="cellIs" dxfId="12319" priority="15723" operator="between">
      <formula>0.1251</formula>
      <formula>0.19</formula>
    </cfRule>
    <cfRule type="cellIs" dxfId="12318" priority="15724" operator="greaterThan">
      <formula>0.2601</formula>
    </cfRule>
    <cfRule type="cellIs" dxfId="12317" priority="15725" operator="between">
      <formula>0.2401</formula>
      <formula>0.26</formula>
    </cfRule>
    <cfRule type="cellIs" dxfId="12316" priority="15726" stopIfTrue="1" operator="between">
      <formula>0</formula>
      <formula>0.125</formula>
    </cfRule>
  </conditionalFormatting>
  <conditionalFormatting sqref="K280">
    <cfRule type="cellIs" dxfId="12315" priority="15717" operator="between">
      <formula>0.191</formula>
      <formula>0.24</formula>
    </cfRule>
    <cfRule type="cellIs" dxfId="12314" priority="15718" operator="between">
      <formula>0.1251</formula>
      <formula>0.19</formula>
    </cfRule>
    <cfRule type="cellIs" dxfId="12313" priority="15719" operator="greaterThan">
      <formula>0.2601</formula>
    </cfRule>
    <cfRule type="cellIs" dxfId="12312" priority="15720" operator="between">
      <formula>0.2401</formula>
      <formula>0.26</formula>
    </cfRule>
    <cfRule type="cellIs" dxfId="12311" priority="15721" stopIfTrue="1" operator="between">
      <formula>0</formula>
      <formula>0.125</formula>
    </cfRule>
  </conditionalFormatting>
  <conditionalFormatting sqref="K281">
    <cfRule type="cellIs" dxfId="12310" priority="15712" operator="between">
      <formula>0.191</formula>
      <formula>0.24</formula>
    </cfRule>
    <cfRule type="cellIs" dxfId="12309" priority="15713" operator="between">
      <formula>0.1251</formula>
      <formula>0.19</formula>
    </cfRule>
    <cfRule type="cellIs" dxfId="12308" priority="15714" operator="greaterThan">
      <formula>0.2601</formula>
    </cfRule>
    <cfRule type="cellIs" dxfId="12307" priority="15715" operator="between">
      <formula>0.2401</formula>
      <formula>0.26</formula>
    </cfRule>
    <cfRule type="cellIs" dxfId="12306" priority="15716" stopIfTrue="1" operator="between">
      <formula>0</formula>
      <formula>0.125</formula>
    </cfRule>
  </conditionalFormatting>
  <conditionalFormatting sqref="K282">
    <cfRule type="cellIs" dxfId="12305" priority="15707" operator="between">
      <formula>0.191</formula>
      <formula>0.24</formula>
    </cfRule>
    <cfRule type="cellIs" dxfId="12304" priority="15708" operator="between">
      <formula>0.1251</formula>
      <formula>0.19</formula>
    </cfRule>
    <cfRule type="cellIs" dxfId="12303" priority="15709" operator="greaterThan">
      <formula>0.2601</formula>
    </cfRule>
    <cfRule type="cellIs" dxfId="12302" priority="15710" operator="between">
      <formula>0.2401</formula>
      <formula>0.26</formula>
    </cfRule>
    <cfRule type="cellIs" dxfId="12301" priority="15711" stopIfTrue="1" operator="between">
      <formula>0</formula>
      <formula>0.125</formula>
    </cfRule>
  </conditionalFormatting>
  <conditionalFormatting sqref="K286">
    <cfRule type="cellIs" dxfId="12300" priority="15702" operator="between">
      <formula>0.191</formula>
      <formula>0.24</formula>
    </cfRule>
    <cfRule type="cellIs" dxfId="12299" priority="15703" operator="between">
      <formula>0.1251</formula>
      <formula>0.19</formula>
    </cfRule>
    <cfRule type="cellIs" dxfId="12298" priority="15704" operator="greaterThan">
      <formula>0.2601</formula>
    </cfRule>
    <cfRule type="cellIs" dxfId="12297" priority="15705" operator="between">
      <formula>0.2401</formula>
      <formula>0.26</formula>
    </cfRule>
    <cfRule type="cellIs" dxfId="12296" priority="15706" stopIfTrue="1" operator="between">
      <formula>0</formula>
      <formula>0.125</formula>
    </cfRule>
  </conditionalFormatting>
  <conditionalFormatting sqref="K303">
    <cfRule type="cellIs" dxfId="12295" priority="15692" operator="between">
      <formula>0.191</formula>
      <formula>0.24</formula>
    </cfRule>
    <cfRule type="cellIs" dxfId="12294" priority="15693" operator="between">
      <formula>0.1251</formula>
      <formula>0.19</formula>
    </cfRule>
    <cfRule type="cellIs" dxfId="12293" priority="15694" operator="greaterThan">
      <formula>0.2601</formula>
    </cfRule>
    <cfRule type="cellIs" dxfId="12292" priority="15695" operator="between">
      <formula>0.2401</formula>
      <formula>0.26</formula>
    </cfRule>
    <cfRule type="cellIs" dxfId="12291" priority="15696" stopIfTrue="1" operator="between">
      <formula>0</formula>
      <formula>0.125</formula>
    </cfRule>
  </conditionalFormatting>
  <conditionalFormatting sqref="K304">
    <cfRule type="cellIs" dxfId="12290" priority="15687" operator="between">
      <formula>0.191</formula>
      <formula>0.24</formula>
    </cfRule>
    <cfRule type="cellIs" dxfId="12289" priority="15688" operator="between">
      <formula>0.1251</formula>
      <formula>0.19</formula>
    </cfRule>
    <cfRule type="cellIs" dxfId="12288" priority="15689" operator="greaterThan">
      <formula>0.2601</formula>
    </cfRule>
    <cfRule type="cellIs" dxfId="12287" priority="15690" operator="between">
      <formula>0.2401</formula>
      <formula>0.26</formula>
    </cfRule>
    <cfRule type="cellIs" dxfId="12286" priority="15691" stopIfTrue="1" operator="between">
      <formula>0</formula>
      <formula>0.125</formula>
    </cfRule>
  </conditionalFormatting>
  <conditionalFormatting sqref="K306">
    <cfRule type="cellIs" dxfId="12285" priority="15682" operator="between">
      <formula>0.191</formula>
      <formula>0.24</formula>
    </cfRule>
    <cfRule type="cellIs" dxfId="12284" priority="15683" operator="between">
      <formula>0.1251</formula>
      <formula>0.19</formula>
    </cfRule>
    <cfRule type="cellIs" dxfId="12283" priority="15684" operator="greaterThan">
      <formula>0.2601</formula>
    </cfRule>
    <cfRule type="cellIs" dxfId="12282" priority="15685" operator="between">
      <formula>0.2401</formula>
      <formula>0.26</formula>
    </cfRule>
    <cfRule type="cellIs" dxfId="12281" priority="15686" stopIfTrue="1" operator="between">
      <formula>0</formula>
      <formula>0.125</formula>
    </cfRule>
  </conditionalFormatting>
  <conditionalFormatting sqref="K307">
    <cfRule type="cellIs" dxfId="12280" priority="15667" operator="between">
      <formula>0.191</formula>
      <formula>0.24</formula>
    </cfRule>
    <cfRule type="cellIs" dxfId="12279" priority="15668" operator="between">
      <formula>0.1251</formula>
      <formula>0.19</formula>
    </cfRule>
    <cfRule type="cellIs" dxfId="12278" priority="15669" operator="greaterThan">
      <formula>0.2601</formula>
    </cfRule>
    <cfRule type="cellIs" dxfId="12277" priority="15670" operator="between">
      <formula>0.2401</formula>
      <formula>0.26</formula>
    </cfRule>
    <cfRule type="cellIs" dxfId="12276" priority="15671" stopIfTrue="1" operator="between">
      <formula>0</formula>
      <formula>0.125</formula>
    </cfRule>
  </conditionalFormatting>
  <conditionalFormatting sqref="K308">
    <cfRule type="cellIs" dxfId="12275" priority="15662" operator="between">
      <formula>0.191</formula>
      <formula>0.24</formula>
    </cfRule>
    <cfRule type="cellIs" dxfId="12274" priority="15663" operator="between">
      <formula>0.1251</formula>
      <formula>0.19</formula>
    </cfRule>
    <cfRule type="cellIs" dxfId="12273" priority="15664" operator="greaterThan">
      <formula>0.2601</formula>
    </cfRule>
    <cfRule type="cellIs" dxfId="12272" priority="15665" operator="between">
      <formula>0.2401</formula>
      <formula>0.26</formula>
    </cfRule>
    <cfRule type="cellIs" dxfId="12271" priority="15666" stopIfTrue="1" operator="between">
      <formula>0</formula>
      <formula>0.125</formula>
    </cfRule>
  </conditionalFormatting>
  <conditionalFormatting sqref="K320">
    <cfRule type="cellIs" dxfId="12270" priority="15657" operator="between">
      <formula>0.191</formula>
      <formula>0.24</formula>
    </cfRule>
    <cfRule type="cellIs" dxfId="12269" priority="15658" operator="between">
      <formula>0.1251</formula>
      <formula>0.19</formula>
    </cfRule>
    <cfRule type="cellIs" dxfId="12268" priority="15659" operator="greaterThan">
      <formula>0.2601</formula>
    </cfRule>
    <cfRule type="cellIs" dxfId="12267" priority="15660" operator="between">
      <formula>0.2401</formula>
      <formula>0.26</formula>
    </cfRule>
    <cfRule type="cellIs" dxfId="12266" priority="15661" stopIfTrue="1" operator="between">
      <formula>0</formula>
      <formula>0.125</formula>
    </cfRule>
  </conditionalFormatting>
  <conditionalFormatting sqref="K321">
    <cfRule type="cellIs" dxfId="12265" priority="15652" operator="between">
      <formula>0.191</formula>
      <formula>0.24</formula>
    </cfRule>
    <cfRule type="cellIs" dxfId="12264" priority="15653" operator="between">
      <formula>0.1251</formula>
      <formula>0.19</formula>
    </cfRule>
    <cfRule type="cellIs" dxfId="12263" priority="15654" operator="greaterThan">
      <formula>0.2601</formula>
    </cfRule>
    <cfRule type="cellIs" dxfId="12262" priority="15655" operator="between">
      <formula>0.2401</formula>
      <formula>0.26</formula>
    </cfRule>
    <cfRule type="cellIs" dxfId="12261" priority="15656" stopIfTrue="1" operator="between">
      <formula>0</formula>
      <formula>0.125</formula>
    </cfRule>
  </conditionalFormatting>
  <conditionalFormatting sqref="K322">
    <cfRule type="cellIs" dxfId="12260" priority="15647" operator="between">
      <formula>0.191</formula>
      <formula>0.24</formula>
    </cfRule>
    <cfRule type="cellIs" dxfId="12259" priority="15648" operator="between">
      <formula>0.1251</formula>
      <formula>0.19</formula>
    </cfRule>
    <cfRule type="cellIs" dxfId="12258" priority="15649" operator="greaterThan">
      <formula>0.2601</formula>
    </cfRule>
    <cfRule type="cellIs" dxfId="12257" priority="15650" operator="between">
      <formula>0.2401</formula>
      <formula>0.26</formula>
    </cfRule>
    <cfRule type="cellIs" dxfId="12256" priority="15651" stopIfTrue="1" operator="between">
      <formula>0</formula>
      <formula>0.125</formula>
    </cfRule>
  </conditionalFormatting>
  <conditionalFormatting sqref="K323">
    <cfRule type="cellIs" dxfId="12255" priority="15642" operator="between">
      <formula>0.191</formula>
      <formula>0.24</formula>
    </cfRule>
    <cfRule type="cellIs" dxfId="12254" priority="15643" operator="between">
      <formula>0.1251</formula>
      <formula>0.19</formula>
    </cfRule>
    <cfRule type="cellIs" dxfId="12253" priority="15644" operator="greaterThan">
      <formula>0.2601</formula>
    </cfRule>
    <cfRule type="cellIs" dxfId="12252" priority="15645" operator="between">
      <formula>0.2401</formula>
      <formula>0.26</formula>
    </cfRule>
    <cfRule type="cellIs" dxfId="12251" priority="15646" stopIfTrue="1" operator="between">
      <formula>0</formula>
      <formula>0.125</formula>
    </cfRule>
  </conditionalFormatting>
  <conditionalFormatting sqref="K324">
    <cfRule type="cellIs" dxfId="12250" priority="15637" operator="between">
      <formula>0.191</formula>
      <formula>0.24</formula>
    </cfRule>
    <cfRule type="cellIs" dxfId="12249" priority="15638" operator="between">
      <formula>0.1251</formula>
      <formula>0.19</formula>
    </cfRule>
    <cfRule type="cellIs" dxfId="12248" priority="15639" operator="greaterThan">
      <formula>0.2601</formula>
    </cfRule>
    <cfRule type="cellIs" dxfId="12247" priority="15640" operator="between">
      <formula>0.2401</formula>
      <formula>0.26</formula>
    </cfRule>
    <cfRule type="cellIs" dxfId="12246" priority="15641" stopIfTrue="1" operator="between">
      <formula>0</formula>
      <formula>0.125</formula>
    </cfRule>
  </conditionalFormatting>
  <conditionalFormatting sqref="K325">
    <cfRule type="cellIs" dxfId="12245" priority="15632" operator="between">
      <formula>0.191</formula>
      <formula>0.24</formula>
    </cfRule>
    <cfRule type="cellIs" dxfId="12244" priority="15633" operator="between">
      <formula>0.1251</formula>
      <formula>0.19</formula>
    </cfRule>
    <cfRule type="cellIs" dxfId="12243" priority="15634" operator="greaterThan">
      <formula>0.2601</formula>
    </cfRule>
    <cfRule type="cellIs" dxfId="12242" priority="15635" operator="between">
      <formula>0.2401</formula>
      <formula>0.26</formula>
    </cfRule>
    <cfRule type="cellIs" dxfId="12241" priority="15636" stopIfTrue="1" operator="between">
      <formula>0</formula>
      <formula>0.125</formula>
    </cfRule>
  </conditionalFormatting>
  <conditionalFormatting sqref="K327">
    <cfRule type="cellIs" dxfId="12240" priority="15627" operator="between">
      <formula>0.191</formula>
      <formula>0.24</formula>
    </cfRule>
    <cfRule type="cellIs" dxfId="12239" priority="15628" operator="between">
      <formula>0.1251</formula>
      <formula>0.19</formula>
    </cfRule>
    <cfRule type="cellIs" dxfId="12238" priority="15629" operator="greaterThan">
      <formula>0.2601</formula>
    </cfRule>
    <cfRule type="cellIs" dxfId="12237" priority="15630" operator="between">
      <formula>0.2401</formula>
      <formula>0.26</formula>
    </cfRule>
    <cfRule type="cellIs" dxfId="12236" priority="15631" stopIfTrue="1" operator="between">
      <formula>0</formula>
      <formula>0.125</formula>
    </cfRule>
  </conditionalFormatting>
  <conditionalFormatting sqref="K328">
    <cfRule type="cellIs" dxfId="12235" priority="15622" operator="between">
      <formula>0.191</formula>
      <formula>0.24</formula>
    </cfRule>
    <cfRule type="cellIs" dxfId="12234" priority="15623" operator="between">
      <formula>0.1251</formula>
      <formula>0.19</formula>
    </cfRule>
    <cfRule type="cellIs" dxfId="12233" priority="15624" operator="greaterThan">
      <formula>0.2601</formula>
    </cfRule>
    <cfRule type="cellIs" dxfId="12232" priority="15625" operator="between">
      <formula>0.2401</formula>
      <formula>0.26</formula>
    </cfRule>
    <cfRule type="cellIs" dxfId="12231" priority="15626" stopIfTrue="1" operator="between">
      <formula>0</formula>
      <formula>0.125</formula>
    </cfRule>
  </conditionalFormatting>
  <conditionalFormatting sqref="K331">
    <cfRule type="cellIs" dxfId="12230" priority="15617" operator="between">
      <formula>0.191</formula>
      <formula>0.24</formula>
    </cfRule>
    <cfRule type="cellIs" dxfId="12229" priority="15618" operator="between">
      <formula>0.1251</formula>
      <formula>0.19</formula>
    </cfRule>
    <cfRule type="cellIs" dxfId="12228" priority="15619" operator="greaterThan">
      <formula>0.2601</formula>
    </cfRule>
    <cfRule type="cellIs" dxfId="12227" priority="15620" operator="between">
      <formula>0.2401</formula>
      <formula>0.26</formula>
    </cfRule>
    <cfRule type="cellIs" dxfId="12226" priority="15621" stopIfTrue="1" operator="between">
      <formula>0</formula>
      <formula>0.125</formula>
    </cfRule>
  </conditionalFormatting>
  <conditionalFormatting sqref="K332:K333">
    <cfRule type="cellIs" dxfId="12225" priority="15602" operator="between">
      <formula>0.191</formula>
      <formula>0.24</formula>
    </cfRule>
    <cfRule type="cellIs" dxfId="12224" priority="15603" operator="between">
      <formula>0.1251</formula>
      <formula>0.19</formula>
    </cfRule>
    <cfRule type="cellIs" dxfId="12223" priority="15604" operator="greaterThan">
      <formula>0.2601</formula>
    </cfRule>
    <cfRule type="cellIs" dxfId="12222" priority="15605" operator="between">
      <formula>0.2401</formula>
      <formula>0.26</formula>
    </cfRule>
    <cfRule type="cellIs" dxfId="12221" priority="15606" stopIfTrue="1" operator="between">
      <formula>0</formula>
      <formula>0.125</formula>
    </cfRule>
  </conditionalFormatting>
  <conditionalFormatting sqref="K334">
    <cfRule type="cellIs" dxfId="12220" priority="15597" operator="between">
      <formula>0.191</formula>
      <formula>0.24</formula>
    </cfRule>
    <cfRule type="cellIs" dxfId="12219" priority="15598" operator="between">
      <formula>0.1251</formula>
      <formula>0.19</formula>
    </cfRule>
    <cfRule type="cellIs" dxfId="12218" priority="15599" operator="greaterThan">
      <formula>0.2601</formula>
    </cfRule>
    <cfRule type="cellIs" dxfId="12217" priority="15600" operator="between">
      <formula>0.2401</formula>
      <formula>0.26</formula>
    </cfRule>
    <cfRule type="cellIs" dxfId="12216" priority="15601" stopIfTrue="1" operator="between">
      <formula>0</formula>
      <formula>0.125</formula>
    </cfRule>
  </conditionalFormatting>
  <conditionalFormatting sqref="K363">
    <cfRule type="cellIs" dxfId="12215" priority="15592" operator="between">
      <formula>0.191</formula>
      <formula>0.24</formula>
    </cfRule>
    <cfRule type="cellIs" dxfId="12214" priority="15593" operator="between">
      <formula>0.1251</formula>
      <formula>0.19</formula>
    </cfRule>
    <cfRule type="cellIs" dxfId="12213" priority="15594" operator="greaterThan">
      <formula>0.2601</formula>
    </cfRule>
    <cfRule type="cellIs" dxfId="12212" priority="15595" operator="between">
      <formula>0.2401</formula>
      <formula>0.26</formula>
    </cfRule>
    <cfRule type="cellIs" dxfId="12211" priority="15596" stopIfTrue="1" operator="between">
      <formula>0</formula>
      <formula>0.125</formula>
    </cfRule>
  </conditionalFormatting>
  <conditionalFormatting sqref="K376">
    <cfRule type="cellIs" dxfId="12210" priority="15587" operator="between">
      <formula>0.191</formula>
      <formula>0.24</formula>
    </cfRule>
    <cfRule type="cellIs" dxfId="12209" priority="15588" operator="between">
      <formula>0.1251</formula>
      <formula>0.19</formula>
    </cfRule>
    <cfRule type="cellIs" dxfId="12208" priority="15589" operator="greaterThan">
      <formula>0.2601</formula>
    </cfRule>
    <cfRule type="cellIs" dxfId="12207" priority="15590" operator="between">
      <formula>0.2401</formula>
      <formula>0.26</formula>
    </cfRule>
    <cfRule type="cellIs" dxfId="12206" priority="15591" stopIfTrue="1" operator="between">
      <formula>0</formula>
      <formula>0.125</formula>
    </cfRule>
  </conditionalFormatting>
  <conditionalFormatting sqref="K382:K384">
    <cfRule type="cellIs" dxfId="12205" priority="15567" operator="between">
      <formula>0.191</formula>
      <formula>0.24</formula>
    </cfRule>
    <cfRule type="cellIs" dxfId="12204" priority="15568" operator="between">
      <formula>0.1251</formula>
      <formula>0.19</formula>
    </cfRule>
    <cfRule type="cellIs" dxfId="12203" priority="15569" operator="greaterThan">
      <formula>0.2601</formula>
    </cfRule>
    <cfRule type="cellIs" dxfId="12202" priority="15570" operator="between">
      <formula>0.2401</formula>
      <formula>0.26</formula>
    </cfRule>
    <cfRule type="cellIs" dxfId="12201" priority="15571" stopIfTrue="1" operator="between">
      <formula>0</formula>
      <formula>0.125</formula>
    </cfRule>
  </conditionalFormatting>
  <conditionalFormatting sqref="K72">
    <cfRule type="cellIs" dxfId="12200" priority="15562" operator="between">
      <formula>0.76</formula>
      <formula>0.95</formula>
    </cfRule>
    <cfRule type="cellIs" dxfId="12199" priority="15563" operator="between">
      <formula>0.51</formula>
      <formula>0.75</formula>
    </cfRule>
    <cfRule type="cellIs" dxfId="12198" priority="15564" operator="greaterThan">
      <formula>1</formula>
    </cfRule>
    <cfRule type="cellIs" dxfId="12197" priority="15565" operator="between">
      <formula>0.95</formula>
      <formula>1</formula>
    </cfRule>
    <cfRule type="cellIs" dxfId="12196" priority="15566" stopIfTrue="1" operator="between">
      <formula>0</formula>
      <formula>0.5</formula>
    </cfRule>
  </conditionalFormatting>
  <conditionalFormatting sqref="I117">
    <cfRule type="cellIs" dxfId="12195" priority="15554" operator="between">
      <formula>0.76</formula>
      <formula>0.95</formula>
    </cfRule>
    <cfRule type="cellIs" dxfId="12194" priority="15555" operator="between">
      <formula>0.51</formula>
      <formula>0.75</formula>
    </cfRule>
    <cfRule type="cellIs" dxfId="12193" priority="15556" operator="greaterThan">
      <formula>1</formula>
    </cfRule>
    <cfRule type="cellIs" dxfId="12192" priority="15557" operator="between">
      <formula>0.95</formula>
      <formula>1</formula>
    </cfRule>
    <cfRule type="cellIs" dxfId="12191" priority="15558" stopIfTrue="1" operator="between">
      <formula>0</formula>
      <formula>0.5</formula>
    </cfRule>
  </conditionalFormatting>
  <conditionalFormatting sqref="K117">
    <cfRule type="cellIs" dxfId="12190" priority="15549" operator="between">
      <formula>0.191</formula>
      <formula>0.24</formula>
    </cfRule>
    <cfRule type="cellIs" dxfId="12189" priority="15550" operator="between">
      <formula>0.1251</formula>
      <formula>0.19</formula>
    </cfRule>
    <cfRule type="cellIs" dxfId="12188" priority="15551" operator="greaterThan">
      <formula>0.2601</formula>
    </cfRule>
    <cfRule type="cellIs" dxfId="12187" priority="15552" operator="between">
      <formula>0.2401</formula>
      <formula>0.26</formula>
    </cfRule>
    <cfRule type="cellIs" dxfId="12186" priority="15553" stopIfTrue="1" operator="between">
      <formula>0</formula>
      <formula>0.125</formula>
    </cfRule>
  </conditionalFormatting>
  <conditionalFormatting sqref="P117">
    <cfRule type="cellIs" dxfId="12185" priority="15541" operator="between">
      <formula>0.76</formula>
      <formula>0.95</formula>
    </cfRule>
    <cfRule type="cellIs" dxfId="12184" priority="15542" operator="between">
      <formula>0.51</formula>
      <formula>0.75</formula>
    </cfRule>
    <cfRule type="cellIs" dxfId="12183" priority="15543" operator="greaterThan">
      <formula>1</formula>
    </cfRule>
    <cfRule type="cellIs" dxfId="12182" priority="15544" operator="between">
      <formula>0.95</formula>
      <formula>1</formula>
    </cfRule>
    <cfRule type="cellIs" dxfId="12181" priority="15545" stopIfTrue="1" operator="between">
      <formula>0</formula>
      <formula>0.5</formula>
    </cfRule>
  </conditionalFormatting>
  <conditionalFormatting sqref="W117">
    <cfRule type="cellIs" dxfId="12180" priority="15528" operator="between">
      <formula>0.76</formula>
      <formula>0.95</formula>
    </cfRule>
    <cfRule type="cellIs" dxfId="12179" priority="15529" operator="between">
      <formula>0.51</formula>
      <formula>0.75</formula>
    </cfRule>
    <cfRule type="cellIs" dxfId="12178" priority="15530" operator="greaterThan">
      <formula>1</formula>
    </cfRule>
    <cfRule type="cellIs" dxfId="12177" priority="15531" operator="between">
      <formula>0.95</formula>
      <formula>1</formula>
    </cfRule>
    <cfRule type="cellIs" dxfId="12176" priority="15532" stopIfTrue="1" operator="between">
      <formula>0</formula>
      <formula>0.5</formula>
    </cfRule>
  </conditionalFormatting>
  <conditionalFormatting sqref="AD117">
    <cfRule type="cellIs" dxfId="12175" priority="15515" operator="between">
      <formula>0.76</formula>
      <formula>0.95</formula>
    </cfRule>
    <cfRule type="cellIs" dxfId="12174" priority="15516" operator="between">
      <formula>0.51</formula>
      <formula>0.75</formula>
    </cfRule>
    <cfRule type="cellIs" dxfId="12173" priority="15517" operator="greaterThan">
      <formula>1</formula>
    </cfRule>
    <cfRule type="cellIs" dxfId="12172" priority="15518" operator="between">
      <formula>0.95</formula>
      <formula>1</formula>
    </cfRule>
    <cfRule type="cellIs" dxfId="12171" priority="15519" stopIfTrue="1" operator="between">
      <formula>0</formula>
      <formula>0.5</formula>
    </cfRule>
  </conditionalFormatting>
  <conditionalFormatting sqref="AF117">
    <cfRule type="cellIs" dxfId="12170" priority="15510" operator="between">
      <formula>0.76</formula>
      <formula>0.95</formula>
    </cfRule>
    <cfRule type="cellIs" dxfId="12169" priority="15511" operator="between">
      <formula>0.51</formula>
      <formula>0.75</formula>
    </cfRule>
    <cfRule type="cellIs" dxfId="12168" priority="15512" operator="greaterThan">
      <formula>1</formula>
    </cfRule>
    <cfRule type="cellIs" dxfId="12167" priority="15513" operator="between">
      <formula>0.95</formula>
      <formula>1</formula>
    </cfRule>
    <cfRule type="cellIs" dxfId="12166" priority="15514" stopIfTrue="1" operator="between">
      <formula>0</formula>
      <formula>0.5</formula>
    </cfRule>
  </conditionalFormatting>
  <conditionalFormatting sqref="I201">
    <cfRule type="cellIs" dxfId="12165" priority="15502" operator="between">
      <formula>0.76</formula>
      <formula>0.95</formula>
    </cfRule>
    <cfRule type="cellIs" dxfId="12164" priority="15503" operator="between">
      <formula>0.51</formula>
      <formula>0.75</formula>
    </cfRule>
    <cfRule type="cellIs" dxfId="12163" priority="15504" operator="greaterThan">
      <formula>1</formula>
    </cfRule>
    <cfRule type="cellIs" dxfId="12162" priority="15505" operator="between">
      <formula>0.95</formula>
      <formula>1</formula>
    </cfRule>
    <cfRule type="cellIs" dxfId="12161" priority="15506" stopIfTrue="1" operator="between">
      <formula>0</formula>
      <formula>0.5</formula>
    </cfRule>
  </conditionalFormatting>
  <conditionalFormatting sqref="K201">
    <cfRule type="cellIs" dxfId="12160" priority="15497" operator="between">
      <formula>0.191</formula>
      <formula>0.24</formula>
    </cfRule>
    <cfRule type="cellIs" dxfId="12159" priority="15498" operator="between">
      <formula>0.1251</formula>
      <formula>0.19</formula>
    </cfRule>
    <cfRule type="cellIs" dxfId="12158" priority="15499" operator="greaterThan">
      <formula>0.2601</formula>
    </cfRule>
    <cfRule type="cellIs" dxfId="12157" priority="15500" operator="between">
      <formula>0.2401</formula>
      <formula>0.26</formula>
    </cfRule>
    <cfRule type="cellIs" dxfId="12156" priority="15501" stopIfTrue="1" operator="between">
      <formula>0</formula>
      <formula>0.125</formula>
    </cfRule>
  </conditionalFormatting>
  <conditionalFormatting sqref="P201">
    <cfRule type="cellIs" dxfId="12155" priority="15492" operator="between">
      <formula>0.76</formula>
      <formula>0.95</formula>
    </cfRule>
    <cfRule type="cellIs" dxfId="12154" priority="15493" operator="between">
      <formula>0.51</formula>
      <formula>0.75</formula>
    </cfRule>
    <cfRule type="cellIs" dxfId="12153" priority="15494" operator="greaterThan">
      <formula>1</formula>
    </cfRule>
    <cfRule type="cellIs" dxfId="12152" priority="15495" operator="between">
      <formula>0.95</formula>
      <formula>1</formula>
    </cfRule>
    <cfRule type="cellIs" dxfId="12151" priority="15496" stopIfTrue="1" operator="between">
      <formula>0</formula>
      <formula>0.5</formula>
    </cfRule>
  </conditionalFormatting>
  <conditionalFormatting sqref="W201">
    <cfRule type="cellIs" dxfId="12150" priority="15479" operator="between">
      <formula>0.76</formula>
      <formula>0.95</formula>
    </cfRule>
    <cfRule type="cellIs" dxfId="12149" priority="15480" operator="between">
      <formula>0.51</formula>
      <formula>0.75</formula>
    </cfRule>
    <cfRule type="cellIs" dxfId="12148" priority="15481" operator="greaterThan">
      <formula>1</formula>
    </cfRule>
    <cfRule type="cellIs" dxfId="12147" priority="15482" operator="between">
      <formula>0.95</formula>
      <formula>1</formula>
    </cfRule>
    <cfRule type="cellIs" dxfId="12146" priority="15483" stopIfTrue="1" operator="between">
      <formula>0</formula>
      <formula>0.5</formula>
    </cfRule>
  </conditionalFormatting>
  <conditionalFormatting sqref="AD201">
    <cfRule type="cellIs" dxfId="12145" priority="15466" operator="between">
      <formula>0.76</formula>
      <formula>0.95</formula>
    </cfRule>
    <cfRule type="cellIs" dxfId="12144" priority="15467" operator="between">
      <formula>0.51</formula>
      <formula>0.75</formula>
    </cfRule>
    <cfRule type="cellIs" dxfId="12143" priority="15468" operator="greaterThan">
      <formula>1</formula>
    </cfRule>
    <cfRule type="cellIs" dxfId="12142" priority="15469" operator="between">
      <formula>0.95</formula>
      <formula>1</formula>
    </cfRule>
    <cfRule type="cellIs" dxfId="12141" priority="15470" stopIfTrue="1" operator="between">
      <formula>0</formula>
      <formula>0.5</formula>
    </cfRule>
  </conditionalFormatting>
  <conditionalFormatting sqref="AF201">
    <cfRule type="cellIs" dxfId="12140" priority="15461" operator="between">
      <formula>0.76</formula>
      <formula>0.95</formula>
    </cfRule>
    <cfRule type="cellIs" dxfId="12139" priority="15462" operator="between">
      <formula>0.51</formula>
      <formula>0.75</formula>
    </cfRule>
    <cfRule type="cellIs" dxfId="12138" priority="15463" operator="greaterThan">
      <formula>1</formula>
    </cfRule>
    <cfRule type="cellIs" dxfId="12137" priority="15464" operator="between">
      <formula>0.95</formula>
      <formula>1</formula>
    </cfRule>
    <cfRule type="cellIs" dxfId="12136" priority="15465" stopIfTrue="1" operator="between">
      <formula>0</formula>
      <formula>0.5</formula>
    </cfRule>
  </conditionalFormatting>
  <conditionalFormatting sqref="I111">
    <cfRule type="cellIs" dxfId="12135" priority="15450" operator="between">
      <formula>0.76</formula>
      <formula>0.95</formula>
    </cfRule>
    <cfRule type="cellIs" dxfId="12134" priority="15451" operator="between">
      <formula>0.51</formula>
      <formula>0.75</formula>
    </cfRule>
    <cfRule type="cellIs" dxfId="12133" priority="15452" operator="greaterThan">
      <formula>1</formula>
    </cfRule>
    <cfRule type="cellIs" dxfId="12132" priority="15453" operator="between">
      <formula>0.95</formula>
      <formula>1</formula>
    </cfRule>
    <cfRule type="cellIs" dxfId="12131" priority="15454" stopIfTrue="1" operator="between">
      <formula>0</formula>
      <formula>0.5</formula>
    </cfRule>
  </conditionalFormatting>
  <conditionalFormatting sqref="K111">
    <cfRule type="cellIs" dxfId="12130" priority="15445" operator="between">
      <formula>0.191</formula>
      <formula>0.24</formula>
    </cfRule>
    <cfRule type="cellIs" dxfId="12129" priority="15446" operator="between">
      <formula>0.1251</formula>
      <formula>0.19</formula>
    </cfRule>
    <cfRule type="cellIs" dxfId="12128" priority="15447" operator="greaterThan">
      <formula>0.2601</formula>
    </cfRule>
    <cfRule type="cellIs" dxfId="12127" priority="15448" operator="between">
      <formula>0.2401</formula>
      <formula>0.26</formula>
    </cfRule>
    <cfRule type="cellIs" dxfId="12126" priority="15449" stopIfTrue="1" operator="between">
      <formula>0</formula>
      <formula>0.125</formula>
    </cfRule>
  </conditionalFormatting>
  <conditionalFormatting sqref="P111">
    <cfRule type="cellIs" dxfId="12125" priority="15437" operator="between">
      <formula>0.76</formula>
      <formula>0.95</formula>
    </cfRule>
    <cfRule type="cellIs" dxfId="12124" priority="15438" operator="between">
      <formula>0.51</formula>
      <formula>0.75</formula>
    </cfRule>
    <cfRule type="cellIs" dxfId="12123" priority="15439" operator="greaterThan">
      <formula>1</formula>
    </cfRule>
    <cfRule type="cellIs" dxfId="12122" priority="15440" operator="between">
      <formula>0.95</formula>
      <formula>1</formula>
    </cfRule>
    <cfRule type="cellIs" dxfId="12121" priority="15441" stopIfTrue="1" operator="between">
      <formula>0</formula>
      <formula>0.5</formula>
    </cfRule>
  </conditionalFormatting>
  <conditionalFormatting sqref="W111">
    <cfRule type="cellIs" dxfId="12120" priority="15424" operator="between">
      <formula>0.76</formula>
      <formula>0.95</formula>
    </cfRule>
    <cfRule type="cellIs" dxfId="12119" priority="15425" operator="between">
      <formula>0.51</formula>
      <formula>0.75</formula>
    </cfRule>
    <cfRule type="cellIs" dxfId="12118" priority="15426" operator="greaterThan">
      <formula>1</formula>
    </cfRule>
    <cfRule type="cellIs" dxfId="12117" priority="15427" operator="between">
      <formula>0.95</formula>
      <formula>1</formula>
    </cfRule>
    <cfRule type="cellIs" dxfId="12116" priority="15428" stopIfTrue="1" operator="between">
      <formula>0</formula>
      <formula>0.5</formula>
    </cfRule>
  </conditionalFormatting>
  <conditionalFormatting sqref="AD111">
    <cfRule type="cellIs" dxfId="12115" priority="15411" operator="between">
      <formula>0.76</formula>
      <formula>0.95</formula>
    </cfRule>
    <cfRule type="cellIs" dxfId="12114" priority="15412" operator="between">
      <formula>0.51</formula>
      <formula>0.75</formula>
    </cfRule>
    <cfRule type="cellIs" dxfId="12113" priority="15413" operator="greaterThan">
      <formula>1</formula>
    </cfRule>
    <cfRule type="cellIs" dxfId="12112" priority="15414" operator="between">
      <formula>0.95</formula>
      <formula>1</formula>
    </cfRule>
    <cfRule type="cellIs" dxfId="12111" priority="15415" stopIfTrue="1" operator="between">
      <formula>0</formula>
      <formula>0.5</formula>
    </cfRule>
  </conditionalFormatting>
  <conditionalFormatting sqref="AF111">
    <cfRule type="cellIs" dxfId="12110" priority="15406" operator="between">
      <formula>0.76</formula>
      <formula>0.95</formula>
    </cfRule>
    <cfRule type="cellIs" dxfId="12109" priority="15407" operator="between">
      <formula>0.51</formula>
      <formula>0.75</formula>
    </cfRule>
    <cfRule type="cellIs" dxfId="12108" priority="15408" operator="greaterThan">
      <formula>1</formula>
    </cfRule>
    <cfRule type="cellIs" dxfId="12107" priority="15409" operator="between">
      <formula>0.95</formula>
      <formula>1</formula>
    </cfRule>
    <cfRule type="cellIs" dxfId="12106" priority="15410" stopIfTrue="1" operator="between">
      <formula>0</formula>
      <formula>0.5</formula>
    </cfRule>
  </conditionalFormatting>
  <conditionalFormatting sqref="I87">
    <cfRule type="cellIs" dxfId="12105" priority="15398" operator="between">
      <formula>0.76</formula>
      <formula>0.95</formula>
    </cfRule>
    <cfRule type="cellIs" dxfId="12104" priority="15399" operator="between">
      <formula>0.51</formula>
      <formula>0.75</formula>
    </cfRule>
    <cfRule type="cellIs" dxfId="12103" priority="15400" operator="greaterThan">
      <formula>1</formula>
    </cfRule>
    <cfRule type="cellIs" dxfId="12102" priority="15401" operator="between">
      <formula>0.95</formula>
      <formula>1</formula>
    </cfRule>
    <cfRule type="cellIs" dxfId="12101" priority="15402" stopIfTrue="1" operator="between">
      <formula>0</formula>
      <formula>0.5</formula>
    </cfRule>
  </conditionalFormatting>
  <conditionalFormatting sqref="K87">
    <cfRule type="cellIs" dxfId="12100" priority="15393" operator="between">
      <formula>0.191</formula>
      <formula>0.24</formula>
    </cfRule>
    <cfRule type="cellIs" dxfId="12099" priority="15394" operator="between">
      <formula>0.1251</formula>
      <formula>0.19</formula>
    </cfRule>
    <cfRule type="cellIs" dxfId="12098" priority="15395" operator="greaterThan">
      <formula>0.2601</formula>
    </cfRule>
    <cfRule type="cellIs" dxfId="12097" priority="15396" operator="between">
      <formula>0.2401</formula>
      <formula>0.26</formula>
    </cfRule>
    <cfRule type="cellIs" dxfId="12096" priority="15397" stopIfTrue="1" operator="between">
      <formula>0</formula>
      <formula>0.125</formula>
    </cfRule>
  </conditionalFormatting>
  <conditionalFormatting sqref="I88">
    <cfRule type="cellIs" dxfId="12095" priority="15385" operator="between">
      <formula>0.76</formula>
      <formula>0.95</formula>
    </cfRule>
    <cfRule type="cellIs" dxfId="12094" priority="15386" operator="between">
      <formula>0.51</formula>
      <formula>0.75</formula>
    </cfRule>
    <cfRule type="cellIs" dxfId="12093" priority="15387" operator="greaterThan">
      <formula>1</formula>
    </cfRule>
    <cfRule type="cellIs" dxfId="12092" priority="15388" operator="between">
      <formula>0.95</formula>
      <formula>1</formula>
    </cfRule>
    <cfRule type="cellIs" dxfId="12091" priority="15389" stopIfTrue="1" operator="between">
      <formula>0</formula>
      <formula>0.5</formula>
    </cfRule>
  </conditionalFormatting>
  <conditionalFormatting sqref="K88">
    <cfRule type="cellIs" dxfId="12090" priority="15380" operator="between">
      <formula>0.191</formula>
      <formula>0.24</formula>
    </cfRule>
    <cfRule type="cellIs" dxfId="12089" priority="15381" operator="between">
      <formula>0.1251</formula>
      <formula>0.19</formula>
    </cfRule>
    <cfRule type="cellIs" dxfId="12088" priority="15382" operator="greaterThan">
      <formula>0.2601</formula>
    </cfRule>
    <cfRule type="cellIs" dxfId="12087" priority="15383" operator="between">
      <formula>0.2401</formula>
      <formula>0.26</formula>
    </cfRule>
    <cfRule type="cellIs" dxfId="12086" priority="15384" stopIfTrue="1" operator="between">
      <formula>0</formula>
      <formula>0.125</formula>
    </cfRule>
  </conditionalFormatting>
  <conditionalFormatting sqref="P87:P88">
    <cfRule type="cellIs" dxfId="12085" priority="15369" operator="between">
      <formula>0.76</formula>
      <formula>0.95</formula>
    </cfRule>
    <cfRule type="cellIs" dxfId="12084" priority="15370" operator="between">
      <formula>0.51</formula>
      <formula>0.75</formula>
    </cfRule>
    <cfRule type="cellIs" dxfId="12083" priority="15371" operator="greaterThan">
      <formula>1</formula>
    </cfRule>
    <cfRule type="cellIs" dxfId="12082" priority="15372" operator="between">
      <formula>0.95</formula>
      <formula>1</formula>
    </cfRule>
    <cfRule type="cellIs" dxfId="12081" priority="15373" stopIfTrue="1" operator="between">
      <formula>0</formula>
      <formula>0.5</formula>
    </cfRule>
  </conditionalFormatting>
  <conditionalFormatting sqref="W87:W88">
    <cfRule type="cellIs" dxfId="12080" priority="15359" operator="between">
      <formula>0.76</formula>
      <formula>0.95</formula>
    </cfRule>
    <cfRule type="cellIs" dxfId="12079" priority="15360" operator="between">
      <formula>0.51</formula>
      <formula>0.75</formula>
    </cfRule>
    <cfRule type="cellIs" dxfId="12078" priority="15361" operator="greaterThan">
      <formula>1</formula>
    </cfRule>
    <cfRule type="cellIs" dxfId="12077" priority="15362" operator="between">
      <formula>0.95</formula>
      <formula>1</formula>
    </cfRule>
    <cfRule type="cellIs" dxfId="12076" priority="15363" stopIfTrue="1" operator="between">
      <formula>0</formula>
      <formula>0.5</formula>
    </cfRule>
  </conditionalFormatting>
  <conditionalFormatting sqref="AD87:AD88">
    <cfRule type="cellIs" dxfId="12075" priority="15346" operator="between">
      <formula>0.76</formula>
      <formula>0.95</formula>
    </cfRule>
    <cfRule type="cellIs" dxfId="12074" priority="15347" operator="between">
      <formula>0.51</formula>
      <formula>0.75</formula>
    </cfRule>
    <cfRule type="cellIs" dxfId="12073" priority="15348" operator="greaterThan">
      <formula>1</formula>
    </cfRule>
    <cfRule type="cellIs" dxfId="12072" priority="15349" operator="between">
      <formula>0.95</formula>
      <formula>1</formula>
    </cfRule>
    <cfRule type="cellIs" dxfId="12071" priority="15350" stopIfTrue="1" operator="between">
      <formula>0</formula>
      <formula>0.5</formula>
    </cfRule>
  </conditionalFormatting>
  <conditionalFormatting sqref="AF87:AF88">
    <cfRule type="cellIs" dxfId="12070" priority="15341" operator="between">
      <formula>0.76</formula>
      <formula>0.95</formula>
    </cfRule>
    <cfRule type="cellIs" dxfId="12069" priority="15342" operator="between">
      <formula>0.51</formula>
      <formula>0.75</formula>
    </cfRule>
    <cfRule type="cellIs" dxfId="12068" priority="15343" operator="greaterThan">
      <formula>1</formula>
    </cfRule>
    <cfRule type="cellIs" dxfId="12067" priority="15344" operator="between">
      <formula>0.95</formula>
      <formula>1</formula>
    </cfRule>
    <cfRule type="cellIs" dxfId="12066" priority="15345" stopIfTrue="1" operator="between">
      <formula>0</formula>
      <formula>0.5</formula>
    </cfRule>
  </conditionalFormatting>
  <conditionalFormatting sqref="I24">
    <cfRule type="cellIs" dxfId="12065" priority="15330" operator="between">
      <formula>0.76</formula>
      <formula>0.95</formula>
    </cfRule>
    <cfRule type="cellIs" dxfId="12064" priority="15331" operator="between">
      <formula>0.51</formula>
      <formula>0.75</formula>
    </cfRule>
    <cfRule type="cellIs" dxfId="12063" priority="15332" operator="greaterThan">
      <formula>1</formula>
    </cfRule>
    <cfRule type="cellIs" dxfId="12062" priority="15333" operator="between">
      <formula>0.95</formula>
      <formula>1</formula>
    </cfRule>
    <cfRule type="cellIs" dxfId="12061" priority="15334" stopIfTrue="1" operator="between">
      <formula>0</formula>
      <formula>0.5</formula>
    </cfRule>
  </conditionalFormatting>
  <conditionalFormatting sqref="K24">
    <cfRule type="cellIs" dxfId="12060" priority="15325" operator="between">
      <formula>0.191</formula>
      <formula>0.24</formula>
    </cfRule>
    <cfRule type="cellIs" dxfId="12059" priority="15326" operator="between">
      <formula>0.1251</formula>
      <formula>0.19</formula>
    </cfRule>
    <cfRule type="cellIs" dxfId="12058" priority="15327" operator="greaterThan">
      <formula>0.2601</formula>
    </cfRule>
    <cfRule type="cellIs" dxfId="12057" priority="15328" operator="between">
      <formula>0.2401</formula>
      <formula>0.26</formula>
    </cfRule>
    <cfRule type="cellIs" dxfId="12056" priority="15329" stopIfTrue="1" operator="between">
      <formula>0</formula>
      <formula>0.125</formula>
    </cfRule>
  </conditionalFormatting>
  <conditionalFormatting sqref="P24">
    <cfRule type="cellIs" dxfId="12055" priority="15317" operator="between">
      <formula>0.76</formula>
      <formula>0.95</formula>
    </cfRule>
    <cfRule type="cellIs" dxfId="12054" priority="15318" operator="between">
      <formula>0.51</formula>
      <formula>0.75</formula>
    </cfRule>
    <cfRule type="cellIs" dxfId="12053" priority="15319" operator="greaterThan">
      <formula>1</formula>
    </cfRule>
    <cfRule type="cellIs" dxfId="12052" priority="15320" operator="between">
      <formula>0.95</formula>
      <formula>1</formula>
    </cfRule>
    <cfRule type="cellIs" dxfId="12051" priority="15321" stopIfTrue="1" operator="between">
      <formula>0</formula>
      <formula>0.5</formula>
    </cfRule>
  </conditionalFormatting>
  <conditionalFormatting sqref="W24">
    <cfRule type="cellIs" dxfId="12050" priority="15304" operator="between">
      <formula>0.76</formula>
      <formula>0.95</formula>
    </cfRule>
    <cfRule type="cellIs" dxfId="12049" priority="15305" operator="between">
      <formula>0.51</formula>
      <formula>0.75</formula>
    </cfRule>
    <cfRule type="cellIs" dxfId="12048" priority="15306" operator="greaterThan">
      <formula>1</formula>
    </cfRule>
    <cfRule type="cellIs" dxfId="12047" priority="15307" operator="between">
      <formula>0.95</formula>
      <formula>1</formula>
    </cfRule>
    <cfRule type="cellIs" dxfId="12046" priority="15308" stopIfTrue="1" operator="between">
      <formula>0</formula>
      <formula>0.5</formula>
    </cfRule>
  </conditionalFormatting>
  <conditionalFormatting sqref="AD24">
    <cfRule type="cellIs" dxfId="12045" priority="15291" operator="between">
      <formula>0.76</formula>
      <formula>0.95</formula>
    </cfRule>
    <cfRule type="cellIs" dxfId="12044" priority="15292" operator="between">
      <formula>0.51</formula>
      <formula>0.75</formula>
    </cfRule>
    <cfRule type="cellIs" dxfId="12043" priority="15293" operator="greaterThan">
      <formula>1</formula>
    </cfRule>
    <cfRule type="cellIs" dxfId="12042" priority="15294" operator="between">
      <formula>0.95</formula>
      <formula>1</formula>
    </cfRule>
    <cfRule type="cellIs" dxfId="12041" priority="15295" stopIfTrue="1" operator="between">
      <formula>0</formula>
      <formula>0.5</formula>
    </cfRule>
  </conditionalFormatting>
  <conditionalFormatting sqref="I114">
    <cfRule type="cellIs" dxfId="12040" priority="15278" operator="between">
      <formula>0.76</formula>
      <formula>0.95</formula>
    </cfRule>
    <cfRule type="cellIs" dxfId="12039" priority="15279" operator="between">
      <formula>0.51</formula>
      <formula>0.75</formula>
    </cfRule>
    <cfRule type="cellIs" dxfId="12038" priority="15280" operator="greaterThan">
      <formula>1</formula>
    </cfRule>
    <cfRule type="cellIs" dxfId="12037" priority="15281" operator="between">
      <formula>0.95</formula>
      <formula>1</formula>
    </cfRule>
    <cfRule type="cellIs" dxfId="12036" priority="15282" stopIfTrue="1" operator="between">
      <formula>0</formula>
      <formula>0.5</formula>
    </cfRule>
  </conditionalFormatting>
  <conditionalFormatting sqref="K114">
    <cfRule type="cellIs" dxfId="12035" priority="15273" operator="between">
      <formula>0.191</formula>
      <formula>0.24</formula>
    </cfRule>
    <cfRule type="cellIs" dxfId="12034" priority="15274" operator="between">
      <formula>0.1251</formula>
      <formula>0.19</formula>
    </cfRule>
    <cfRule type="cellIs" dxfId="12033" priority="15275" operator="greaterThan">
      <formula>0.2601</formula>
    </cfRule>
    <cfRule type="cellIs" dxfId="12032" priority="15276" operator="between">
      <formula>0.2401</formula>
      <formula>0.26</formula>
    </cfRule>
    <cfRule type="cellIs" dxfId="12031" priority="15277" stopIfTrue="1" operator="between">
      <formula>0</formula>
      <formula>0.125</formula>
    </cfRule>
  </conditionalFormatting>
  <conditionalFormatting sqref="P114">
    <cfRule type="cellIs" dxfId="12030" priority="15268" operator="between">
      <formula>0.76</formula>
      <formula>0.95</formula>
    </cfRule>
    <cfRule type="cellIs" dxfId="12029" priority="15269" operator="between">
      <formula>0.51</formula>
      <formula>0.75</formula>
    </cfRule>
    <cfRule type="cellIs" dxfId="12028" priority="15270" operator="greaterThan">
      <formula>1</formula>
    </cfRule>
    <cfRule type="cellIs" dxfId="12027" priority="15271" operator="between">
      <formula>0.95</formula>
      <formula>1</formula>
    </cfRule>
    <cfRule type="cellIs" dxfId="12026" priority="15272" stopIfTrue="1" operator="between">
      <formula>0</formula>
      <formula>0.5</formula>
    </cfRule>
  </conditionalFormatting>
  <conditionalFormatting sqref="W114">
    <cfRule type="cellIs" dxfId="12025" priority="15255" operator="between">
      <formula>0.76</formula>
      <formula>0.95</formula>
    </cfRule>
    <cfRule type="cellIs" dxfId="12024" priority="15256" operator="between">
      <formula>0.51</formula>
      <formula>0.75</formula>
    </cfRule>
    <cfRule type="cellIs" dxfId="12023" priority="15257" operator="greaterThan">
      <formula>1</formula>
    </cfRule>
    <cfRule type="cellIs" dxfId="12022" priority="15258" operator="between">
      <formula>0.95</formula>
      <formula>1</formula>
    </cfRule>
    <cfRule type="cellIs" dxfId="12021" priority="15259" stopIfTrue="1" operator="between">
      <formula>0</formula>
      <formula>0.5</formula>
    </cfRule>
  </conditionalFormatting>
  <conditionalFormatting sqref="AD114">
    <cfRule type="cellIs" dxfId="12020" priority="15242" operator="between">
      <formula>0.76</formula>
      <formula>0.95</formula>
    </cfRule>
    <cfRule type="cellIs" dxfId="12019" priority="15243" operator="between">
      <formula>0.51</formula>
      <formula>0.75</formula>
    </cfRule>
    <cfRule type="cellIs" dxfId="12018" priority="15244" operator="greaterThan">
      <formula>1</formula>
    </cfRule>
    <cfRule type="cellIs" dxfId="12017" priority="15245" operator="between">
      <formula>0.95</formula>
      <formula>1</formula>
    </cfRule>
    <cfRule type="cellIs" dxfId="12016" priority="15246" stopIfTrue="1" operator="between">
      <formula>0</formula>
      <formula>0.5</formula>
    </cfRule>
  </conditionalFormatting>
  <conditionalFormatting sqref="AF114">
    <cfRule type="cellIs" dxfId="12015" priority="15237" operator="between">
      <formula>0.76</formula>
      <formula>0.95</formula>
    </cfRule>
    <cfRule type="cellIs" dxfId="12014" priority="15238" operator="between">
      <formula>0.51</formula>
      <formula>0.75</formula>
    </cfRule>
    <cfRule type="cellIs" dxfId="12013" priority="15239" operator="greaterThan">
      <formula>1</formula>
    </cfRule>
    <cfRule type="cellIs" dxfId="12012" priority="15240" operator="between">
      <formula>0.95</formula>
      <formula>1</formula>
    </cfRule>
    <cfRule type="cellIs" dxfId="12011" priority="15241" stopIfTrue="1" operator="between">
      <formula>0</formula>
      <formula>0.5</formula>
    </cfRule>
  </conditionalFormatting>
  <conditionalFormatting sqref="I98">
    <cfRule type="cellIs" dxfId="12010" priority="15226" operator="between">
      <formula>0.76</formula>
      <formula>0.95</formula>
    </cfRule>
    <cfRule type="cellIs" dxfId="12009" priority="15227" operator="between">
      <formula>0.51</formula>
      <formula>0.75</formula>
    </cfRule>
    <cfRule type="cellIs" dxfId="12008" priority="15228" operator="greaterThan">
      <formula>1</formula>
    </cfRule>
    <cfRule type="cellIs" dxfId="12007" priority="15229" operator="between">
      <formula>0.95</formula>
      <formula>1</formula>
    </cfRule>
    <cfRule type="cellIs" dxfId="12006" priority="15230" stopIfTrue="1" operator="between">
      <formula>0</formula>
      <formula>0.5</formula>
    </cfRule>
  </conditionalFormatting>
  <conditionalFormatting sqref="K98">
    <cfRule type="cellIs" dxfId="12005" priority="15221" operator="between">
      <formula>0.191</formula>
      <formula>0.24</formula>
    </cfRule>
    <cfRule type="cellIs" dxfId="12004" priority="15222" operator="between">
      <formula>0.1251</formula>
      <formula>0.19</formula>
    </cfRule>
    <cfRule type="cellIs" dxfId="12003" priority="15223" operator="greaterThan">
      <formula>0.2601</formula>
    </cfRule>
    <cfRule type="cellIs" dxfId="12002" priority="15224" operator="between">
      <formula>0.2401</formula>
      <formula>0.26</formula>
    </cfRule>
    <cfRule type="cellIs" dxfId="12001" priority="15225" stopIfTrue="1" operator="between">
      <formula>0</formula>
      <formula>0.125</formula>
    </cfRule>
  </conditionalFormatting>
  <conditionalFormatting sqref="P98">
    <cfRule type="cellIs" dxfId="12000" priority="15216" operator="between">
      <formula>0.76</formula>
      <formula>0.95</formula>
    </cfRule>
    <cfRule type="cellIs" dxfId="11999" priority="15217" operator="between">
      <formula>0.51</formula>
      <formula>0.75</formula>
    </cfRule>
    <cfRule type="cellIs" dxfId="11998" priority="15218" operator="greaterThan">
      <formula>1</formula>
    </cfRule>
    <cfRule type="cellIs" dxfId="11997" priority="15219" operator="between">
      <formula>0.95</formula>
      <formula>1</formula>
    </cfRule>
    <cfRule type="cellIs" dxfId="11996" priority="15220" stopIfTrue="1" operator="between">
      <formula>0</formula>
      <formula>0.5</formula>
    </cfRule>
  </conditionalFormatting>
  <conditionalFormatting sqref="W98">
    <cfRule type="cellIs" dxfId="11995" priority="15200" operator="between">
      <formula>0.76</formula>
      <formula>0.95</formula>
    </cfRule>
    <cfRule type="cellIs" dxfId="11994" priority="15201" operator="between">
      <formula>0.51</formula>
      <formula>0.75</formula>
    </cfRule>
    <cfRule type="cellIs" dxfId="11993" priority="15202" operator="greaterThan">
      <formula>1</formula>
    </cfRule>
    <cfRule type="cellIs" dxfId="11992" priority="15203" operator="between">
      <formula>0.95</formula>
      <formula>1</formula>
    </cfRule>
    <cfRule type="cellIs" dxfId="11991" priority="15204" stopIfTrue="1" operator="between">
      <formula>0</formula>
      <formula>0.5</formula>
    </cfRule>
  </conditionalFormatting>
  <conditionalFormatting sqref="AD98">
    <cfRule type="cellIs" dxfId="11990" priority="15190" operator="between">
      <formula>0.76</formula>
      <formula>0.95</formula>
    </cfRule>
    <cfRule type="cellIs" dxfId="11989" priority="15191" operator="between">
      <formula>0.51</formula>
      <formula>0.75</formula>
    </cfRule>
    <cfRule type="cellIs" dxfId="11988" priority="15192" operator="greaterThan">
      <formula>1</formula>
    </cfRule>
    <cfRule type="cellIs" dxfId="11987" priority="15193" operator="between">
      <formula>0.95</formula>
      <formula>1</formula>
    </cfRule>
    <cfRule type="cellIs" dxfId="11986" priority="15194" stopIfTrue="1" operator="between">
      <formula>0</formula>
      <formula>0.5</formula>
    </cfRule>
  </conditionalFormatting>
  <conditionalFormatting sqref="AF98">
    <cfRule type="cellIs" dxfId="11985" priority="15185" operator="between">
      <formula>0.76</formula>
      <formula>0.95</formula>
    </cfRule>
    <cfRule type="cellIs" dxfId="11984" priority="15186" operator="between">
      <formula>0.51</formula>
      <formula>0.75</formula>
    </cfRule>
    <cfRule type="cellIs" dxfId="11983" priority="15187" operator="greaterThan">
      <formula>1</formula>
    </cfRule>
    <cfRule type="cellIs" dxfId="11982" priority="15188" operator="between">
      <formula>0.95</formula>
      <formula>1</formula>
    </cfRule>
    <cfRule type="cellIs" dxfId="11981" priority="15189" stopIfTrue="1" operator="between">
      <formula>0</formula>
      <formula>0.5</formula>
    </cfRule>
  </conditionalFormatting>
  <conditionalFormatting sqref="I326">
    <cfRule type="cellIs" dxfId="11980" priority="15171" operator="between">
      <formula>0.76</formula>
      <formula>0.95</formula>
    </cfRule>
    <cfRule type="cellIs" dxfId="11979" priority="15172" operator="between">
      <formula>0.51</formula>
      <formula>0.75</formula>
    </cfRule>
    <cfRule type="cellIs" dxfId="11978" priority="15173" operator="greaterThan">
      <formula>1</formula>
    </cfRule>
    <cfRule type="cellIs" dxfId="11977" priority="15174" operator="between">
      <formula>0.95</formula>
      <formula>1</formula>
    </cfRule>
    <cfRule type="cellIs" dxfId="11976" priority="15175" stopIfTrue="1" operator="between">
      <formula>0</formula>
      <formula>0.5</formula>
    </cfRule>
  </conditionalFormatting>
  <conditionalFormatting sqref="K326">
    <cfRule type="cellIs" dxfId="11975" priority="15166" operator="between">
      <formula>0.191</formula>
      <formula>0.24</formula>
    </cfRule>
    <cfRule type="cellIs" dxfId="11974" priority="15167" operator="between">
      <formula>0.1251</formula>
      <formula>0.19</formula>
    </cfRule>
    <cfRule type="cellIs" dxfId="11973" priority="15168" operator="greaterThan">
      <formula>0.2601</formula>
    </cfRule>
    <cfRule type="cellIs" dxfId="11972" priority="15169" operator="between">
      <formula>0.2401</formula>
      <formula>0.26</formula>
    </cfRule>
    <cfRule type="cellIs" dxfId="11971" priority="15170" stopIfTrue="1" operator="between">
      <formula>0</formula>
      <formula>0.125</formula>
    </cfRule>
  </conditionalFormatting>
  <conditionalFormatting sqref="P326">
    <cfRule type="cellIs" dxfId="11970" priority="15109" operator="between">
      <formula>0.76</formula>
      <formula>0.95</formula>
    </cfRule>
    <cfRule type="cellIs" dxfId="11969" priority="15110" operator="between">
      <formula>0.51</formula>
      <formula>0.75</formula>
    </cfRule>
    <cfRule type="cellIs" dxfId="11968" priority="15111" operator="greaterThan">
      <formula>1</formula>
    </cfRule>
    <cfRule type="cellIs" dxfId="11967" priority="15112" operator="between">
      <formula>0.95</formula>
      <formula>1</formula>
    </cfRule>
    <cfRule type="cellIs" dxfId="11966" priority="15113" stopIfTrue="1" operator="between">
      <formula>0</formula>
      <formula>0.5</formula>
    </cfRule>
  </conditionalFormatting>
  <conditionalFormatting sqref="W326">
    <cfRule type="cellIs" dxfId="11965" priority="15096" operator="between">
      <formula>0.76</formula>
      <formula>0.95</formula>
    </cfRule>
    <cfRule type="cellIs" dxfId="11964" priority="15097" operator="between">
      <formula>0.51</formula>
      <formula>0.75</formula>
    </cfRule>
    <cfRule type="cellIs" dxfId="11963" priority="15098" operator="greaterThan">
      <formula>1</formula>
    </cfRule>
    <cfRule type="cellIs" dxfId="11962" priority="15099" operator="between">
      <formula>0.95</formula>
      <formula>1</formula>
    </cfRule>
    <cfRule type="cellIs" dxfId="11961" priority="15100" stopIfTrue="1" operator="between">
      <formula>0</formula>
      <formula>0.5</formula>
    </cfRule>
  </conditionalFormatting>
  <conditionalFormatting sqref="AD326">
    <cfRule type="cellIs" dxfId="11960" priority="15083" operator="between">
      <formula>0.76</formula>
      <formula>0.95</formula>
    </cfRule>
    <cfRule type="cellIs" dxfId="11959" priority="15084" operator="between">
      <formula>0.51</formula>
      <formula>0.75</formula>
    </cfRule>
    <cfRule type="cellIs" dxfId="11958" priority="15085" operator="greaterThan">
      <formula>1</formula>
    </cfRule>
    <cfRule type="cellIs" dxfId="11957" priority="15086" operator="between">
      <formula>0.95</formula>
      <formula>1</formula>
    </cfRule>
    <cfRule type="cellIs" dxfId="11956" priority="15087" stopIfTrue="1" operator="between">
      <formula>0</formula>
      <formula>0.5</formula>
    </cfRule>
  </conditionalFormatting>
  <conditionalFormatting sqref="AF326">
    <cfRule type="cellIs" dxfId="11955" priority="15078" operator="between">
      <formula>0.76</formula>
      <formula>0.95</formula>
    </cfRule>
    <cfRule type="cellIs" dxfId="11954" priority="15079" operator="between">
      <formula>0.51</formula>
      <formula>0.75</formula>
    </cfRule>
    <cfRule type="cellIs" dxfId="11953" priority="15080" operator="greaterThan">
      <formula>1</formula>
    </cfRule>
    <cfRule type="cellIs" dxfId="11952" priority="15081" operator="between">
      <formula>0.95</formula>
      <formula>1</formula>
    </cfRule>
    <cfRule type="cellIs" dxfId="11951" priority="15082" stopIfTrue="1" operator="between">
      <formula>0</formula>
      <formula>0.5</formula>
    </cfRule>
  </conditionalFormatting>
  <conditionalFormatting sqref="I78">
    <cfRule type="cellIs" dxfId="11950" priority="15046" operator="between">
      <formula>0.76</formula>
      <formula>0.95</formula>
    </cfRule>
    <cfRule type="cellIs" dxfId="11949" priority="15047" operator="between">
      <formula>0.51</formula>
      <formula>0.75</formula>
    </cfRule>
    <cfRule type="cellIs" dxfId="11948" priority="15048" operator="greaterThan">
      <formula>1</formula>
    </cfRule>
    <cfRule type="cellIs" dxfId="11947" priority="15049" operator="between">
      <formula>0.95</formula>
      <formula>1</formula>
    </cfRule>
    <cfRule type="cellIs" dxfId="11946" priority="15050" stopIfTrue="1" operator="between">
      <formula>0</formula>
      <formula>0.5</formula>
    </cfRule>
  </conditionalFormatting>
  <conditionalFormatting sqref="K78">
    <cfRule type="cellIs" dxfId="11945" priority="15041" operator="between">
      <formula>0.191</formula>
      <formula>0.24</formula>
    </cfRule>
    <cfRule type="cellIs" dxfId="11944" priority="15042" operator="between">
      <formula>0.1251</formula>
      <formula>0.19</formula>
    </cfRule>
    <cfRule type="cellIs" dxfId="11943" priority="15043" operator="greaterThan">
      <formula>0.2601</formula>
    </cfRule>
    <cfRule type="cellIs" dxfId="11942" priority="15044" operator="between">
      <formula>0.2401</formula>
      <formula>0.26</formula>
    </cfRule>
    <cfRule type="cellIs" dxfId="11941" priority="15045" stopIfTrue="1" operator="between">
      <formula>0</formula>
      <formula>0.125</formula>
    </cfRule>
  </conditionalFormatting>
  <conditionalFormatting sqref="I79">
    <cfRule type="cellIs" dxfId="11940" priority="15033" operator="between">
      <formula>0.76</formula>
      <formula>0.95</formula>
    </cfRule>
    <cfRule type="cellIs" dxfId="11939" priority="15034" operator="between">
      <formula>0.51</formula>
      <formula>0.75</formula>
    </cfRule>
    <cfRule type="cellIs" dxfId="11938" priority="15035" operator="greaterThan">
      <formula>1</formula>
    </cfRule>
    <cfRule type="cellIs" dxfId="11937" priority="15036" operator="between">
      <formula>0.95</formula>
      <formula>1</formula>
    </cfRule>
    <cfRule type="cellIs" dxfId="11936" priority="15037" stopIfTrue="1" operator="between">
      <formula>0</formula>
      <formula>0.5</formula>
    </cfRule>
  </conditionalFormatting>
  <conditionalFormatting sqref="K79">
    <cfRule type="cellIs" dxfId="11935" priority="15028" operator="between">
      <formula>0.191</formula>
      <formula>0.24</formula>
    </cfRule>
    <cfRule type="cellIs" dxfId="11934" priority="15029" operator="between">
      <formula>0.1251</formula>
      <formula>0.19</formula>
    </cfRule>
    <cfRule type="cellIs" dxfId="11933" priority="15030" operator="greaterThan">
      <formula>0.2601</formula>
    </cfRule>
    <cfRule type="cellIs" dxfId="11932" priority="15031" operator="between">
      <formula>0.2401</formula>
      <formula>0.26</formula>
    </cfRule>
    <cfRule type="cellIs" dxfId="11931" priority="15032" stopIfTrue="1" operator="between">
      <formula>0</formula>
      <formula>0.125</formula>
    </cfRule>
  </conditionalFormatting>
  <conditionalFormatting sqref="P78">
    <cfRule type="cellIs" dxfId="11930" priority="15023" operator="between">
      <formula>0.76</formula>
      <formula>0.95</formula>
    </cfRule>
    <cfRule type="cellIs" dxfId="11929" priority="15024" operator="between">
      <formula>0.51</formula>
      <formula>0.75</formula>
    </cfRule>
    <cfRule type="cellIs" dxfId="11928" priority="15025" operator="greaterThan">
      <formula>1</formula>
    </cfRule>
    <cfRule type="cellIs" dxfId="11927" priority="15026" operator="between">
      <formula>0.95</formula>
      <formula>1</formula>
    </cfRule>
    <cfRule type="cellIs" dxfId="11926" priority="15027" stopIfTrue="1" operator="between">
      <formula>0</formula>
      <formula>0.5</formula>
    </cfRule>
  </conditionalFormatting>
  <conditionalFormatting sqref="W78">
    <cfRule type="cellIs" dxfId="11925" priority="15010" operator="between">
      <formula>0.76</formula>
      <formula>0.95</formula>
    </cfRule>
    <cfRule type="cellIs" dxfId="11924" priority="15011" operator="between">
      <formula>0.51</formula>
      <formula>0.75</formula>
    </cfRule>
    <cfRule type="cellIs" dxfId="11923" priority="15012" operator="greaterThan">
      <formula>1</formula>
    </cfRule>
    <cfRule type="cellIs" dxfId="11922" priority="15013" operator="between">
      <formula>0.95</formula>
      <formula>1</formula>
    </cfRule>
    <cfRule type="cellIs" dxfId="11921" priority="15014" stopIfTrue="1" operator="between">
      <formula>0</formula>
      <formula>0.5</formula>
    </cfRule>
  </conditionalFormatting>
  <conditionalFormatting sqref="AD78">
    <cfRule type="cellIs" dxfId="11920" priority="14997" operator="between">
      <formula>0.76</formula>
      <formula>0.95</formula>
    </cfRule>
    <cfRule type="cellIs" dxfId="11919" priority="14998" operator="between">
      <formula>0.51</formula>
      <formula>0.75</formula>
    </cfRule>
    <cfRule type="cellIs" dxfId="11918" priority="14999" operator="greaterThan">
      <formula>1</formula>
    </cfRule>
    <cfRule type="cellIs" dxfId="11917" priority="15000" operator="between">
      <formula>0.95</formula>
      <formula>1</formula>
    </cfRule>
    <cfRule type="cellIs" dxfId="11916" priority="15001" stopIfTrue="1" operator="between">
      <formula>0</formula>
      <formula>0.5</formula>
    </cfRule>
  </conditionalFormatting>
  <conditionalFormatting sqref="AF78">
    <cfRule type="cellIs" dxfId="11915" priority="14992" operator="between">
      <formula>0.76</formula>
      <formula>0.95</formula>
    </cfRule>
    <cfRule type="cellIs" dxfId="11914" priority="14993" operator="between">
      <formula>0.51</formula>
      <formula>0.75</formula>
    </cfRule>
    <cfRule type="cellIs" dxfId="11913" priority="14994" operator="greaterThan">
      <formula>1</formula>
    </cfRule>
    <cfRule type="cellIs" dxfId="11912" priority="14995" operator="between">
      <formula>0.95</formula>
      <formula>1</formula>
    </cfRule>
    <cfRule type="cellIs" dxfId="11911" priority="14996" stopIfTrue="1" operator="between">
      <formula>0</formula>
      <formula>0.5</formula>
    </cfRule>
  </conditionalFormatting>
  <conditionalFormatting sqref="P79">
    <cfRule type="cellIs" dxfId="11910" priority="14984" operator="between">
      <formula>0.76</formula>
      <formula>0.95</formula>
    </cfRule>
    <cfRule type="cellIs" dxfId="11909" priority="14985" operator="between">
      <formula>0.51</formula>
      <formula>0.75</formula>
    </cfRule>
    <cfRule type="cellIs" dxfId="11908" priority="14986" operator="greaterThan">
      <formula>1</formula>
    </cfRule>
    <cfRule type="cellIs" dxfId="11907" priority="14987" operator="between">
      <formula>0.95</formula>
      <formula>1</formula>
    </cfRule>
    <cfRule type="cellIs" dxfId="11906" priority="14988" stopIfTrue="1" operator="between">
      <formula>0</formula>
      <formula>0.5</formula>
    </cfRule>
  </conditionalFormatting>
  <conditionalFormatting sqref="W79">
    <cfRule type="cellIs" dxfId="11905" priority="14971" operator="between">
      <formula>0.76</formula>
      <formula>0.95</formula>
    </cfRule>
    <cfRule type="cellIs" dxfId="11904" priority="14972" operator="between">
      <formula>0.51</formula>
      <formula>0.75</formula>
    </cfRule>
    <cfRule type="cellIs" dxfId="11903" priority="14973" operator="greaterThan">
      <formula>1</formula>
    </cfRule>
    <cfRule type="cellIs" dxfId="11902" priority="14974" operator="between">
      <formula>0.95</formula>
      <formula>1</formula>
    </cfRule>
    <cfRule type="cellIs" dxfId="11901" priority="14975" stopIfTrue="1" operator="between">
      <formula>0</formula>
      <formula>0.5</formula>
    </cfRule>
  </conditionalFormatting>
  <conditionalFormatting sqref="AD79">
    <cfRule type="cellIs" dxfId="11900" priority="14958" operator="between">
      <formula>0.76</formula>
      <formula>0.95</formula>
    </cfRule>
    <cfRule type="cellIs" dxfId="11899" priority="14959" operator="between">
      <formula>0.51</formula>
      <formula>0.75</formula>
    </cfRule>
    <cfRule type="cellIs" dxfId="11898" priority="14960" operator="greaterThan">
      <formula>1</formula>
    </cfRule>
    <cfRule type="cellIs" dxfId="11897" priority="14961" operator="between">
      <formula>0.95</formula>
      <formula>1</formula>
    </cfRule>
    <cfRule type="cellIs" dxfId="11896" priority="14962" stopIfTrue="1" operator="between">
      <formula>0</formula>
      <formula>0.5</formula>
    </cfRule>
  </conditionalFormatting>
  <conditionalFormatting sqref="AF79">
    <cfRule type="cellIs" dxfId="11895" priority="14953" operator="between">
      <formula>0.76</formula>
      <formula>0.95</formula>
    </cfRule>
    <cfRule type="cellIs" dxfId="11894" priority="14954" operator="between">
      <formula>0.51</formula>
      <formula>0.75</formula>
    </cfRule>
    <cfRule type="cellIs" dxfId="11893" priority="14955" operator="greaterThan">
      <formula>1</formula>
    </cfRule>
    <cfRule type="cellIs" dxfId="11892" priority="14956" operator="between">
      <formula>0.95</formula>
      <formula>1</formula>
    </cfRule>
    <cfRule type="cellIs" dxfId="11891" priority="14957" stopIfTrue="1" operator="between">
      <formula>0</formula>
      <formula>0.5</formula>
    </cfRule>
  </conditionalFormatting>
  <conditionalFormatting sqref="I156">
    <cfRule type="cellIs" dxfId="11890" priority="14942" operator="between">
      <formula>0.76</formula>
      <formula>0.95</formula>
    </cfRule>
    <cfRule type="cellIs" dxfId="11889" priority="14943" operator="between">
      <formula>0.51</formula>
      <formula>0.75</formula>
    </cfRule>
    <cfRule type="cellIs" dxfId="11888" priority="14944" operator="greaterThan">
      <formula>1</formula>
    </cfRule>
    <cfRule type="cellIs" dxfId="11887" priority="14945" operator="between">
      <formula>0.95</formula>
      <formula>1</formula>
    </cfRule>
    <cfRule type="cellIs" dxfId="11886" priority="14946" stopIfTrue="1" operator="between">
      <formula>0</formula>
      <formula>0.5</formula>
    </cfRule>
  </conditionalFormatting>
  <conditionalFormatting sqref="K156">
    <cfRule type="cellIs" dxfId="11885" priority="14937" operator="between">
      <formula>0.191</formula>
      <formula>0.24</formula>
    </cfRule>
    <cfRule type="cellIs" dxfId="11884" priority="14938" operator="between">
      <formula>0.1251</formula>
      <formula>0.19</formula>
    </cfRule>
    <cfRule type="cellIs" dxfId="11883" priority="14939" operator="greaterThan">
      <formula>0.2601</formula>
    </cfRule>
    <cfRule type="cellIs" dxfId="11882" priority="14940" operator="between">
      <formula>0.2401</formula>
      <formula>0.26</formula>
    </cfRule>
    <cfRule type="cellIs" dxfId="11881" priority="14941" stopIfTrue="1" operator="between">
      <formula>0</formula>
      <formula>0.125</formula>
    </cfRule>
  </conditionalFormatting>
  <conditionalFormatting sqref="P156">
    <cfRule type="cellIs" dxfId="11880" priority="14919" operator="between">
      <formula>0.76</formula>
      <formula>0.95</formula>
    </cfRule>
    <cfRule type="cellIs" dxfId="11879" priority="14920" operator="between">
      <formula>0.51</formula>
      <formula>0.75</formula>
    </cfRule>
    <cfRule type="cellIs" dxfId="11878" priority="14921" operator="greaterThan">
      <formula>1</formula>
    </cfRule>
    <cfRule type="cellIs" dxfId="11877" priority="14922" operator="between">
      <formula>0.95</formula>
      <formula>1</formula>
    </cfRule>
    <cfRule type="cellIs" dxfId="11876" priority="14923" stopIfTrue="1" operator="between">
      <formula>0</formula>
      <formula>0.5</formula>
    </cfRule>
  </conditionalFormatting>
  <conditionalFormatting sqref="W156">
    <cfRule type="cellIs" dxfId="11875" priority="14893" operator="between">
      <formula>0.76</formula>
      <formula>0.95</formula>
    </cfRule>
    <cfRule type="cellIs" dxfId="11874" priority="14894" operator="between">
      <formula>0.51</formula>
      <formula>0.75</formula>
    </cfRule>
    <cfRule type="cellIs" dxfId="11873" priority="14895" operator="greaterThan">
      <formula>1</formula>
    </cfRule>
    <cfRule type="cellIs" dxfId="11872" priority="14896" operator="between">
      <formula>0.95</formula>
      <formula>1</formula>
    </cfRule>
    <cfRule type="cellIs" dxfId="11871" priority="14897" stopIfTrue="1" operator="between">
      <formula>0</formula>
      <formula>0.5</formula>
    </cfRule>
  </conditionalFormatting>
  <conditionalFormatting sqref="AD156">
    <cfRule type="cellIs" dxfId="11870" priority="14867" operator="between">
      <formula>0.76</formula>
      <formula>0.95</formula>
    </cfRule>
    <cfRule type="cellIs" dxfId="11869" priority="14868" operator="between">
      <formula>0.51</formula>
      <formula>0.75</formula>
    </cfRule>
    <cfRule type="cellIs" dxfId="11868" priority="14869" operator="greaterThan">
      <formula>1</formula>
    </cfRule>
    <cfRule type="cellIs" dxfId="11867" priority="14870" operator="between">
      <formula>0.95</formula>
      <formula>1</formula>
    </cfRule>
    <cfRule type="cellIs" dxfId="11866" priority="14871" stopIfTrue="1" operator="between">
      <formula>0</formula>
      <formula>0.5</formula>
    </cfRule>
  </conditionalFormatting>
  <conditionalFormatting sqref="AF156">
    <cfRule type="cellIs" dxfId="11865" priority="14862" operator="between">
      <formula>0.76</formula>
      <formula>0.95</formula>
    </cfRule>
    <cfRule type="cellIs" dxfId="11864" priority="14863" operator="between">
      <formula>0.51</formula>
      <formula>0.75</formula>
    </cfRule>
    <cfRule type="cellIs" dxfId="11863" priority="14864" operator="greaterThan">
      <formula>1</formula>
    </cfRule>
    <cfRule type="cellIs" dxfId="11862" priority="14865" operator="between">
      <formula>0.95</formula>
      <formula>1</formula>
    </cfRule>
    <cfRule type="cellIs" dxfId="11861" priority="14866" stopIfTrue="1" operator="between">
      <formula>0</formula>
      <formula>0.5</formula>
    </cfRule>
  </conditionalFormatting>
  <conditionalFormatting sqref="I164">
    <cfRule type="cellIs" dxfId="11860" priority="14838" operator="between">
      <formula>0.76</formula>
      <formula>0.95</formula>
    </cfRule>
    <cfRule type="cellIs" dxfId="11859" priority="14839" operator="between">
      <formula>0.51</formula>
      <formula>0.75</formula>
    </cfRule>
    <cfRule type="cellIs" dxfId="11858" priority="14840" operator="greaterThan">
      <formula>1</formula>
    </cfRule>
    <cfRule type="cellIs" dxfId="11857" priority="14841" operator="between">
      <formula>0.95</formula>
      <formula>1</formula>
    </cfRule>
    <cfRule type="cellIs" dxfId="11856" priority="14842" stopIfTrue="1" operator="between">
      <formula>0</formula>
      <formula>0.5</formula>
    </cfRule>
  </conditionalFormatting>
  <conditionalFormatting sqref="K164">
    <cfRule type="cellIs" dxfId="11855" priority="14833" operator="between">
      <formula>0.191</formula>
      <formula>0.24</formula>
    </cfRule>
    <cfRule type="cellIs" dxfId="11854" priority="14834" operator="between">
      <formula>0.1251</formula>
      <formula>0.19</formula>
    </cfRule>
    <cfRule type="cellIs" dxfId="11853" priority="14835" operator="greaterThan">
      <formula>0.2601</formula>
    </cfRule>
    <cfRule type="cellIs" dxfId="11852" priority="14836" operator="between">
      <formula>0.2401</formula>
      <formula>0.26</formula>
    </cfRule>
    <cfRule type="cellIs" dxfId="11851" priority="14837" stopIfTrue="1" operator="between">
      <formula>0</formula>
      <formula>0.125</formula>
    </cfRule>
  </conditionalFormatting>
  <conditionalFormatting sqref="P164">
    <cfRule type="cellIs" dxfId="11850" priority="14825" operator="between">
      <formula>0.76</formula>
      <formula>0.95</formula>
    </cfRule>
    <cfRule type="cellIs" dxfId="11849" priority="14826" operator="between">
      <formula>0.51</formula>
      <formula>0.75</formula>
    </cfRule>
    <cfRule type="cellIs" dxfId="11848" priority="14827" operator="greaterThan">
      <formula>1</formula>
    </cfRule>
    <cfRule type="cellIs" dxfId="11847" priority="14828" operator="between">
      <formula>0.95</formula>
      <formula>1</formula>
    </cfRule>
    <cfRule type="cellIs" dxfId="11846" priority="14829" stopIfTrue="1" operator="between">
      <formula>0</formula>
      <formula>0.5</formula>
    </cfRule>
  </conditionalFormatting>
  <conditionalFormatting sqref="W164">
    <cfRule type="cellIs" dxfId="11845" priority="14812" operator="between">
      <formula>0.76</formula>
      <formula>0.95</formula>
    </cfRule>
    <cfRule type="cellIs" dxfId="11844" priority="14813" operator="between">
      <formula>0.51</formula>
      <formula>0.75</formula>
    </cfRule>
    <cfRule type="cellIs" dxfId="11843" priority="14814" operator="greaterThan">
      <formula>1</formula>
    </cfRule>
    <cfRule type="cellIs" dxfId="11842" priority="14815" operator="between">
      <formula>0.95</formula>
      <formula>1</formula>
    </cfRule>
    <cfRule type="cellIs" dxfId="11841" priority="14816" stopIfTrue="1" operator="between">
      <formula>0</formula>
      <formula>0.5</formula>
    </cfRule>
  </conditionalFormatting>
  <conditionalFormatting sqref="AD164">
    <cfRule type="cellIs" dxfId="11840" priority="14799" operator="between">
      <formula>0.76</formula>
      <formula>0.95</formula>
    </cfRule>
    <cfRule type="cellIs" dxfId="11839" priority="14800" operator="between">
      <formula>0.51</formula>
      <formula>0.75</formula>
    </cfRule>
    <cfRule type="cellIs" dxfId="11838" priority="14801" operator="greaterThan">
      <formula>1</formula>
    </cfRule>
    <cfRule type="cellIs" dxfId="11837" priority="14802" operator="between">
      <formula>0.95</formula>
      <formula>1</formula>
    </cfRule>
    <cfRule type="cellIs" dxfId="11836" priority="14803" stopIfTrue="1" operator="between">
      <formula>0</formula>
      <formula>0.5</formula>
    </cfRule>
  </conditionalFormatting>
  <conditionalFormatting sqref="AF164">
    <cfRule type="cellIs" dxfId="11835" priority="14794" operator="between">
      <formula>0.76</formula>
      <formula>0.95</formula>
    </cfRule>
    <cfRule type="cellIs" dxfId="11834" priority="14795" operator="between">
      <formula>0.51</formula>
      <formula>0.75</formula>
    </cfRule>
    <cfRule type="cellIs" dxfId="11833" priority="14796" operator="greaterThan">
      <formula>1</formula>
    </cfRule>
    <cfRule type="cellIs" dxfId="11832" priority="14797" operator="between">
      <formula>0.95</formula>
      <formula>1</formula>
    </cfRule>
    <cfRule type="cellIs" dxfId="11831" priority="14798" stopIfTrue="1" operator="between">
      <formula>0</formula>
      <formula>0.5</formula>
    </cfRule>
  </conditionalFormatting>
  <conditionalFormatting sqref="I35">
    <cfRule type="cellIs" dxfId="11830" priority="14789" operator="between">
      <formula>0.76</formula>
      <formula>0.95</formula>
    </cfRule>
    <cfRule type="cellIs" dxfId="11829" priority="14790" operator="between">
      <formula>0.51</formula>
      <formula>0.75</formula>
    </cfRule>
    <cfRule type="cellIs" dxfId="11828" priority="14791" operator="greaterThan">
      <formula>1</formula>
    </cfRule>
    <cfRule type="cellIs" dxfId="11827" priority="14792" operator="between">
      <formula>0.95</formula>
      <formula>1</formula>
    </cfRule>
    <cfRule type="cellIs" dxfId="11826" priority="14793" stopIfTrue="1" operator="between">
      <formula>0</formula>
      <formula>0.5</formula>
    </cfRule>
  </conditionalFormatting>
  <conditionalFormatting sqref="K35">
    <cfRule type="cellIs" dxfId="11825" priority="14781" operator="between">
      <formula>0.191</formula>
      <formula>0.24</formula>
    </cfRule>
    <cfRule type="cellIs" dxfId="11824" priority="14782" operator="between">
      <formula>0.1251</formula>
      <formula>0.19</formula>
    </cfRule>
    <cfRule type="cellIs" dxfId="11823" priority="14783" operator="greaterThan">
      <formula>0.2601</formula>
    </cfRule>
    <cfRule type="cellIs" dxfId="11822" priority="14784" operator="between">
      <formula>0.2401</formula>
      <formula>0.26</formula>
    </cfRule>
    <cfRule type="cellIs" dxfId="11821" priority="14785" stopIfTrue="1" operator="between">
      <formula>0</formula>
      <formula>0.125</formula>
    </cfRule>
  </conditionalFormatting>
  <conditionalFormatting sqref="P35">
    <cfRule type="cellIs" dxfId="11820" priority="14776" operator="between">
      <formula>0.76</formula>
      <formula>0.95</formula>
    </cfRule>
    <cfRule type="cellIs" dxfId="11819" priority="14777" operator="between">
      <formula>0.51</formula>
      <formula>0.75</formula>
    </cfRule>
    <cfRule type="cellIs" dxfId="11818" priority="14778" operator="greaterThan">
      <formula>1</formula>
    </cfRule>
    <cfRule type="cellIs" dxfId="11817" priority="14779" operator="between">
      <formula>0.95</formula>
      <formula>1</formula>
    </cfRule>
    <cfRule type="cellIs" dxfId="11816" priority="14780" stopIfTrue="1" operator="between">
      <formula>0</formula>
      <formula>0.5</formula>
    </cfRule>
  </conditionalFormatting>
  <conditionalFormatting sqref="W35">
    <cfRule type="cellIs" dxfId="11815" priority="14763" operator="between">
      <formula>0.76</formula>
      <formula>0.95</formula>
    </cfRule>
    <cfRule type="cellIs" dxfId="11814" priority="14764" operator="between">
      <formula>0.51</formula>
      <formula>0.75</formula>
    </cfRule>
    <cfRule type="cellIs" dxfId="11813" priority="14765" operator="greaterThan">
      <formula>1</formula>
    </cfRule>
    <cfRule type="cellIs" dxfId="11812" priority="14766" operator="between">
      <formula>0.95</formula>
      <formula>1</formula>
    </cfRule>
    <cfRule type="cellIs" dxfId="11811" priority="14767" stopIfTrue="1" operator="between">
      <formula>0</formula>
      <formula>0.5</formula>
    </cfRule>
  </conditionalFormatting>
  <conditionalFormatting sqref="AD35">
    <cfRule type="cellIs" dxfId="11810" priority="14750" operator="between">
      <formula>0.76</formula>
      <formula>0.95</formula>
    </cfRule>
    <cfRule type="cellIs" dxfId="11809" priority="14751" operator="between">
      <formula>0.51</formula>
      <formula>0.75</formula>
    </cfRule>
    <cfRule type="cellIs" dxfId="11808" priority="14752" operator="greaterThan">
      <formula>1</formula>
    </cfRule>
    <cfRule type="cellIs" dxfId="11807" priority="14753" operator="between">
      <formula>0.95</formula>
      <formula>1</formula>
    </cfRule>
    <cfRule type="cellIs" dxfId="11806" priority="14754" stopIfTrue="1" operator="between">
      <formula>0</formula>
      <formula>0.5</formula>
    </cfRule>
  </conditionalFormatting>
  <conditionalFormatting sqref="AF35">
    <cfRule type="cellIs" dxfId="11805" priority="14745" operator="between">
      <formula>0.76</formula>
      <formula>0.95</formula>
    </cfRule>
    <cfRule type="cellIs" dxfId="11804" priority="14746" operator="between">
      <formula>0.51</formula>
      <formula>0.75</formula>
    </cfRule>
    <cfRule type="cellIs" dxfId="11803" priority="14747" operator="greaterThan">
      <formula>1</formula>
    </cfRule>
    <cfRule type="cellIs" dxfId="11802" priority="14748" operator="between">
      <formula>0.95</formula>
      <formula>1</formula>
    </cfRule>
    <cfRule type="cellIs" dxfId="11801" priority="14749" stopIfTrue="1" operator="between">
      <formula>0</formula>
      <formula>0.5</formula>
    </cfRule>
  </conditionalFormatting>
  <conditionalFormatting sqref="I37:I38">
    <cfRule type="cellIs" dxfId="11800" priority="14737" operator="between">
      <formula>0.76</formula>
      <formula>0.95</formula>
    </cfRule>
    <cfRule type="cellIs" dxfId="11799" priority="14738" operator="between">
      <formula>0.51</formula>
      <formula>0.75</formula>
    </cfRule>
    <cfRule type="cellIs" dxfId="11798" priority="14739" operator="greaterThan">
      <formula>1</formula>
    </cfRule>
    <cfRule type="cellIs" dxfId="11797" priority="14740" operator="between">
      <formula>0.95</formula>
      <formula>1</formula>
    </cfRule>
    <cfRule type="cellIs" dxfId="11796" priority="14741" stopIfTrue="1" operator="between">
      <formula>0</formula>
      <formula>0.5</formula>
    </cfRule>
  </conditionalFormatting>
  <conditionalFormatting sqref="K37:K38">
    <cfRule type="cellIs" dxfId="11795" priority="14729" operator="between">
      <formula>0.191</formula>
      <formula>0.24</formula>
    </cfRule>
    <cfRule type="cellIs" dxfId="11794" priority="14730" operator="between">
      <formula>0.1251</formula>
      <formula>0.19</formula>
    </cfRule>
    <cfRule type="cellIs" dxfId="11793" priority="14731" operator="greaterThan">
      <formula>0.2601</formula>
    </cfRule>
    <cfRule type="cellIs" dxfId="11792" priority="14732" operator="between">
      <formula>0.2401</formula>
      <formula>0.26</formula>
    </cfRule>
    <cfRule type="cellIs" dxfId="11791" priority="14733" stopIfTrue="1" operator="between">
      <formula>0</formula>
      <formula>0.125</formula>
    </cfRule>
  </conditionalFormatting>
  <conditionalFormatting sqref="P37:P38">
    <cfRule type="cellIs" dxfId="11790" priority="14724" operator="between">
      <formula>0.76</formula>
      <formula>0.95</formula>
    </cfRule>
    <cfRule type="cellIs" dxfId="11789" priority="14725" operator="between">
      <formula>0.51</formula>
      <formula>0.75</formula>
    </cfRule>
    <cfRule type="cellIs" dxfId="11788" priority="14726" operator="greaterThan">
      <formula>1</formula>
    </cfRule>
    <cfRule type="cellIs" dxfId="11787" priority="14727" operator="between">
      <formula>0.95</formula>
      <formula>1</formula>
    </cfRule>
    <cfRule type="cellIs" dxfId="11786" priority="14728" stopIfTrue="1" operator="between">
      <formula>0</formula>
      <formula>0.5</formula>
    </cfRule>
  </conditionalFormatting>
  <conditionalFormatting sqref="W37:W38">
    <cfRule type="cellIs" dxfId="11785" priority="14711" operator="between">
      <formula>0.76</formula>
      <formula>0.95</formula>
    </cfRule>
    <cfRule type="cellIs" dxfId="11784" priority="14712" operator="between">
      <formula>0.51</formula>
      <formula>0.75</formula>
    </cfRule>
    <cfRule type="cellIs" dxfId="11783" priority="14713" operator="greaterThan">
      <formula>1</formula>
    </cfRule>
    <cfRule type="cellIs" dxfId="11782" priority="14714" operator="between">
      <formula>0.95</formula>
      <formula>1</formula>
    </cfRule>
    <cfRule type="cellIs" dxfId="11781" priority="14715" stopIfTrue="1" operator="between">
      <formula>0</formula>
      <formula>0.5</formula>
    </cfRule>
  </conditionalFormatting>
  <conditionalFormatting sqref="AD37:AD38">
    <cfRule type="cellIs" dxfId="11780" priority="14698" operator="between">
      <formula>0.76</formula>
      <formula>0.95</formula>
    </cfRule>
    <cfRule type="cellIs" dxfId="11779" priority="14699" operator="between">
      <formula>0.51</formula>
      <formula>0.75</formula>
    </cfRule>
    <cfRule type="cellIs" dxfId="11778" priority="14700" operator="greaterThan">
      <formula>1</formula>
    </cfRule>
    <cfRule type="cellIs" dxfId="11777" priority="14701" operator="between">
      <formula>0.95</formula>
      <formula>1</formula>
    </cfRule>
    <cfRule type="cellIs" dxfId="11776" priority="14702" stopIfTrue="1" operator="between">
      <formula>0</formula>
      <formula>0.5</formula>
    </cfRule>
  </conditionalFormatting>
  <conditionalFormatting sqref="AF37:AF38">
    <cfRule type="cellIs" dxfId="11775" priority="14693" operator="between">
      <formula>0.76</formula>
      <formula>0.95</formula>
    </cfRule>
    <cfRule type="cellIs" dxfId="11774" priority="14694" operator="between">
      <formula>0.51</formula>
      <formula>0.75</formula>
    </cfRule>
    <cfRule type="cellIs" dxfId="11773" priority="14695" operator="greaterThan">
      <formula>1</formula>
    </cfRule>
    <cfRule type="cellIs" dxfId="11772" priority="14696" operator="between">
      <formula>0.95</formula>
      <formula>1</formula>
    </cfRule>
    <cfRule type="cellIs" dxfId="11771" priority="14697" stopIfTrue="1" operator="between">
      <formula>0</formula>
      <formula>0.5</formula>
    </cfRule>
  </conditionalFormatting>
  <conditionalFormatting sqref="I125">
    <cfRule type="cellIs" dxfId="11770" priority="14656" operator="between">
      <formula>0.76</formula>
      <formula>0.95</formula>
    </cfRule>
    <cfRule type="cellIs" dxfId="11769" priority="14657" operator="between">
      <formula>0.51</formula>
      <formula>0.75</formula>
    </cfRule>
    <cfRule type="cellIs" dxfId="11768" priority="14658" operator="greaterThan">
      <formula>1</formula>
    </cfRule>
    <cfRule type="cellIs" dxfId="11767" priority="14659" operator="between">
      <formula>0.95</formula>
      <formula>1</formula>
    </cfRule>
    <cfRule type="cellIs" dxfId="11766" priority="14660" stopIfTrue="1" operator="between">
      <formula>0</formula>
      <formula>0.5</formula>
    </cfRule>
  </conditionalFormatting>
  <conditionalFormatting sqref="K125">
    <cfRule type="cellIs" dxfId="11765" priority="14651" operator="between">
      <formula>0.191</formula>
      <formula>0.24</formula>
    </cfRule>
    <cfRule type="cellIs" dxfId="11764" priority="14652" operator="between">
      <formula>0.1251</formula>
      <formula>0.19</formula>
    </cfRule>
    <cfRule type="cellIs" dxfId="11763" priority="14653" operator="greaterThan">
      <formula>0.2601</formula>
    </cfRule>
    <cfRule type="cellIs" dxfId="11762" priority="14654" operator="between">
      <formula>0.2401</formula>
      <formula>0.26</formula>
    </cfRule>
    <cfRule type="cellIs" dxfId="11761" priority="14655" stopIfTrue="1" operator="between">
      <formula>0</formula>
      <formula>0.125</formula>
    </cfRule>
  </conditionalFormatting>
  <conditionalFormatting sqref="P125">
    <cfRule type="cellIs" dxfId="11760" priority="14620" operator="between">
      <formula>0.76</formula>
      <formula>0.95</formula>
    </cfRule>
    <cfRule type="cellIs" dxfId="11759" priority="14621" operator="between">
      <formula>0.51</formula>
      <formula>0.75</formula>
    </cfRule>
    <cfRule type="cellIs" dxfId="11758" priority="14622" operator="greaterThan">
      <formula>1</formula>
    </cfRule>
    <cfRule type="cellIs" dxfId="11757" priority="14623" operator="between">
      <formula>0.95</formula>
      <formula>1</formula>
    </cfRule>
    <cfRule type="cellIs" dxfId="11756" priority="14624" stopIfTrue="1" operator="between">
      <formula>0</formula>
      <formula>0.5</formula>
    </cfRule>
  </conditionalFormatting>
  <conditionalFormatting sqref="W125">
    <cfRule type="cellIs" dxfId="11755" priority="14581" operator="between">
      <formula>0.76</formula>
      <formula>0.95</formula>
    </cfRule>
    <cfRule type="cellIs" dxfId="11754" priority="14582" operator="between">
      <formula>0.51</formula>
      <formula>0.75</formula>
    </cfRule>
    <cfRule type="cellIs" dxfId="11753" priority="14583" operator="greaterThan">
      <formula>1</formula>
    </cfRule>
    <cfRule type="cellIs" dxfId="11752" priority="14584" operator="between">
      <formula>0.95</formula>
      <formula>1</formula>
    </cfRule>
    <cfRule type="cellIs" dxfId="11751" priority="14585" stopIfTrue="1" operator="between">
      <formula>0</formula>
      <formula>0.5</formula>
    </cfRule>
  </conditionalFormatting>
  <conditionalFormatting sqref="AD125">
    <cfRule type="cellIs" dxfId="11750" priority="14542" operator="between">
      <formula>0.76</formula>
      <formula>0.95</formula>
    </cfRule>
    <cfRule type="cellIs" dxfId="11749" priority="14543" operator="between">
      <formula>0.51</formula>
      <formula>0.75</formula>
    </cfRule>
    <cfRule type="cellIs" dxfId="11748" priority="14544" operator="greaterThan">
      <formula>1</formula>
    </cfRule>
    <cfRule type="cellIs" dxfId="11747" priority="14545" operator="between">
      <formula>0.95</formula>
      <formula>1</formula>
    </cfRule>
    <cfRule type="cellIs" dxfId="11746" priority="14546" stopIfTrue="1" operator="between">
      <formula>0</formula>
      <formula>0.5</formula>
    </cfRule>
  </conditionalFormatting>
  <conditionalFormatting sqref="AF125">
    <cfRule type="cellIs" dxfId="11745" priority="14537" operator="between">
      <formula>0.76</formula>
      <formula>0.95</formula>
    </cfRule>
    <cfRule type="cellIs" dxfId="11744" priority="14538" operator="between">
      <formula>0.51</formula>
      <formula>0.75</formula>
    </cfRule>
    <cfRule type="cellIs" dxfId="11743" priority="14539" operator="greaterThan">
      <formula>1</formula>
    </cfRule>
    <cfRule type="cellIs" dxfId="11742" priority="14540" operator="between">
      <formula>0.95</formula>
      <formula>1</formula>
    </cfRule>
    <cfRule type="cellIs" dxfId="11741" priority="14541" stopIfTrue="1" operator="between">
      <formula>0</formula>
      <formula>0.5</formula>
    </cfRule>
  </conditionalFormatting>
  <conditionalFormatting sqref="I263">
    <cfRule type="cellIs" dxfId="11740" priority="14526" operator="between">
      <formula>0.76</formula>
      <formula>0.95</formula>
    </cfRule>
    <cfRule type="cellIs" dxfId="11739" priority="14527" operator="between">
      <formula>0.51</formula>
      <formula>0.75</formula>
    </cfRule>
    <cfRule type="cellIs" dxfId="11738" priority="14528" operator="greaterThan">
      <formula>1</formula>
    </cfRule>
    <cfRule type="cellIs" dxfId="11737" priority="14529" operator="between">
      <formula>0.95</formula>
      <formula>1</formula>
    </cfRule>
    <cfRule type="cellIs" dxfId="11736" priority="14530" stopIfTrue="1" operator="between">
      <formula>0</formula>
      <formula>0.5</formula>
    </cfRule>
  </conditionalFormatting>
  <conditionalFormatting sqref="K263">
    <cfRule type="cellIs" dxfId="11735" priority="14521" operator="between">
      <formula>0.191</formula>
      <formula>0.24</formula>
    </cfRule>
    <cfRule type="cellIs" dxfId="11734" priority="14522" operator="between">
      <formula>0.1251</formula>
      <formula>0.19</formula>
    </cfRule>
    <cfRule type="cellIs" dxfId="11733" priority="14523" operator="greaterThan">
      <formula>0.2601</formula>
    </cfRule>
    <cfRule type="cellIs" dxfId="11732" priority="14524" operator="between">
      <formula>0.2401</formula>
      <formula>0.26</formula>
    </cfRule>
    <cfRule type="cellIs" dxfId="11731" priority="14525" stopIfTrue="1" operator="between">
      <formula>0</formula>
      <formula>0.125</formula>
    </cfRule>
  </conditionalFormatting>
  <conditionalFormatting sqref="P263">
    <cfRule type="cellIs" dxfId="11730" priority="14516" operator="between">
      <formula>0.76</formula>
      <formula>0.95</formula>
    </cfRule>
    <cfRule type="cellIs" dxfId="11729" priority="14517" operator="between">
      <formula>0.51</formula>
      <formula>0.75</formula>
    </cfRule>
    <cfRule type="cellIs" dxfId="11728" priority="14518" operator="greaterThan">
      <formula>1</formula>
    </cfRule>
    <cfRule type="cellIs" dxfId="11727" priority="14519" operator="between">
      <formula>0.95</formula>
      <formula>1</formula>
    </cfRule>
    <cfRule type="cellIs" dxfId="11726" priority="14520" stopIfTrue="1" operator="between">
      <formula>0</formula>
      <formula>0.5</formula>
    </cfRule>
  </conditionalFormatting>
  <conditionalFormatting sqref="W263">
    <cfRule type="cellIs" dxfId="11725" priority="14503" operator="between">
      <formula>0.76</formula>
      <formula>0.95</formula>
    </cfRule>
    <cfRule type="cellIs" dxfId="11724" priority="14504" operator="between">
      <formula>0.51</formula>
      <formula>0.75</formula>
    </cfRule>
    <cfRule type="cellIs" dxfId="11723" priority="14505" operator="greaterThan">
      <formula>1</formula>
    </cfRule>
    <cfRule type="cellIs" dxfId="11722" priority="14506" operator="between">
      <formula>0.95</formula>
      <formula>1</formula>
    </cfRule>
    <cfRule type="cellIs" dxfId="11721" priority="14507" stopIfTrue="1" operator="between">
      <formula>0</formula>
      <formula>0.5</formula>
    </cfRule>
  </conditionalFormatting>
  <conditionalFormatting sqref="AD263">
    <cfRule type="cellIs" dxfId="11720" priority="14490" operator="between">
      <formula>0.76</formula>
      <formula>0.95</formula>
    </cfRule>
    <cfRule type="cellIs" dxfId="11719" priority="14491" operator="between">
      <formula>0.51</formula>
      <formula>0.75</formula>
    </cfRule>
    <cfRule type="cellIs" dxfId="11718" priority="14492" operator="greaterThan">
      <formula>1</formula>
    </cfRule>
    <cfRule type="cellIs" dxfId="11717" priority="14493" operator="between">
      <formula>0.95</formula>
      <formula>1</formula>
    </cfRule>
    <cfRule type="cellIs" dxfId="11716" priority="14494" stopIfTrue="1" operator="between">
      <formula>0</formula>
      <formula>0.5</formula>
    </cfRule>
  </conditionalFormatting>
  <conditionalFormatting sqref="AF263">
    <cfRule type="cellIs" dxfId="11715" priority="14485" operator="between">
      <formula>0.76</formula>
      <formula>0.95</formula>
    </cfRule>
    <cfRule type="cellIs" dxfId="11714" priority="14486" operator="between">
      <formula>0.51</formula>
      <formula>0.75</formula>
    </cfRule>
    <cfRule type="cellIs" dxfId="11713" priority="14487" operator="greaterThan">
      <formula>1</formula>
    </cfRule>
    <cfRule type="cellIs" dxfId="11712" priority="14488" operator="between">
      <formula>0.95</formula>
      <formula>1</formula>
    </cfRule>
    <cfRule type="cellIs" dxfId="11711" priority="14489" stopIfTrue="1" operator="between">
      <formula>0</formula>
      <formula>0.5</formula>
    </cfRule>
  </conditionalFormatting>
  <conditionalFormatting sqref="I264">
    <cfRule type="cellIs" dxfId="11710" priority="14474" operator="between">
      <formula>0.76</formula>
      <formula>0.95</formula>
    </cfRule>
    <cfRule type="cellIs" dxfId="11709" priority="14475" operator="between">
      <formula>0.51</formula>
      <formula>0.75</formula>
    </cfRule>
    <cfRule type="cellIs" dxfId="11708" priority="14476" operator="greaterThan">
      <formula>1</formula>
    </cfRule>
    <cfRule type="cellIs" dxfId="11707" priority="14477" operator="between">
      <formula>0.95</formula>
      <formula>1</formula>
    </cfRule>
    <cfRule type="cellIs" dxfId="11706" priority="14478" stopIfTrue="1" operator="between">
      <formula>0</formula>
      <formula>0.5</formula>
    </cfRule>
  </conditionalFormatting>
  <conditionalFormatting sqref="K264">
    <cfRule type="cellIs" dxfId="11705" priority="14469" operator="between">
      <formula>0.191</formula>
      <formula>0.24</formula>
    </cfRule>
    <cfRule type="cellIs" dxfId="11704" priority="14470" operator="between">
      <formula>0.1251</formula>
      <formula>0.19</formula>
    </cfRule>
    <cfRule type="cellIs" dxfId="11703" priority="14471" operator="greaterThan">
      <formula>0.2601</formula>
    </cfRule>
    <cfRule type="cellIs" dxfId="11702" priority="14472" operator="between">
      <formula>0.2401</formula>
      <formula>0.26</formula>
    </cfRule>
    <cfRule type="cellIs" dxfId="11701" priority="14473" stopIfTrue="1" operator="between">
      <formula>0</formula>
      <formula>0.125</formula>
    </cfRule>
  </conditionalFormatting>
  <conditionalFormatting sqref="P264">
    <cfRule type="cellIs" dxfId="11700" priority="14461" operator="between">
      <formula>0.76</formula>
      <formula>0.95</formula>
    </cfRule>
    <cfRule type="cellIs" dxfId="11699" priority="14462" operator="between">
      <formula>0.51</formula>
      <formula>0.75</formula>
    </cfRule>
    <cfRule type="cellIs" dxfId="11698" priority="14463" operator="greaterThan">
      <formula>1</formula>
    </cfRule>
    <cfRule type="cellIs" dxfId="11697" priority="14464" operator="between">
      <formula>0.95</formula>
      <formula>1</formula>
    </cfRule>
    <cfRule type="cellIs" dxfId="11696" priority="14465" stopIfTrue="1" operator="between">
      <formula>0</formula>
      <formula>0.5</formula>
    </cfRule>
  </conditionalFormatting>
  <conditionalFormatting sqref="W264">
    <cfRule type="cellIs" dxfId="11695" priority="14448" operator="between">
      <formula>0.76</formula>
      <formula>0.95</formula>
    </cfRule>
    <cfRule type="cellIs" dxfId="11694" priority="14449" operator="between">
      <formula>0.51</formula>
      <formula>0.75</formula>
    </cfRule>
    <cfRule type="cellIs" dxfId="11693" priority="14450" operator="greaterThan">
      <formula>1</formula>
    </cfRule>
    <cfRule type="cellIs" dxfId="11692" priority="14451" operator="between">
      <formula>0.95</formula>
      <formula>1</formula>
    </cfRule>
    <cfRule type="cellIs" dxfId="11691" priority="14452" stopIfTrue="1" operator="between">
      <formula>0</formula>
      <formula>0.5</formula>
    </cfRule>
  </conditionalFormatting>
  <conditionalFormatting sqref="AD264">
    <cfRule type="cellIs" dxfId="11690" priority="14435" operator="between">
      <formula>0.76</formula>
      <formula>0.95</formula>
    </cfRule>
    <cfRule type="cellIs" dxfId="11689" priority="14436" operator="between">
      <formula>0.51</formula>
      <formula>0.75</formula>
    </cfRule>
    <cfRule type="cellIs" dxfId="11688" priority="14437" operator="greaterThan">
      <formula>1</formula>
    </cfRule>
    <cfRule type="cellIs" dxfId="11687" priority="14438" operator="between">
      <formula>0.95</formula>
      <formula>1</formula>
    </cfRule>
    <cfRule type="cellIs" dxfId="11686" priority="14439" stopIfTrue="1" operator="between">
      <formula>0</formula>
      <formula>0.5</formula>
    </cfRule>
  </conditionalFormatting>
  <conditionalFormatting sqref="AF264">
    <cfRule type="cellIs" dxfId="11685" priority="14430" operator="between">
      <formula>0.76</formula>
      <formula>0.95</formula>
    </cfRule>
    <cfRule type="cellIs" dxfId="11684" priority="14431" operator="between">
      <formula>0.51</formula>
      <formula>0.75</formula>
    </cfRule>
    <cfRule type="cellIs" dxfId="11683" priority="14432" operator="greaterThan">
      <formula>1</formula>
    </cfRule>
    <cfRule type="cellIs" dxfId="11682" priority="14433" operator="between">
      <formula>0.95</formula>
      <formula>1</formula>
    </cfRule>
    <cfRule type="cellIs" dxfId="11681" priority="14434" stopIfTrue="1" operator="between">
      <formula>0</formula>
      <formula>0.5</formula>
    </cfRule>
  </conditionalFormatting>
  <conditionalFormatting sqref="I385">
    <cfRule type="cellIs" dxfId="11680" priority="14364" operator="between">
      <formula>0.76</formula>
      <formula>0.95</formula>
    </cfRule>
    <cfRule type="cellIs" dxfId="11679" priority="14365" operator="between">
      <formula>0.51</formula>
      <formula>0.75</formula>
    </cfRule>
    <cfRule type="cellIs" dxfId="11678" priority="14366" operator="greaterThan">
      <formula>1</formula>
    </cfRule>
    <cfRule type="cellIs" dxfId="11677" priority="14367" operator="between">
      <formula>0.95</formula>
      <formula>1</formula>
    </cfRule>
    <cfRule type="cellIs" dxfId="11676" priority="14368" stopIfTrue="1" operator="between">
      <formula>0</formula>
      <formula>0.5</formula>
    </cfRule>
  </conditionalFormatting>
  <conditionalFormatting sqref="K385">
    <cfRule type="cellIs" dxfId="11675" priority="14329" operator="between">
      <formula>0.191</formula>
      <formula>0.24</formula>
    </cfRule>
    <cfRule type="cellIs" dxfId="11674" priority="14330" operator="between">
      <formula>0.1251</formula>
      <formula>0.19</formula>
    </cfRule>
    <cfRule type="cellIs" dxfId="11673" priority="14331" operator="greaterThan">
      <formula>0.2601</formula>
    </cfRule>
    <cfRule type="cellIs" dxfId="11672" priority="14332" operator="between">
      <formula>0.2401</formula>
      <formula>0.26</formula>
    </cfRule>
    <cfRule type="cellIs" dxfId="11671" priority="14333" stopIfTrue="1" operator="between">
      <formula>0</formula>
      <formula>0.125</formula>
    </cfRule>
  </conditionalFormatting>
  <conditionalFormatting sqref="P385">
    <cfRule type="cellIs" dxfId="11670" priority="14324" operator="between">
      <formula>0.76</formula>
      <formula>0.95</formula>
    </cfRule>
    <cfRule type="cellIs" dxfId="11669" priority="14325" operator="between">
      <formula>0.51</formula>
      <formula>0.75</formula>
    </cfRule>
    <cfRule type="cellIs" dxfId="11668" priority="14326" operator="greaterThan">
      <formula>1</formula>
    </cfRule>
    <cfRule type="cellIs" dxfId="11667" priority="14327" operator="between">
      <formula>0.95</formula>
      <formula>1</formula>
    </cfRule>
    <cfRule type="cellIs" dxfId="11666" priority="14328" stopIfTrue="1" operator="between">
      <formula>0</formula>
      <formula>0.5</formula>
    </cfRule>
  </conditionalFormatting>
  <conditionalFormatting sqref="W385">
    <cfRule type="cellIs" dxfId="11665" priority="14309" operator="between">
      <formula>0.76</formula>
      <formula>0.95</formula>
    </cfRule>
    <cfRule type="cellIs" dxfId="11664" priority="14310" operator="between">
      <formula>0.51</formula>
      <formula>0.75</formula>
    </cfRule>
    <cfRule type="cellIs" dxfId="11663" priority="14311" operator="greaterThan">
      <formula>1</formula>
    </cfRule>
    <cfRule type="cellIs" dxfId="11662" priority="14312" operator="between">
      <formula>0.95</formula>
      <formula>1</formula>
    </cfRule>
    <cfRule type="cellIs" dxfId="11661" priority="14313" stopIfTrue="1" operator="between">
      <formula>0</formula>
      <formula>0.5</formula>
    </cfRule>
  </conditionalFormatting>
  <conditionalFormatting sqref="AD385">
    <cfRule type="cellIs" dxfId="11660" priority="14299" operator="between">
      <formula>0.76</formula>
      <formula>0.95</formula>
    </cfRule>
    <cfRule type="cellIs" dxfId="11659" priority="14300" operator="between">
      <formula>0.51</formula>
      <formula>0.75</formula>
    </cfRule>
    <cfRule type="cellIs" dxfId="11658" priority="14301" operator="greaterThan">
      <formula>1</formula>
    </cfRule>
    <cfRule type="cellIs" dxfId="11657" priority="14302" operator="between">
      <formula>0.95</formula>
      <formula>1</formula>
    </cfRule>
    <cfRule type="cellIs" dxfId="11656" priority="14303" stopIfTrue="1" operator="between">
      <formula>0</formula>
      <formula>0.5</formula>
    </cfRule>
  </conditionalFormatting>
  <conditionalFormatting sqref="AF385">
    <cfRule type="cellIs" dxfId="11655" priority="14294" operator="between">
      <formula>0.76</formula>
      <formula>0.95</formula>
    </cfRule>
    <cfRule type="cellIs" dxfId="11654" priority="14295" operator="between">
      <formula>0.51</formula>
      <formula>0.75</formula>
    </cfRule>
    <cfRule type="cellIs" dxfId="11653" priority="14296" operator="greaterThan">
      <formula>1</formula>
    </cfRule>
    <cfRule type="cellIs" dxfId="11652" priority="14297" operator="between">
      <formula>0.95</formula>
      <formula>1</formula>
    </cfRule>
    <cfRule type="cellIs" dxfId="11651" priority="14298" stopIfTrue="1" operator="between">
      <formula>0</formula>
      <formula>0.5</formula>
    </cfRule>
  </conditionalFormatting>
  <conditionalFormatting sqref="AF384">
    <cfRule type="cellIs" dxfId="11650" priority="14289" operator="between">
      <formula>0.76</formula>
      <formula>0.95</formula>
    </cfRule>
    <cfRule type="cellIs" dxfId="11649" priority="14290" operator="between">
      <formula>0.51</formula>
      <formula>0.75</formula>
    </cfRule>
    <cfRule type="cellIs" dxfId="11648" priority="14291" operator="greaterThan">
      <formula>1</formula>
    </cfRule>
    <cfRule type="cellIs" dxfId="11647" priority="14292" operator="between">
      <formula>0.95</formula>
      <formula>1</formula>
    </cfRule>
    <cfRule type="cellIs" dxfId="11646" priority="14293" stopIfTrue="1" operator="between">
      <formula>0</formula>
      <formula>0.5</formula>
    </cfRule>
  </conditionalFormatting>
  <conditionalFormatting sqref="R382">
    <cfRule type="cellIs" dxfId="11645" priority="14274" operator="between">
      <formula>0.3751</formula>
      <formula>0.475</formula>
    </cfRule>
    <cfRule type="cellIs" dxfId="11644" priority="14275" operator="between">
      <formula>0.2551</formula>
      <formula>0.375</formula>
    </cfRule>
    <cfRule type="cellIs" dxfId="11643" priority="14276" operator="greaterThan">
      <formula>0.505</formula>
    </cfRule>
    <cfRule type="cellIs" dxfId="11642" priority="14277" operator="between">
      <formula>0.4751</formula>
      <formula>0.5</formula>
    </cfRule>
    <cfRule type="cellIs" dxfId="11641" priority="14278" stopIfTrue="1" operator="between">
      <formula>0</formula>
      <formula>0.255</formula>
    </cfRule>
  </conditionalFormatting>
  <conditionalFormatting sqref="R385">
    <cfRule type="cellIs" dxfId="11640" priority="14258" operator="between">
      <formula>0.3751</formula>
      <formula>0.475</formula>
    </cfRule>
    <cfRule type="cellIs" dxfId="11639" priority="14259" operator="between">
      <formula>0.2551</formula>
      <formula>0.375</formula>
    </cfRule>
    <cfRule type="cellIs" dxfId="11638" priority="14260" operator="greaterThan">
      <formula>0.505</formula>
    </cfRule>
    <cfRule type="cellIs" dxfId="11637" priority="14261" operator="between">
      <formula>0.48</formula>
      <formula>0.51</formula>
    </cfRule>
    <cfRule type="cellIs" dxfId="11636" priority="14262" stopIfTrue="1" operator="between">
      <formula>0</formula>
      <formula>0.255</formula>
    </cfRule>
  </conditionalFormatting>
  <conditionalFormatting sqref="R16">
    <cfRule type="cellIs" dxfId="11635" priority="14253" operator="between">
      <formula>0.3751</formula>
      <formula>0.475</formula>
    </cfRule>
    <cfRule type="cellIs" dxfId="11634" priority="14254" operator="between">
      <formula>0.2551</formula>
      <formula>0.375</formula>
    </cfRule>
    <cfRule type="cellIs" dxfId="11633" priority="14255" operator="greaterThan">
      <formula>0.505</formula>
    </cfRule>
    <cfRule type="cellIs" dxfId="11632" priority="14256" operator="between">
      <formula>0.48</formula>
      <formula>0.5</formula>
    </cfRule>
    <cfRule type="cellIs" dxfId="11631" priority="14257" stopIfTrue="1" operator="between">
      <formula>0</formula>
      <formula>0.255</formula>
    </cfRule>
  </conditionalFormatting>
  <conditionalFormatting sqref="R17">
    <cfRule type="cellIs" dxfId="11630" priority="14248" operator="between">
      <formula>0.3751</formula>
      <formula>0.475</formula>
    </cfRule>
    <cfRule type="cellIs" dxfId="11629" priority="14249" operator="between">
      <formula>0.2551</formula>
      <formula>0.375</formula>
    </cfRule>
    <cfRule type="cellIs" dxfId="11628" priority="14250" operator="greaterThan">
      <formula>0.505</formula>
    </cfRule>
    <cfRule type="cellIs" dxfId="11627" priority="14251" operator="between">
      <formula>0.48</formula>
      <formula>0.5</formula>
    </cfRule>
    <cfRule type="cellIs" dxfId="11626" priority="14252" stopIfTrue="1" operator="between">
      <formula>0</formula>
      <formula>0.255</formula>
    </cfRule>
  </conditionalFormatting>
  <conditionalFormatting sqref="R18">
    <cfRule type="cellIs" dxfId="11625" priority="14233" operator="between">
      <formula>0.3751</formula>
      <formula>0.475</formula>
    </cfRule>
    <cfRule type="cellIs" dxfId="11624" priority="14234" operator="between">
      <formula>0.2551</formula>
      <formula>0.375</formula>
    </cfRule>
    <cfRule type="cellIs" dxfId="11623" priority="14235" operator="greaterThan">
      <formula>0.505</formula>
    </cfRule>
    <cfRule type="cellIs" dxfId="11622" priority="14236" operator="between">
      <formula>0.48</formula>
      <formula>0.5</formula>
    </cfRule>
    <cfRule type="cellIs" dxfId="11621" priority="14237" stopIfTrue="1" operator="between">
      <formula>0</formula>
      <formula>0.255</formula>
    </cfRule>
  </conditionalFormatting>
  <conditionalFormatting sqref="R19">
    <cfRule type="cellIs" dxfId="11620" priority="14228" operator="between">
      <formula>0.3751</formula>
      <formula>0.475</formula>
    </cfRule>
    <cfRule type="cellIs" dxfId="11619" priority="14229" operator="between">
      <formula>0.2551</formula>
      <formula>0.375</formula>
    </cfRule>
    <cfRule type="cellIs" dxfId="11618" priority="14230" operator="greaterThan">
      <formula>0.505</formula>
    </cfRule>
    <cfRule type="cellIs" dxfId="11617" priority="14231" operator="between">
      <formula>0.48</formula>
      <formula>0.5</formula>
    </cfRule>
    <cfRule type="cellIs" dxfId="11616" priority="14232" stopIfTrue="1" operator="between">
      <formula>0</formula>
      <formula>0.255</formula>
    </cfRule>
  </conditionalFormatting>
  <conditionalFormatting sqref="R20">
    <cfRule type="cellIs" dxfId="11615" priority="14223" operator="between">
      <formula>0.3751</formula>
      <formula>0.475</formula>
    </cfRule>
    <cfRule type="cellIs" dxfId="11614" priority="14224" operator="between">
      <formula>0.2551</formula>
      <formula>0.375</formula>
    </cfRule>
    <cfRule type="cellIs" dxfId="11613" priority="14225" operator="greaterThan">
      <formula>0.505</formula>
    </cfRule>
    <cfRule type="cellIs" dxfId="11612" priority="14226" operator="between">
      <formula>0.48</formula>
      <formula>0.5</formula>
    </cfRule>
    <cfRule type="cellIs" dxfId="11611" priority="14227" stopIfTrue="1" operator="between">
      <formula>0</formula>
      <formula>0.255</formula>
    </cfRule>
  </conditionalFormatting>
  <conditionalFormatting sqref="R21">
    <cfRule type="cellIs" dxfId="11610" priority="14218" operator="between">
      <formula>0.3751</formula>
      <formula>0.475</formula>
    </cfRule>
    <cfRule type="cellIs" dxfId="11609" priority="14219" operator="between">
      <formula>0.2551</formula>
      <formula>0.375</formula>
    </cfRule>
    <cfRule type="cellIs" dxfId="11608" priority="14220" operator="greaterThan">
      <formula>0.505</formula>
    </cfRule>
    <cfRule type="cellIs" dxfId="11607" priority="14221" operator="between">
      <formula>0.48</formula>
      <formula>0.5</formula>
    </cfRule>
    <cfRule type="cellIs" dxfId="11606" priority="14222" stopIfTrue="1" operator="between">
      <formula>0</formula>
      <formula>0.255</formula>
    </cfRule>
  </conditionalFormatting>
  <conditionalFormatting sqref="R22">
    <cfRule type="cellIs" dxfId="11605" priority="14213" operator="between">
      <formula>0.3751</formula>
      <formula>0.475</formula>
    </cfRule>
    <cfRule type="cellIs" dxfId="11604" priority="14214" operator="between">
      <formula>0.2551</formula>
      <formula>0.375</formula>
    </cfRule>
    <cfRule type="cellIs" dxfId="11603" priority="14215" operator="greaterThan">
      <formula>0.505</formula>
    </cfRule>
    <cfRule type="cellIs" dxfId="11602" priority="14216" operator="between">
      <formula>0.48</formula>
      <formula>0.5</formula>
    </cfRule>
    <cfRule type="cellIs" dxfId="11601" priority="14217" stopIfTrue="1" operator="between">
      <formula>0</formula>
      <formula>0.255</formula>
    </cfRule>
  </conditionalFormatting>
  <conditionalFormatting sqref="R23">
    <cfRule type="cellIs" dxfId="11600" priority="14208" operator="between">
      <formula>0.3751</formula>
      <formula>0.475</formula>
    </cfRule>
    <cfRule type="cellIs" dxfId="11599" priority="14209" operator="between">
      <formula>0.2551</formula>
      <formula>0.375</formula>
    </cfRule>
    <cfRule type="cellIs" dxfId="11598" priority="14210" operator="greaterThan">
      <formula>0.505</formula>
    </cfRule>
    <cfRule type="cellIs" dxfId="11597" priority="14211" operator="between">
      <formula>0.48</formula>
      <formula>0.5</formula>
    </cfRule>
    <cfRule type="cellIs" dxfId="11596" priority="14212" stopIfTrue="1" operator="between">
      <formula>0</formula>
      <formula>0.255</formula>
    </cfRule>
  </conditionalFormatting>
  <conditionalFormatting sqref="R24">
    <cfRule type="cellIs" dxfId="11595" priority="14203" operator="between">
      <formula>0.3751</formula>
      <formula>0.475</formula>
    </cfRule>
    <cfRule type="cellIs" dxfId="11594" priority="14204" operator="between">
      <formula>0.2551</formula>
      <formula>0.375</formula>
    </cfRule>
    <cfRule type="cellIs" dxfId="11593" priority="14205" operator="greaterThan">
      <formula>0.505</formula>
    </cfRule>
    <cfRule type="cellIs" dxfId="11592" priority="14206" operator="between">
      <formula>0.48</formula>
      <formula>0.5</formula>
    </cfRule>
    <cfRule type="cellIs" dxfId="11591" priority="14207" stopIfTrue="1" operator="between">
      <formula>0</formula>
      <formula>0.255</formula>
    </cfRule>
  </conditionalFormatting>
  <conditionalFormatting sqref="R25">
    <cfRule type="cellIs" dxfId="11590" priority="14198" operator="between">
      <formula>0.3751</formula>
      <formula>0.475</formula>
    </cfRule>
    <cfRule type="cellIs" dxfId="11589" priority="14199" operator="between">
      <formula>0.2551</formula>
      <formula>0.375</formula>
    </cfRule>
    <cfRule type="cellIs" dxfId="11588" priority="14200" operator="greaterThan">
      <formula>0.505</formula>
    </cfRule>
    <cfRule type="cellIs" dxfId="11587" priority="14201" operator="between">
      <formula>0.48</formula>
      <formula>0.5</formula>
    </cfRule>
    <cfRule type="cellIs" dxfId="11586" priority="14202" stopIfTrue="1" operator="between">
      <formula>0</formula>
      <formula>0.255</formula>
    </cfRule>
  </conditionalFormatting>
  <conditionalFormatting sqref="R26">
    <cfRule type="cellIs" dxfId="11585" priority="14193" operator="between">
      <formula>0.3751</formula>
      <formula>0.475</formula>
    </cfRule>
    <cfRule type="cellIs" dxfId="11584" priority="14194" operator="between">
      <formula>0.2551</formula>
      <formula>0.375</formula>
    </cfRule>
    <cfRule type="cellIs" dxfId="11583" priority="14195" operator="greaterThan">
      <formula>0.505</formula>
    </cfRule>
    <cfRule type="cellIs" dxfId="11582" priority="14196" operator="between">
      <formula>0.48</formula>
      <formula>0.5</formula>
    </cfRule>
    <cfRule type="cellIs" dxfId="11581" priority="14197" stopIfTrue="1" operator="between">
      <formula>0</formula>
      <formula>0.255</formula>
    </cfRule>
  </conditionalFormatting>
  <conditionalFormatting sqref="R27">
    <cfRule type="cellIs" dxfId="11580" priority="14188" operator="between">
      <formula>0.3751</formula>
      <formula>0.475</formula>
    </cfRule>
    <cfRule type="cellIs" dxfId="11579" priority="14189" operator="between">
      <formula>0.2551</formula>
      <formula>0.375</formula>
    </cfRule>
    <cfRule type="cellIs" dxfId="11578" priority="14190" operator="greaterThan">
      <formula>0.505</formula>
    </cfRule>
    <cfRule type="cellIs" dxfId="11577" priority="14191" operator="between">
      <formula>0.48</formula>
      <formula>0.5</formula>
    </cfRule>
    <cfRule type="cellIs" dxfId="11576" priority="14192" stopIfTrue="1" operator="between">
      <formula>0</formula>
      <formula>0.255</formula>
    </cfRule>
  </conditionalFormatting>
  <conditionalFormatting sqref="R28">
    <cfRule type="cellIs" dxfId="11575" priority="14183" operator="between">
      <formula>0.3751</formula>
      <formula>0.475</formula>
    </cfRule>
    <cfRule type="cellIs" dxfId="11574" priority="14184" operator="between">
      <formula>0.2551</formula>
      <formula>0.375</formula>
    </cfRule>
    <cfRule type="cellIs" dxfId="11573" priority="14185" operator="greaterThan">
      <formula>0.505</formula>
    </cfRule>
    <cfRule type="cellIs" dxfId="11572" priority="14186" operator="between">
      <formula>0.48</formula>
      <formula>0.5</formula>
    </cfRule>
    <cfRule type="cellIs" dxfId="11571" priority="14187" stopIfTrue="1" operator="between">
      <formula>0</formula>
      <formula>0.255</formula>
    </cfRule>
  </conditionalFormatting>
  <conditionalFormatting sqref="R29">
    <cfRule type="cellIs" dxfId="11570" priority="14178" operator="between">
      <formula>0.3751</formula>
      <formula>0.475</formula>
    </cfRule>
    <cfRule type="cellIs" dxfId="11569" priority="14179" operator="between">
      <formula>0.2551</formula>
      <formula>0.375</formula>
    </cfRule>
    <cfRule type="cellIs" dxfId="11568" priority="14180" operator="greaterThan">
      <formula>0.505</formula>
    </cfRule>
    <cfRule type="cellIs" dxfId="11567" priority="14181" operator="between">
      <formula>0.48</formula>
      <formula>0.5</formula>
    </cfRule>
    <cfRule type="cellIs" dxfId="11566" priority="14182" stopIfTrue="1" operator="between">
      <formula>0</formula>
      <formula>0.255</formula>
    </cfRule>
  </conditionalFormatting>
  <conditionalFormatting sqref="R30">
    <cfRule type="cellIs" dxfId="11565" priority="14173" operator="between">
      <formula>0.3751</formula>
      <formula>0.475</formula>
    </cfRule>
    <cfRule type="cellIs" dxfId="11564" priority="14174" operator="between">
      <formula>0.2551</formula>
      <formula>0.375</formula>
    </cfRule>
    <cfRule type="cellIs" dxfId="11563" priority="14175" operator="greaterThan">
      <formula>0.505</formula>
    </cfRule>
    <cfRule type="cellIs" dxfId="11562" priority="14176" operator="between">
      <formula>0.48</formula>
      <formula>0.5</formula>
    </cfRule>
    <cfRule type="cellIs" dxfId="11561" priority="14177" stopIfTrue="1" operator="between">
      <formula>0</formula>
      <formula>0.255</formula>
    </cfRule>
  </conditionalFormatting>
  <conditionalFormatting sqref="R34">
    <cfRule type="cellIs" dxfId="11560" priority="14168" operator="between">
      <formula>0.3751</formula>
      <formula>0.475</formula>
    </cfRule>
    <cfRule type="cellIs" dxfId="11559" priority="14169" operator="between">
      <formula>0.2551</formula>
      <formula>0.375</formula>
    </cfRule>
    <cfRule type="cellIs" dxfId="11558" priority="14170" operator="greaterThan">
      <formula>0.505</formula>
    </cfRule>
    <cfRule type="cellIs" dxfId="11557" priority="14171" operator="between">
      <formula>0.48</formula>
      <formula>0.5</formula>
    </cfRule>
    <cfRule type="cellIs" dxfId="11556" priority="14172" stopIfTrue="1" operator="between">
      <formula>0</formula>
      <formula>0.255</formula>
    </cfRule>
  </conditionalFormatting>
  <conditionalFormatting sqref="R35">
    <cfRule type="cellIs" dxfId="11555" priority="14163" operator="between">
      <formula>0.3751</formula>
      <formula>0.475</formula>
    </cfRule>
    <cfRule type="cellIs" dxfId="11554" priority="14164" operator="between">
      <formula>0.2551</formula>
      <formula>0.375</formula>
    </cfRule>
    <cfRule type="cellIs" dxfId="11553" priority="14165" operator="greaterThan">
      <formula>0.505</formula>
    </cfRule>
    <cfRule type="cellIs" dxfId="11552" priority="14166" operator="between">
      <formula>0.48</formula>
      <formula>0.5</formula>
    </cfRule>
    <cfRule type="cellIs" dxfId="11551" priority="14167" stopIfTrue="1" operator="between">
      <formula>0</formula>
      <formula>0.255</formula>
    </cfRule>
  </conditionalFormatting>
  <conditionalFormatting sqref="R50">
    <cfRule type="cellIs" dxfId="11550" priority="14108" operator="between">
      <formula>0.3751</formula>
      <formula>0.475</formula>
    </cfRule>
    <cfRule type="cellIs" dxfId="11549" priority="14109" operator="between">
      <formula>0.2551</formula>
      <formula>0.375</formula>
    </cfRule>
    <cfRule type="cellIs" dxfId="11548" priority="14110" operator="greaterThan">
      <formula>0.505</formula>
    </cfRule>
    <cfRule type="cellIs" dxfId="11547" priority="14111" operator="between">
      <formula>0.48</formula>
      <formula>0.5</formula>
    </cfRule>
    <cfRule type="cellIs" dxfId="11546" priority="14112" stopIfTrue="1" operator="between">
      <formula>0</formula>
      <formula>0.255</formula>
    </cfRule>
  </conditionalFormatting>
  <conditionalFormatting sqref="R37:R38">
    <cfRule type="cellIs" dxfId="11545" priority="14153" operator="between">
      <formula>0.3751</formula>
      <formula>0.475</formula>
    </cfRule>
    <cfRule type="cellIs" dxfId="11544" priority="14154" operator="between">
      <formula>0.2551</formula>
      <formula>0.375</formula>
    </cfRule>
    <cfRule type="cellIs" dxfId="11543" priority="14155" operator="greaterThan">
      <formula>0.505</formula>
    </cfRule>
    <cfRule type="cellIs" dxfId="11542" priority="14156" operator="between">
      <formula>0.48</formula>
      <formula>0.5</formula>
    </cfRule>
    <cfRule type="cellIs" dxfId="11541" priority="14157" stopIfTrue="1" operator="between">
      <formula>0</formula>
      <formula>0.255</formula>
    </cfRule>
  </conditionalFormatting>
  <conditionalFormatting sqref="R42">
    <cfRule type="cellIs" dxfId="11540" priority="14143" operator="between">
      <formula>0.3751</formula>
      <formula>0.475</formula>
    </cfRule>
    <cfRule type="cellIs" dxfId="11539" priority="14144" operator="between">
      <formula>0.2551</formula>
      <formula>0.375</formula>
    </cfRule>
    <cfRule type="cellIs" dxfId="11538" priority="14145" operator="greaterThan">
      <formula>0.505</formula>
    </cfRule>
    <cfRule type="cellIs" dxfId="11537" priority="14146" operator="between">
      <formula>0.48</formula>
      <formula>0.5</formula>
    </cfRule>
    <cfRule type="cellIs" dxfId="11536" priority="14147" stopIfTrue="1" operator="between">
      <formula>0</formula>
      <formula>0.255</formula>
    </cfRule>
  </conditionalFormatting>
  <conditionalFormatting sqref="R44">
    <cfRule type="cellIs" dxfId="11535" priority="14138" operator="between">
      <formula>0.3751</formula>
      <formula>0.475</formula>
    </cfRule>
    <cfRule type="cellIs" dxfId="11534" priority="14139" operator="between">
      <formula>0.2551</formula>
      <formula>0.375</formula>
    </cfRule>
    <cfRule type="cellIs" dxfId="11533" priority="14140" operator="greaterThan">
      <formula>0.505</formula>
    </cfRule>
    <cfRule type="cellIs" dxfId="11532" priority="14141" operator="between">
      <formula>0.48</formula>
      <formula>0.5</formula>
    </cfRule>
    <cfRule type="cellIs" dxfId="11531" priority="14142" stopIfTrue="1" operator="between">
      <formula>0</formula>
      <formula>0.255</formula>
    </cfRule>
  </conditionalFormatting>
  <conditionalFormatting sqref="R45">
    <cfRule type="cellIs" dxfId="11530" priority="14133" operator="between">
      <formula>0.3751</formula>
      <formula>0.475</formula>
    </cfRule>
    <cfRule type="cellIs" dxfId="11529" priority="14134" operator="between">
      <formula>0.2551</formula>
      <formula>0.375</formula>
    </cfRule>
    <cfRule type="cellIs" dxfId="11528" priority="14135" operator="greaterThan">
      <formula>0.505</formula>
    </cfRule>
    <cfRule type="cellIs" dxfId="11527" priority="14136" operator="between">
      <formula>0.48</formula>
      <formula>0.5</formula>
    </cfRule>
    <cfRule type="cellIs" dxfId="11526" priority="14137" stopIfTrue="1" operator="between">
      <formula>0</formula>
      <formula>0.255</formula>
    </cfRule>
  </conditionalFormatting>
  <conditionalFormatting sqref="R46">
    <cfRule type="cellIs" dxfId="11525" priority="14128" operator="between">
      <formula>0.3751</formula>
      <formula>0.475</formula>
    </cfRule>
    <cfRule type="cellIs" dxfId="11524" priority="14129" operator="between">
      <formula>0.2551</formula>
      <formula>0.375</formula>
    </cfRule>
    <cfRule type="cellIs" dxfId="11523" priority="14130" operator="greaterThan">
      <formula>0.505</formula>
    </cfRule>
    <cfRule type="cellIs" dxfId="11522" priority="14131" operator="between">
      <formula>0.48</formula>
      <formula>0.5</formula>
    </cfRule>
    <cfRule type="cellIs" dxfId="11521" priority="14132" stopIfTrue="1" operator="between">
      <formula>0</formula>
      <formula>0.255</formula>
    </cfRule>
  </conditionalFormatting>
  <conditionalFormatting sqref="R47">
    <cfRule type="cellIs" dxfId="11520" priority="14123" operator="between">
      <formula>0.3751</formula>
      <formula>0.475</formula>
    </cfRule>
    <cfRule type="cellIs" dxfId="11519" priority="14124" operator="between">
      <formula>0.2551</formula>
      <formula>0.375</formula>
    </cfRule>
    <cfRule type="cellIs" dxfId="11518" priority="14125" operator="greaterThan">
      <formula>0.505</formula>
    </cfRule>
    <cfRule type="cellIs" dxfId="11517" priority="14126" operator="between">
      <formula>0.48</formula>
      <formula>0.5</formula>
    </cfRule>
    <cfRule type="cellIs" dxfId="11516" priority="14127" stopIfTrue="1" operator="between">
      <formula>0</formula>
      <formula>0.255</formula>
    </cfRule>
  </conditionalFormatting>
  <conditionalFormatting sqref="R48">
    <cfRule type="cellIs" dxfId="11515" priority="14118" operator="between">
      <formula>0.3751</formula>
      <formula>0.475</formula>
    </cfRule>
    <cfRule type="cellIs" dxfId="11514" priority="14119" operator="between">
      <formula>0.2551</formula>
      <formula>0.375</formula>
    </cfRule>
    <cfRule type="cellIs" dxfId="11513" priority="14120" operator="greaterThan">
      <formula>0.505</formula>
    </cfRule>
    <cfRule type="cellIs" dxfId="11512" priority="14121" operator="between">
      <formula>0.48</formula>
      <formula>0.5</formula>
    </cfRule>
    <cfRule type="cellIs" dxfId="11511" priority="14122" stopIfTrue="1" operator="between">
      <formula>0</formula>
      <formula>0.255</formula>
    </cfRule>
  </conditionalFormatting>
  <conditionalFormatting sqref="R49">
    <cfRule type="cellIs" dxfId="11510" priority="14113" operator="between">
      <formula>0.3751</formula>
      <formula>0.475</formula>
    </cfRule>
    <cfRule type="cellIs" dxfId="11509" priority="14114" operator="between">
      <formula>0.2551</formula>
      <formula>0.375</formula>
    </cfRule>
    <cfRule type="cellIs" dxfId="11508" priority="14115" operator="greaterThan">
      <formula>0.505</formula>
    </cfRule>
    <cfRule type="cellIs" dxfId="11507" priority="14116" operator="between">
      <formula>0.48</formula>
      <formula>0.5</formula>
    </cfRule>
    <cfRule type="cellIs" dxfId="11506" priority="14117" stopIfTrue="1" operator="between">
      <formula>0</formula>
      <formula>0.255</formula>
    </cfRule>
  </conditionalFormatting>
  <conditionalFormatting sqref="R51">
    <cfRule type="cellIs" dxfId="11505" priority="14103" operator="between">
      <formula>0.3751</formula>
      <formula>0.475</formula>
    </cfRule>
    <cfRule type="cellIs" dxfId="11504" priority="14104" operator="between">
      <formula>0.2551</formula>
      <formula>0.375</formula>
    </cfRule>
    <cfRule type="cellIs" dxfId="11503" priority="14105" operator="greaterThan">
      <formula>0.505</formula>
    </cfRule>
    <cfRule type="cellIs" dxfId="11502" priority="14106" operator="between">
      <formula>0.48</formula>
      <formula>0.5</formula>
    </cfRule>
    <cfRule type="cellIs" dxfId="11501" priority="14107" stopIfTrue="1" operator="between">
      <formula>0</formula>
      <formula>0.255</formula>
    </cfRule>
  </conditionalFormatting>
  <conditionalFormatting sqref="R52">
    <cfRule type="cellIs" dxfId="11500" priority="14098" operator="between">
      <formula>0.3751</formula>
      <formula>0.475</formula>
    </cfRule>
    <cfRule type="cellIs" dxfId="11499" priority="14099" operator="between">
      <formula>0.2551</formula>
      <formula>0.375</formula>
    </cfRule>
    <cfRule type="cellIs" dxfId="11498" priority="14100" operator="greaterThan">
      <formula>0.505</formula>
    </cfRule>
    <cfRule type="cellIs" dxfId="11497" priority="14101" operator="between">
      <formula>0.48</formula>
      <formula>0.5</formula>
    </cfRule>
    <cfRule type="cellIs" dxfId="11496" priority="14102" stopIfTrue="1" operator="between">
      <formula>0</formula>
      <formula>0.255</formula>
    </cfRule>
  </conditionalFormatting>
  <conditionalFormatting sqref="R53">
    <cfRule type="cellIs" dxfId="11495" priority="14093" operator="between">
      <formula>0.3751</formula>
      <formula>0.475</formula>
    </cfRule>
    <cfRule type="cellIs" dxfId="11494" priority="14094" operator="between">
      <formula>0.2551</formula>
      <formula>0.375</formula>
    </cfRule>
    <cfRule type="cellIs" dxfId="11493" priority="14095" operator="greaterThan">
      <formula>0.505</formula>
    </cfRule>
    <cfRule type="cellIs" dxfId="11492" priority="14096" operator="between">
      <formula>0.48</formula>
      <formula>0.5</formula>
    </cfRule>
    <cfRule type="cellIs" dxfId="11491" priority="14097" stopIfTrue="1" operator="between">
      <formula>0</formula>
      <formula>0.255</formula>
    </cfRule>
  </conditionalFormatting>
  <conditionalFormatting sqref="R54">
    <cfRule type="cellIs" dxfId="11490" priority="14088" operator="between">
      <formula>0.3751</formula>
      <formula>0.475</formula>
    </cfRule>
    <cfRule type="cellIs" dxfId="11489" priority="14089" operator="between">
      <formula>0.2551</formula>
      <formula>0.375</formula>
    </cfRule>
    <cfRule type="cellIs" dxfId="11488" priority="14090" operator="greaterThan">
      <formula>0.505</formula>
    </cfRule>
    <cfRule type="cellIs" dxfId="11487" priority="14091" operator="between">
      <formula>0.48</formula>
      <formula>0.5</formula>
    </cfRule>
    <cfRule type="cellIs" dxfId="11486" priority="14092" stopIfTrue="1" operator="between">
      <formula>0</formula>
      <formula>0.255</formula>
    </cfRule>
  </conditionalFormatting>
  <conditionalFormatting sqref="R55">
    <cfRule type="cellIs" dxfId="11485" priority="14083" operator="between">
      <formula>0.3751</formula>
      <formula>0.475</formula>
    </cfRule>
    <cfRule type="cellIs" dxfId="11484" priority="14084" operator="between">
      <formula>0.2551</formula>
      <formula>0.375</formula>
    </cfRule>
    <cfRule type="cellIs" dxfId="11483" priority="14085" operator="greaterThan">
      <formula>0.505</formula>
    </cfRule>
    <cfRule type="cellIs" dxfId="11482" priority="14086" operator="between">
      <formula>0.48</formula>
      <formula>0.5</formula>
    </cfRule>
    <cfRule type="cellIs" dxfId="11481" priority="14087" stopIfTrue="1" operator="between">
      <formula>0</formula>
      <formula>0.255</formula>
    </cfRule>
  </conditionalFormatting>
  <conditionalFormatting sqref="R56">
    <cfRule type="cellIs" dxfId="11480" priority="14078" operator="between">
      <formula>0.3751</formula>
      <formula>0.475</formula>
    </cfRule>
    <cfRule type="cellIs" dxfId="11479" priority="14079" operator="between">
      <formula>0.2551</formula>
      <formula>0.375</formula>
    </cfRule>
    <cfRule type="cellIs" dxfId="11478" priority="14080" operator="greaterThan">
      <formula>0.505</formula>
    </cfRule>
    <cfRule type="cellIs" dxfId="11477" priority="14081" operator="between">
      <formula>0.48</formula>
      <formula>0.5</formula>
    </cfRule>
    <cfRule type="cellIs" dxfId="11476" priority="14082" stopIfTrue="1" operator="between">
      <formula>0</formula>
      <formula>0.255</formula>
    </cfRule>
  </conditionalFormatting>
  <conditionalFormatting sqref="R57">
    <cfRule type="cellIs" dxfId="11475" priority="14073" operator="between">
      <formula>0.3751</formula>
      <formula>0.475</formula>
    </cfRule>
    <cfRule type="cellIs" dxfId="11474" priority="14074" operator="between">
      <formula>0.2551</formula>
      <formula>0.375</formula>
    </cfRule>
    <cfRule type="cellIs" dxfId="11473" priority="14075" operator="greaterThan">
      <formula>0.505</formula>
    </cfRule>
    <cfRule type="cellIs" dxfId="11472" priority="14076" operator="between">
      <formula>0.48</formula>
      <formula>0.5</formula>
    </cfRule>
    <cfRule type="cellIs" dxfId="11471" priority="14077" stopIfTrue="1" operator="between">
      <formula>0</formula>
      <formula>0.255</formula>
    </cfRule>
  </conditionalFormatting>
  <conditionalFormatting sqref="R58">
    <cfRule type="cellIs" dxfId="11470" priority="14068" operator="between">
      <formula>0.3751</formula>
      <formula>0.475</formula>
    </cfRule>
    <cfRule type="cellIs" dxfId="11469" priority="14069" operator="between">
      <formula>0.2551</formula>
      <formula>0.375</formula>
    </cfRule>
    <cfRule type="cellIs" dxfId="11468" priority="14070" operator="greaterThan">
      <formula>0.505</formula>
    </cfRule>
    <cfRule type="cellIs" dxfId="11467" priority="14071" operator="between">
      <formula>0.48</formula>
      <formula>0.5</formula>
    </cfRule>
    <cfRule type="cellIs" dxfId="11466" priority="14072" stopIfTrue="1" operator="between">
      <formula>0</formula>
      <formula>0.255</formula>
    </cfRule>
  </conditionalFormatting>
  <conditionalFormatting sqref="R60">
    <cfRule type="cellIs" dxfId="11465" priority="14063" operator="between">
      <formula>0.3751</formula>
      <formula>0.475</formula>
    </cfRule>
    <cfRule type="cellIs" dxfId="11464" priority="14064" operator="between">
      <formula>0.2551</formula>
      <formula>0.375</formula>
    </cfRule>
    <cfRule type="cellIs" dxfId="11463" priority="14065" operator="greaterThan">
      <formula>0.505</formula>
    </cfRule>
    <cfRule type="cellIs" dxfId="11462" priority="14066" operator="between">
      <formula>0.48</formula>
      <formula>0.5</formula>
    </cfRule>
    <cfRule type="cellIs" dxfId="11461" priority="14067" stopIfTrue="1" operator="between">
      <formula>0</formula>
      <formula>0.255</formula>
    </cfRule>
  </conditionalFormatting>
  <conditionalFormatting sqref="R59">
    <cfRule type="cellIs" dxfId="11460" priority="14058" operator="between">
      <formula>0.3751</formula>
      <formula>0.475</formula>
    </cfRule>
    <cfRule type="cellIs" dxfId="11459" priority="14059" operator="between">
      <formula>0.2551</formula>
      <formula>0.375</formula>
    </cfRule>
    <cfRule type="cellIs" dxfId="11458" priority="14060" operator="greaterThan">
      <formula>0.505</formula>
    </cfRule>
    <cfRule type="cellIs" dxfId="11457" priority="14061" operator="between">
      <formula>0.48</formula>
      <formula>0.5</formula>
    </cfRule>
    <cfRule type="cellIs" dxfId="11456" priority="14062" stopIfTrue="1" operator="between">
      <formula>0</formula>
      <formula>0.255</formula>
    </cfRule>
  </conditionalFormatting>
  <conditionalFormatting sqref="R61">
    <cfRule type="cellIs" dxfId="11455" priority="14053" operator="between">
      <formula>0.3751</formula>
      <formula>0.475</formula>
    </cfRule>
    <cfRule type="cellIs" dxfId="11454" priority="14054" operator="between">
      <formula>0.2551</formula>
      <formula>0.375</formula>
    </cfRule>
    <cfRule type="cellIs" dxfId="11453" priority="14055" operator="greaterThan">
      <formula>0.505</formula>
    </cfRule>
    <cfRule type="cellIs" dxfId="11452" priority="14056" operator="between">
      <formula>0.48</formula>
      <formula>0.5</formula>
    </cfRule>
    <cfRule type="cellIs" dxfId="11451" priority="14057" stopIfTrue="1" operator="between">
      <formula>0</formula>
      <formula>0.255</formula>
    </cfRule>
  </conditionalFormatting>
  <conditionalFormatting sqref="R62">
    <cfRule type="cellIs" dxfId="11450" priority="14048" operator="between">
      <formula>0.3751</formula>
      <formula>0.475</formula>
    </cfRule>
    <cfRule type="cellIs" dxfId="11449" priority="14049" operator="between">
      <formula>0.2551</formula>
      <formula>0.375</formula>
    </cfRule>
    <cfRule type="cellIs" dxfId="11448" priority="14050" operator="greaterThan">
      <formula>0.505</formula>
    </cfRule>
    <cfRule type="cellIs" dxfId="11447" priority="14051" operator="between">
      <formula>0.48</formula>
      <formula>0.5</formula>
    </cfRule>
    <cfRule type="cellIs" dxfId="11446" priority="14052" stopIfTrue="1" operator="between">
      <formula>0</formula>
      <formula>0.255</formula>
    </cfRule>
  </conditionalFormatting>
  <conditionalFormatting sqref="R63">
    <cfRule type="cellIs" dxfId="11445" priority="14043" operator="between">
      <formula>0.3751</formula>
      <formula>0.475</formula>
    </cfRule>
    <cfRule type="cellIs" dxfId="11444" priority="14044" operator="between">
      <formula>0.2551</formula>
      <formula>0.375</formula>
    </cfRule>
    <cfRule type="cellIs" dxfId="11443" priority="14045" operator="greaterThan">
      <formula>0.505</formula>
    </cfRule>
    <cfRule type="cellIs" dxfId="11442" priority="14046" operator="between">
      <formula>0.48</formula>
      <formula>0.5</formula>
    </cfRule>
    <cfRule type="cellIs" dxfId="11441" priority="14047" stopIfTrue="1" operator="between">
      <formula>0</formula>
      <formula>0.255</formula>
    </cfRule>
  </conditionalFormatting>
  <conditionalFormatting sqref="R64">
    <cfRule type="cellIs" dxfId="11440" priority="14038" operator="between">
      <formula>0.3751</formula>
      <formula>0.475</formula>
    </cfRule>
    <cfRule type="cellIs" dxfId="11439" priority="14039" operator="between">
      <formula>0.2551</formula>
      <formula>0.375</formula>
    </cfRule>
    <cfRule type="cellIs" dxfId="11438" priority="14040" operator="greaterThan">
      <formula>0.505</formula>
    </cfRule>
    <cfRule type="cellIs" dxfId="11437" priority="14041" operator="between">
      <formula>0.48</formula>
      <formula>0.5</formula>
    </cfRule>
    <cfRule type="cellIs" dxfId="11436" priority="14042" stopIfTrue="1" operator="between">
      <formula>0</formula>
      <formula>0.255</formula>
    </cfRule>
  </conditionalFormatting>
  <conditionalFormatting sqref="R66">
    <cfRule type="cellIs" dxfId="11435" priority="14028" operator="between">
      <formula>0.3751</formula>
      <formula>0.475</formula>
    </cfRule>
    <cfRule type="cellIs" dxfId="11434" priority="14029" operator="between">
      <formula>0.2551</formula>
      <formula>0.375</formula>
    </cfRule>
    <cfRule type="cellIs" dxfId="11433" priority="14030" operator="greaterThan">
      <formula>0.505</formula>
    </cfRule>
    <cfRule type="cellIs" dxfId="11432" priority="14031" operator="between">
      <formula>0.48</formula>
      <formula>0.5</formula>
    </cfRule>
    <cfRule type="cellIs" dxfId="11431" priority="14032" stopIfTrue="1" operator="between">
      <formula>0</formula>
      <formula>0.255</formula>
    </cfRule>
  </conditionalFormatting>
  <conditionalFormatting sqref="R67">
    <cfRule type="cellIs" dxfId="11430" priority="14023" operator="between">
      <formula>0.3751</formula>
      <formula>0.475</formula>
    </cfRule>
    <cfRule type="cellIs" dxfId="11429" priority="14024" operator="between">
      <formula>0.2551</formula>
      <formula>0.375</formula>
    </cfRule>
    <cfRule type="cellIs" dxfId="11428" priority="14025" operator="greaterThan">
      <formula>0.505</formula>
    </cfRule>
    <cfRule type="cellIs" dxfId="11427" priority="14026" operator="between">
      <formula>0.48</formula>
      <formula>0.5</formula>
    </cfRule>
    <cfRule type="cellIs" dxfId="11426" priority="14027" stopIfTrue="1" operator="between">
      <formula>0</formula>
      <formula>0.255</formula>
    </cfRule>
  </conditionalFormatting>
  <conditionalFormatting sqref="R68">
    <cfRule type="cellIs" dxfId="11425" priority="14018" operator="between">
      <formula>0.3751</formula>
      <formula>0.475</formula>
    </cfRule>
    <cfRule type="cellIs" dxfId="11424" priority="14019" operator="between">
      <formula>0.2551</formula>
      <formula>0.375</formula>
    </cfRule>
    <cfRule type="cellIs" dxfId="11423" priority="14020" operator="greaterThan">
      <formula>0.505</formula>
    </cfRule>
    <cfRule type="cellIs" dxfId="11422" priority="14021" operator="between">
      <formula>0.48</formula>
      <formula>0.5</formula>
    </cfRule>
    <cfRule type="cellIs" dxfId="11421" priority="14022" stopIfTrue="1" operator="between">
      <formula>0</formula>
      <formula>0.255</formula>
    </cfRule>
  </conditionalFormatting>
  <conditionalFormatting sqref="R69">
    <cfRule type="cellIs" dxfId="11420" priority="14008" operator="between">
      <formula>0.3751</formula>
      <formula>0.475</formula>
    </cfRule>
    <cfRule type="cellIs" dxfId="11419" priority="14009" operator="between">
      <formula>0.2551</formula>
      <formula>0.375</formula>
    </cfRule>
    <cfRule type="cellIs" dxfId="11418" priority="14010" operator="greaterThan">
      <formula>0.505</formula>
    </cfRule>
    <cfRule type="cellIs" dxfId="11417" priority="14011" operator="between">
      <formula>0.48</formula>
      <formula>0.5</formula>
    </cfRule>
    <cfRule type="cellIs" dxfId="11416" priority="14012" stopIfTrue="1" operator="between">
      <formula>0</formula>
      <formula>0.255</formula>
    </cfRule>
  </conditionalFormatting>
  <conditionalFormatting sqref="R71">
    <cfRule type="cellIs" dxfId="11415" priority="14003" operator="between">
      <formula>0.3751</formula>
      <formula>0.475</formula>
    </cfRule>
    <cfRule type="cellIs" dxfId="11414" priority="14004" operator="between">
      <formula>0.2551</formula>
      <formula>0.375</formula>
    </cfRule>
    <cfRule type="cellIs" dxfId="11413" priority="14005" operator="greaterThan">
      <formula>0.505</formula>
    </cfRule>
    <cfRule type="cellIs" dxfId="11412" priority="14006" operator="between">
      <formula>0.48</formula>
      <formula>0.5</formula>
    </cfRule>
    <cfRule type="cellIs" dxfId="11411" priority="14007" stopIfTrue="1" operator="between">
      <formula>0</formula>
      <formula>0.255</formula>
    </cfRule>
  </conditionalFormatting>
  <conditionalFormatting sqref="R72">
    <cfRule type="cellIs" dxfId="11410" priority="13998" operator="between">
      <formula>0.3751</formula>
      <formula>0.475</formula>
    </cfRule>
    <cfRule type="cellIs" dxfId="11409" priority="13999" operator="between">
      <formula>0.2551</formula>
      <formula>0.375</formula>
    </cfRule>
    <cfRule type="cellIs" dxfId="11408" priority="14000" operator="greaterThan">
      <formula>0.505</formula>
    </cfRule>
    <cfRule type="cellIs" dxfId="11407" priority="14001" operator="between">
      <formula>0.48</formula>
      <formula>0.5</formula>
    </cfRule>
    <cfRule type="cellIs" dxfId="11406" priority="14002" stopIfTrue="1" operator="between">
      <formula>0</formula>
      <formula>0.255</formula>
    </cfRule>
  </conditionalFormatting>
  <conditionalFormatting sqref="R73">
    <cfRule type="cellIs" dxfId="11405" priority="13993" operator="between">
      <formula>0.3751</formula>
      <formula>0.475</formula>
    </cfRule>
    <cfRule type="cellIs" dxfId="11404" priority="13994" operator="between">
      <formula>0.2551</formula>
      <formula>0.375</formula>
    </cfRule>
    <cfRule type="cellIs" dxfId="11403" priority="13995" operator="greaterThan">
      <formula>0.505</formula>
    </cfRule>
    <cfRule type="cellIs" dxfId="11402" priority="13996" operator="between">
      <formula>0.48</formula>
      <formula>0.5</formula>
    </cfRule>
    <cfRule type="cellIs" dxfId="11401" priority="13997" stopIfTrue="1" operator="between">
      <formula>0</formula>
      <formula>0.255</formula>
    </cfRule>
  </conditionalFormatting>
  <conditionalFormatting sqref="R74">
    <cfRule type="cellIs" dxfId="11400" priority="13988" operator="between">
      <formula>0.3751</formula>
      <formula>0.475</formula>
    </cfRule>
    <cfRule type="cellIs" dxfId="11399" priority="13989" operator="between">
      <formula>0.2551</formula>
      <formula>0.375</formula>
    </cfRule>
    <cfRule type="cellIs" dxfId="11398" priority="13990" operator="greaterThan">
      <formula>0.505</formula>
    </cfRule>
    <cfRule type="cellIs" dxfId="11397" priority="13991" operator="between">
      <formula>0.48</formula>
      <formula>0.5</formula>
    </cfRule>
    <cfRule type="cellIs" dxfId="11396" priority="13992" stopIfTrue="1" operator="between">
      <formula>0</formula>
      <formula>0.255</formula>
    </cfRule>
  </conditionalFormatting>
  <conditionalFormatting sqref="R75">
    <cfRule type="cellIs" dxfId="11395" priority="13983" operator="between">
      <formula>0.3751</formula>
      <formula>0.475</formula>
    </cfRule>
    <cfRule type="cellIs" dxfId="11394" priority="13984" operator="between">
      <formula>0.2551</formula>
      <formula>0.375</formula>
    </cfRule>
    <cfRule type="cellIs" dxfId="11393" priority="13985" operator="greaterThan">
      <formula>0.505</formula>
    </cfRule>
    <cfRule type="cellIs" dxfId="11392" priority="13986" operator="between">
      <formula>0.48</formula>
      <formula>0.5</formula>
    </cfRule>
    <cfRule type="cellIs" dxfId="11391" priority="13987" stopIfTrue="1" operator="between">
      <formula>0</formula>
      <formula>0.255</formula>
    </cfRule>
  </conditionalFormatting>
  <conditionalFormatting sqref="R76">
    <cfRule type="cellIs" dxfId="11390" priority="13978" operator="between">
      <formula>0.3751</formula>
      <formula>0.475</formula>
    </cfRule>
    <cfRule type="cellIs" dxfId="11389" priority="13979" operator="between">
      <formula>0.2551</formula>
      <formula>0.375</formula>
    </cfRule>
    <cfRule type="cellIs" dxfId="11388" priority="13980" operator="greaterThan">
      <formula>0.505</formula>
    </cfRule>
    <cfRule type="cellIs" dxfId="11387" priority="13981" operator="between">
      <formula>0.48</formula>
      <formula>0.5</formula>
    </cfRule>
    <cfRule type="cellIs" dxfId="11386" priority="13982" stopIfTrue="1" operator="between">
      <formula>0</formula>
      <formula>0.255</formula>
    </cfRule>
  </conditionalFormatting>
  <conditionalFormatting sqref="R77">
    <cfRule type="cellIs" dxfId="11385" priority="13973" operator="between">
      <formula>0.3751</formula>
      <formula>0.475</formula>
    </cfRule>
    <cfRule type="cellIs" dxfId="11384" priority="13974" operator="between">
      <formula>0.2551</formula>
      <formula>0.375</formula>
    </cfRule>
    <cfRule type="cellIs" dxfId="11383" priority="13975" operator="greaterThan">
      <formula>0.505</formula>
    </cfRule>
    <cfRule type="cellIs" dxfId="11382" priority="13976" operator="between">
      <formula>0.48</formula>
      <formula>0.5</formula>
    </cfRule>
    <cfRule type="cellIs" dxfId="11381" priority="13977" stopIfTrue="1" operator="between">
      <formula>0</formula>
      <formula>0.255</formula>
    </cfRule>
  </conditionalFormatting>
  <conditionalFormatting sqref="R78">
    <cfRule type="cellIs" dxfId="11380" priority="13968" operator="between">
      <formula>0.3751</formula>
      <formula>0.475</formula>
    </cfRule>
    <cfRule type="cellIs" dxfId="11379" priority="13969" operator="between">
      <formula>0.2551</formula>
      <formula>0.375</formula>
    </cfRule>
    <cfRule type="cellIs" dxfId="11378" priority="13970" operator="greaterThan">
      <formula>0.505</formula>
    </cfRule>
    <cfRule type="cellIs" dxfId="11377" priority="13971" operator="between">
      <formula>0.48</formula>
      <formula>0.5</formula>
    </cfRule>
    <cfRule type="cellIs" dxfId="11376" priority="13972" stopIfTrue="1" operator="between">
      <formula>0</formula>
      <formula>0.255</formula>
    </cfRule>
  </conditionalFormatting>
  <conditionalFormatting sqref="R79">
    <cfRule type="cellIs" dxfId="11375" priority="13963" operator="between">
      <formula>0.3751</formula>
      <formula>0.475</formula>
    </cfRule>
    <cfRule type="cellIs" dxfId="11374" priority="13964" operator="between">
      <formula>0.2551</formula>
      <formula>0.375</formula>
    </cfRule>
    <cfRule type="cellIs" dxfId="11373" priority="13965" operator="greaterThan">
      <formula>0.505</formula>
    </cfRule>
    <cfRule type="cellIs" dxfId="11372" priority="13966" operator="between">
      <formula>0.48</formula>
      <formula>0.5</formula>
    </cfRule>
    <cfRule type="cellIs" dxfId="11371" priority="13967" stopIfTrue="1" operator="between">
      <formula>0</formula>
      <formula>0.255</formula>
    </cfRule>
  </conditionalFormatting>
  <conditionalFormatting sqref="R83">
    <cfRule type="cellIs" dxfId="11370" priority="13958" operator="between">
      <formula>0.3751</formula>
      <formula>0.475</formula>
    </cfRule>
    <cfRule type="cellIs" dxfId="11369" priority="13959" operator="between">
      <formula>0.2551</formula>
      <formula>0.375</formula>
    </cfRule>
    <cfRule type="cellIs" dxfId="11368" priority="13960" operator="greaterThan">
      <formula>0.505</formula>
    </cfRule>
    <cfRule type="cellIs" dxfId="11367" priority="13961" operator="between">
      <formula>0.48</formula>
      <formula>0.5</formula>
    </cfRule>
    <cfRule type="cellIs" dxfId="11366" priority="13962" stopIfTrue="1" operator="between">
      <formula>0</formula>
      <formula>0.255</formula>
    </cfRule>
  </conditionalFormatting>
  <conditionalFormatting sqref="R84">
    <cfRule type="cellIs" dxfId="11365" priority="13953" operator="between">
      <formula>0.3751</formula>
      <formula>0.475</formula>
    </cfRule>
    <cfRule type="cellIs" dxfId="11364" priority="13954" operator="between">
      <formula>0.2551</formula>
      <formula>0.375</formula>
    </cfRule>
    <cfRule type="cellIs" dxfId="11363" priority="13955" operator="greaterThan">
      <formula>0.505</formula>
    </cfRule>
    <cfRule type="cellIs" dxfId="11362" priority="13956" operator="between">
      <formula>0.48</formula>
      <formula>0.5</formula>
    </cfRule>
    <cfRule type="cellIs" dxfId="11361" priority="13957" stopIfTrue="1" operator="between">
      <formula>0</formula>
      <formula>0.255</formula>
    </cfRule>
  </conditionalFormatting>
  <conditionalFormatting sqref="R86">
    <cfRule type="cellIs" dxfId="11360" priority="13948" operator="between">
      <formula>0.3751</formula>
      <formula>0.475</formula>
    </cfRule>
    <cfRule type="cellIs" dxfId="11359" priority="13949" operator="between">
      <formula>0.2551</formula>
      <formula>0.375</formula>
    </cfRule>
    <cfRule type="cellIs" dxfId="11358" priority="13950" operator="greaterThan">
      <formula>0.505</formula>
    </cfRule>
    <cfRule type="cellIs" dxfId="11357" priority="13951" operator="between">
      <formula>0.48</formula>
      <formula>0.5</formula>
    </cfRule>
    <cfRule type="cellIs" dxfId="11356" priority="13952" stopIfTrue="1" operator="between">
      <formula>0</formula>
      <formula>0.255</formula>
    </cfRule>
  </conditionalFormatting>
  <conditionalFormatting sqref="R87">
    <cfRule type="cellIs" dxfId="11355" priority="13943" operator="between">
      <formula>0.3751</formula>
      <formula>0.475</formula>
    </cfRule>
    <cfRule type="cellIs" dxfId="11354" priority="13944" operator="between">
      <formula>0.2551</formula>
      <formula>0.375</formula>
    </cfRule>
    <cfRule type="cellIs" dxfId="11353" priority="13945" operator="greaterThan">
      <formula>0.505</formula>
    </cfRule>
    <cfRule type="cellIs" dxfId="11352" priority="13946" operator="between">
      <formula>0.48</formula>
      <formula>0.5</formula>
    </cfRule>
    <cfRule type="cellIs" dxfId="11351" priority="13947" stopIfTrue="1" operator="between">
      <formula>0</formula>
      <formula>0.255</formula>
    </cfRule>
  </conditionalFormatting>
  <conditionalFormatting sqref="R88">
    <cfRule type="cellIs" dxfId="11350" priority="13938" operator="between">
      <formula>0.3751</formula>
      <formula>0.475</formula>
    </cfRule>
    <cfRule type="cellIs" dxfId="11349" priority="13939" operator="between">
      <formula>0.2551</formula>
      <formula>0.375</formula>
    </cfRule>
    <cfRule type="cellIs" dxfId="11348" priority="13940" operator="greaterThan">
      <formula>0.505</formula>
    </cfRule>
    <cfRule type="cellIs" dxfId="11347" priority="13941" operator="between">
      <formula>0.48</formula>
      <formula>0.5</formula>
    </cfRule>
    <cfRule type="cellIs" dxfId="11346" priority="13942" stopIfTrue="1" operator="between">
      <formula>0</formula>
      <formula>0.255</formula>
    </cfRule>
  </conditionalFormatting>
  <conditionalFormatting sqref="R89">
    <cfRule type="cellIs" dxfId="11345" priority="13933" operator="between">
      <formula>0.3751</formula>
      <formula>0.475</formula>
    </cfRule>
    <cfRule type="cellIs" dxfId="11344" priority="13934" operator="between">
      <formula>0.2551</formula>
      <formula>0.375</formula>
    </cfRule>
    <cfRule type="cellIs" dxfId="11343" priority="13935" operator="greaterThan">
      <formula>0.505</formula>
    </cfRule>
    <cfRule type="cellIs" dxfId="11342" priority="13936" operator="between">
      <formula>0.48</formula>
      <formula>0.5</formula>
    </cfRule>
    <cfRule type="cellIs" dxfId="11341" priority="13937" stopIfTrue="1" operator="between">
      <formula>0</formula>
      <formula>0.255</formula>
    </cfRule>
  </conditionalFormatting>
  <conditionalFormatting sqref="R90">
    <cfRule type="cellIs" dxfId="11340" priority="13928" operator="between">
      <formula>0.3751</formula>
      <formula>0.475</formula>
    </cfRule>
    <cfRule type="cellIs" dxfId="11339" priority="13929" operator="between">
      <formula>0.2551</formula>
      <formula>0.375</formula>
    </cfRule>
    <cfRule type="cellIs" dxfId="11338" priority="13930" operator="greaterThan">
      <formula>0.505</formula>
    </cfRule>
    <cfRule type="cellIs" dxfId="11337" priority="13931" operator="between">
      <formula>0.48</formula>
      <formula>0.5</formula>
    </cfRule>
    <cfRule type="cellIs" dxfId="11336" priority="13932" stopIfTrue="1" operator="between">
      <formula>0</formula>
      <formula>0.255</formula>
    </cfRule>
  </conditionalFormatting>
  <conditionalFormatting sqref="R91">
    <cfRule type="cellIs" dxfId="11335" priority="13923" operator="between">
      <formula>0.3751</formula>
      <formula>0.475</formula>
    </cfRule>
    <cfRule type="cellIs" dxfId="11334" priority="13924" operator="between">
      <formula>0.2551</formula>
      <formula>0.375</formula>
    </cfRule>
    <cfRule type="cellIs" dxfId="11333" priority="13925" operator="greaterThan">
      <formula>0.505</formula>
    </cfRule>
    <cfRule type="cellIs" dxfId="11332" priority="13926" operator="between">
      <formula>0.48</formula>
      <formula>0.5</formula>
    </cfRule>
    <cfRule type="cellIs" dxfId="11331" priority="13927" stopIfTrue="1" operator="between">
      <formula>0</formula>
      <formula>0.255</formula>
    </cfRule>
  </conditionalFormatting>
  <conditionalFormatting sqref="R92">
    <cfRule type="cellIs" dxfId="11330" priority="13918" operator="between">
      <formula>0.3751</formula>
      <formula>0.475</formula>
    </cfRule>
    <cfRule type="cellIs" dxfId="11329" priority="13919" operator="between">
      <formula>0.2551</formula>
      <formula>0.375</formula>
    </cfRule>
    <cfRule type="cellIs" dxfId="11328" priority="13920" operator="greaterThan">
      <formula>0.505</formula>
    </cfRule>
    <cfRule type="cellIs" dxfId="11327" priority="13921" operator="between">
      <formula>0.48</formula>
      <formula>0.5</formula>
    </cfRule>
    <cfRule type="cellIs" dxfId="11326" priority="13922" stopIfTrue="1" operator="between">
      <formula>0</formula>
      <formula>0.255</formula>
    </cfRule>
  </conditionalFormatting>
  <conditionalFormatting sqref="R93">
    <cfRule type="cellIs" dxfId="11325" priority="13913" operator="between">
      <formula>0.3751</formula>
      <formula>0.475</formula>
    </cfRule>
    <cfRule type="cellIs" dxfId="11324" priority="13914" operator="between">
      <formula>0.2551</formula>
      <formula>0.375</formula>
    </cfRule>
    <cfRule type="cellIs" dxfId="11323" priority="13915" operator="greaterThan">
      <formula>0.505</formula>
    </cfRule>
    <cfRule type="cellIs" dxfId="11322" priority="13916" operator="between">
      <formula>0.48</formula>
      <formula>0.5</formula>
    </cfRule>
    <cfRule type="cellIs" dxfId="11321" priority="13917" stopIfTrue="1" operator="between">
      <formula>0</formula>
      <formula>0.255</formula>
    </cfRule>
  </conditionalFormatting>
  <conditionalFormatting sqref="R94">
    <cfRule type="cellIs" dxfId="11320" priority="13908" operator="between">
      <formula>0.3751</formula>
      <formula>0.475</formula>
    </cfRule>
    <cfRule type="cellIs" dxfId="11319" priority="13909" operator="between">
      <formula>0.2551</formula>
      <formula>0.375</formula>
    </cfRule>
    <cfRule type="cellIs" dxfId="11318" priority="13910" operator="greaterThan">
      <formula>0.505</formula>
    </cfRule>
    <cfRule type="cellIs" dxfId="11317" priority="13911" operator="between">
      <formula>0.48</formula>
      <formula>0.5</formula>
    </cfRule>
    <cfRule type="cellIs" dxfId="11316" priority="13912" stopIfTrue="1" operator="between">
      <formula>0</formula>
      <formula>0.255</formula>
    </cfRule>
  </conditionalFormatting>
  <conditionalFormatting sqref="R98">
    <cfRule type="cellIs" dxfId="11315" priority="13903" operator="between">
      <formula>0.3751</formula>
      <formula>0.475</formula>
    </cfRule>
    <cfRule type="cellIs" dxfId="11314" priority="13904" operator="between">
      <formula>0.2551</formula>
      <formula>0.375</formula>
    </cfRule>
    <cfRule type="cellIs" dxfId="11313" priority="13905" operator="greaterThan">
      <formula>0.505</formula>
    </cfRule>
    <cfRule type="cellIs" dxfId="11312" priority="13906" operator="between">
      <formula>0.48</formula>
      <formula>0.5</formula>
    </cfRule>
    <cfRule type="cellIs" dxfId="11311" priority="13907" stopIfTrue="1" operator="between">
      <formula>0</formula>
      <formula>0.255</formula>
    </cfRule>
  </conditionalFormatting>
  <conditionalFormatting sqref="R99">
    <cfRule type="cellIs" dxfId="11310" priority="13898" operator="between">
      <formula>0.3751</formula>
      <formula>0.475</formula>
    </cfRule>
    <cfRule type="cellIs" dxfId="11309" priority="13899" operator="between">
      <formula>0.2551</formula>
      <formula>0.375</formula>
    </cfRule>
    <cfRule type="cellIs" dxfId="11308" priority="13900" operator="greaterThan">
      <formula>0.505</formula>
    </cfRule>
    <cfRule type="cellIs" dxfId="11307" priority="13901" operator="between">
      <formula>0.48</formula>
      <formula>0.5</formula>
    </cfRule>
    <cfRule type="cellIs" dxfId="11306" priority="13902" stopIfTrue="1" operator="between">
      <formula>0</formula>
      <formula>0.255</formula>
    </cfRule>
  </conditionalFormatting>
  <conditionalFormatting sqref="R102">
    <cfRule type="cellIs" dxfId="11305" priority="13893" operator="between">
      <formula>0.3751</formula>
      <formula>0.475</formula>
    </cfRule>
    <cfRule type="cellIs" dxfId="11304" priority="13894" operator="between">
      <formula>0.2551</formula>
      <formula>0.375</formula>
    </cfRule>
    <cfRule type="cellIs" dxfId="11303" priority="13895" operator="greaterThan">
      <formula>0.505</formula>
    </cfRule>
    <cfRule type="cellIs" dxfId="11302" priority="13896" operator="between">
      <formula>0.48</formula>
      <formula>0.5</formula>
    </cfRule>
    <cfRule type="cellIs" dxfId="11301" priority="13897" stopIfTrue="1" operator="between">
      <formula>0</formula>
      <formula>0.255</formula>
    </cfRule>
  </conditionalFormatting>
  <conditionalFormatting sqref="R103">
    <cfRule type="cellIs" dxfId="11300" priority="13888" operator="between">
      <formula>0.3751</formula>
      <formula>0.475</formula>
    </cfRule>
    <cfRule type="cellIs" dxfId="11299" priority="13889" operator="between">
      <formula>0.2551</formula>
      <formula>0.375</formula>
    </cfRule>
    <cfRule type="cellIs" dxfId="11298" priority="13890" operator="greaterThan">
      <formula>0.505</formula>
    </cfRule>
    <cfRule type="cellIs" dxfId="11297" priority="13891" operator="between">
      <formula>0.48</formula>
      <formula>0.5</formula>
    </cfRule>
    <cfRule type="cellIs" dxfId="11296" priority="13892" stopIfTrue="1" operator="between">
      <formula>0</formula>
      <formula>0.255</formula>
    </cfRule>
  </conditionalFormatting>
  <conditionalFormatting sqref="R107">
    <cfRule type="cellIs" dxfId="11295" priority="13883" operator="between">
      <formula>0.3751</formula>
      <formula>0.475</formula>
    </cfRule>
    <cfRule type="cellIs" dxfId="11294" priority="13884" operator="between">
      <formula>0.2551</formula>
      <formula>0.375</formula>
    </cfRule>
    <cfRule type="cellIs" dxfId="11293" priority="13885" operator="greaterThan">
      <formula>0.505</formula>
    </cfRule>
    <cfRule type="cellIs" dxfId="11292" priority="13886" operator="between">
      <formula>0.48</formula>
      <formula>0.5</formula>
    </cfRule>
    <cfRule type="cellIs" dxfId="11291" priority="13887" stopIfTrue="1" operator="between">
      <formula>0</formula>
      <formula>0.255</formula>
    </cfRule>
  </conditionalFormatting>
  <conditionalFormatting sqref="R108">
    <cfRule type="cellIs" dxfId="11290" priority="13878" operator="between">
      <formula>0.3751</formula>
      <formula>0.475</formula>
    </cfRule>
    <cfRule type="cellIs" dxfId="11289" priority="13879" operator="between">
      <formula>0.2551</formula>
      <formula>0.375</formula>
    </cfRule>
    <cfRule type="cellIs" dxfId="11288" priority="13880" operator="greaterThan">
      <formula>0.505</formula>
    </cfRule>
    <cfRule type="cellIs" dxfId="11287" priority="13881" operator="between">
      <formula>0.48</formula>
      <formula>0.5</formula>
    </cfRule>
    <cfRule type="cellIs" dxfId="11286" priority="13882" stopIfTrue="1" operator="between">
      <formula>0</formula>
      <formula>0.255</formula>
    </cfRule>
  </conditionalFormatting>
  <conditionalFormatting sqref="R110">
    <cfRule type="cellIs" dxfId="11285" priority="13873" operator="between">
      <formula>0.3751</formula>
      <formula>0.475</formula>
    </cfRule>
    <cfRule type="cellIs" dxfId="11284" priority="13874" operator="between">
      <formula>0.2551</formula>
      <formula>0.375</formula>
    </cfRule>
    <cfRule type="cellIs" dxfId="11283" priority="13875" operator="greaterThan">
      <formula>0.505</formula>
    </cfRule>
    <cfRule type="cellIs" dxfId="11282" priority="13876" operator="between">
      <formula>0.48</formula>
      <formula>0.5</formula>
    </cfRule>
    <cfRule type="cellIs" dxfId="11281" priority="13877" stopIfTrue="1" operator="between">
      <formula>0</formula>
      <formula>0.255</formula>
    </cfRule>
  </conditionalFormatting>
  <conditionalFormatting sqref="R111">
    <cfRule type="cellIs" dxfId="11280" priority="13868" operator="between">
      <formula>0.3751</formula>
      <formula>0.475</formula>
    </cfRule>
    <cfRule type="cellIs" dxfId="11279" priority="13869" operator="between">
      <formula>0.2551</formula>
      <formula>0.375</formula>
    </cfRule>
    <cfRule type="cellIs" dxfId="11278" priority="13870" operator="greaterThan">
      <formula>0.505</formula>
    </cfRule>
    <cfRule type="cellIs" dxfId="11277" priority="13871" operator="between">
      <formula>0.48</formula>
      <formula>0.5</formula>
    </cfRule>
    <cfRule type="cellIs" dxfId="11276" priority="13872" stopIfTrue="1" operator="between">
      <formula>0</formula>
      <formula>0.255</formula>
    </cfRule>
  </conditionalFormatting>
  <conditionalFormatting sqref="R112">
    <cfRule type="cellIs" dxfId="11275" priority="13863" operator="between">
      <formula>0.3751</formula>
      <formula>0.475</formula>
    </cfRule>
    <cfRule type="cellIs" dxfId="11274" priority="13864" operator="between">
      <formula>0.2551</formula>
      <formula>0.375</formula>
    </cfRule>
    <cfRule type="cellIs" dxfId="11273" priority="13865" operator="greaterThan">
      <formula>0.505</formula>
    </cfRule>
    <cfRule type="cellIs" dxfId="11272" priority="13866" operator="between">
      <formula>0.48</formula>
      <formula>0.5</formula>
    </cfRule>
    <cfRule type="cellIs" dxfId="11271" priority="13867" stopIfTrue="1" operator="between">
      <formula>0</formula>
      <formula>0.255</formula>
    </cfRule>
  </conditionalFormatting>
  <conditionalFormatting sqref="R113">
    <cfRule type="cellIs" dxfId="11270" priority="13858" operator="between">
      <formula>0.3751</formula>
      <formula>0.475</formula>
    </cfRule>
    <cfRule type="cellIs" dxfId="11269" priority="13859" operator="between">
      <formula>0.2551</formula>
      <formula>0.375</formula>
    </cfRule>
    <cfRule type="cellIs" dxfId="11268" priority="13860" operator="greaterThan">
      <formula>0.505</formula>
    </cfRule>
    <cfRule type="cellIs" dxfId="11267" priority="13861" operator="between">
      <formula>0.48</formula>
      <formula>0.5</formula>
    </cfRule>
    <cfRule type="cellIs" dxfId="11266" priority="13862" stopIfTrue="1" operator="between">
      <formula>0</formula>
      <formula>0.255</formula>
    </cfRule>
  </conditionalFormatting>
  <conditionalFormatting sqref="R114">
    <cfRule type="cellIs" dxfId="11265" priority="13853" operator="between">
      <formula>0.3751</formula>
      <formula>0.475</formula>
    </cfRule>
    <cfRule type="cellIs" dxfId="11264" priority="13854" operator="between">
      <formula>0.2551</formula>
      <formula>0.375</formula>
    </cfRule>
    <cfRule type="cellIs" dxfId="11263" priority="13855" operator="greaterThan">
      <formula>0.505</formula>
    </cfRule>
    <cfRule type="cellIs" dxfId="11262" priority="13856" operator="between">
      <formula>0.48</formula>
      <formula>0.5</formula>
    </cfRule>
    <cfRule type="cellIs" dxfId="11261" priority="13857" stopIfTrue="1" operator="between">
      <formula>0</formula>
      <formula>0.255</formula>
    </cfRule>
  </conditionalFormatting>
  <conditionalFormatting sqref="R116">
    <cfRule type="cellIs" dxfId="11260" priority="13848" operator="between">
      <formula>0.3751</formula>
      <formula>0.475</formula>
    </cfRule>
    <cfRule type="cellIs" dxfId="11259" priority="13849" operator="between">
      <formula>0.2551</formula>
      <formula>0.375</formula>
    </cfRule>
    <cfRule type="cellIs" dxfId="11258" priority="13850" operator="greaterThan">
      <formula>0.505</formula>
    </cfRule>
    <cfRule type="cellIs" dxfId="11257" priority="13851" operator="between">
      <formula>0.48</formula>
      <formula>0.5</formula>
    </cfRule>
    <cfRule type="cellIs" dxfId="11256" priority="13852" stopIfTrue="1" operator="between">
      <formula>0</formula>
      <formula>0.255</formula>
    </cfRule>
  </conditionalFormatting>
  <conditionalFormatting sqref="R117">
    <cfRule type="cellIs" dxfId="11255" priority="13843" operator="between">
      <formula>0.3751</formula>
      <formula>0.475</formula>
    </cfRule>
    <cfRule type="cellIs" dxfId="11254" priority="13844" operator="between">
      <formula>0.2551</formula>
      <formula>0.375</formula>
    </cfRule>
    <cfRule type="cellIs" dxfId="11253" priority="13845" operator="greaterThan">
      <formula>0.505</formula>
    </cfRule>
    <cfRule type="cellIs" dxfId="11252" priority="13846" operator="between">
      <formula>0.48</formula>
      <formula>0.5</formula>
    </cfRule>
    <cfRule type="cellIs" dxfId="11251" priority="13847" stopIfTrue="1" operator="between">
      <formula>0</formula>
      <formula>0.255</formula>
    </cfRule>
  </conditionalFormatting>
  <conditionalFormatting sqref="R120">
    <cfRule type="cellIs" dxfId="11250" priority="13838" operator="between">
      <formula>0.3751</formula>
      <formula>0.475</formula>
    </cfRule>
    <cfRule type="cellIs" dxfId="11249" priority="13839" operator="between">
      <formula>0.2551</formula>
      <formula>0.375</formula>
    </cfRule>
    <cfRule type="cellIs" dxfId="11248" priority="13840" operator="greaterThan">
      <formula>0.505</formula>
    </cfRule>
    <cfRule type="cellIs" dxfId="11247" priority="13841" operator="between">
      <formula>0.48</formula>
      <formula>0.5</formula>
    </cfRule>
    <cfRule type="cellIs" dxfId="11246" priority="13842" stopIfTrue="1" operator="between">
      <formula>0</formula>
      <formula>0.255</formula>
    </cfRule>
  </conditionalFormatting>
  <conditionalFormatting sqref="R121">
    <cfRule type="cellIs" dxfId="11245" priority="13833" operator="between">
      <formula>0.3751</formula>
      <formula>0.475</formula>
    </cfRule>
    <cfRule type="cellIs" dxfId="11244" priority="13834" operator="between">
      <formula>0.2551</formula>
      <formula>0.375</formula>
    </cfRule>
    <cfRule type="cellIs" dxfId="11243" priority="13835" operator="greaterThan">
      <formula>0.505</formula>
    </cfRule>
    <cfRule type="cellIs" dxfId="11242" priority="13836" operator="between">
      <formula>0.48</formula>
      <formula>0.5</formula>
    </cfRule>
    <cfRule type="cellIs" dxfId="11241" priority="13837" stopIfTrue="1" operator="between">
      <formula>0</formula>
      <formula>0.255</formula>
    </cfRule>
  </conditionalFormatting>
  <conditionalFormatting sqref="R122">
    <cfRule type="cellIs" dxfId="11240" priority="13828" operator="between">
      <formula>0.3751</formula>
      <formula>0.475</formula>
    </cfRule>
    <cfRule type="cellIs" dxfId="11239" priority="13829" operator="between">
      <formula>0.2551</formula>
      <formula>0.375</formula>
    </cfRule>
    <cfRule type="cellIs" dxfId="11238" priority="13830" operator="greaterThan">
      <formula>0.505</formula>
    </cfRule>
    <cfRule type="cellIs" dxfId="11237" priority="13831" operator="between">
      <formula>0.48</formula>
      <formula>0.5</formula>
    </cfRule>
    <cfRule type="cellIs" dxfId="11236" priority="13832" stopIfTrue="1" operator="between">
      <formula>0</formula>
      <formula>0.255</formula>
    </cfRule>
  </conditionalFormatting>
  <conditionalFormatting sqref="R123">
    <cfRule type="cellIs" dxfId="11235" priority="13823" operator="between">
      <formula>0.3751</formula>
      <formula>0.475</formula>
    </cfRule>
    <cfRule type="cellIs" dxfId="11234" priority="13824" operator="between">
      <formula>0.2551</formula>
      <formula>0.375</formula>
    </cfRule>
    <cfRule type="cellIs" dxfId="11233" priority="13825" operator="greaterThan">
      <formula>0.505</formula>
    </cfRule>
    <cfRule type="cellIs" dxfId="11232" priority="13826" operator="between">
      <formula>0.48</formula>
      <formula>0.5</formula>
    </cfRule>
    <cfRule type="cellIs" dxfId="11231" priority="13827" stopIfTrue="1" operator="between">
      <formula>0</formula>
      <formula>0.255</formula>
    </cfRule>
  </conditionalFormatting>
  <conditionalFormatting sqref="R124">
    <cfRule type="cellIs" dxfId="11230" priority="13818" operator="between">
      <formula>0.3751</formula>
      <formula>0.475</formula>
    </cfRule>
    <cfRule type="cellIs" dxfId="11229" priority="13819" operator="between">
      <formula>0.2551</formula>
      <formula>0.375</formula>
    </cfRule>
    <cfRule type="cellIs" dxfId="11228" priority="13820" operator="greaterThan">
      <formula>0.505</formula>
    </cfRule>
    <cfRule type="cellIs" dxfId="11227" priority="13821" operator="between">
      <formula>0.48</formula>
      <formula>0.5</formula>
    </cfRule>
    <cfRule type="cellIs" dxfId="11226" priority="13822" stopIfTrue="1" operator="between">
      <formula>0</formula>
      <formula>0.255</formula>
    </cfRule>
  </conditionalFormatting>
  <conditionalFormatting sqref="R125">
    <cfRule type="cellIs" dxfId="11225" priority="13813" operator="between">
      <formula>0.3751</formula>
      <formula>0.475</formula>
    </cfRule>
    <cfRule type="cellIs" dxfId="11224" priority="13814" operator="between">
      <formula>0.2551</formula>
      <formula>0.375</formula>
    </cfRule>
    <cfRule type="cellIs" dxfId="11223" priority="13815" operator="greaterThan">
      <formula>0.505</formula>
    </cfRule>
    <cfRule type="cellIs" dxfId="11222" priority="13816" operator="between">
      <formula>0.48</formula>
      <formula>0.5</formula>
    </cfRule>
    <cfRule type="cellIs" dxfId="11221" priority="13817" stopIfTrue="1" operator="between">
      <formula>0</formula>
      <formula>0.255</formula>
    </cfRule>
  </conditionalFormatting>
  <conditionalFormatting sqref="R144">
    <cfRule type="cellIs" dxfId="11220" priority="13808" operator="between">
      <formula>0.3751</formula>
      <formula>0.475</formula>
    </cfRule>
    <cfRule type="cellIs" dxfId="11219" priority="13809" operator="between">
      <formula>0.2551</formula>
      <formula>0.375</formula>
    </cfRule>
    <cfRule type="cellIs" dxfId="11218" priority="13810" operator="greaterThan">
      <formula>0.505</formula>
    </cfRule>
    <cfRule type="cellIs" dxfId="11217" priority="13811" operator="between">
      <formula>0.48</formula>
      <formula>0.5</formula>
    </cfRule>
    <cfRule type="cellIs" dxfId="11216" priority="13812" stopIfTrue="1" operator="between">
      <formula>0</formula>
      <formula>0.255</formula>
    </cfRule>
  </conditionalFormatting>
  <conditionalFormatting sqref="R151">
    <cfRule type="cellIs" dxfId="11215" priority="13803" operator="between">
      <formula>0.3751</formula>
      <formula>0.475</formula>
    </cfRule>
    <cfRule type="cellIs" dxfId="11214" priority="13804" operator="between">
      <formula>0.2551</formula>
      <formula>0.375</formula>
    </cfRule>
    <cfRule type="cellIs" dxfId="11213" priority="13805" operator="greaterThan">
      <formula>0.505</formula>
    </cfRule>
    <cfRule type="cellIs" dxfId="11212" priority="13806" operator="between">
      <formula>0.48</formula>
      <formula>0.5</formula>
    </cfRule>
    <cfRule type="cellIs" dxfId="11211" priority="13807" stopIfTrue="1" operator="between">
      <formula>0</formula>
      <formula>0.255</formula>
    </cfRule>
  </conditionalFormatting>
  <conditionalFormatting sqref="R152">
    <cfRule type="cellIs" dxfId="11210" priority="13798" operator="between">
      <formula>0.3751</formula>
      <formula>0.475</formula>
    </cfRule>
    <cfRule type="cellIs" dxfId="11209" priority="13799" operator="between">
      <formula>0.2551</formula>
      <formula>0.375</formula>
    </cfRule>
    <cfRule type="cellIs" dxfId="11208" priority="13800" operator="greaterThan">
      <formula>0.505</formula>
    </cfRule>
    <cfRule type="cellIs" dxfId="11207" priority="13801" operator="between">
      <formula>0.48</formula>
      <formula>0.5</formula>
    </cfRule>
    <cfRule type="cellIs" dxfId="11206" priority="13802" stopIfTrue="1" operator="between">
      <formula>0</formula>
      <formula>0.255</formula>
    </cfRule>
  </conditionalFormatting>
  <conditionalFormatting sqref="R155">
    <cfRule type="cellIs" dxfId="11205" priority="13788" operator="between">
      <formula>0.3751</formula>
      <formula>0.475</formula>
    </cfRule>
    <cfRule type="cellIs" dxfId="11204" priority="13789" operator="between">
      <formula>0.2551</formula>
      <formula>0.375</formula>
    </cfRule>
    <cfRule type="cellIs" dxfId="11203" priority="13790" operator="greaterThan">
      <formula>0.505</formula>
    </cfRule>
    <cfRule type="cellIs" dxfId="11202" priority="13791" operator="between">
      <formula>0.48</formula>
      <formula>0.5</formula>
    </cfRule>
    <cfRule type="cellIs" dxfId="11201" priority="13792" stopIfTrue="1" operator="between">
      <formula>0</formula>
      <formula>0.255</formula>
    </cfRule>
  </conditionalFormatting>
  <conditionalFormatting sqref="R156">
    <cfRule type="cellIs" dxfId="11200" priority="13783" operator="between">
      <formula>0.3751</formula>
      <formula>0.475</formula>
    </cfRule>
    <cfRule type="cellIs" dxfId="11199" priority="13784" operator="between">
      <formula>0.2551</formula>
      <formula>0.375</formula>
    </cfRule>
    <cfRule type="cellIs" dxfId="11198" priority="13785" operator="greaterThan">
      <formula>0.505</formula>
    </cfRule>
    <cfRule type="cellIs" dxfId="11197" priority="13786" operator="between">
      <formula>0.48</formula>
      <formula>0.5</formula>
    </cfRule>
    <cfRule type="cellIs" dxfId="11196" priority="13787" stopIfTrue="1" operator="between">
      <formula>0</formula>
      <formula>0.255</formula>
    </cfRule>
  </conditionalFormatting>
  <conditionalFormatting sqref="R164">
    <cfRule type="cellIs" dxfId="11195" priority="13773" operator="between">
      <formula>0.3751</formula>
      <formula>0.475</formula>
    </cfRule>
    <cfRule type="cellIs" dxfId="11194" priority="13774" operator="between">
      <formula>0.2551</formula>
      <formula>0.375</formula>
    </cfRule>
    <cfRule type="cellIs" dxfId="11193" priority="13775" operator="greaterThan">
      <formula>0.505</formula>
    </cfRule>
    <cfRule type="cellIs" dxfId="11192" priority="13776" operator="between">
      <formula>0.48</formula>
      <formula>0.5</formula>
    </cfRule>
    <cfRule type="cellIs" dxfId="11191" priority="13777" stopIfTrue="1" operator="between">
      <formula>0</formula>
      <formula>0.255</formula>
    </cfRule>
  </conditionalFormatting>
  <conditionalFormatting sqref="R166">
    <cfRule type="cellIs" dxfId="11190" priority="13768" operator="between">
      <formula>0.3751</formula>
      <formula>0.475</formula>
    </cfRule>
    <cfRule type="cellIs" dxfId="11189" priority="13769" operator="between">
      <formula>0.2551</formula>
      <formula>0.375</formula>
    </cfRule>
    <cfRule type="cellIs" dxfId="11188" priority="13770" operator="greaterThan">
      <formula>0.505</formula>
    </cfRule>
    <cfRule type="cellIs" dxfId="11187" priority="13771" operator="between">
      <formula>0.48</formula>
      <formula>0.5</formula>
    </cfRule>
    <cfRule type="cellIs" dxfId="11186" priority="13772" stopIfTrue="1" operator="between">
      <formula>0</formula>
      <formula>0.255</formula>
    </cfRule>
  </conditionalFormatting>
  <conditionalFormatting sqref="R177">
    <cfRule type="cellIs" dxfId="11185" priority="13763" operator="between">
      <formula>0.3751</formula>
      <formula>0.475</formula>
    </cfRule>
    <cfRule type="cellIs" dxfId="11184" priority="13764" operator="between">
      <formula>0.2551</formula>
      <formula>0.375</formula>
    </cfRule>
    <cfRule type="cellIs" dxfId="11183" priority="13765" operator="greaterThan">
      <formula>0.505</formula>
    </cfRule>
    <cfRule type="cellIs" dxfId="11182" priority="13766" operator="between">
      <formula>0.48</formula>
      <formula>0.5</formula>
    </cfRule>
    <cfRule type="cellIs" dxfId="11181" priority="13767" stopIfTrue="1" operator="between">
      <formula>0</formula>
      <formula>0.255</formula>
    </cfRule>
  </conditionalFormatting>
  <conditionalFormatting sqref="R184">
    <cfRule type="cellIs" dxfId="11180" priority="13758" operator="between">
      <formula>0.3751</formula>
      <formula>0.475</formula>
    </cfRule>
    <cfRule type="cellIs" dxfId="11179" priority="13759" operator="between">
      <formula>0.2551</formula>
      <formula>0.375</formula>
    </cfRule>
    <cfRule type="cellIs" dxfId="11178" priority="13760" operator="greaterThan">
      <formula>0.505</formula>
    </cfRule>
    <cfRule type="cellIs" dxfId="11177" priority="13761" operator="between">
      <formula>0.48</formula>
      <formula>0.5</formula>
    </cfRule>
    <cfRule type="cellIs" dxfId="11176" priority="13762" stopIfTrue="1" operator="between">
      <formula>0</formula>
      <formula>0.255</formula>
    </cfRule>
  </conditionalFormatting>
  <conditionalFormatting sqref="R185">
    <cfRule type="cellIs" dxfId="11175" priority="13753" operator="between">
      <formula>0.3751</formula>
      <formula>0.475</formula>
    </cfRule>
    <cfRule type="cellIs" dxfId="11174" priority="13754" operator="between">
      <formula>0.2551</formula>
      <formula>0.375</formula>
    </cfRule>
    <cfRule type="cellIs" dxfId="11173" priority="13755" operator="greaterThan">
      <formula>0.505</formula>
    </cfRule>
    <cfRule type="cellIs" dxfId="11172" priority="13756" operator="between">
      <formula>0.48</formula>
      <formula>0.5</formula>
    </cfRule>
    <cfRule type="cellIs" dxfId="11171" priority="13757" stopIfTrue="1" operator="between">
      <formula>0</formula>
      <formula>0.255</formula>
    </cfRule>
  </conditionalFormatting>
  <conditionalFormatting sqref="R186">
    <cfRule type="cellIs" dxfId="11170" priority="13748" operator="between">
      <formula>0.3751</formula>
      <formula>0.475</formula>
    </cfRule>
    <cfRule type="cellIs" dxfId="11169" priority="13749" operator="between">
      <formula>0.2551</formula>
      <formula>0.375</formula>
    </cfRule>
    <cfRule type="cellIs" dxfId="11168" priority="13750" operator="greaterThan">
      <formula>0.505</formula>
    </cfRule>
    <cfRule type="cellIs" dxfId="11167" priority="13751" operator="between">
      <formula>0.48</formula>
      <formula>0.5</formula>
    </cfRule>
    <cfRule type="cellIs" dxfId="11166" priority="13752" stopIfTrue="1" operator="between">
      <formula>0</formula>
      <formula>0.255</formula>
    </cfRule>
  </conditionalFormatting>
  <conditionalFormatting sqref="R187">
    <cfRule type="cellIs" dxfId="11165" priority="13743" operator="between">
      <formula>0.3751</formula>
      <formula>0.475</formula>
    </cfRule>
    <cfRule type="cellIs" dxfId="11164" priority="13744" operator="between">
      <formula>0.2551</formula>
      <formula>0.375</formula>
    </cfRule>
    <cfRule type="cellIs" dxfId="11163" priority="13745" operator="greaterThan">
      <formula>0.505</formula>
    </cfRule>
    <cfRule type="cellIs" dxfId="11162" priority="13746" operator="between">
      <formula>0.48</formula>
      <formula>0.5</formula>
    </cfRule>
    <cfRule type="cellIs" dxfId="11161" priority="13747" stopIfTrue="1" operator="between">
      <formula>0</formula>
      <formula>0.255</formula>
    </cfRule>
  </conditionalFormatting>
  <conditionalFormatting sqref="R188">
    <cfRule type="cellIs" dxfId="11160" priority="13738" operator="between">
      <formula>0.3751</formula>
      <formula>0.475</formula>
    </cfRule>
    <cfRule type="cellIs" dxfId="11159" priority="13739" operator="between">
      <formula>0.2551</formula>
      <formula>0.375</formula>
    </cfRule>
    <cfRule type="cellIs" dxfId="11158" priority="13740" operator="greaterThan">
      <formula>0.505</formula>
    </cfRule>
    <cfRule type="cellIs" dxfId="11157" priority="13741" operator="between">
      <formula>0.48</formula>
      <formula>0.5</formula>
    </cfRule>
    <cfRule type="cellIs" dxfId="11156" priority="13742" stopIfTrue="1" operator="between">
      <formula>0</formula>
      <formula>0.255</formula>
    </cfRule>
  </conditionalFormatting>
  <conditionalFormatting sqref="R189">
    <cfRule type="cellIs" dxfId="11155" priority="13733" operator="between">
      <formula>0.3751</formula>
      <formula>0.475</formula>
    </cfRule>
    <cfRule type="cellIs" dxfId="11154" priority="13734" operator="between">
      <formula>0.2551</formula>
      <formula>0.375</formula>
    </cfRule>
    <cfRule type="cellIs" dxfId="11153" priority="13735" operator="greaterThan">
      <formula>0.505</formula>
    </cfRule>
    <cfRule type="cellIs" dxfId="11152" priority="13736" operator="between">
      <formula>0.48</formula>
      <formula>0.5</formula>
    </cfRule>
    <cfRule type="cellIs" dxfId="11151" priority="13737" stopIfTrue="1" operator="between">
      <formula>0</formula>
      <formula>0.255</formula>
    </cfRule>
  </conditionalFormatting>
  <conditionalFormatting sqref="R190">
    <cfRule type="cellIs" dxfId="11150" priority="13728" operator="between">
      <formula>0.3751</formula>
      <formula>0.475</formula>
    </cfRule>
    <cfRule type="cellIs" dxfId="11149" priority="13729" operator="between">
      <formula>0.2551</formula>
      <formula>0.375</formula>
    </cfRule>
    <cfRule type="cellIs" dxfId="11148" priority="13730" operator="greaterThan">
      <formula>0.505</formula>
    </cfRule>
    <cfRule type="cellIs" dxfId="11147" priority="13731" operator="between">
      <formula>0.48</formula>
      <formula>0.5</formula>
    </cfRule>
    <cfRule type="cellIs" dxfId="11146" priority="13732" stopIfTrue="1" operator="between">
      <formula>0</formula>
      <formula>0.255</formula>
    </cfRule>
  </conditionalFormatting>
  <conditionalFormatting sqref="R191">
    <cfRule type="cellIs" dxfId="11145" priority="13723" operator="between">
      <formula>0.3751</formula>
      <formula>0.475</formula>
    </cfRule>
    <cfRule type="cellIs" dxfId="11144" priority="13724" operator="between">
      <formula>0.2551</formula>
      <formula>0.375</formula>
    </cfRule>
    <cfRule type="cellIs" dxfId="11143" priority="13725" operator="greaterThan">
      <formula>0.505</formula>
    </cfRule>
    <cfRule type="cellIs" dxfId="11142" priority="13726" operator="between">
      <formula>0.48</formula>
      <formula>0.5</formula>
    </cfRule>
    <cfRule type="cellIs" dxfId="11141" priority="13727" stopIfTrue="1" operator="between">
      <formula>0</formula>
      <formula>0.255</formula>
    </cfRule>
  </conditionalFormatting>
  <conditionalFormatting sqref="R192">
    <cfRule type="cellIs" dxfId="11140" priority="13718" operator="between">
      <formula>0.3751</formula>
      <formula>0.475</formula>
    </cfRule>
    <cfRule type="cellIs" dxfId="11139" priority="13719" operator="between">
      <formula>0.2551</formula>
      <formula>0.375</formula>
    </cfRule>
    <cfRule type="cellIs" dxfId="11138" priority="13720" operator="greaterThan">
      <formula>0.505</formula>
    </cfRule>
    <cfRule type="cellIs" dxfId="11137" priority="13721" operator="between">
      <formula>0.48</formula>
      <formula>0.5</formula>
    </cfRule>
    <cfRule type="cellIs" dxfId="11136" priority="13722" stopIfTrue="1" operator="between">
      <formula>0</formula>
      <formula>0.255</formula>
    </cfRule>
  </conditionalFormatting>
  <conditionalFormatting sqref="R193">
    <cfRule type="cellIs" dxfId="11135" priority="13713" operator="between">
      <formula>0.3751</formula>
      <formula>0.475</formula>
    </cfRule>
    <cfRule type="cellIs" dxfId="11134" priority="13714" operator="between">
      <formula>0.2551</formula>
      <formula>0.375</formula>
    </cfRule>
    <cfRule type="cellIs" dxfId="11133" priority="13715" operator="greaterThan">
      <formula>0.505</formula>
    </cfRule>
    <cfRule type="cellIs" dxfId="11132" priority="13716" operator="between">
      <formula>0.48</formula>
      <formula>0.5</formula>
    </cfRule>
    <cfRule type="cellIs" dxfId="11131" priority="13717" stopIfTrue="1" operator="between">
      <formula>0</formula>
      <formula>0.255</formula>
    </cfRule>
  </conditionalFormatting>
  <conditionalFormatting sqref="R194">
    <cfRule type="cellIs" dxfId="11130" priority="13708" operator="between">
      <formula>0.3751</formula>
      <formula>0.475</formula>
    </cfRule>
    <cfRule type="cellIs" dxfId="11129" priority="13709" operator="between">
      <formula>0.2551</formula>
      <formula>0.375</formula>
    </cfRule>
    <cfRule type="cellIs" dxfId="11128" priority="13710" operator="greaterThan">
      <formula>0.505</formula>
    </cfRule>
    <cfRule type="cellIs" dxfId="11127" priority="13711" operator="between">
      <formula>0.48</formula>
      <formula>0.5</formula>
    </cfRule>
    <cfRule type="cellIs" dxfId="11126" priority="13712" stopIfTrue="1" operator="between">
      <formula>0</formula>
      <formula>0.255</formula>
    </cfRule>
  </conditionalFormatting>
  <conditionalFormatting sqref="R195">
    <cfRule type="cellIs" dxfId="11125" priority="13703" operator="between">
      <formula>0.3751</formula>
      <formula>0.475</formula>
    </cfRule>
    <cfRule type="cellIs" dxfId="11124" priority="13704" operator="between">
      <formula>0.2551</formula>
      <formula>0.375</formula>
    </cfRule>
    <cfRule type="cellIs" dxfId="11123" priority="13705" operator="greaterThan">
      <formula>0.505</formula>
    </cfRule>
    <cfRule type="cellIs" dxfId="11122" priority="13706" operator="between">
      <formula>0.48</formula>
      <formula>0.5</formula>
    </cfRule>
    <cfRule type="cellIs" dxfId="11121" priority="13707" stopIfTrue="1" operator="between">
      <formula>0</formula>
      <formula>0.255</formula>
    </cfRule>
  </conditionalFormatting>
  <conditionalFormatting sqref="R196">
    <cfRule type="cellIs" dxfId="11120" priority="13698" operator="between">
      <formula>0.3751</formula>
      <formula>0.475</formula>
    </cfRule>
    <cfRule type="cellIs" dxfId="11119" priority="13699" operator="between">
      <formula>0.2551</formula>
      <formula>0.375</formula>
    </cfRule>
    <cfRule type="cellIs" dxfId="11118" priority="13700" operator="greaterThan">
      <formula>0.505</formula>
    </cfRule>
    <cfRule type="cellIs" dxfId="11117" priority="13701" operator="between">
      <formula>0.48</formula>
      <formula>0.5</formula>
    </cfRule>
    <cfRule type="cellIs" dxfId="11116" priority="13702" stopIfTrue="1" operator="between">
      <formula>0</formula>
      <formula>0.255</formula>
    </cfRule>
  </conditionalFormatting>
  <conditionalFormatting sqref="R197">
    <cfRule type="cellIs" dxfId="11115" priority="13693" operator="between">
      <formula>0.3751</formula>
      <formula>0.475</formula>
    </cfRule>
    <cfRule type="cellIs" dxfId="11114" priority="13694" operator="between">
      <formula>0.2551</formula>
      <formula>0.375</formula>
    </cfRule>
    <cfRule type="cellIs" dxfId="11113" priority="13695" operator="greaterThan">
      <formula>0.505</formula>
    </cfRule>
    <cfRule type="cellIs" dxfId="11112" priority="13696" operator="between">
      <formula>0.48</formula>
      <formula>0.5</formula>
    </cfRule>
    <cfRule type="cellIs" dxfId="11111" priority="13697" stopIfTrue="1" operator="between">
      <formula>0</formula>
      <formula>0.255</formula>
    </cfRule>
  </conditionalFormatting>
  <conditionalFormatting sqref="R198">
    <cfRule type="cellIs" dxfId="11110" priority="13688" operator="between">
      <formula>0.3751</formula>
      <formula>0.475</formula>
    </cfRule>
    <cfRule type="cellIs" dxfId="11109" priority="13689" operator="between">
      <formula>0.2551</formula>
      <formula>0.375</formula>
    </cfRule>
    <cfRule type="cellIs" dxfId="11108" priority="13690" operator="greaterThan">
      <formula>0.505</formula>
    </cfRule>
    <cfRule type="cellIs" dxfId="11107" priority="13691" operator="between">
      <formula>0.48</formula>
      <formula>0.5</formula>
    </cfRule>
    <cfRule type="cellIs" dxfId="11106" priority="13692" stopIfTrue="1" operator="between">
      <formula>0</formula>
      <formula>0.255</formula>
    </cfRule>
  </conditionalFormatting>
  <conditionalFormatting sqref="R199">
    <cfRule type="cellIs" dxfId="11105" priority="13683" operator="between">
      <formula>0.3751</formula>
      <formula>0.475</formula>
    </cfRule>
    <cfRule type="cellIs" dxfId="11104" priority="13684" operator="between">
      <formula>0.2551</formula>
      <formula>0.375</formula>
    </cfRule>
    <cfRule type="cellIs" dxfId="11103" priority="13685" operator="greaterThan">
      <formula>0.505</formula>
    </cfRule>
    <cfRule type="cellIs" dxfId="11102" priority="13686" operator="between">
      <formula>0.48</formula>
      <formula>0.5</formula>
    </cfRule>
    <cfRule type="cellIs" dxfId="11101" priority="13687" stopIfTrue="1" operator="between">
      <formula>0</formula>
      <formula>0.255</formula>
    </cfRule>
  </conditionalFormatting>
  <conditionalFormatting sqref="R200">
    <cfRule type="cellIs" dxfId="11100" priority="13678" operator="between">
      <formula>0.3751</formula>
      <formula>0.475</formula>
    </cfRule>
    <cfRule type="cellIs" dxfId="11099" priority="13679" operator="between">
      <formula>0.2551</formula>
      <formula>0.375</formula>
    </cfRule>
    <cfRule type="cellIs" dxfId="11098" priority="13680" operator="greaterThan">
      <formula>0.505</formula>
    </cfRule>
    <cfRule type="cellIs" dxfId="11097" priority="13681" operator="between">
      <formula>0.48</formula>
      <formula>0.5</formula>
    </cfRule>
    <cfRule type="cellIs" dxfId="11096" priority="13682" stopIfTrue="1" operator="between">
      <formula>0</formula>
      <formula>0.255</formula>
    </cfRule>
  </conditionalFormatting>
  <conditionalFormatting sqref="R201">
    <cfRule type="cellIs" dxfId="11095" priority="13673" operator="between">
      <formula>0.3751</formula>
      <formula>0.475</formula>
    </cfRule>
    <cfRule type="cellIs" dxfId="11094" priority="13674" operator="between">
      <formula>0.2551</formula>
      <formula>0.375</formula>
    </cfRule>
    <cfRule type="cellIs" dxfId="11093" priority="13675" operator="greaterThan">
      <formula>0.505</formula>
    </cfRule>
    <cfRule type="cellIs" dxfId="11092" priority="13676" operator="between">
      <formula>0.48</formula>
      <formula>0.5</formula>
    </cfRule>
    <cfRule type="cellIs" dxfId="11091" priority="13677" stopIfTrue="1" operator="between">
      <formula>0</formula>
      <formula>0.255</formula>
    </cfRule>
  </conditionalFormatting>
  <conditionalFormatting sqref="R202">
    <cfRule type="cellIs" dxfId="11090" priority="13668" operator="between">
      <formula>0.3751</formula>
      <formula>0.475</formula>
    </cfRule>
    <cfRule type="cellIs" dxfId="11089" priority="13669" operator="between">
      <formula>0.2551</formula>
      <formula>0.375</formula>
    </cfRule>
    <cfRule type="cellIs" dxfId="11088" priority="13670" operator="greaterThan">
      <formula>0.505</formula>
    </cfRule>
    <cfRule type="cellIs" dxfId="11087" priority="13671" operator="between">
      <formula>0.48</formula>
      <formula>0.5</formula>
    </cfRule>
    <cfRule type="cellIs" dxfId="11086" priority="13672" stopIfTrue="1" operator="between">
      <formula>0</formula>
      <formula>0.255</formula>
    </cfRule>
  </conditionalFormatting>
  <conditionalFormatting sqref="R203">
    <cfRule type="cellIs" dxfId="11085" priority="13663" operator="between">
      <formula>0.3751</formula>
      <formula>0.475</formula>
    </cfRule>
    <cfRule type="cellIs" dxfId="11084" priority="13664" operator="between">
      <formula>0.2551</formula>
      <formula>0.375</formula>
    </cfRule>
    <cfRule type="cellIs" dxfId="11083" priority="13665" operator="greaterThan">
      <formula>0.505</formula>
    </cfRule>
    <cfRule type="cellIs" dxfId="11082" priority="13666" operator="between">
      <formula>0.48</formula>
      <formula>0.5</formula>
    </cfRule>
    <cfRule type="cellIs" dxfId="11081" priority="13667" stopIfTrue="1" operator="between">
      <formula>0</formula>
      <formula>0.255</formula>
    </cfRule>
  </conditionalFormatting>
  <conditionalFormatting sqref="R204">
    <cfRule type="cellIs" dxfId="11080" priority="13658" operator="between">
      <formula>0.3751</formula>
      <formula>0.475</formula>
    </cfRule>
    <cfRule type="cellIs" dxfId="11079" priority="13659" operator="between">
      <formula>0.2551</formula>
      <formula>0.375</formula>
    </cfRule>
    <cfRule type="cellIs" dxfId="11078" priority="13660" operator="greaterThan">
      <formula>0.505</formula>
    </cfRule>
    <cfRule type="cellIs" dxfId="11077" priority="13661" operator="between">
      <formula>0.48</formula>
      <formula>0.5</formula>
    </cfRule>
    <cfRule type="cellIs" dxfId="11076" priority="13662" stopIfTrue="1" operator="between">
      <formula>0</formula>
      <formula>0.255</formula>
    </cfRule>
  </conditionalFormatting>
  <conditionalFormatting sqref="R205">
    <cfRule type="cellIs" dxfId="11075" priority="13653" operator="between">
      <formula>0.3751</formula>
      <formula>0.475</formula>
    </cfRule>
    <cfRule type="cellIs" dxfId="11074" priority="13654" operator="between">
      <formula>0.2551</formula>
      <formula>0.375</formula>
    </cfRule>
    <cfRule type="cellIs" dxfId="11073" priority="13655" operator="greaterThan">
      <formula>0.505</formula>
    </cfRule>
    <cfRule type="cellIs" dxfId="11072" priority="13656" operator="between">
      <formula>0.48</formula>
      <formula>0.5</formula>
    </cfRule>
    <cfRule type="cellIs" dxfId="11071" priority="13657" stopIfTrue="1" operator="between">
      <formula>0</formula>
      <formula>0.255</formula>
    </cfRule>
  </conditionalFormatting>
  <conditionalFormatting sqref="R207">
    <cfRule type="cellIs" dxfId="11070" priority="13648" operator="between">
      <formula>0.3751</formula>
      <formula>0.475</formula>
    </cfRule>
    <cfRule type="cellIs" dxfId="11069" priority="13649" operator="between">
      <formula>0.2551</formula>
      <formula>0.375</formula>
    </cfRule>
    <cfRule type="cellIs" dxfId="11068" priority="13650" operator="greaterThan">
      <formula>0.505</formula>
    </cfRule>
    <cfRule type="cellIs" dxfId="11067" priority="13651" operator="between">
      <formula>0.48</formula>
      <formula>0.5</formula>
    </cfRule>
    <cfRule type="cellIs" dxfId="11066" priority="13652" stopIfTrue="1" operator="between">
      <formula>0</formula>
      <formula>0.255</formula>
    </cfRule>
  </conditionalFormatting>
  <conditionalFormatting sqref="R208">
    <cfRule type="cellIs" dxfId="11065" priority="13643" operator="between">
      <formula>0.3751</formula>
      <formula>0.475</formula>
    </cfRule>
    <cfRule type="cellIs" dxfId="11064" priority="13644" operator="between">
      <formula>0.2551</formula>
      <formula>0.375</formula>
    </cfRule>
    <cfRule type="cellIs" dxfId="11063" priority="13645" operator="greaterThan">
      <formula>0.505</formula>
    </cfRule>
    <cfRule type="cellIs" dxfId="11062" priority="13646" operator="between">
      <formula>0.48</formula>
      <formula>0.5</formula>
    </cfRule>
    <cfRule type="cellIs" dxfId="11061" priority="13647" stopIfTrue="1" operator="between">
      <formula>0</formula>
      <formula>0.255</formula>
    </cfRule>
  </conditionalFormatting>
  <conditionalFormatting sqref="R209">
    <cfRule type="cellIs" dxfId="11060" priority="13638" operator="between">
      <formula>0.3751</formula>
      <formula>0.475</formula>
    </cfRule>
    <cfRule type="cellIs" dxfId="11059" priority="13639" operator="between">
      <formula>0.2551</formula>
      <formula>0.375</formula>
    </cfRule>
    <cfRule type="cellIs" dxfId="11058" priority="13640" operator="greaterThan">
      <formula>0.505</formula>
    </cfRule>
    <cfRule type="cellIs" dxfId="11057" priority="13641" operator="between">
      <formula>0.48</formula>
      <formula>0.5</formula>
    </cfRule>
    <cfRule type="cellIs" dxfId="11056" priority="13642" stopIfTrue="1" operator="between">
      <formula>0</formula>
      <formula>0.255</formula>
    </cfRule>
  </conditionalFormatting>
  <conditionalFormatting sqref="R210">
    <cfRule type="cellIs" dxfId="11055" priority="13633" operator="between">
      <formula>0.3751</formula>
      <formula>0.475</formula>
    </cfRule>
    <cfRule type="cellIs" dxfId="11054" priority="13634" operator="between">
      <formula>0.2551</formula>
      <formula>0.375</formula>
    </cfRule>
    <cfRule type="cellIs" dxfId="11053" priority="13635" operator="greaterThan">
      <formula>0.505</formula>
    </cfRule>
    <cfRule type="cellIs" dxfId="11052" priority="13636" operator="between">
      <formula>0.48</formula>
      <formula>0.5</formula>
    </cfRule>
    <cfRule type="cellIs" dxfId="11051" priority="13637" stopIfTrue="1" operator="between">
      <formula>0</formula>
      <formula>0.255</formula>
    </cfRule>
  </conditionalFormatting>
  <conditionalFormatting sqref="R211">
    <cfRule type="cellIs" dxfId="11050" priority="13628" operator="between">
      <formula>0.3751</formula>
      <formula>0.475</formula>
    </cfRule>
    <cfRule type="cellIs" dxfId="11049" priority="13629" operator="between">
      <formula>0.2551</formula>
      <formula>0.375</formula>
    </cfRule>
    <cfRule type="cellIs" dxfId="11048" priority="13630" operator="greaterThan">
      <formula>0.505</formula>
    </cfRule>
    <cfRule type="cellIs" dxfId="11047" priority="13631" operator="between">
      <formula>0.48</formula>
      <formula>0.5</formula>
    </cfRule>
    <cfRule type="cellIs" dxfId="11046" priority="13632" stopIfTrue="1" operator="between">
      <formula>0</formula>
      <formula>0.255</formula>
    </cfRule>
  </conditionalFormatting>
  <conditionalFormatting sqref="R212">
    <cfRule type="cellIs" dxfId="11045" priority="13623" operator="between">
      <formula>0.3751</formula>
      <formula>0.475</formula>
    </cfRule>
    <cfRule type="cellIs" dxfId="11044" priority="13624" operator="between">
      <formula>0.2551</formula>
      <formula>0.375</formula>
    </cfRule>
    <cfRule type="cellIs" dxfId="11043" priority="13625" operator="greaterThan">
      <formula>0.505</formula>
    </cfRule>
    <cfRule type="cellIs" dxfId="11042" priority="13626" operator="between">
      <formula>0.48</formula>
      <formula>0.5</formula>
    </cfRule>
    <cfRule type="cellIs" dxfId="11041" priority="13627" stopIfTrue="1" operator="between">
      <formula>0</formula>
      <formula>0.255</formula>
    </cfRule>
  </conditionalFormatting>
  <conditionalFormatting sqref="R213">
    <cfRule type="cellIs" dxfId="11040" priority="13618" operator="between">
      <formula>0.3751</formula>
      <formula>0.475</formula>
    </cfRule>
    <cfRule type="cellIs" dxfId="11039" priority="13619" operator="between">
      <formula>0.2551</formula>
      <formula>0.375</formula>
    </cfRule>
    <cfRule type="cellIs" dxfId="11038" priority="13620" operator="greaterThan">
      <formula>0.505</formula>
    </cfRule>
    <cfRule type="cellIs" dxfId="11037" priority="13621" operator="between">
      <formula>0.48</formula>
      <formula>0.5</formula>
    </cfRule>
    <cfRule type="cellIs" dxfId="11036" priority="13622" stopIfTrue="1" operator="between">
      <formula>0</formula>
      <formula>0.255</formula>
    </cfRule>
  </conditionalFormatting>
  <conditionalFormatting sqref="R214">
    <cfRule type="cellIs" dxfId="11035" priority="13613" operator="between">
      <formula>0.3751</formula>
      <formula>0.475</formula>
    </cfRule>
    <cfRule type="cellIs" dxfId="11034" priority="13614" operator="between">
      <formula>0.2551</formula>
      <formula>0.375</formula>
    </cfRule>
    <cfRule type="cellIs" dxfId="11033" priority="13615" operator="greaterThan">
      <formula>0.505</formula>
    </cfRule>
    <cfRule type="cellIs" dxfId="11032" priority="13616" operator="between">
      <formula>0.48</formula>
      <formula>0.5</formula>
    </cfRule>
    <cfRule type="cellIs" dxfId="11031" priority="13617" stopIfTrue="1" operator="between">
      <formula>0</formula>
      <formula>0.255</formula>
    </cfRule>
  </conditionalFormatting>
  <conditionalFormatting sqref="R216">
    <cfRule type="cellIs" dxfId="11030" priority="13608" operator="between">
      <formula>0.3751</formula>
      <formula>0.475</formula>
    </cfRule>
    <cfRule type="cellIs" dxfId="11029" priority="13609" operator="between">
      <formula>0.2551</formula>
      <formula>0.375</formula>
    </cfRule>
    <cfRule type="cellIs" dxfId="11028" priority="13610" operator="greaterThan">
      <formula>0.505</formula>
    </cfRule>
    <cfRule type="cellIs" dxfId="11027" priority="13611" operator="between">
      <formula>0.48</formula>
      <formula>0.5</formula>
    </cfRule>
    <cfRule type="cellIs" dxfId="11026" priority="13612" stopIfTrue="1" operator="between">
      <formula>0</formula>
      <formula>0.255</formula>
    </cfRule>
  </conditionalFormatting>
  <conditionalFormatting sqref="R217">
    <cfRule type="cellIs" dxfId="11025" priority="13603" operator="between">
      <formula>0.3751</formula>
      <formula>0.475</formula>
    </cfRule>
    <cfRule type="cellIs" dxfId="11024" priority="13604" operator="between">
      <formula>0.2551</formula>
      <formula>0.375</formula>
    </cfRule>
    <cfRule type="cellIs" dxfId="11023" priority="13605" operator="greaterThan">
      <formula>0.505</formula>
    </cfRule>
    <cfRule type="cellIs" dxfId="11022" priority="13606" operator="between">
      <formula>0.48</formula>
      <formula>0.5</formula>
    </cfRule>
    <cfRule type="cellIs" dxfId="11021" priority="13607" stopIfTrue="1" operator="between">
      <formula>0</formula>
      <formula>0.255</formula>
    </cfRule>
  </conditionalFormatting>
  <conditionalFormatting sqref="R218">
    <cfRule type="cellIs" dxfId="11020" priority="13598" operator="between">
      <formula>0.3751</formula>
      <formula>0.475</formula>
    </cfRule>
    <cfRule type="cellIs" dxfId="11019" priority="13599" operator="between">
      <formula>0.2551</formula>
      <formula>0.375</formula>
    </cfRule>
    <cfRule type="cellIs" dxfId="11018" priority="13600" operator="greaterThan">
      <formula>0.505</formula>
    </cfRule>
    <cfRule type="cellIs" dxfId="11017" priority="13601" operator="between">
      <formula>0.48</formula>
      <formula>0.5</formula>
    </cfRule>
    <cfRule type="cellIs" dxfId="11016" priority="13602" stopIfTrue="1" operator="between">
      <formula>0</formula>
      <formula>0.255</formula>
    </cfRule>
  </conditionalFormatting>
  <conditionalFormatting sqref="R219">
    <cfRule type="cellIs" dxfId="11015" priority="13593" operator="between">
      <formula>0.3751</formula>
      <formula>0.475</formula>
    </cfRule>
    <cfRule type="cellIs" dxfId="11014" priority="13594" operator="between">
      <formula>0.2551</formula>
      <formula>0.375</formula>
    </cfRule>
    <cfRule type="cellIs" dxfId="11013" priority="13595" operator="greaterThan">
      <formula>0.505</formula>
    </cfRule>
    <cfRule type="cellIs" dxfId="11012" priority="13596" operator="between">
      <formula>0.48</formula>
      <formula>0.5</formula>
    </cfRule>
    <cfRule type="cellIs" dxfId="11011" priority="13597" stopIfTrue="1" operator="between">
      <formula>0</formula>
      <formula>0.255</formula>
    </cfRule>
  </conditionalFormatting>
  <conditionalFormatting sqref="R220">
    <cfRule type="cellIs" dxfId="11010" priority="13588" operator="between">
      <formula>0.3751</formula>
      <formula>0.475</formula>
    </cfRule>
    <cfRule type="cellIs" dxfId="11009" priority="13589" operator="between">
      <formula>0.2551</formula>
      <formula>0.375</formula>
    </cfRule>
    <cfRule type="cellIs" dxfId="11008" priority="13590" operator="greaterThan">
      <formula>0.505</formula>
    </cfRule>
    <cfRule type="cellIs" dxfId="11007" priority="13591" operator="between">
      <formula>0.48</formula>
      <formula>0.5</formula>
    </cfRule>
    <cfRule type="cellIs" dxfId="11006" priority="13592" stopIfTrue="1" operator="between">
      <formula>0</formula>
      <formula>0.255</formula>
    </cfRule>
  </conditionalFormatting>
  <conditionalFormatting sqref="R221">
    <cfRule type="cellIs" dxfId="11005" priority="13583" operator="between">
      <formula>0.3751</formula>
      <formula>0.475</formula>
    </cfRule>
    <cfRule type="cellIs" dxfId="11004" priority="13584" operator="between">
      <formula>0.2551</formula>
      <formula>0.375</formula>
    </cfRule>
    <cfRule type="cellIs" dxfId="11003" priority="13585" operator="greaterThan">
      <formula>0.505</formula>
    </cfRule>
    <cfRule type="cellIs" dxfId="11002" priority="13586" operator="between">
      <formula>0.48</formula>
      <formula>0.5</formula>
    </cfRule>
    <cfRule type="cellIs" dxfId="11001" priority="13587" stopIfTrue="1" operator="between">
      <formula>0</formula>
      <formula>0.255</formula>
    </cfRule>
  </conditionalFormatting>
  <conditionalFormatting sqref="R222">
    <cfRule type="cellIs" dxfId="11000" priority="13578" operator="between">
      <formula>0.3751</formula>
      <formula>0.475</formula>
    </cfRule>
    <cfRule type="cellIs" dxfId="10999" priority="13579" operator="between">
      <formula>0.2551</formula>
      <formula>0.375</formula>
    </cfRule>
    <cfRule type="cellIs" dxfId="10998" priority="13580" operator="greaterThan">
      <formula>0.505</formula>
    </cfRule>
    <cfRule type="cellIs" dxfId="10997" priority="13581" operator="between">
      <formula>0.48</formula>
      <formula>0.5</formula>
    </cfRule>
    <cfRule type="cellIs" dxfId="10996" priority="13582" stopIfTrue="1" operator="between">
      <formula>0</formula>
      <formula>0.255</formula>
    </cfRule>
  </conditionalFormatting>
  <conditionalFormatting sqref="R223">
    <cfRule type="cellIs" dxfId="10995" priority="13573" operator="between">
      <formula>0.3751</formula>
      <formula>0.475</formula>
    </cfRule>
    <cfRule type="cellIs" dxfId="10994" priority="13574" operator="between">
      <formula>0.2551</formula>
      <formula>0.375</formula>
    </cfRule>
    <cfRule type="cellIs" dxfId="10993" priority="13575" operator="greaterThan">
      <formula>0.505</formula>
    </cfRule>
    <cfRule type="cellIs" dxfId="10992" priority="13576" operator="between">
      <formula>0.4751</formula>
      <formula>0.5</formula>
    </cfRule>
    <cfRule type="cellIs" dxfId="10991" priority="13577" stopIfTrue="1" operator="between">
      <formula>0</formula>
      <formula>0.255</formula>
    </cfRule>
  </conditionalFormatting>
  <conditionalFormatting sqref="R224">
    <cfRule type="cellIs" dxfId="10990" priority="13568" operator="between">
      <formula>0.3751</formula>
      <formula>0.475</formula>
    </cfRule>
    <cfRule type="cellIs" dxfId="10989" priority="13569" operator="between">
      <formula>0.2551</formula>
      <formula>0.375</formula>
    </cfRule>
    <cfRule type="cellIs" dxfId="10988" priority="13570" operator="greaterThan">
      <formula>0.505</formula>
    </cfRule>
    <cfRule type="cellIs" dxfId="10987" priority="13571" operator="between">
      <formula>0.48</formula>
      <formula>0.5</formula>
    </cfRule>
    <cfRule type="cellIs" dxfId="10986" priority="13572" stopIfTrue="1" operator="between">
      <formula>0</formula>
      <formula>0.255</formula>
    </cfRule>
  </conditionalFormatting>
  <conditionalFormatting sqref="R225">
    <cfRule type="cellIs" dxfId="10985" priority="13563" operator="between">
      <formula>0.3751</formula>
      <formula>0.475</formula>
    </cfRule>
    <cfRule type="cellIs" dxfId="10984" priority="13564" operator="between">
      <formula>0.2551</formula>
      <formula>0.375</formula>
    </cfRule>
    <cfRule type="cellIs" dxfId="10983" priority="13565" operator="greaterThan">
      <formula>0.505</formula>
    </cfRule>
    <cfRule type="cellIs" dxfId="10982" priority="13566" operator="between">
      <formula>0.48</formula>
      <formula>0.5</formula>
    </cfRule>
    <cfRule type="cellIs" dxfId="10981" priority="13567" stopIfTrue="1" operator="between">
      <formula>0</formula>
      <formula>0.255</formula>
    </cfRule>
  </conditionalFormatting>
  <conditionalFormatting sqref="R226">
    <cfRule type="cellIs" dxfId="10980" priority="13558" operator="between">
      <formula>0.3751</formula>
      <formula>0.475</formula>
    </cfRule>
    <cfRule type="cellIs" dxfId="10979" priority="13559" operator="between">
      <formula>0.2551</formula>
      <formula>0.375</formula>
    </cfRule>
    <cfRule type="cellIs" dxfId="10978" priority="13560" operator="greaterThan">
      <formula>0.505</formula>
    </cfRule>
    <cfRule type="cellIs" dxfId="10977" priority="13561" operator="between">
      <formula>0.48</formula>
      <formula>0.5</formula>
    </cfRule>
    <cfRule type="cellIs" dxfId="10976" priority="13562" stopIfTrue="1" operator="between">
      <formula>0</formula>
      <formula>0.255</formula>
    </cfRule>
  </conditionalFormatting>
  <conditionalFormatting sqref="R228">
    <cfRule type="cellIs" dxfId="10975" priority="13553" operator="between">
      <formula>0.3751</formula>
      <formula>0.475</formula>
    </cfRule>
    <cfRule type="cellIs" dxfId="10974" priority="13554" operator="between">
      <formula>0.2551</formula>
      <formula>0.375</formula>
    </cfRule>
    <cfRule type="cellIs" dxfId="10973" priority="13555" operator="greaterThan">
      <formula>0.505</formula>
    </cfRule>
    <cfRule type="cellIs" dxfId="10972" priority="13556" operator="between">
      <formula>0.48</formula>
      <formula>0.5</formula>
    </cfRule>
    <cfRule type="cellIs" dxfId="10971" priority="13557" stopIfTrue="1" operator="between">
      <formula>0</formula>
      <formula>0.255</formula>
    </cfRule>
  </conditionalFormatting>
  <conditionalFormatting sqref="R229">
    <cfRule type="cellIs" dxfId="10970" priority="13548" operator="between">
      <formula>0.3751</formula>
      <formula>0.475</formula>
    </cfRule>
    <cfRule type="cellIs" dxfId="10969" priority="13549" operator="between">
      <formula>0.2551</formula>
      <formula>0.375</formula>
    </cfRule>
    <cfRule type="cellIs" dxfId="10968" priority="13550" operator="greaterThan">
      <formula>0.505</formula>
    </cfRule>
    <cfRule type="cellIs" dxfId="10967" priority="13551" operator="between">
      <formula>0.48</formula>
      <formula>0.5</formula>
    </cfRule>
    <cfRule type="cellIs" dxfId="10966" priority="13552" stopIfTrue="1" operator="between">
      <formula>0</formula>
      <formula>0.255</formula>
    </cfRule>
  </conditionalFormatting>
  <conditionalFormatting sqref="R230">
    <cfRule type="cellIs" dxfId="10965" priority="13543" operator="between">
      <formula>0.3751</formula>
      <formula>0.475</formula>
    </cfRule>
    <cfRule type="cellIs" dxfId="10964" priority="13544" operator="between">
      <formula>0.2551</formula>
      <formula>0.375</formula>
    </cfRule>
    <cfRule type="cellIs" dxfId="10963" priority="13545" operator="greaterThan">
      <formula>0.505</formula>
    </cfRule>
    <cfRule type="cellIs" dxfId="10962" priority="13546" operator="between">
      <formula>0.48</formula>
      <formula>0.5</formula>
    </cfRule>
    <cfRule type="cellIs" dxfId="10961" priority="13547" stopIfTrue="1" operator="between">
      <formula>0</formula>
      <formula>0.255</formula>
    </cfRule>
  </conditionalFormatting>
  <conditionalFormatting sqref="R231">
    <cfRule type="cellIs" dxfId="10960" priority="13538" operator="between">
      <formula>0.3751</formula>
      <formula>0.475</formula>
    </cfRule>
    <cfRule type="cellIs" dxfId="10959" priority="13539" operator="between">
      <formula>0.2551</formula>
      <formula>0.375</formula>
    </cfRule>
    <cfRule type="cellIs" dxfId="10958" priority="13540" operator="greaterThan">
      <formula>0.505</formula>
    </cfRule>
    <cfRule type="cellIs" dxfId="10957" priority="13541" operator="between">
      <formula>0.48</formula>
      <formula>0.5</formula>
    </cfRule>
    <cfRule type="cellIs" dxfId="10956" priority="13542" stopIfTrue="1" operator="between">
      <formula>0</formula>
      <formula>0.255</formula>
    </cfRule>
  </conditionalFormatting>
  <conditionalFormatting sqref="R232">
    <cfRule type="cellIs" dxfId="10955" priority="13533" operator="between">
      <formula>0.3751</formula>
      <formula>0.475</formula>
    </cfRule>
    <cfRule type="cellIs" dxfId="10954" priority="13534" operator="between">
      <formula>0.2551</formula>
      <formula>0.375</formula>
    </cfRule>
    <cfRule type="cellIs" dxfId="10953" priority="13535" operator="greaterThan">
      <formula>0.505</formula>
    </cfRule>
    <cfRule type="cellIs" dxfId="10952" priority="13536" operator="between">
      <formula>0.48</formula>
      <formula>0.5</formula>
    </cfRule>
    <cfRule type="cellIs" dxfId="10951" priority="13537" stopIfTrue="1" operator="between">
      <formula>0</formula>
      <formula>0.255</formula>
    </cfRule>
  </conditionalFormatting>
  <conditionalFormatting sqref="R233">
    <cfRule type="cellIs" dxfId="10950" priority="13528" operator="between">
      <formula>0.3751</formula>
      <formula>0.475</formula>
    </cfRule>
    <cfRule type="cellIs" dxfId="10949" priority="13529" operator="between">
      <formula>0.2551</formula>
      <formula>0.375</formula>
    </cfRule>
    <cfRule type="cellIs" dxfId="10948" priority="13530" operator="greaterThan">
      <formula>0.505</formula>
    </cfRule>
    <cfRule type="cellIs" dxfId="10947" priority="13531" operator="between">
      <formula>0.48</formula>
      <formula>0.5</formula>
    </cfRule>
    <cfRule type="cellIs" dxfId="10946" priority="13532" stopIfTrue="1" operator="between">
      <formula>0</formula>
      <formula>0.255</formula>
    </cfRule>
  </conditionalFormatting>
  <conditionalFormatting sqref="R234">
    <cfRule type="cellIs" dxfId="10945" priority="13523" operator="between">
      <formula>0.3751</formula>
      <formula>0.475</formula>
    </cfRule>
    <cfRule type="cellIs" dxfId="10944" priority="13524" operator="between">
      <formula>0.2551</formula>
      <formula>0.375</formula>
    </cfRule>
    <cfRule type="cellIs" dxfId="10943" priority="13525" operator="greaterThan">
      <formula>0.505</formula>
    </cfRule>
    <cfRule type="cellIs" dxfId="10942" priority="13526" operator="between">
      <formula>0.48</formula>
      <formula>0.5</formula>
    </cfRule>
    <cfRule type="cellIs" dxfId="10941" priority="13527" stopIfTrue="1" operator="between">
      <formula>0</formula>
      <formula>0.255</formula>
    </cfRule>
  </conditionalFormatting>
  <conditionalFormatting sqref="R235">
    <cfRule type="cellIs" dxfId="10940" priority="13518" operator="between">
      <formula>0.3751</formula>
      <formula>0.475</formula>
    </cfRule>
    <cfRule type="cellIs" dxfId="10939" priority="13519" operator="between">
      <formula>0.2551</formula>
      <formula>0.375</formula>
    </cfRule>
    <cfRule type="cellIs" dxfId="10938" priority="13520" operator="greaterThan">
      <formula>0.505</formula>
    </cfRule>
    <cfRule type="cellIs" dxfId="10937" priority="13521" operator="between">
      <formula>0.48</formula>
      <formula>0.5</formula>
    </cfRule>
    <cfRule type="cellIs" dxfId="10936" priority="13522" stopIfTrue="1" operator="between">
      <formula>0</formula>
      <formula>0.255</formula>
    </cfRule>
  </conditionalFormatting>
  <conditionalFormatting sqref="R236">
    <cfRule type="cellIs" dxfId="10935" priority="13513" operator="between">
      <formula>0.3751</formula>
      <formula>0.475</formula>
    </cfRule>
    <cfRule type="cellIs" dxfId="10934" priority="13514" operator="between">
      <formula>0.2551</formula>
      <formula>0.375</formula>
    </cfRule>
    <cfRule type="cellIs" dxfId="10933" priority="13515" operator="greaterThan">
      <formula>0.505</formula>
    </cfRule>
    <cfRule type="cellIs" dxfId="10932" priority="13516" operator="between">
      <formula>0.48</formula>
      <formula>0.5</formula>
    </cfRule>
    <cfRule type="cellIs" dxfId="10931" priority="13517" stopIfTrue="1" operator="between">
      <formula>0</formula>
      <formula>0.255</formula>
    </cfRule>
  </conditionalFormatting>
  <conditionalFormatting sqref="R239">
    <cfRule type="cellIs" dxfId="10930" priority="13508" operator="between">
      <formula>0.3751</formula>
      <formula>0.475</formula>
    </cfRule>
    <cfRule type="cellIs" dxfId="10929" priority="13509" operator="between">
      <formula>0.2551</formula>
      <formula>0.375</formula>
    </cfRule>
    <cfRule type="cellIs" dxfId="10928" priority="13510" operator="greaterThan">
      <formula>0.505</formula>
    </cfRule>
    <cfRule type="cellIs" dxfId="10927" priority="13511" operator="between">
      <formula>0.48</formula>
      <formula>0.5</formula>
    </cfRule>
    <cfRule type="cellIs" dxfId="10926" priority="13512" stopIfTrue="1" operator="between">
      <formula>0</formula>
      <formula>0.255</formula>
    </cfRule>
  </conditionalFormatting>
  <conditionalFormatting sqref="R240">
    <cfRule type="cellIs" dxfId="10925" priority="13503" operator="between">
      <formula>0.3751</formula>
      <formula>0.475</formula>
    </cfRule>
    <cfRule type="cellIs" dxfId="10924" priority="13504" operator="between">
      <formula>0.2551</formula>
      <formula>0.375</formula>
    </cfRule>
    <cfRule type="cellIs" dxfId="10923" priority="13505" operator="greaterThan">
      <formula>0.505</formula>
    </cfRule>
    <cfRule type="cellIs" dxfId="10922" priority="13506" operator="between">
      <formula>0.48</formula>
      <formula>0.5</formula>
    </cfRule>
    <cfRule type="cellIs" dxfId="10921" priority="13507" stopIfTrue="1" operator="between">
      <formula>0</formula>
      <formula>0.255</formula>
    </cfRule>
  </conditionalFormatting>
  <conditionalFormatting sqref="R243">
    <cfRule type="cellIs" dxfId="10920" priority="13498" operator="between">
      <formula>0.3751</formula>
      <formula>0.475</formula>
    </cfRule>
    <cfRule type="cellIs" dxfId="10919" priority="13499" operator="between">
      <formula>0.2551</formula>
      <formula>0.375</formula>
    </cfRule>
    <cfRule type="cellIs" dxfId="10918" priority="13500" operator="greaterThan">
      <formula>0.505</formula>
    </cfRule>
    <cfRule type="cellIs" dxfId="10917" priority="13501" operator="between">
      <formula>0.48</formula>
      <formula>0.5</formula>
    </cfRule>
    <cfRule type="cellIs" dxfId="10916" priority="13502" stopIfTrue="1" operator="between">
      <formula>0</formula>
      <formula>0.255</formula>
    </cfRule>
  </conditionalFormatting>
  <conditionalFormatting sqref="R244">
    <cfRule type="cellIs" dxfId="10915" priority="13493" operator="between">
      <formula>0.3751</formula>
      <formula>0.475</formula>
    </cfRule>
    <cfRule type="cellIs" dxfId="10914" priority="13494" operator="between">
      <formula>0.2551</formula>
      <formula>0.375</formula>
    </cfRule>
    <cfRule type="cellIs" dxfId="10913" priority="13495" operator="greaterThan">
      <formula>0.505</formula>
    </cfRule>
    <cfRule type="cellIs" dxfId="10912" priority="13496" operator="between">
      <formula>0.48</formula>
      <formula>0.5</formula>
    </cfRule>
    <cfRule type="cellIs" dxfId="10911" priority="13497" stopIfTrue="1" operator="between">
      <formula>0</formula>
      <formula>0.255</formula>
    </cfRule>
  </conditionalFormatting>
  <conditionalFormatting sqref="R247">
    <cfRule type="cellIs" dxfId="10910" priority="13488" operator="between">
      <formula>0.3751</formula>
      <formula>0.475</formula>
    </cfRule>
    <cfRule type="cellIs" dxfId="10909" priority="13489" operator="between">
      <formula>0.2551</formula>
      <formula>0.375</formula>
    </cfRule>
    <cfRule type="cellIs" dxfId="10908" priority="13490" operator="greaterThan">
      <formula>0.505</formula>
    </cfRule>
    <cfRule type="cellIs" dxfId="10907" priority="13491" operator="between">
      <formula>0.48</formula>
      <formula>0.5</formula>
    </cfRule>
    <cfRule type="cellIs" dxfId="10906" priority="13492" stopIfTrue="1" operator="between">
      <formula>0</formula>
      <formula>0.255</formula>
    </cfRule>
  </conditionalFormatting>
  <conditionalFormatting sqref="R248">
    <cfRule type="cellIs" dxfId="10905" priority="13483" operator="between">
      <formula>0.3751</formula>
      <formula>0.475</formula>
    </cfRule>
    <cfRule type="cellIs" dxfId="10904" priority="13484" operator="between">
      <formula>0.2551</formula>
      <formula>0.375</formula>
    </cfRule>
    <cfRule type="cellIs" dxfId="10903" priority="13485" operator="greaterThan">
      <formula>0.505</formula>
    </cfRule>
    <cfRule type="cellIs" dxfId="10902" priority="13486" operator="between">
      <formula>0.48</formula>
      <formula>0.5</formula>
    </cfRule>
    <cfRule type="cellIs" dxfId="10901" priority="13487" stopIfTrue="1" operator="between">
      <formula>0</formula>
      <formula>0.255</formula>
    </cfRule>
  </conditionalFormatting>
  <conditionalFormatting sqref="R251">
    <cfRule type="cellIs" dxfId="10900" priority="13478" operator="between">
      <formula>0.3751</formula>
      <formula>0.475</formula>
    </cfRule>
    <cfRule type="cellIs" dxfId="10899" priority="13479" operator="between">
      <formula>0.2551</formula>
      <formula>0.375</formula>
    </cfRule>
    <cfRule type="cellIs" dxfId="10898" priority="13480" operator="greaterThan">
      <formula>0.505</formula>
    </cfRule>
    <cfRule type="cellIs" dxfId="10897" priority="13481" operator="between">
      <formula>0.48</formula>
      <formula>0.5</formula>
    </cfRule>
    <cfRule type="cellIs" dxfId="10896" priority="13482" stopIfTrue="1" operator="between">
      <formula>0</formula>
      <formula>0.255</formula>
    </cfRule>
  </conditionalFormatting>
  <conditionalFormatting sqref="R252">
    <cfRule type="cellIs" dxfId="10895" priority="13473" operator="between">
      <formula>0.3751</formula>
      <formula>0.475</formula>
    </cfRule>
    <cfRule type="cellIs" dxfId="10894" priority="13474" operator="between">
      <formula>0.2551</formula>
      <formula>0.375</formula>
    </cfRule>
    <cfRule type="cellIs" dxfId="10893" priority="13475" operator="greaterThan">
      <formula>0.505</formula>
    </cfRule>
    <cfRule type="cellIs" dxfId="10892" priority="13476" operator="between">
      <formula>0.48</formula>
      <formula>0.5</formula>
    </cfRule>
    <cfRule type="cellIs" dxfId="10891" priority="13477" stopIfTrue="1" operator="between">
      <formula>0</formula>
      <formula>0.255</formula>
    </cfRule>
  </conditionalFormatting>
  <conditionalFormatting sqref="R257">
    <cfRule type="cellIs" dxfId="10890" priority="13468" operator="between">
      <formula>0.3751</formula>
      <formula>0.475</formula>
    </cfRule>
    <cfRule type="cellIs" dxfId="10889" priority="13469" operator="between">
      <formula>0.2551</formula>
      <formula>0.375</formula>
    </cfRule>
    <cfRule type="cellIs" dxfId="10888" priority="13470" operator="greaterThan">
      <formula>0.505</formula>
    </cfRule>
    <cfRule type="cellIs" dxfId="10887" priority="13471" operator="between">
      <formula>0.48</formula>
      <formula>0.5</formula>
    </cfRule>
    <cfRule type="cellIs" dxfId="10886" priority="13472" stopIfTrue="1" operator="between">
      <formula>0</formula>
      <formula>0.255</formula>
    </cfRule>
  </conditionalFormatting>
  <conditionalFormatting sqref="R258">
    <cfRule type="cellIs" dxfId="10885" priority="13463" operator="between">
      <formula>0.3751</formula>
      <formula>0.475</formula>
    </cfRule>
    <cfRule type="cellIs" dxfId="10884" priority="13464" operator="between">
      <formula>0.2551</formula>
      <formula>0.375</formula>
    </cfRule>
    <cfRule type="cellIs" dxfId="10883" priority="13465" operator="greaterThan">
      <formula>0.505</formula>
    </cfRule>
    <cfRule type="cellIs" dxfId="10882" priority="13466" operator="between">
      <formula>0.48</formula>
      <formula>0.5</formula>
    </cfRule>
    <cfRule type="cellIs" dxfId="10881" priority="13467" stopIfTrue="1" operator="between">
      <formula>0</formula>
      <formula>0.255</formula>
    </cfRule>
  </conditionalFormatting>
  <conditionalFormatting sqref="R259">
    <cfRule type="cellIs" dxfId="10880" priority="13458" operator="between">
      <formula>0.3751</formula>
      <formula>0.475</formula>
    </cfRule>
    <cfRule type="cellIs" dxfId="10879" priority="13459" operator="between">
      <formula>0.2551</formula>
      <formula>0.375</formula>
    </cfRule>
    <cfRule type="cellIs" dxfId="10878" priority="13460" operator="greaterThan">
      <formula>0.505</formula>
    </cfRule>
    <cfRule type="cellIs" dxfId="10877" priority="13461" operator="between">
      <formula>0.48</formula>
      <formula>0.5</formula>
    </cfRule>
    <cfRule type="cellIs" dxfId="10876" priority="13462" stopIfTrue="1" operator="between">
      <formula>0</formula>
      <formula>0.255</formula>
    </cfRule>
  </conditionalFormatting>
  <conditionalFormatting sqref="R260">
    <cfRule type="cellIs" dxfId="10875" priority="13453" operator="between">
      <formula>0.3751</formula>
      <formula>0.475</formula>
    </cfRule>
    <cfRule type="cellIs" dxfId="10874" priority="13454" operator="between">
      <formula>0.2551</formula>
      <formula>0.375</formula>
    </cfRule>
    <cfRule type="cellIs" dxfId="10873" priority="13455" operator="greaterThan">
      <formula>0.505</formula>
    </cfRule>
    <cfRule type="cellIs" dxfId="10872" priority="13456" operator="between">
      <formula>0.48</formula>
      <formula>0.5</formula>
    </cfRule>
    <cfRule type="cellIs" dxfId="10871" priority="13457" stopIfTrue="1" operator="between">
      <formula>0</formula>
      <formula>0.255</formula>
    </cfRule>
  </conditionalFormatting>
  <conditionalFormatting sqref="R261">
    <cfRule type="cellIs" dxfId="10870" priority="13448" operator="between">
      <formula>0.3751</formula>
      <formula>0.475</formula>
    </cfRule>
    <cfRule type="cellIs" dxfId="10869" priority="13449" operator="between">
      <formula>0.2551</formula>
      <formula>0.375</formula>
    </cfRule>
    <cfRule type="cellIs" dxfId="10868" priority="13450" operator="greaterThan">
      <formula>0.505</formula>
    </cfRule>
    <cfRule type="cellIs" dxfId="10867" priority="13451" operator="between">
      <formula>0.48</formula>
      <formula>0.5</formula>
    </cfRule>
    <cfRule type="cellIs" dxfId="10866" priority="13452" stopIfTrue="1" operator="between">
      <formula>0</formula>
      <formula>0.255</formula>
    </cfRule>
  </conditionalFormatting>
  <conditionalFormatting sqref="R262">
    <cfRule type="cellIs" dxfId="10865" priority="13443" operator="between">
      <formula>0.3751</formula>
      <formula>0.475</formula>
    </cfRule>
    <cfRule type="cellIs" dxfId="10864" priority="13444" operator="between">
      <formula>0.2551</formula>
      <formula>0.375</formula>
    </cfRule>
    <cfRule type="cellIs" dxfId="10863" priority="13445" operator="greaterThan">
      <formula>0.505</formula>
    </cfRule>
    <cfRule type="cellIs" dxfId="10862" priority="13446" operator="between">
      <formula>0.48</formula>
      <formula>0.5</formula>
    </cfRule>
    <cfRule type="cellIs" dxfId="10861" priority="13447" stopIfTrue="1" operator="between">
      <formula>0</formula>
      <formula>0.255</formula>
    </cfRule>
  </conditionalFormatting>
  <conditionalFormatting sqref="R263">
    <cfRule type="cellIs" dxfId="10860" priority="13438" operator="between">
      <formula>0.3751</formula>
      <formula>0.475</formula>
    </cfRule>
    <cfRule type="cellIs" dxfId="10859" priority="13439" operator="between">
      <formula>0.2551</formula>
      <formula>0.375</formula>
    </cfRule>
    <cfRule type="cellIs" dxfId="10858" priority="13440" operator="greaterThan">
      <formula>0.505</formula>
    </cfRule>
    <cfRule type="cellIs" dxfId="10857" priority="13441" operator="between">
      <formula>0.48</formula>
      <formula>0.5</formula>
    </cfRule>
    <cfRule type="cellIs" dxfId="10856" priority="13442" stopIfTrue="1" operator="between">
      <formula>0</formula>
      <formula>0.255</formula>
    </cfRule>
  </conditionalFormatting>
  <conditionalFormatting sqref="R264">
    <cfRule type="cellIs" dxfId="10855" priority="13433" operator="between">
      <formula>0.3751</formula>
      <formula>0.475</formula>
    </cfRule>
    <cfRule type="cellIs" dxfId="10854" priority="13434" operator="between">
      <formula>0.2551</formula>
      <formula>0.375</formula>
    </cfRule>
    <cfRule type="cellIs" dxfId="10853" priority="13435" operator="greaterThan">
      <formula>0.505</formula>
    </cfRule>
    <cfRule type="cellIs" dxfId="10852" priority="13436" operator="between">
      <formula>0.48</formula>
      <formula>0.5</formula>
    </cfRule>
    <cfRule type="cellIs" dxfId="10851" priority="13437" stopIfTrue="1" operator="between">
      <formula>0</formula>
      <formula>0.255</formula>
    </cfRule>
  </conditionalFormatting>
  <conditionalFormatting sqref="R277">
    <cfRule type="cellIs" dxfId="10850" priority="13428" operator="between">
      <formula>0.3751</formula>
      <formula>0.475</formula>
    </cfRule>
    <cfRule type="cellIs" dxfId="10849" priority="13429" operator="between">
      <formula>0.2551</formula>
      <formula>0.375</formula>
    </cfRule>
    <cfRule type="cellIs" dxfId="10848" priority="13430" operator="greaterThan">
      <formula>0.505</formula>
    </cfRule>
    <cfRule type="cellIs" dxfId="10847" priority="13431" operator="between">
      <formula>0.48</formula>
      <formula>0.5</formula>
    </cfRule>
    <cfRule type="cellIs" dxfId="10846" priority="13432" stopIfTrue="1" operator="between">
      <formula>0</formula>
      <formula>0.255</formula>
    </cfRule>
  </conditionalFormatting>
  <conditionalFormatting sqref="R278">
    <cfRule type="cellIs" dxfId="10845" priority="13423" operator="between">
      <formula>0.3751</formula>
      <formula>0.475</formula>
    </cfRule>
    <cfRule type="cellIs" dxfId="10844" priority="13424" operator="between">
      <formula>0.2551</formula>
      <formula>0.375</formula>
    </cfRule>
    <cfRule type="cellIs" dxfId="10843" priority="13425" operator="greaterThan">
      <formula>0.505</formula>
    </cfRule>
    <cfRule type="cellIs" dxfId="10842" priority="13426" operator="between">
      <formula>0.48</formula>
      <formula>0.5</formula>
    </cfRule>
    <cfRule type="cellIs" dxfId="10841" priority="13427" stopIfTrue="1" operator="between">
      <formula>0</formula>
      <formula>0.255</formula>
    </cfRule>
  </conditionalFormatting>
  <conditionalFormatting sqref="R279">
    <cfRule type="cellIs" dxfId="10840" priority="13418" operator="between">
      <formula>0.3751</formula>
      <formula>0.475</formula>
    </cfRule>
    <cfRule type="cellIs" dxfId="10839" priority="13419" operator="between">
      <formula>0.2551</formula>
      <formula>0.375</formula>
    </cfRule>
    <cfRule type="cellIs" dxfId="10838" priority="13420" operator="greaterThan">
      <formula>0.505</formula>
    </cfRule>
    <cfRule type="cellIs" dxfId="10837" priority="13421" operator="between">
      <formula>0.48</formula>
      <formula>0.5</formula>
    </cfRule>
    <cfRule type="cellIs" dxfId="10836" priority="13422" stopIfTrue="1" operator="between">
      <formula>0</formula>
      <formula>0.255</formula>
    </cfRule>
  </conditionalFormatting>
  <conditionalFormatting sqref="R280">
    <cfRule type="cellIs" dxfId="10835" priority="13413" operator="between">
      <formula>0.3751</formula>
      <formula>0.475</formula>
    </cfRule>
    <cfRule type="cellIs" dxfId="10834" priority="13414" operator="between">
      <formula>0.2551</formula>
      <formula>0.375</formula>
    </cfRule>
    <cfRule type="cellIs" dxfId="10833" priority="13415" operator="greaterThan">
      <formula>0.505</formula>
    </cfRule>
    <cfRule type="cellIs" dxfId="10832" priority="13416" operator="between">
      <formula>0.48</formula>
      <formula>0.5</formula>
    </cfRule>
    <cfRule type="cellIs" dxfId="10831" priority="13417" stopIfTrue="1" operator="between">
      <formula>0</formula>
      <formula>0.255</formula>
    </cfRule>
  </conditionalFormatting>
  <conditionalFormatting sqref="R281">
    <cfRule type="cellIs" dxfId="10830" priority="13408" operator="between">
      <formula>0.3751</formula>
      <formula>0.475</formula>
    </cfRule>
    <cfRule type="cellIs" dxfId="10829" priority="13409" operator="between">
      <formula>0.2551</formula>
      <formula>0.375</formula>
    </cfRule>
    <cfRule type="cellIs" dxfId="10828" priority="13410" operator="greaterThan">
      <formula>0.505</formula>
    </cfRule>
    <cfRule type="cellIs" dxfId="10827" priority="13411" operator="between">
      <formula>0.48</formula>
      <formula>0.5</formula>
    </cfRule>
    <cfRule type="cellIs" dxfId="10826" priority="13412" stopIfTrue="1" operator="between">
      <formula>0</formula>
      <formula>0.255</formula>
    </cfRule>
  </conditionalFormatting>
  <conditionalFormatting sqref="R282">
    <cfRule type="cellIs" dxfId="10825" priority="13403" operator="between">
      <formula>0.3751</formula>
      <formula>0.475</formula>
    </cfRule>
    <cfRule type="cellIs" dxfId="10824" priority="13404" operator="between">
      <formula>0.2551</formula>
      <formula>0.375</formula>
    </cfRule>
    <cfRule type="cellIs" dxfId="10823" priority="13405" operator="greaterThan">
      <formula>0.505</formula>
    </cfRule>
    <cfRule type="cellIs" dxfId="10822" priority="13406" operator="between">
      <formula>0.48</formula>
      <formula>0.5</formula>
    </cfRule>
    <cfRule type="cellIs" dxfId="10821" priority="13407" stopIfTrue="1" operator="between">
      <formula>0</formula>
      <formula>0.255</formula>
    </cfRule>
  </conditionalFormatting>
  <conditionalFormatting sqref="R286">
    <cfRule type="cellIs" dxfId="10820" priority="13398" operator="between">
      <formula>0.3751</formula>
      <formula>0.475</formula>
    </cfRule>
    <cfRule type="cellIs" dxfId="10819" priority="13399" operator="between">
      <formula>0.2551</formula>
      <formula>0.375</formula>
    </cfRule>
    <cfRule type="cellIs" dxfId="10818" priority="13400" operator="greaterThan">
      <formula>0.505</formula>
    </cfRule>
    <cfRule type="cellIs" dxfId="10817" priority="13401" operator="between">
      <formula>0.48</formula>
      <formula>0.5</formula>
    </cfRule>
    <cfRule type="cellIs" dxfId="10816" priority="13402" stopIfTrue="1" operator="between">
      <formula>0</formula>
      <formula>0.255</formula>
    </cfRule>
  </conditionalFormatting>
  <conditionalFormatting sqref="R304">
    <cfRule type="cellIs" dxfId="10815" priority="13388" operator="between">
      <formula>0.3751</formula>
      <formula>0.475</formula>
    </cfRule>
    <cfRule type="cellIs" dxfId="10814" priority="13389" operator="between">
      <formula>0.2551</formula>
      <formula>0.375</formula>
    </cfRule>
    <cfRule type="cellIs" dxfId="10813" priority="13390" operator="greaterThan">
      <formula>0.505</formula>
    </cfRule>
    <cfRule type="cellIs" dxfId="10812" priority="13391" operator="between">
      <formula>0.48</formula>
      <formula>0.5</formula>
    </cfRule>
    <cfRule type="cellIs" dxfId="10811" priority="13392" stopIfTrue="1" operator="between">
      <formula>0</formula>
      <formula>0.255</formula>
    </cfRule>
  </conditionalFormatting>
  <conditionalFormatting sqref="R306">
    <cfRule type="cellIs" dxfId="10810" priority="13383" operator="between">
      <formula>0.3751</formula>
      <formula>0.475</formula>
    </cfRule>
    <cfRule type="cellIs" dxfId="10809" priority="13384" operator="between">
      <formula>0.2551</formula>
      <formula>0.375</formula>
    </cfRule>
    <cfRule type="cellIs" dxfId="10808" priority="13385" operator="greaterThan">
      <formula>0.505</formula>
    </cfRule>
    <cfRule type="cellIs" dxfId="10807" priority="13386" operator="between">
      <formula>0.48</formula>
      <formula>0.5</formula>
    </cfRule>
    <cfRule type="cellIs" dxfId="10806" priority="13387" stopIfTrue="1" operator="between">
      <formula>0</formula>
      <formula>0.255</formula>
    </cfRule>
  </conditionalFormatting>
  <conditionalFormatting sqref="R308">
    <cfRule type="cellIs" dxfId="10805" priority="13378" operator="between">
      <formula>0.3751</formula>
      <formula>0.475</formula>
    </cfRule>
    <cfRule type="cellIs" dxfId="10804" priority="13379" operator="between">
      <formula>0.2551</formula>
      <formula>0.375</formula>
    </cfRule>
    <cfRule type="cellIs" dxfId="10803" priority="13380" operator="greaterThan">
      <formula>0.505</formula>
    </cfRule>
    <cfRule type="cellIs" dxfId="10802" priority="13381" operator="between">
      <formula>0.48</formula>
      <formula>0.5</formula>
    </cfRule>
    <cfRule type="cellIs" dxfId="10801" priority="13382" stopIfTrue="1" operator="between">
      <formula>0</formula>
      <formula>0.255</formula>
    </cfRule>
  </conditionalFormatting>
  <conditionalFormatting sqref="R320">
    <cfRule type="cellIs" dxfId="10800" priority="13373" operator="between">
      <formula>0.3751</formula>
      <formula>0.475</formula>
    </cfRule>
    <cfRule type="cellIs" dxfId="10799" priority="13374" operator="between">
      <formula>0.2551</formula>
      <formula>0.375</formula>
    </cfRule>
    <cfRule type="cellIs" dxfId="10798" priority="13375" operator="greaterThan">
      <formula>0.505</formula>
    </cfRule>
    <cfRule type="cellIs" dxfId="10797" priority="13376" operator="between">
      <formula>0.48</formula>
      <formula>0.5</formula>
    </cfRule>
    <cfRule type="cellIs" dxfId="10796" priority="13377" stopIfTrue="1" operator="between">
      <formula>0</formula>
      <formula>0.255</formula>
    </cfRule>
  </conditionalFormatting>
  <conditionalFormatting sqref="R321">
    <cfRule type="cellIs" dxfId="10795" priority="13368" operator="between">
      <formula>0.3751</formula>
      <formula>0.475</formula>
    </cfRule>
    <cfRule type="cellIs" dxfId="10794" priority="13369" operator="between">
      <formula>0.2551</formula>
      <formula>0.375</formula>
    </cfRule>
    <cfRule type="cellIs" dxfId="10793" priority="13370" operator="greaterThan">
      <formula>0.505</formula>
    </cfRule>
    <cfRule type="cellIs" dxfId="10792" priority="13371" operator="between">
      <formula>0.48</formula>
      <formula>0.5</formula>
    </cfRule>
    <cfRule type="cellIs" dxfId="10791" priority="13372" stopIfTrue="1" operator="between">
      <formula>0</formula>
      <formula>0.255</formula>
    </cfRule>
  </conditionalFormatting>
  <conditionalFormatting sqref="R323">
    <cfRule type="cellIs" dxfId="10790" priority="13363" operator="between">
      <formula>0.3751</formula>
      <formula>0.475</formula>
    </cfRule>
    <cfRule type="cellIs" dxfId="10789" priority="13364" operator="between">
      <formula>0.2551</formula>
      <formula>0.375</formula>
    </cfRule>
    <cfRule type="cellIs" dxfId="10788" priority="13365" operator="greaterThan">
      <formula>0.505</formula>
    </cfRule>
    <cfRule type="cellIs" dxfId="10787" priority="13366" operator="between">
      <formula>0.48</formula>
      <formula>0.5</formula>
    </cfRule>
    <cfRule type="cellIs" dxfId="10786" priority="13367" stopIfTrue="1" operator="between">
      <formula>0</formula>
      <formula>0.255</formula>
    </cfRule>
  </conditionalFormatting>
  <conditionalFormatting sqref="R324">
    <cfRule type="cellIs" dxfId="10785" priority="13358" operator="between">
      <formula>0.3751</formula>
      <formula>0.475</formula>
    </cfRule>
    <cfRule type="cellIs" dxfId="10784" priority="13359" operator="between">
      <formula>0.2551</formula>
      <formula>0.375</formula>
    </cfRule>
    <cfRule type="cellIs" dxfId="10783" priority="13360" operator="greaterThan">
      <formula>0.505</formula>
    </cfRule>
    <cfRule type="cellIs" dxfId="10782" priority="13361" operator="between">
      <formula>0.48</formula>
      <formula>0.5</formula>
    </cfRule>
    <cfRule type="cellIs" dxfId="10781" priority="13362" stopIfTrue="1" operator="between">
      <formula>0</formula>
      <formula>0.255</formula>
    </cfRule>
  </conditionalFormatting>
  <conditionalFormatting sqref="R325">
    <cfRule type="cellIs" dxfId="10780" priority="13353" operator="between">
      <formula>0.3751</formula>
      <formula>0.475</formula>
    </cfRule>
    <cfRule type="cellIs" dxfId="10779" priority="13354" operator="between">
      <formula>0.2551</formula>
      <formula>0.375</formula>
    </cfRule>
    <cfRule type="cellIs" dxfId="10778" priority="13355" operator="greaterThan">
      <formula>0.505</formula>
    </cfRule>
    <cfRule type="cellIs" dxfId="10777" priority="13356" operator="between">
      <formula>0.48</formula>
      <formula>0.5</formula>
    </cfRule>
    <cfRule type="cellIs" dxfId="10776" priority="13357" stopIfTrue="1" operator="between">
      <formula>0</formula>
      <formula>0.255</formula>
    </cfRule>
  </conditionalFormatting>
  <conditionalFormatting sqref="R326">
    <cfRule type="cellIs" dxfId="10775" priority="13348" operator="between">
      <formula>0.3751</formula>
      <formula>0.475</formula>
    </cfRule>
    <cfRule type="cellIs" dxfId="10774" priority="13349" operator="between">
      <formula>0.2551</formula>
      <formula>0.375</formula>
    </cfRule>
    <cfRule type="cellIs" dxfId="10773" priority="13350" operator="greaterThan">
      <formula>0.505</formula>
    </cfRule>
    <cfRule type="cellIs" dxfId="10772" priority="13351" operator="between">
      <formula>0.48</formula>
      <formula>0.5</formula>
    </cfRule>
    <cfRule type="cellIs" dxfId="10771" priority="13352" stopIfTrue="1" operator="between">
      <formula>0</formula>
      <formula>0.255</formula>
    </cfRule>
  </conditionalFormatting>
  <conditionalFormatting sqref="R327">
    <cfRule type="cellIs" dxfId="10770" priority="13343" operator="between">
      <formula>0.3751</formula>
      <formula>0.475</formula>
    </cfRule>
    <cfRule type="cellIs" dxfId="10769" priority="13344" operator="between">
      <formula>0.2551</formula>
      <formula>0.375</formula>
    </cfRule>
    <cfRule type="cellIs" dxfId="10768" priority="13345" operator="greaterThan">
      <formula>0.505</formula>
    </cfRule>
    <cfRule type="cellIs" dxfId="10767" priority="13346" operator="between">
      <formula>0.48</formula>
      <formula>0.5</formula>
    </cfRule>
    <cfRule type="cellIs" dxfId="10766" priority="13347" stopIfTrue="1" operator="between">
      <formula>0</formula>
      <formula>0.255</formula>
    </cfRule>
  </conditionalFormatting>
  <conditionalFormatting sqref="R328">
    <cfRule type="cellIs" dxfId="10765" priority="13338" operator="between">
      <formula>0.3751</formula>
      <formula>0.475</formula>
    </cfRule>
    <cfRule type="cellIs" dxfId="10764" priority="13339" operator="between">
      <formula>0.2551</formula>
      <formula>0.375</formula>
    </cfRule>
    <cfRule type="cellIs" dxfId="10763" priority="13340" operator="greaterThan">
      <formula>0.505</formula>
    </cfRule>
    <cfRule type="cellIs" dxfId="10762" priority="13341" operator="between">
      <formula>0.48</formula>
      <formula>0.5</formula>
    </cfRule>
    <cfRule type="cellIs" dxfId="10761" priority="13342" stopIfTrue="1" operator="between">
      <formula>0</formula>
      <formula>0.255</formula>
    </cfRule>
  </conditionalFormatting>
  <conditionalFormatting sqref="R331">
    <cfRule type="cellIs" dxfId="10760" priority="13333" operator="between">
      <formula>0.3751</formula>
      <formula>0.475</formula>
    </cfRule>
    <cfRule type="cellIs" dxfId="10759" priority="13334" operator="between">
      <formula>0.2551</formula>
      <formula>0.375</formula>
    </cfRule>
    <cfRule type="cellIs" dxfId="10758" priority="13335" operator="greaterThan">
      <formula>0.505</formula>
    </cfRule>
    <cfRule type="cellIs" dxfId="10757" priority="13336" operator="between">
      <formula>0.48</formula>
      <formula>0.5</formula>
    </cfRule>
    <cfRule type="cellIs" dxfId="10756" priority="13337" stopIfTrue="1" operator="between">
      <formula>0</formula>
      <formula>0.255</formula>
    </cfRule>
  </conditionalFormatting>
  <conditionalFormatting sqref="R334">
    <cfRule type="cellIs" dxfId="10755" priority="13328" operator="between">
      <formula>0.3751</formula>
      <formula>0.475</formula>
    </cfRule>
    <cfRule type="cellIs" dxfId="10754" priority="13329" operator="between">
      <formula>0.2551</formula>
      <formula>0.375</formula>
    </cfRule>
    <cfRule type="cellIs" dxfId="10753" priority="13330" operator="greaterThan">
      <formula>0.505</formula>
    </cfRule>
    <cfRule type="cellIs" dxfId="10752" priority="13331" operator="between">
      <formula>0.48</formula>
      <formula>0.5</formula>
    </cfRule>
    <cfRule type="cellIs" dxfId="10751" priority="13332" stopIfTrue="1" operator="between">
      <formula>0</formula>
      <formula>0.255</formula>
    </cfRule>
  </conditionalFormatting>
  <conditionalFormatting sqref="R363">
    <cfRule type="cellIs" dxfId="10750" priority="13323" operator="between">
      <formula>0.3751</formula>
      <formula>0.475</formula>
    </cfRule>
    <cfRule type="cellIs" dxfId="10749" priority="13324" operator="between">
      <formula>0.2551</formula>
      <formula>0.375</formula>
    </cfRule>
    <cfRule type="cellIs" dxfId="10748" priority="13325" operator="greaterThan">
      <formula>0.505</formula>
    </cfRule>
    <cfRule type="cellIs" dxfId="10747" priority="13326" operator="between">
      <formula>0.48</formula>
      <formula>0.5</formula>
    </cfRule>
    <cfRule type="cellIs" dxfId="10746" priority="13327" stopIfTrue="1" operator="between">
      <formula>0</formula>
      <formula>0.255</formula>
    </cfRule>
  </conditionalFormatting>
  <conditionalFormatting sqref="R376">
    <cfRule type="cellIs" dxfId="10745" priority="13318" operator="between">
      <formula>0.3751</formula>
      <formula>0.475</formula>
    </cfRule>
    <cfRule type="cellIs" dxfId="10744" priority="13319" operator="between">
      <formula>0.2551</formula>
      <formula>0.375</formula>
    </cfRule>
    <cfRule type="cellIs" dxfId="10743" priority="13320" operator="greaterThan">
      <formula>0.505</formula>
    </cfRule>
    <cfRule type="cellIs" dxfId="10742" priority="13321" operator="between">
      <formula>0.48</formula>
      <formula>0.5</formula>
    </cfRule>
    <cfRule type="cellIs" dxfId="10741" priority="13322" stopIfTrue="1" operator="between">
      <formula>0</formula>
      <formula>0.255</formula>
    </cfRule>
  </conditionalFormatting>
  <conditionalFormatting sqref="R332">
    <cfRule type="cellIs" dxfId="10740" priority="13313" operator="between">
      <formula>0.3751</formula>
      <formula>0.475</formula>
    </cfRule>
    <cfRule type="cellIs" dxfId="10739" priority="13314" operator="between">
      <formula>0.2551</formula>
      <formula>0.375</formula>
    </cfRule>
    <cfRule type="cellIs" dxfId="10738" priority="13315" operator="greaterThan">
      <formula>0.505</formula>
    </cfRule>
    <cfRule type="cellIs" dxfId="10737" priority="13316" operator="between">
      <formula>0.4751</formula>
      <formula>0.5</formula>
    </cfRule>
    <cfRule type="cellIs" dxfId="10736" priority="13317" stopIfTrue="1" operator="between">
      <formula>0</formula>
      <formula>0.255</formula>
    </cfRule>
  </conditionalFormatting>
  <conditionalFormatting sqref="R322">
    <cfRule type="cellIs" dxfId="10735" priority="13308" operator="between">
      <formula>0.3751</formula>
      <formula>0.475</formula>
    </cfRule>
    <cfRule type="cellIs" dxfId="10734" priority="13309" operator="between">
      <formula>0.2551</formula>
      <formula>0.375</formula>
    </cfRule>
    <cfRule type="cellIs" dxfId="10733" priority="13310" operator="greaterThan">
      <formula>0.505</formula>
    </cfRule>
    <cfRule type="cellIs" dxfId="10732" priority="13311" operator="between">
      <formula>0.4751</formula>
      <formula>0.5</formula>
    </cfRule>
    <cfRule type="cellIs" dxfId="10731" priority="13312" stopIfTrue="1" operator="between">
      <formula>0</formula>
      <formula>0.255</formula>
    </cfRule>
  </conditionalFormatting>
  <conditionalFormatting sqref="R307">
    <cfRule type="cellIs" dxfId="10730" priority="13303" operator="between">
      <formula>0.3751</formula>
      <formula>0.475</formula>
    </cfRule>
    <cfRule type="cellIs" dxfId="10729" priority="13304" operator="between">
      <formula>0.2551</formula>
      <formula>0.375</formula>
    </cfRule>
    <cfRule type="cellIs" dxfId="10728" priority="13305" operator="greaterThan">
      <formula>0.505</formula>
    </cfRule>
    <cfRule type="cellIs" dxfId="10727" priority="13306" operator="between">
      <formula>0.4751</formula>
      <formula>0.5</formula>
    </cfRule>
    <cfRule type="cellIs" dxfId="10726" priority="13307" stopIfTrue="1" operator="between">
      <formula>0</formula>
      <formula>0.255</formula>
    </cfRule>
  </conditionalFormatting>
  <conditionalFormatting sqref="R303">
    <cfRule type="cellIs" dxfId="10725" priority="13298" operator="between">
      <formula>0.3751</formula>
      <formula>0.475</formula>
    </cfRule>
    <cfRule type="cellIs" dxfId="10724" priority="13299" operator="between">
      <formula>0.2551</formula>
      <formula>0.375</formula>
    </cfRule>
    <cfRule type="cellIs" dxfId="10723" priority="13300" operator="greaterThan">
      <formula>0.505</formula>
    </cfRule>
    <cfRule type="cellIs" dxfId="10722" priority="13301" operator="between">
      <formula>0.4751</formula>
      <formula>0.5</formula>
    </cfRule>
    <cfRule type="cellIs" dxfId="10721" priority="13302" stopIfTrue="1" operator="between">
      <formula>0</formula>
      <formula>0.255</formula>
    </cfRule>
  </conditionalFormatting>
  <conditionalFormatting sqref="R237">
    <cfRule type="cellIs" dxfId="10720" priority="13293" operator="between">
      <formula>0.3751</formula>
      <formula>0.475</formula>
    </cfRule>
    <cfRule type="cellIs" dxfId="10719" priority="13294" operator="between">
      <formula>0.2551</formula>
      <formula>0.375</formula>
    </cfRule>
    <cfRule type="cellIs" dxfId="10718" priority="13295" operator="greaterThan">
      <formula>0.505</formula>
    </cfRule>
    <cfRule type="cellIs" dxfId="10717" priority="13296" operator="between">
      <formula>0.4751</formula>
      <formula>0.5</formula>
    </cfRule>
    <cfRule type="cellIs" dxfId="10716" priority="13297" stopIfTrue="1" operator="between">
      <formula>0</formula>
      <formula>0.255</formula>
    </cfRule>
  </conditionalFormatting>
  <conditionalFormatting sqref="R227">
    <cfRule type="cellIs" dxfId="10715" priority="13288" operator="between">
      <formula>0.3751</formula>
      <formula>0.475</formula>
    </cfRule>
    <cfRule type="cellIs" dxfId="10714" priority="13289" operator="between">
      <formula>0.2551</formula>
      <formula>0.375</formula>
    </cfRule>
    <cfRule type="cellIs" dxfId="10713" priority="13290" operator="greaterThan">
      <formula>0.505</formula>
    </cfRule>
    <cfRule type="cellIs" dxfId="10712" priority="13291" operator="between">
      <formula>0.4751</formula>
      <formula>0.5</formula>
    </cfRule>
    <cfRule type="cellIs" dxfId="10711" priority="13292" stopIfTrue="1" operator="between">
      <formula>0</formula>
      <formula>0.255</formula>
    </cfRule>
  </conditionalFormatting>
  <conditionalFormatting sqref="R215">
    <cfRule type="cellIs" dxfId="10710" priority="13283" operator="between">
      <formula>0.3751</formula>
      <formula>0.475</formula>
    </cfRule>
    <cfRule type="cellIs" dxfId="10709" priority="13284" operator="between">
      <formula>0.2551</formula>
      <formula>0.375</formula>
    </cfRule>
    <cfRule type="cellIs" dxfId="10708" priority="13285" operator="greaterThan">
      <formula>0.505</formula>
    </cfRule>
    <cfRule type="cellIs" dxfId="10707" priority="13286" operator="between">
      <formula>0.4751</formula>
      <formula>0.5</formula>
    </cfRule>
    <cfRule type="cellIs" dxfId="10706" priority="13287" stopIfTrue="1" operator="between">
      <formula>0</formula>
      <formula>0.255</formula>
    </cfRule>
  </conditionalFormatting>
  <conditionalFormatting sqref="R206">
    <cfRule type="cellIs" dxfId="10705" priority="13278" operator="between">
      <formula>0.3751</formula>
      <formula>0.475</formula>
    </cfRule>
    <cfRule type="cellIs" dxfId="10704" priority="13279" operator="between">
      <formula>0.2551</formula>
      <formula>0.375</formula>
    </cfRule>
    <cfRule type="cellIs" dxfId="10703" priority="13280" operator="greaterThan">
      <formula>0.505</formula>
    </cfRule>
    <cfRule type="cellIs" dxfId="10702" priority="13281" operator="between">
      <formula>0.4751</formula>
      <formula>0.5</formula>
    </cfRule>
    <cfRule type="cellIs" dxfId="10701" priority="13282" stopIfTrue="1" operator="between">
      <formula>0</formula>
      <formula>0.255</formula>
    </cfRule>
  </conditionalFormatting>
  <conditionalFormatting sqref="R183">
    <cfRule type="cellIs" dxfId="10700" priority="13273" operator="between">
      <formula>0.3751</formula>
      <formula>0.475</formula>
    </cfRule>
    <cfRule type="cellIs" dxfId="10699" priority="13274" operator="between">
      <formula>0.2551</formula>
      <formula>0.375</formula>
    </cfRule>
    <cfRule type="cellIs" dxfId="10698" priority="13275" operator="greaterThan">
      <formula>0.505</formula>
    </cfRule>
    <cfRule type="cellIs" dxfId="10697" priority="13276" operator="between">
      <formula>0.4751</formula>
      <formula>0.5</formula>
    </cfRule>
    <cfRule type="cellIs" dxfId="10696" priority="13277" stopIfTrue="1" operator="between">
      <formula>0</formula>
      <formula>0.255</formula>
    </cfRule>
  </conditionalFormatting>
  <conditionalFormatting sqref="R118">
    <cfRule type="cellIs" dxfId="10695" priority="13268" operator="between">
      <formula>0.3751</formula>
      <formula>0.475</formula>
    </cfRule>
    <cfRule type="cellIs" dxfId="10694" priority="13269" operator="between">
      <formula>0.2551</formula>
      <formula>0.375</formula>
    </cfRule>
    <cfRule type="cellIs" dxfId="10693" priority="13270" operator="greaterThan">
      <formula>0.505</formula>
    </cfRule>
    <cfRule type="cellIs" dxfId="10692" priority="13271" operator="between">
      <formula>0.4751</formula>
      <formula>0.5</formula>
    </cfRule>
    <cfRule type="cellIs" dxfId="10691" priority="13272" stopIfTrue="1" operator="between">
      <formula>0</formula>
      <formula>0.255</formula>
    </cfRule>
  </conditionalFormatting>
  <conditionalFormatting sqref="R109">
    <cfRule type="cellIs" dxfId="10690" priority="13263" operator="between">
      <formula>0.3751</formula>
      <formula>0.475</formula>
    </cfRule>
    <cfRule type="cellIs" dxfId="10689" priority="13264" operator="between">
      <formula>0.2551</formula>
      <formula>0.375</formula>
    </cfRule>
    <cfRule type="cellIs" dxfId="10688" priority="13265" operator="greaterThan">
      <formula>0.505</formula>
    </cfRule>
    <cfRule type="cellIs" dxfId="10687" priority="13266" operator="between">
      <formula>0.4751</formula>
      <formula>0.5</formula>
    </cfRule>
    <cfRule type="cellIs" dxfId="10686" priority="13267" stopIfTrue="1" operator="between">
      <formula>0</formula>
      <formula>0.255</formula>
    </cfRule>
  </conditionalFormatting>
  <conditionalFormatting sqref="R85">
    <cfRule type="cellIs" dxfId="10685" priority="13258" operator="between">
      <formula>0.3751</formula>
      <formula>0.475</formula>
    </cfRule>
    <cfRule type="cellIs" dxfId="10684" priority="13259" operator="between">
      <formula>0.2551</formula>
      <formula>0.375</formula>
    </cfRule>
    <cfRule type="cellIs" dxfId="10683" priority="13260" operator="greaterThan">
      <formula>0.505</formula>
    </cfRule>
    <cfRule type="cellIs" dxfId="10682" priority="13261" operator="between">
      <formula>0.4751</formula>
      <formula>0.5</formula>
    </cfRule>
    <cfRule type="cellIs" dxfId="10681" priority="13262" stopIfTrue="1" operator="between">
      <formula>0</formula>
      <formula>0.255</formula>
    </cfRule>
  </conditionalFormatting>
  <conditionalFormatting sqref="R70">
    <cfRule type="cellIs" dxfId="10680" priority="13253" operator="between">
      <formula>0.3751</formula>
      <formula>0.475</formula>
    </cfRule>
    <cfRule type="cellIs" dxfId="10679" priority="13254" operator="between">
      <formula>0.2551</formula>
      <formula>0.375</formula>
    </cfRule>
    <cfRule type="cellIs" dxfId="10678" priority="13255" operator="greaterThan">
      <formula>0.505</formula>
    </cfRule>
    <cfRule type="cellIs" dxfId="10677" priority="13256" operator="between">
      <formula>0.4751</formula>
      <formula>0.5</formula>
    </cfRule>
    <cfRule type="cellIs" dxfId="10676" priority="13257" stopIfTrue="1" operator="between">
      <formula>0</formula>
      <formula>0.255</formula>
    </cfRule>
  </conditionalFormatting>
  <conditionalFormatting sqref="R43">
    <cfRule type="cellIs" dxfId="10675" priority="13248" operator="between">
      <formula>0.3751</formula>
      <formula>0.475</formula>
    </cfRule>
    <cfRule type="cellIs" dxfId="10674" priority="13249" operator="between">
      <formula>0.2551</formula>
      <formula>0.375</formula>
    </cfRule>
    <cfRule type="cellIs" dxfId="10673" priority="13250" operator="greaterThan">
      <formula>0.505</formula>
    </cfRule>
    <cfRule type="cellIs" dxfId="10672" priority="13251" operator="between">
      <formula>0.4751</formula>
      <formula>0.5</formula>
    </cfRule>
    <cfRule type="cellIs" dxfId="10671" priority="13252" stopIfTrue="1" operator="between">
      <formula>0</formula>
      <formula>0.255</formula>
    </cfRule>
  </conditionalFormatting>
  <conditionalFormatting sqref="R383">
    <cfRule type="cellIs" dxfId="10670" priority="13233" operator="between">
      <formula>0.3751</formula>
      <formula>0.475</formula>
    </cfRule>
    <cfRule type="cellIs" dxfId="10669" priority="13234" operator="between">
      <formula>0.2551</formula>
      <formula>0.375</formula>
    </cfRule>
    <cfRule type="cellIs" dxfId="10668" priority="13235" operator="greaterThan">
      <formula>0.505</formula>
    </cfRule>
    <cfRule type="cellIs" dxfId="10667" priority="13236" operator="between">
      <formula>0.4751</formula>
      <formula>0.5</formula>
    </cfRule>
    <cfRule type="cellIs" dxfId="10666" priority="13237" stopIfTrue="1" operator="between">
      <formula>0</formula>
      <formula>0.255</formula>
    </cfRule>
  </conditionalFormatting>
  <conditionalFormatting sqref="R65">
    <cfRule type="cellIs" dxfId="10665" priority="13223" operator="between">
      <formula>0.3751</formula>
      <formula>0.475</formula>
    </cfRule>
    <cfRule type="cellIs" dxfId="10664" priority="13224" operator="between">
      <formula>0.2551</formula>
      <formula>0.37505</formula>
    </cfRule>
    <cfRule type="cellIs" dxfId="10663" priority="13225" operator="greaterThan">
      <formula>0.505</formula>
    </cfRule>
    <cfRule type="cellIs" dxfId="10662" priority="13226" operator="between">
      <formula>0.48</formula>
      <formula>0.5</formula>
    </cfRule>
    <cfRule type="cellIs" dxfId="10661" priority="13227" stopIfTrue="1" operator="between">
      <formula>0</formula>
      <formula>0.255</formula>
    </cfRule>
  </conditionalFormatting>
  <conditionalFormatting sqref="I386">
    <cfRule type="cellIs" dxfId="10660" priority="13218" operator="between">
      <formula>0.76</formula>
      <formula>0.95</formula>
    </cfRule>
    <cfRule type="cellIs" dxfId="10659" priority="13219" operator="between">
      <formula>0.51</formula>
      <formula>0.75</formula>
    </cfRule>
    <cfRule type="cellIs" dxfId="10658" priority="13220" operator="greaterThan">
      <formula>1</formula>
    </cfRule>
    <cfRule type="cellIs" dxfId="10657" priority="13221" operator="between">
      <formula>0.95</formula>
      <formula>1</formula>
    </cfRule>
    <cfRule type="cellIs" dxfId="10656" priority="13222" stopIfTrue="1" operator="between">
      <formula>0</formula>
      <formula>0.5</formula>
    </cfRule>
  </conditionalFormatting>
  <conditionalFormatting sqref="P386">
    <cfRule type="cellIs" dxfId="10655" priority="13173" operator="between">
      <formula>0.76</formula>
      <formula>0.95</formula>
    </cfRule>
    <cfRule type="cellIs" dxfId="10654" priority="13174" operator="between">
      <formula>0.51</formula>
      <formula>0.75</formula>
    </cfRule>
    <cfRule type="cellIs" dxfId="10653" priority="13175" operator="greaterThan">
      <formula>1</formula>
    </cfRule>
    <cfRule type="cellIs" dxfId="10652" priority="13176" operator="between">
      <formula>0.95</formula>
      <formula>1</formula>
    </cfRule>
    <cfRule type="cellIs" dxfId="10651" priority="13177" stopIfTrue="1" operator="between">
      <formula>0</formula>
      <formula>0.5</formula>
    </cfRule>
  </conditionalFormatting>
  <conditionalFormatting sqref="K386">
    <cfRule type="cellIs" dxfId="10650" priority="13163" operator="between">
      <formula>0.191</formula>
      <formula>0.24</formula>
    </cfRule>
    <cfRule type="cellIs" dxfId="10649" priority="13164" operator="between">
      <formula>0.1251</formula>
      <formula>0.19</formula>
    </cfRule>
    <cfRule type="cellIs" dxfId="10648" priority="13165" operator="greaterThan">
      <formula>0.2601</formula>
    </cfRule>
    <cfRule type="cellIs" dxfId="10647" priority="13166" operator="between">
      <formula>0.2401</formula>
      <formula>0.26</formula>
    </cfRule>
    <cfRule type="cellIs" dxfId="10646" priority="13167" stopIfTrue="1" operator="between">
      <formula>0</formula>
      <formula>0.125</formula>
    </cfRule>
  </conditionalFormatting>
  <conditionalFormatting sqref="R386">
    <cfRule type="cellIs" dxfId="10645" priority="13158" operator="between">
      <formula>0.3751</formula>
      <formula>0.475</formula>
    </cfRule>
    <cfRule type="cellIs" dxfId="10644" priority="13159" operator="between">
      <formula>0.2551</formula>
      <formula>0.375</formula>
    </cfRule>
    <cfRule type="cellIs" dxfId="10643" priority="13160" operator="greaterThan">
      <formula>0.505</formula>
    </cfRule>
    <cfRule type="cellIs" dxfId="10642" priority="13161" operator="between">
      <formula>0.48</formula>
      <formula>0.51</formula>
    </cfRule>
    <cfRule type="cellIs" dxfId="10641" priority="13162" stopIfTrue="1" operator="between">
      <formula>0</formula>
      <formula>0.255</formula>
    </cfRule>
  </conditionalFormatting>
  <conditionalFormatting sqref="W386">
    <cfRule type="cellIs" dxfId="10640" priority="13153" operator="between">
      <formula>0.76</formula>
      <formula>0.95</formula>
    </cfRule>
    <cfRule type="cellIs" dxfId="10639" priority="13154" operator="between">
      <formula>0.51</formula>
      <formula>0.75</formula>
    </cfRule>
    <cfRule type="cellIs" dxfId="10638" priority="13155" operator="greaterThan">
      <formula>1</formula>
    </cfRule>
    <cfRule type="cellIs" dxfId="10637" priority="13156" operator="between">
      <formula>0.95</formula>
      <formula>1</formula>
    </cfRule>
    <cfRule type="cellIs" dxfId="10636" priority="13157" stopIfTrue="1" operator="between">
      <formula>0</formula>
      <formula>0.5</formula>
    </cfRule>
  </conditionalFormatting>
  <conditionalFormatting sqref="Q386">
    <cfRule type="cellIs" dxfId="10635" priority="13128" operator="between">
      <formula>0.76</formula>
      <formula>0.95</formula>
    </cfRule>
    <cfRule type="cellIs" dxfId="10634" priority="13129" operator="between">
      <formula>0.51</formula>
      <formula>0.75</formula>
    </cfRule>
    <cfRule type="cellIs" dxfId="10633" priority="13130" operator="greaterThan">
      <formula>1</formula>
    </cfRule>
    <cfRule type="cellIs" dxfId="10632" priority="13131" operator="between">
      <formula>0.95</formula>
      <formula>1</formula>
    </cfRule>
    <cfRule type="cellIs" dxfId="10631" priority="13132" stopIfTrue="1" operator="between">
      <formula>0</formula>
      <formula>0.5</formula>
    </cfRule>
  </conditionalFormatting>
  <conditionalFormatting sqref="Q385">
    <cfRule type="cellIs" dxfId="10630" priority="13133" operator="between">
      <formula>0.751</formula>
      <formula>0.95</formula>
    </cfRule>
    <cfRule type="cellIs" dxfId="10629" priority="13134" operator="between">
      <formula>0.51</formula>
      <formula>0.75</formula>
    </cfRule>
    <cfRule type="cellIs" dxfId="10628" priority="13135" operator="greaterThan">
      <formula>1</formula>
    </cfRule>
    <cfRule type="cellIs" dxfId="10627" priority="13136" operator="between">
      <formula>0.95</formula>
      <formula>1</formula>
    </cfRule>
    <cfRule type="cellIs" dxfId="10626" priority="13137" stopIfTrue="1" operator="between">
      <formula>0</formula>
      <formula>0.5</formula>
    </cfRule>
  </conditionalFormatting>
  <conditionalFormatting sqref="S15:T16 S98:T99 S110:T111 S239:T240 S304:T304 S308:T308 T323:T327 S334:T334 S383:T383 S120:T121 T37:T38 T155:T156 T42 T34:T35 S107:T108 T331 T320:T321 T151:T152 T277:T281 T243:T244 T247:T248 T251:T252 T286 T164 T144 T166 T292:T299 T114 T257:T266 T17:T30 S71:T79 S86:T94 S102:T103 T112 S112:S114 T122:T125 S122:S182 S184:T205 S207:T214 S216:T226 S228:T236 S241:S275 S44:T69 S83:T84 S277:S302 S40:S42 S17:S38 S336:S381 T363:T376 S38:T38 S306:T306 S116:T117">
    <cfRule type="cellIs" dxfId="10625" priority="13118" operator="between">
      <formula>0.376</formula>
      <formula>0.475</formula>
    </cfRule>
    <cfRule type="cellIs" dxfId="10624" priority="13119" operator="between">
      <formula>0.2551</formula>
      <formula>0.3751</formula>
    </cfRule>
    <cfRule type="cellIs" dxfId="10623" priority="13120" operator="greaterThan">
      <formula>0.505</formula>
    </cfRule>
    <cfRule type="cellIs" dxfId="10622" priority="13121" operator="between">
      <formula>0.48</formula>
      <formula>0.5</formula>
    </cfRule>
    <cfRule type="cellIs" dxfId="10621" priority="13122" stopIfTrue="1" operator="between">
      <formula>0</formula>
      <formula>0.255</formula>
    </cfRule>
  </conditionalFormatting>
  <conditionalFormatting sqref="S385">
    <cfRule type="cellIs" dxfId="10620" priority="13103" operator="between">
      <formula>0.3751</formula>
      <formula>0.475</formula>
    </cfRule>
    <cfRule type="cellIs" dxfId="10619" priority="13104" operator="between">
      <formula>0.2551</formula>
      <formula>0.375</formula>
    </cfRule>
    <cfRule type="cellIs" dxfId="10618" priority="13105" operator="greaterThan">
      <formula>0.505</formula>
    </cfRule>
    <cfRule type="cellIs" dxfId="10617" priority="13106" operator="between">
      <formula>0.48</formula>
      <formula>0.51</formula>
    </cfRule>
    <cfRule type="cellIs" dxfId="10616" priority="13107" stopIfTrue="1" operator="between">
      <formula>0</formula>
      <formula>0.255</formula>
    </cfRule>
  </conditionalFormatting>
  <conditionalFormatting sqref="S386">
    <cfRule type="cellIs" dxfId="10615" priority="13098" operator="between">
      <formula>0.3751</formula>
      <formula>0.475</formula>
    </cfRule>
    <cfRule type="cellIs" dxfId="10614" priority="13099" operator="between">
      <formula>0.2551</formula>
      <formula>0.375</formula>
    </cfRule>
    <cfRule type="cellIs" dxfId="10613" priority="13100" operator="greaterThan">
      <formula>0.505</formula>
    </cfRule>
    <cfRule type="cellIs" dxfId="10612" priority="13101" operator="between">
      <formula>0.48</formula>
      <formula>0.51</formula>
    </cfRule>
    <cfRule type="cellIs" dxfId="10611" priority="13102" stopIfTrue="1" operator="between">
      <formula>0</formula>
      <formula>0.255</formula>
    </cfRule>
  </conditionalFormatting>
  <conditionalFormatting sqref="Q384">
    <cfRule type="cellIs" dxfId="10610" priority="13093" operator="between">
      <formula>0.76</formula>
      <formula>0.95</formula>
    </cfRule>
    <cfRule type="cellIs" dxfId="10609" priority="13094" operator="between">
      <formula>0.51</formula>
      <formula>0.75</formula>
    </cfRule>
    <cfRule type="cellIs" dxfId="10608" priority="13095" operator="greaterThan">
      <formula>1</formula>
    </cfRule>
    <cfRule type="cellIs" dxfId="10607" priority="13096" operator="between">
      <formula>0.95</formula>
      <formula>1</formula>
    </cfRule>
    <cfRule type="cellIs" dxfId="10606" priority="13097" stopIfTrue="1" operator="between">
      <formula>0</formula>
      <formula>0.5</formula>
    </cfRule>
  </conditionalFormatting>
  <conditionalFormatting sqref="S384">
    <cfRule type="cellIs" dxfId="10605" priority="13088" operator="between">
      <formula>0.38</formula>
      <formula>0.475</formula>
    </cfRule>
    <cfRule type="cellIs" dxfId="10604" priority="13089" operator="between">
      <formula>0.2551</formula>
      <formula>0.375</formula>
    </cfRule>
    <cfRule type="cellIs" dxfId="10603" priority="13090" operator="greaterThan">
      <formula>0.505</formula>
    </cfRule>
    <cfRule type="cellIs" dxfId="10602" priority="13091" operator="between">
      <formula>0.48</formula>
      <formula>0.51</formula>
    </cfRule>
    <cfRule type="cellIs" dxfId="10601" priority="13092" stopIfTrue="1" operator="between">
      <formula>0</formula>
      <formula>0.255</formula>
    </cfRule>
  </conditionalFormatting>
  <conditionalFormatting sqref="S43">
    <cfRule type="cellIs" dxfId="10600" priority="13078" operator="between">
      <formula>0.3751</formula>
      <formula>0.475</formula>
    </cfRule>
    <cfRule type="cellIs" dxfId="10599" priority="13079" operator="between">
      <formula>0.2551</formula>
      <formula>0.375</formula>
    </cfRule>
    <cfRule type="cellIs" dxfId="10598" priority="13080" operator="greaterThan">
      <formula>0.505</formula>
    </cfRule>
    <cfRule type="cellIs" dxfId="10597" priority="13081" operator="between">
      <formula>0.4751</formula>
      <formula>0.5</formula>
    </cfRule>
    <cfRule type="cellIs" dxfId="10596" priority="13082" stopIfTrue="1" operator="between">
      <formula>0</formula>
      <formula>0.255</formula>
    </cfRule>
  </conditionalFormatting>
  <conditionalFormatting sqref="Q70">
    <cfRule type="cellIs" dxfId="10595" priority="13073" operator="between">
      <formula>0.76</formula>
      <formula>0.95</formula>
    </cfRule>
    <cfRule type="cellIs" dxfId="10594" priority="13074" operator="between">
      <formula>0.51</formula>
      <formula>0.75</formula>
    </cfRule>
    <cfRule type="cellIs" dxfId="10593" priority="13075" operator="greaterThan">
      <formula>1</formula>
    </cfRule>
    <cfRule type="cellIs" dxfId="10592" priority="13076" operator="between">
      <formula>0.95</formula>
      <formula>1</formula>
    </cfRule>
    <cfRule type="cellIs" dxfId="10591" priority="13077" stopIfTrue="1" operator="between">
      <formula>0</formula>
      <formula>0.5</formula>
    </cfRule>
  </conditionalFormatting>
  <conditionalFormatting sqref="Q85">
    <cfRule type="cellIs" dxfId="10590" priority="13063" operator="between">
      <formula>0.76</formula>
      <formula>0.95</formula>
    </cfRule>
    <cfRule type="cellIs" dxfId="10589" priority="13064" operator="between">
      <formula>0.51</formula>
      <formula>0.75</formula>
    </cfRule>
    <cfRule type="cellIs" dxfId="10588" priority="13065" operator="greaterThan">
      <formula>1</formula>
    </cfRule>
    <cfRule type="cellIs" dxfId="10587" priority="13066" operator="between">
      <formula>0.95</formula>
      <formula>1</formula>
    </cfRule>
    <cfRule type="cellIs" dxfId="10586" priority="13067" stopIfTrue="1" operator="between">
      <formula>0</formula>
      <formula>0.5</formula>
    </cfRule>
  </conditionalFormatting>
  <conditionalFormatting sqref="S85">
    <cfRule type="cellIs" dxfId="10585" priority="13058" operator="between">
      <formula>0.3751</formula>
      <formula>0.475</formula>
    </cfRule>
    <cfRule type="cellIs" dxfId="10584" priority="13059" operator="between">
      <formula>0.2551</formula>
      <formula>0.375</formula>
    </cfRule>
    <cfRule type="cellIs" dxfId="10583" priority="13060" operator="greaterThan">
      <formula>0.505</formula>
    </cfRule>
    <cfRule type="cellIs" dxfId="10582" priority="13061" operator="between">
      <formula>0.4751</formula>
      <formula>0.5</formula>
    </cfRule>
    <cfRule type="cellIs" dxfId="10581" priority="13062" stopIfTrue="1" operator="between">
      <formula>0</formula>
      <formula>0.255</formula>
    </cfRule>
  </conditionalFormatting>
  <conditionalFormatting sqref="Q109">
    <cfRule type="cellIs" dxfId="10580" priority="13053" operator="between">
      <formula>0.76</formula>
      <formula>0.95</formula>
    </cfRule>
    <cfRule type="cellIs" dxfId="10579" priority="13054" operator="between">
      <formula>0.51</formula>
      <formula>0.75</formula>
    </cfRule>
    <cfRule type="cellIs" dxfId="10578" priority="13055" operator="greaterThan">
      <formula>1</formula>
    </cfRule>
    <cfRule type="cellIs" dxfId="10577" priority="13056" operator="between">
      <formula>0.95</formula>
      <formula>1</formula>
    </cfRule>
    <cfRule type="cellIs" dxfId="10576" priority="13057" stopIfTrue="1" operator="between">
      <formula>0</formula>
      <formula>0.5</formula>
    </cfRule>
  </conditionalFormatting>
  <conditionalFormatting sqref="S109">
    <cfRule type="cellIs" dxfId="10575" priority="13048" operator="between">
      <formula>0.3751</formula>
      <formula>0.475</formula>
    </cfRule>
    <cfRule type="cellIs" dxfId="10574" priority="13049" operator="between">
      <formula>0.2551</formula>
      <formula>0.375</formula>
    </cfRule>
    <cfRule type="cellIs" dxfId="10573" priority="13050" operator="greaterThan">
      <formula>0.505</formula>
    </cfRule>
    <cfRule type="cellIs" dxfId="10572" priority="13051" operator="between">
      <formula>0.4751</formula>
      <formula>0.5</formula>
    </cfRule>
    <cfRule type="cellIs" dxfId="10571" priority="13052" stopIfTrue="1" operator="between">
      <formula>0</formula>
      <formula>0.255</formula>
    </cfRule>
  </conditionalFormatting>
  <conditionalFormatting sqref="Q118">
    <cfRule type="cellIs" dxfId="10570" priority="13043" operator="between">
      <formula>0.76</formula>
      <formula>0.95</formula>
    </cfRule>
    <cfRule type="cellIs" dxfId="10569" priority="13044" operator="between">
      <formula>0.51</formula>
      <formula>0.75</formula>
    </cfRule>
    <cfRule type="cellIs" dxfId="10568" priority="13045" operator="greaterThan">
      <formula>1</formula>
    </cfRule>
    <cfRule type="cellIs" dxfId="10567" priority="13046" operator="between">
      <formula>0.95</formula>
      <formula>1</formula>
    </cfRule>
    <cfRule type="cellIs" dxfId="10566" priority="13047" stopIfTrue="1" operator="between">
      <formula>0</formula>
      <formula>0.5</formula>
    </cfRule>
  </conditionalFormatting>
  <conditionalFormatting sqref="S118">
    <cfRule type="cellIs" dxfId="10565" priority="13038" operator="between">
      <formula>0.3751</formula>
      <formula>0.475</formula>
    </cfRule>
    <cfRule type="cellIs" dxfId="10564" priority="13039" operator="between">
      <formula>0.2551</formula>
      <formula>0.375</formula>
    </cfRule>
    <cfRule type="cellIs" dxfId="10563" priority="13040" operator="greaterThan">
      <formula>0.505</formula>
    </cfRule>
    <cfRule type="cellIs" dxfId="10562" priority="13041" operator="between">
      <formula>0.4751</formula>
      <formula>0.5</formula>
    </cfRule>
    <cfRule type="cellIs" dxfId="10561" priority="13042" stopIfTrue="1" operator="between">
      <formula>0</formula>
      <formula>0.255</formula>
    </cfRule>
  </conditionalFormatting>
  <conditionalFormatting sqref="Q119">
    <cfRule type="cellIs" dxfId="10560" priority="13033" operator="between">
      <formula>0.76</formula>
      <formula>0.95</formula>
    </cfRule>
    <cfRule type="cellIs" dxfId="10559" priority="13034" operator="between">
      <formula>0.51</formula>
      <formula>0.75</formula>
    </cfRule>
    <cfRule type="cellIs" dxfId="10558" priority="13035" operator="greaterThan">
      <formula>1</formula>
    </cfRule>
    <cfRule type="cellIs" dxfId="10557" priority="13036" operator="between">
      <formula>0.95</formula>
      <formula>1</formula>
    </cfRule>
    <cfRule type="cellIs" dxfId="10556" priority="13037" stopIfTrue="1" operator="between">
      <formula>0</formula>
      <formula>0.5</formula>
    </cfRule>
  </conditionalFormatting>
  <conditionalFormatting sqref="Q183">
    <cfRule type="cellIs" dxfId="10555" priority="13018" operator="between">
      <formula>0.76</formula>
      <formula>0.95</formula>
    </cfRule>
    <cfRule type="cellIs" dxfId="10554" priority="13019" operator="between">
      <formula>0.51</formula>
      <formula>0.75</formula>
    </cfRule>
    <cfRule type="cellIs" dxfId="10553" priority="13020" operator="greaterThan">
      <formula>1</formula>
    </cfRule>
    <cfRule type="cellIs" dxfId="10552" priority="13021" operator="between">
      <formula>0.95</formula>
      <formula>1</formula>
    </cfRule>
    <cfRule type="cellIs" dxfId="10551" priority="13022" stopIfTrue="1" operator="between">
      <formula>0</formula>
      <formula>0.5</formula>
    </cfRule>
  </conditionalFormatting>
  <conditionalFormatting sqref="S183">
    <cfRule type="cellIs" dxfId="10550" priority="13013" operator="between">
      <formula>0.3751</formula>
      <formula>0.475</formula>
    </cfRule>
    <cfRule type="cellIs" dxfId="10549" priority="13014" operator="between">
      <formula>0.2551</formula>
      <formula>0.375</formula>
    </cfRule>
    <cfRule type="cellIs" dxfId="10548" priority="13015" operator="greaterThan">
      <formula>0.505</formula>
    </cfRule>
    <cfRule type="cellIs" dxfId="10547" priority="13016" operator="between">
      <formula>0.4751</formula>
      <formula>0.5</formula>
    </cfRule>
    <cfRule type="cellIs" dxfId="10546" priority="13017" stopIfTrue="1" operator="between">
      <formula>0</formula>
      <formula>0.255</formula>
    </cfRule>
  </conditionalFormatting>
  <conditionalFormatting sqref="Q206">
    <cfRule type="cellIs" dxfId="10545" priority="13008" operator="between">
      <formula>0.76</formula>
      <formula>0.95</formula>
    </cfRule>
    <cfRule type="cellIs" dxfId="10544" priority="13009" operator="between">
      <formula>0.51</formula>
      <formula>0.75</formula>
    </cfRule>
    <cfRule type="cellIs" dxfId="10543" priority="13010" operator="greaterThan">
      <formula>1</formula>
    </cfRule>
    <cfRule type="cellIs" dxfId="10542" priority="13011" operator="between">
      <formula>0.95</formula>
      <formula>1</formula>
    </cfRule>
    <cfRule type="cellIs" dxfId="10541" priority="13012" stopIfTrue="1" operator="between">
      <formula>0</formula>
      <formula>0.5</formula>
    </cfRule>
  </conditionalFormatting>
  <conditionalFormatting sqref="S206">
    <cfRule type="cellIs" dxfId="10540" priority="13003" operator="between">
      <formula>0.3751</formula>
      <formula>0.475</formula>
    </cfRule>
    <cfRule type="cellIs" dxfId="10539" priority="13004" operator="between">
      <formula>0.2551</formula>
      <formula>0.375</formula>
    </cfRule>
    <cfRule type="cellIs" dxfId="10538" priority="13005" operator="greaterThan">
      <formula>0.505</formula>
    </cfRule>
    <cfRule type="cellIs" dxfId="10537" priority="13006" operator="between">
      <formula>0.4751</formula>
      <formula>0.5</formula>
    </cfRule>
    <cfRule type="cellIs" dxfId="10536" priority="13007" stopIfTrue="1" operator="between">
      <formula>0</formula>
      <formula>0.255</formula>
    </cfRule>
  </conditionalFormatting>
  <conditionalFormatting sqref="Q215">
    <cfRule type="cellIs" dxfId="10535" priority="12993" operator="between">
      <formula>0.76</formula>
      <formula>0.95</formula>
    </cfRule>
    <cfRule type="cellIs" dxfId="10534" priority="12994" operator="between">
      <formula>0.51</formula>
      <formula>0.75</formula>
    </cfRule>
    <cfRule type="cellIs" dxfId="10533" priority="12995" operator="greaterThan">
      <formula>1</formula>
    </cfRule>
    <cfRule type="cellIs" dxfId="10532" priority="12996" operator="between">
      <formula>0.95</formula>
      <formula>1</formula>
    </cfRule>
    <cfRule type="cellIs" dxfId="10531" priority="12997" stopIfTrue="1" operator="between">
      <formula>0</formula>
      <formula>0.5</formula>
    </cfRule>
  </conditionalFormatting>
  <conditionalFormatting sqref="S215">
    <cfRule type="cellIs" dxfId="10530" priority="12988" operator="between">
      <formula>0.3751</formula>
      <formula>0.475</formula>
    </cfRule>
    <cfRule type="cellIs" dxfId="10529" priority="12989" operator="between">
      <formula>0.2551</formula>
      <formula>0.375</formula>
    </cfRule>
    <cfRule type="cellIs" dxfId="10528" priority="12990" operator="greaterThan">
      <formula>0.505</formula>
    </cfRule>
    <cfRule type="cellIs" dxfId="10527" priority="12991" operator="between">
      <formula>0.4751</formula>
      <formula>0.5</formula>
    </cfRule>
    <cfRule type="cellIs" dxfId="10526" priority="12992" stopIfTrue="1" operator="between">
      <formula>0</formula>
      <formula>0.255</formula>
    </cfRule>
  </conditionalFormatting>
  <conditionalFormatting sqref="Q227">
    <cfRule type="cellIs" dxfId="10525" priority="12983" operator="between">
      <formula>0.76</formula>
      <formula>0.95</formula>
    </cfRule>
    <cfRule type="cellIs" dxfId="10524" priority="12984" operator="between">
      <formula>0.51</formula>
      <formula>0.75</formula>
    </cfRule>
    <cfRule type="cellIs" dxfId="10523" priority="12985" operator="greaterThan">
      <formula>1</formula>
    </cfRule>
    <cfRule type="cellIs" dxfId="10522" priority="12986" operator="between">
      <formula>0.95</formula>
      <formula>1</formula>
    </cfRule>
    <cfRule type="cellIs" dxfId="10521" priority="12987" stopIfTrue="1" operator="between">
      <formula>0</formula>
      <formula>0.5</formula>
    </cfRule>
  </conditionalFormatting>
  <conditionalFormatting sqref="S227">
    <cfRule type="cellIs" dxfId="10520" priority="12978" operator="between">
      <formula>0.3751</formula>
      <formula>0.475</formula>
    </cfRule>
    <cfRule type="cellIs" dxfId="10519" priority="12979" operator="between">
      <formula>0.2551</formula>
      <formula>0.375</formula>
    </cfRule>
    <cfRule type="cellIs" dxfId="10518" priority="12980" operator="greaterThan">
      <formula>0.505</formula>
    </cfRule>
    <cfRule type="cellIs" dxfId="10517" priority="12981" operator="between">
      <formula>0.4751</formula>
      <formula>0.5</formula>
    </cfRule>
    <cfRule type="cellIs" dxfId="10516" priority="12982" stopIfTrue="1" operator="between">
      <formula>0</formula>
      <formula>0.255</formula>
    </cfRule>
  </conditionalFormatting>
  <conditionalFormatting sqref="Q237">
    <cfRule type="cellIs" dxfId="10515" priority="12973" operator="between">
      <formula>0.76</formula>
      <formula>0.95</formula>
    </cfRule>
    <cfRule type="cellIs" dxfId="10514" priority="12974" operator="between">
      <formula>0.51</formula>
      <formula>0.75</formula>
    </cfRule>
    <cfRule type="cellIs" dxfId="10513" priority="12975" operator="greaterThan">
      <formula>1</formula>
    </cfRule>
    <cfRule type="cellIs" dxfId="10512" priority="12976" operator="between">
      <formula>0.95</formula>
      <formula>1</formula>
    </cfRule>
    <cfRule type="cellIs" dxfId="10511" priority="12977" stopIfTrue="1" operator="between">
      <formula>0</formula>
      <formula>0.5</formula>
    </cfRule>
  </conditionalFormatting>
  <conditionalFormatting sqref="S237">
    <cfRule type="cellIs" dxfId="10510" priority="12968" operator="between">
      <formula>0.3751</formula>
      <formula>0.475</formula>
    </cfRule>
    <cfRule type="cellIs" dxfId="10509" priority="12969" operator="between">
      <formula>0.2551</formula>
      <formula>0.375</formula>
    </cfRule>
    <cfRule type="cellIs" dxfId="10508" priority="12970" operator="greaterThan">
      <formula>0.505</formula>
    </cfRule>
    <cfRule type="cellIs" dxfId="10507" priority="12971" operator="between">
      <formula>0.4751</formula>
      <formula>0.5</formula>
    </cfRule>
    <cfRule type="cellIs" dxfId="10506" priority="12972" stopIfTrue="1" operator="between">
      <formula>0</formula>
      <formula>0.255</formula>
    </cfRule>
  </conditionalFormatting>
  <conditionalFormatting sqref="Q238">
    <cfRule type="cellIs" dxfId="10505" priority="12963" operator="between">
      <formula>0.76</formula>
      <formula>0.95</formula>
    </cfRule>
    <cfRule type="cellIs" dxfId="10504" priority="12964" operator="between">
      <formula>0.51</formula>
      <formula>0.75</formula>
    </cfRule>
    <cfRule type="cellIs" dxfId="10503" priority="12965" operator="greaterThan">
      <formula>1</formula>
    </cfRule>
    <cfRule type="cellIs" dxfId="10502" priority="12966" operator="between">
      <formula>0.95</formula>
      <formula>1</formula>
    </cfRule>
    <cfRule type="cellIs" dxfId="10501" priority="12967" stopIfTrue="1" operator="between">
      <formula>0</formula>
      <formula>0.5</formula>
    </cfRule>
  </conditionalFormatting>
  <conditionalFormatting sqref="S238">
    <cfRule type="cellIs" dxfId="10500" priority="12958" operator="between">
      <formula>0.3751</formula>
      <formula>0.475</formula>
    </cfRule>
    <cfRule type="cellIs" dxfId="10499" priority="12959" operator="between">
      <formula>0.2551</formula>
      <formula>0.375</formula>
    </cfRule>
    <cfRule type="cellIs" dxfId="10498" priority="12960" operator="greaterThan">
      <formula>0.505</formula>
    </cfRule>
    <cfRule type="cellIs" dxfId="10497" priority="12961" operator="between">
      <formula>0.4751</formula>
      <formula>0.5</formula>
    </cfRule>
    <cfRule type="cellIs" dxfId="10496" priority="12962" stopIfTrue="1" operator="between">
      <formula>0</formula>
      <formula>0.255</formula>
    </cfRule>
  </conditionalFormatting>
  <conditionalFormatting sqref="S119">
    <cfRule type="cellIs" dxfId="10495" priority="12948" operator="between">
      <formula>0.3751</formula>
      <formula>0.475</formula>
    </cfRule>
    <cfRule type="cellIs" dxfId="10494" priority="12949" operator="between">
      <formula>0.2551</formula>
      <formula>0.375</formula>
    </cfRule>
    <cfRule type="cellIs" dxfId="10493" priority="12950" operator="greaterThan">
      <formula>0.505</formula>
    </cfRule>
    <cfRule type="cellIs" dxfId="10492" priority="12951" operator="between">
      <formula>0.4751</formula>
      <formula>0.5</formula>
    </cfRule>
    <cfRule type="cellIs" dxfId="10491" priority="12952" stopIfTrue="1" operator="between">
      <formula>0</formula>
      <formula>0.255</formula>
    </cfRule>
  </conditionalFormatting>
  <conditionalFormatting sqref="Q303">
    <cfRule type="cellIs" dxfId="10490" priority="12938" operator="between">
      <formula>0.751</formula>
      <formula>0.95</formula>
    </cfRule>
    <cfRule type="cellIs" dxfId="10489" priority="12939" operator="between">
      <formula>0.51</formula>
      <formula>0.75</formula>
    </cfRule>
    <cfRule type="cellIs" dxfId="10488" priority="12940" operator="greaterThan">
      <formula>1</formula>
    </cfRule>
    <cfRule type="cellIs" dxfId="10487" priority="12941" operator="between">
      <formula>0.95</formula>
      <formula>1</formula>
    </cfRule>
    <cfRule type="cellIs" dxfId="10486" priority="12942" stopIfTrue="1" operator="between">
      <formula>0</formula>
      <formula>0.5</formula>
    </cfRule>
  </conditionalFormatting>
  <conditionalFormatting sqref="S303">
    <cfRule type="cellIs" dxfId="10485" priority="12933" operator="between">
      <formula>0.3751</formula>
      <formula>0.475</formula>
    </cfRule>
    <cfRule type="cellIs" dxfId="10484" priority="12934" operator="between">
      <formula>0.2551</formula>
      <formula>0.375</formula>
    </cfRule>
    <cfRule type="cellIs" dxfId="10483" priority="12935" operator="greaterThan">
      <formula>0.505</formula>
    </cfRule>
    <cfRule type="cellIs" dxfId="10482" priority="12936" operator="between">
      <formula>0.4751</formula>
      <formula>0.5</formula>
    </cfRule>
    <cfRule type="cellIs" dxfId="10481" priority="12937" stopIfTrue="1" operator="between">
      <formula>0</formula>
      <formula>0.255</formula>
    </cfRule>
  </conditionalFormatting>
  <conditionalFormatting sqref="Q307">
    <cfRule type="cellIs" dxfId="10480" priority="12928" operator="between">
      <formula>0.76</formula>
      <formula>0.95</formula>
    </cfRule>
    <cfRule type="cellIs" dxfId="10479" priority="12929" operator="between">
      <formula>0.51</formula>
      <formula>0.75</formula>
    </cfRule>
    <cfRule type="cellIs" dxfId="10478" priority="12930" operator="greaterThan">
      <formula>1</formula>
    </cfRule>
    <cfRule type="cellIs" dxfId="10477" priority="12931" operator="between">
      <formula>0.95</formula>
      <formula>1</formula>
    </cfRule>
    <cfRule type="cellIs" dxfId="10476" priority="12932" stopIfTrue="1" operator="between">
      <formula>0</formula>
      <formula>0.5</formula>
    </cfRule>
  </conditionalFormatting>
  <conditionalFormatting sqref="S307">
    <cfRule type="cellIs" dxfId="10475" priority="12923" operator="between">
      <formula>0.3751</formula>
      <formula>0.475</formula>
    </cfRule>
    <cfRule type="cellIs" dxfId="10474" priority="12924" operator="between">
      <formula>0.2551</formula>
      <formula>0.375</formula>
    </cfRule>
    <cfRule type="cellIs" dxfId="10473" priority="12925" operator="greaterThan">
      <formula>0.505</formula>
    </cfRule>
    <cfRule type="cellIs" dxfId="10472" priority="12926" operator="between">
      <formula>0.4751</formula>
      <formula>0.5</formula>
    </cfRule>
    <cfRule type="cellIs" dxfId="10471" priority="12927" stopIfTrue="1" operator="between">
      <formula>0</formula>
      <formula>0.255</formula>
    </cfRule>
  </conditionalFormatting>
  <conditionalFormatting sqref="Q322">
    <cfRule type="cellIs" dxfId="10470" priority="12918" operator="between">
      <formula>0.76</formula>
      <formula>0.95</formula>
    </cfRule>
    <cfRule type="cellIs" dxfId="10469" priority="12919" operator="between">
      <formula>0.51</formula>
      <formula>0.75</formula>
    </cfRule>
    <cfRule type="cellIs" dxfId="10468" priority="12920" operator="greaterThan">
      <formula>1</formula>
    </cfRule>
    <cfRule type="cellIs" dxfId="10467" priority="12921" operator="between">
      <formula>0.95</formula>
      <formula>1</formula>
    </cfRule>
    <cfRule type="cellIs" dxfId="10466" priority="12922" stopIfTrue="1" operator="between">
      <formula>0</formula>
      <formula>0.5</formula>
    </cfRule>
  </conditionalFormatting>
  <conditionalFormatting sqref="Q332">
    <cfRule type="cellIs" dxfId="10465" priority="12903" operator="between">
      <formula>0.76</formula>
      <formula>0.95</formula>
    </cfRule>
    <cfRule type="cellIs" dxfId="10464" priority="12904" operator="between">
      <formula>0.51</formula>
      <formula>0.75</formula>
    </cfRule>
    <cfRule type="cellIs" dxfId="10463" priority="12905" operator="greaterThan">
      <formula>1</formula>
    </cfRule>
    <cfRule type="cellIs" dxfId="10462" priority="12906" operator="between">
      <formula>0.95</formula>
      <formula>1</formula>
    </cfRule>
    <cfRule type="cellIs" dxfId="10461" priority="12907" stopIfTrue="1" operator="between">
      <formula>0</formula>
      <formula>0.5</formula>
    </cfRule>
  </conditionalFormatting>
  <conditionalFormatting sqref="S332">
    <cfRule type="cellIs" dxfId="10460" priority="12898" operator="between">
      <formula>0.3751</formula>
      <formula>0.475</formula>
    </cfRule>
    <cfRule type="cellIs" dxfId="10459" priority="12899" operator="between">
      <formula>0.2551</formula>
      <formula>0.375</formula>
    </cfRule>
    <cfRule type="cellIs" dxfId="10458" priority="12900" operator="greaterThan">
      <formula>0.505</formula>
    </cfRule>
    <cfRule type="cellIs" dxfId="10457" priority="12901" operator="between">
      <formula>0.4751</formula>
      <formula>0.5</formula>
    </cfRule>
    <cfRule type="cellIs" dxfId="10456" priority="12902" stopIfTrue="1" operator="between">
      <formula>0</formula>
      <formula>0.255</formula>
    </cfRule>
  </conditionalFormatting>
  <conditionalFormatting sqref="Q333">
    <cfRule type="cellIs" dxfId="10455" priority="12893" operator="between">
      <formula>0.76</formula>
      <formula>0.95</formula>
    </cfRule>
    <cfRule type="cellIs" dxfId="10454" priority="12894" operator="between">
      <formula>0.51</formula>
      <formula>0.75</formula>
    </cfRule>
    <cfRule type="cellIs" dxfId="10453" priority="12895" operator="greaterThan">
      <formula>1</formula>
    </cfRule>
    <cfRule type="cellIs" dxfId="10452" priority="12896" operator="between">
      <formula>0.95</formula>
      <formula>1</formula>
    </cfRule>
    <cfRule type="cellIs" dxfId="10451" priority="12897" stopIfTrue="1" operator="between">
      <formula>0</formula>
      <formula>0.5</formula>
    </cfRule>
  </conditionalFormatting>
  <conditionalFormatting sqref="S333">
    <cfRule type="cellIs" dxfId="10450" priority="12888" operator="between">
      <formula>0.3751</formula>
      <formula>0.475</formula>
    </cfRule>
    <cfRule type="cellIs" dxfId="10449" priority="12889" operator="between">
      <formula>0.2551</formula>
      <formula>0.375</formula>
    </cfRule>
    <cfRule type="cellIs" dxfId="10448" priority="12890" operator="greaterThan">
      <formula>0.505</formula>
    </cfRule>
    <cfRule type="cellIs" dxfId="10447" priority="12891" operator="between">
      <formula>0.4751</formula>
      <formula>0.5</formula>
    </cfRule>
    <cfRule type="cellIs" dxfId="10446" priority="12892" stopIfTrue="1" operator="between">
      <formula>0</formula>
      <formula>0.255</formula>
    </cfRule>
  </conditionalFormatting>
  <conditionalFormatting sqref="Q382">
    <cfRule type="cellIs" dxfId="10445" priority="12883" operator="between">
      <formula>0.76</formula>
      <formula>0.95</formula>
    </cfRule>
    <cfRule type="cellIs" dxfId="10444" priority="12884" operator="between">
      <formula>0.51</formula>
      <formula>0.75</formula>
    </cfRule>
    <cfRule type="cellIs" dxfId="10443" priority="12885" operator="greaterThan">
      <formula>1</formula>
    </cfRule>
    <cfRule type="cellIs" dxfId="10442" priority="12886" operator="between">
      <formula>0.95</formula>
      <formula>1</formula>
    </cfRule>
    <cfRule type="cellIs" dxfId="10441" priority="12887" stopIfTrue="1" operator="between">
      <formula>0</formula>
      <formula>0.5</formula>
    </cfRule>
  </conditionalFormatting>
  <conditionalFormatting sqref="S382">
    <cfRule type="cellIs" dxfId="10440" priority="12878" operator="between">
      <formula>0.3751</formula>
      <formula>0.475</formula>
    </cfRule>
    <cfRule type="cellIs" dxfId="10439" priority="12879" operator="between">
      <formula>0.2551</formula>
      <formula>0.375</formula>
    </cfRule>
    <cfRule type="cellIs" dxfId="10438" priority="12880" operator="greaterThan">
      <formula>0.505</formula>
    </cfRule>
    <cfRule type="cellIs" dxfId="10437" priority="12881" operator="between">
      <formula>0.4751</formula>
      <formula>0.5</formula>
    </cfRule>
    <cfRule type="cellIs" dxfId="10436" priority="12882" stopIfTrue="1" operator="between">
      <formula>0</formula>
      <formula>0.255</formula>
    </cfRule>
  </conditionalFormatting>
  <conditionalFormatting sqref="X71:X79 X86:X94 X98:X99 X102:X103 X184:X205 X207:X214 X216:X226 X228:X236 X239:X240 X308 X323:X328 X363 X107:X108 X331 X320:X321 X376 X243:X244 X247:X248 X251:X252 X258:X264 X304 X110:X114 X83:X84 X306 X116:X117">
    <cfRule type="cellIs" dxfId="10435" priority="12873" operator="between">
      <formula>0.76</formula>
      <formula>0.95</formula>
    </cfRule>
    <cfRule type="cellIs" dxfId="10434" priority="12874" operator="between">
      <formula>0.51</formula>
      <formula>0.75</formula>
    </cfRule>
    <cfRule type="cellIs" dxfId="10433" priority="12875" operator="greaterThan">
      <formula>1</formula>
    </cfRule>
    <cfRule type="cellIs" dxfId="10432" priority="12876" operator="between">
      <formula>0.95</formula>
      <formula>1</formula>
    </cfRule>
    <cfRule type="cellIs" dxfId="10431" priority="12877" stopIfTrue="1" operator="between">
      <formula>0</formula>
      <formula>0.5</formula>
    </cfRule>
  </conditionalFormatting>
  <conditionalFormatting sqref="Z84">
    <cfRule type="cellIs" dxfId="10430" priority="12863" operator="between">
      <formula>0.76</formula>
      <formula>0.95</formula>
    </cfRule>
    <cfRule type="cellIs" dxfId="10429" priority="12864" operator="between">
      <formula>0.51</formula>
      <formula>0.75</formula>
    </cfRule>
    <cfRule type="cellIs" dxfId="10428" priority="12865" operator="greaterThan">
      <formula>1</formula>
    </cfRule>
    <cfRule type="cellIs" dxfId="10427" priority="12866" operator="between">
      <formula>0.95</formula>
      <formula>1</formula>
    </cfRule>
    <cfRule type="cellIs" dxfId="10426" priority="12867" stopIfTrue="1" operator="between">
      <formula>0</formula>
      <formula>0.5</formula>
    </cfRule>
  </conditionalFormatting>
  <conditionalFormatting sqref="X43">
    <cfRule type="cellIs" dxfId="10425" priority="12858" operator="between">
      <formula>0.76</formula>
      <formula>0.95</formula>
    </cfRule>
    <cfRule type="cellIs" dxfId="10424" priority="12859" operator="between">
      <formula>0.51</formula>
      <formula>0.75</formula>
    </cfRule>
    <cfRule type="cellIs" dxfId="10423" priority="12860" operator="greaterThan">
      <formula>1</formula>
    </cfRule>
    <cfRule type="cellIs" dxfId="10422" priority="12861" operator="between">
      <formula>0.95</formula>
      <formula>1</formula>
    </cfRule>
    <cfRule type="cellIs" dxfId="10421" priority="12862" stopIfTrue="1" operator="between">
      <formula>0</formula>
      <formula>0.5</formula>
    </cfRule>
  </conditionalFormatting>
  <conditionalFormatting sqref="AF24">
    <cfRule type="cellIs" dxfId="10420" priority="12853" operator="between">
      <formula>0.76</formula>
      <formula>0.95</formula>
    </cfRule>
    <cfRule type="cellIs" dxfId="10419" priority="12854" operator="between">
      <formula>0.51</formula>
      <formula>0.75</formula>
    </cfRule>
    <cfRule type="cellIs" dxfId="10418" priority="12855" operator="greaterThan">
      <formula>1</formula>
    </cfRule>
    <cfRule type="cellIs" dxfId="10417" priority="12856" operator="between">
      <formula>0.95</formula>
      <formula>1</formula>
    </cfRule>
    <cfRule type="cellIs" dxfId="10416" priority="12857" stopIfTrue="1" operator="between">
      <formula>0</formula>
      <formula>0.5</formula>
    </cfRule>
  </conditionalFormatting>
  <conditionalFormatting sqref="X70">
    <cfRule type="cellIs" dxfId="10415" priority="12843" operator="between">
      <formula>0.76</formula>
      <formula>0.95</formula>
    </cfRule>
    <cfRule type="cellIs" dxfId="10414" priority="12844" operator="between">
      <formula>0.51</formula>
      <formula>0.75</formula>
    </cfRule>
    <cfRule type="cellIs" dxfId="10413" priority="12845" operator="greaterThan">
      <formula>1</formula>
    </cfRule>
    <cfRule type="cellIs" dxfId="10412" priority="12846" operator="between">
      <formula>0.95</formula>
      <formula>1</formula>
    </cfRule>
    <cfRule type="cellIs" dxfId="10411" priority="12847" stopIfTrue="1" operator="between">
      <formula>0</formula>
      <formula>0.5</formula>
    </cfRule>
  </conditionalFormatting>
  <conditionalFormatting sqref="X85">
    <cfRule type="cellIs" dxfId="10410" priority="12833" operator="between">
      <formula>0.76</formula>
      <formula>0.95</formula>
    </cfRule>
    <cfRule type="cellIs" dxfId="10409" priority="12834" operator="between">
      <formula>0.51</formula>
      <formula>0.75</formula>
    </cfRule>
    <cfRule type="cellIs" dxfId="10408" priority="12835" operator="greaterThan">
      <formula>1</formula>
    </cfRule>
    <cfRule type="cellIs" dxfId="10407" priority="12836" operator="between">
      <formula>0.95</formula>
      <formula>1</formula>
    </cfRule>
    <cfRule type="cellIs" dxfId="10406" priority="12837" stopIfTrue="1" operator="between">
      <formula>0</formula>
      <formula>0.5</formula>
    </cfRule>
  </conditionalFormatting>
  <conditionalFormatting sqref="X109">
    <cfRule type="cellIs" dxfId="10405" priority="12823" operator="between">
      <formula>0.76</formula>
      <formula>0.95</formula>
    </cfRule>
    <cfRule type="cellIs" dxfId="10404" priority="12824" operator="between">
      <formula>0.51</formula>
      <formula>0.75</formula>
    </cfRule>
    <cfRule type="cellIs" dxfId="10403" priority="12825" operator="greaterThan">
      <formula>1</formula>
    </cfRule>
    <cfRule type="cellIs" dxfId="10402" priority="12826" operator="between">
      <formula>0.95</formula>
      <formula>1</formula>
    </cfRule>
    <cfRule type="cellIs" dxfId="10401" priority="12827" stopIfTrue="1" operator="between">
      <formula>0</formula>
      <formula>0.5</formula>
    </cfRule>
  </conditionalFormatting>
  <conditionalFormatting sqref="X118">
    <cfRule type="cellIs" dxfId="10400" priority="12813" operator="between">
      <formula>0.76</formula>
      <formula>0.95</formula>
    </cfRule>
    <cfRule type="cellIs" dxfId="10399" priority="12814" operator="between">
      <formula>0.51</formula>
      <formula>0.75</formula>
    </cfRule>
    <cfRule type="cellIs" dxfId="10398" priority="12815" operator="greaterThan">
      <formula>1</formula>
    </cfRule>
    <cfRule type="cellIs" dxfId="10397" priority="12816" operator="between">
      <formula>0.95</formula>
      <formula>1</formula>
    </cfRule>
    <cfRule type="cellIs" dxfId="10396" priority="12817" stopIfTrue="1" operator="between">
      <formula>0</formula>
      <formula>0.5</formula>
    </cfRule>
  </conditionalFormatting>
  <conditionalFormatting sqref="W119">
    <cfRule type="cellIs" dxfId="10395" priority="12798" operator="between">
      <formula>0.76</formula>
      <formula>0.95</formula>
    </cfRule>
    <cfRule type="cellIs" dxfId="10394" priority="12799" operator="between">
      <formula>0.51</formula>
      <formula>0.75</formula>
    </cfRule>
    <cfRule type="cellIs" dxfId="10393" priority="12800" operator="greaterThan">
      <formula>1</formula>
    </cfRule>
    <cfRule type="cellIs" dxfId="10392" priority="12801" operator="between">
      <formula>0.95</formula>
      <formula>1</formula>
    </cfRule>
    <cfRule type="cellIs" dxfId="10391" priority="12802" stopIfTrue="1" operator="between">
      <formula>0</formula>
      <formula>0.5</formula>
    </cfRule>
  </conditionalFormatting>
  <conditionalFormatting sqref="X119">
    <cfRule type="cellIs" dxfId="10390" priority="12793" operator="between">
      <formula>0.76</formula>
      <formula>0.95</formula>
    </cfRule>
    <cfRule type="cellIs" dxfId="10389" priority="12794" operator="between">
      <formula>0.51</formula>
      <formula>0.75</formula>
    </cfRule>
    <cfRule type="cellIs" dxfId="10388" priority="12795" operator="greaterThan">
      <formula>1</formula>
    </cfRule>
    <cfRule type="cellIs" dxfId="10387" priority="12796" operator="between">
      <formula>0.95</formula>
      <formula>1</formula>
    </cfRule>
    <cfRule type="cellIs" dxfId="10386" priority="12797" stopIfTrue="1" operator="between">
      <formula>0</formula>
      <formula>0.5</formula>
    </cfRule>
  </conditionalFormatting>
  <conditionalFormatting sqref="X183">
    <cfRule type="cellIs" dxfId="10385" priority="12768" operator="between">
      <formula>0.76</formula>
      <formula>0.95</formula>
    </cfRule>
    <cfRule type="cellIs" dxfId="10384" priority="12769" operator="between">
      <formula>0.51</formula>
      <formula>0.75</formula>
    </cfRule>
    <cfRule type="cellIs" dxfId="10383" priority="12770" operator="greaterThan">
      <formula>1</formula>
    </cfRule>
    <cfRule type="cellIs" dxfId="10382" priority="12771" operator="between">
      <formula>0.95</formula>
      <formula>1</formula>
    </cfRule>
    <cfRule type="cellIs" dxfId="10381" priority="12772" stopIfTrue="1" operator="between">
      <formula>0</formula>
      <formula>0.5</formula>
    </cfRule>
  </conditionalFormatting>
  <conditionalFormatting sqref="X206">
    <cfRule type="cellIs" dxfId="10380" priority="12758" operator="between">
      <formula>0.76</formula>
      <formula>0.95</formula>
    </cfRule>
    <cfRule type="cellIs" dxfId="10379" priority="12759" operator="between">
      <formula>0.51</formula>
      <formula>0.75</formula>
    </cfRule>
    <cfRule type="cellIs" dxfId="10378" priority="12760" operator="greaterThan">
      <formula>1</formula>
    </cfRule>
    <cfRule type="cellIs" dxfId="10377" priority="12761" operator="between">
      <formula>0.95</formula>
      <formula>1</formula>
    </cfRule>
    <cfRule type="cellIs" dxfId="10376" priority="12762" stopIfTrue="1" operator="between">
      <formula>0</formula>
      <formula>0.5</formula>
    </cfRule>
  </conditionalFormatting>
  <conditionalFormatting sqref="X215">
    <cfRule type="cellIs" dxfId="10375" priority="12748" operator="between">
      <formula>0.76</formula>
      <formula>0.95</formula>
    </cfRule>
    <cfRule type="cellIs" dxfId="10374" priority="12749" operator="between">
      <formula>0.51</formula>
      <formula>0.75</formula>
    </cfRule>
    <cfRule type="cellIs" dxfId="10373" priority="12750" operator="greaterThan">
      <formula>1</formula>
    </cfRule>
    <cfRule type="cellIs" dxfId="10372" priority="12751" operator="between">
      <formula>0.95</formula>
      <formula>1</formula>
    </cfRule>
    <cfRule type="cellIs" dxfId="10371" priority="12752" stopIfTrue="1" operator="between">
      <formula>0</formula>
      <formula>0.5</formula>
    </cfRule>
  </conditionalFormatting>
  <conditionalFormatting sqref="X227">
    <cfRule type="cellIs" dxfId="10370" priority="12738" operator="between">
      <formula>0.76</formula>
      <formula>0.95</formula>
    </cfRule>
    <cfRule type="cellIs" dxfId="10369" priority="12739" operator="between">
      <formula>0.51</formula>
      <formula>0.75</formula>
    </cfRule>
    <cfRule type="cellIs" dxfId="10368" priority="12740" operator="greaterThan">
      <formula>1</formula>
    </cfRule>
    <cfRule type="cellIs" dxfId="10367" priority="12741" operator="between">
      <formula>0.95</formula>
      <formula>1</formula>
    </cfRule>
    <cfRule type="cellIs" dxfId="10366" priority="12742" stopIfTrue="1" operator="between">
      <formula>0</formula>
      <formula>0.5</formula>
    </cfRule>
  </conditionalFormatting>
  <conditionalFormatting sqref="Z227">
    <cfRule type="cellIs" dxfId="10365" priority="12733" operator="between">
      <formula>0.76</formula>
      <formula>0.95</formula>
    </cfRule>
    <cfRule type="cellIs" dxfId="10364" priority="12734" operator="between">
      <formula>0.51</formula>
      <formula>0.75</formula>
    </cfRule>
    <cfRule type="cellIs" dxfId="10363" priority="12735" operator="greaterThan">
      <formula>1</formula>
    </cfRule>
    <cfRule type="cellIs" dxfId="10362" priority="12736" operator="between">
      <formula>0.95</formula>
      <formula>1</formula>
    </cfRule>
    <cfRule type="cellIs" dxfId="10361" priority="12737" stopIfTrue="1" operator="between">
      <formula>0</formula>
      <formula>0.5</formula>
    </cfRule>
  </conditionalFormatting>
  <conditionalFormatting sqref="X237">
    <cfRule type="cellIs" dxfId="10360" priority="12728" operator="between">
      <formula>0.76</formula>
      <formula>0.95</formula>
    </cfRule>
    <cfRule type="cellIs" dxfId="10359" priority="12729" operator="between">
      <formula>0.51</formula>
      <formula>0.75</formula>
    </cfRule>
    <cfRule type="cellIs" dxfId="10358" priority="12730" operator="greaterThan">
      <formula>1</formula>
    </cfRule>
    <cfRule type="cellIs" dxfId="10357" priority="12731" operator="between">
      <formula>0.95</formula>
      <formula>1</formula>
    </cfRule>
    <cfRule type="cellIs" dxfId="10356" priority="12732" stopIfTrue="1" operator="between">
      <formula>0</formula>
      <formula>0.5</formula>
    </cfRule>
  </conditionalFormatting>
  <conditionalFormatting sqref="W238">
    <cfRule type="cellIs" dxfId="10355" priority="12718" operator="between">
      <formula>0.76</formula>
      <formula>0.95</formula>
    </cfRule>
    <cfRule type="cellIs" dxfId="10354" priority="12719" operator="between">
      <formula>0.51</formula>
      <formula>0.75</formula>
    </cfRule>
    <cfRule type="cellIs" dxfId="10353" priority="12720" operator="greaterThan">
      <formula>1</formula>
    </cfRule>
    <cfRule type="cellIs" dxfId="10352" priority="12721" operator="between">
      <formula>0.95</formula>
      <formula>1</formula>
    </cfRule>
    <cfRule type="cellIs" dxfId="10351" priority="12722" stopIfTrue="1" operator="between">
      <formula>0</formula>
      <formula>0.5</formula>
    </cfRule>
  </conditionalFormatting>
  <conditionalFormatting sqref="X386">
    <cfRule type="cellIs" dxfId="10350" priority="12568" operator="between">
      <formula>0.76</formula>
      <formula>0.95</formula>
    </cfRule>
    <cfRule type="cellIs" dxfId="10349" priority="12569" operator="between">
      <formula>0.51</formula>
      <formula>0.75</formula>
    </cfRule>
    <cfRule type="cellIs" dxfId="10348" priority="12570" operator="greaterThan">
      <formula>1</formula>
    </cfRule>
    <cfRule type="cellIs" dxfId="10347" priority="12571" operator="between">
      <formula>0.95</formula>
      <formula>1</formula>
    </cfRule>
    <cfRule type="cellIs" dxfId="10346" priority="12572" stopIfTrue="1" operator="between">
      <formula>0</formula>
      <formula>0.5</formula>
    </cfRule>
  </conditionalFormatting>
  <conditionalFormatting sqref="X238">
    <cfRule type="cellIs" dxfId="10345" priority="12698" operator="between">
      <formula>0.76</formula>
      <formula>0.95</formula>
    </cfRule>
    <cfRule type="cellIs" dxfId="10344" priority="12699" operator="between">
      <formula>0.51</formula>
      <formula>0.75</formula>
    </cfRule>
    <cfRule type="cellIs" dxfId="10343" priority="12700" operator="greaterThan">
      <formula>1</formula>
    </cfRule>
    <cfRule type="cellIs" dxfId="10342" priority="12701" operator="between">
      <formula>0.95</formula>
      <formula>1</formula>
    </cfRule>
    <cfRule type="cellIs" dxfId="10341" priority="12702" stopIfTrue="1" operator="between">
      <formula>0</formula>
      <formula>0.5</formula>
    </cfRule>
  </conditionalFormatting>
  <conditionalFormatting sqref="Y238">
    <cfRule type="cellIs" dxfId="10340" priority="12693" operator="between">
      <formula>0.76</formula>
      <formula>0.95</formula>
    </cfRule>
    <cfRule type="cellIs" dxfId="10339" priority="12694" operator="between">
      <formula>0.51</formula>
      <formula>0.75</formula>
    </cfRule>
    <cfRule type="cellIs" dxfId="10338" priority="12695" operator="greaterThan">
      <formula>1</formula>
    </cfRule>
    <cfRule type="cellIs" dxfId="10337" priority="12696" operator="between">
      <formula>0.95</formula>
      <formula>1</formula>
    </cfRule>
    <cfRule type="cellIs" dxfId="10336" priority="12697" stopIfTrue="1" operator="between">
      <formula>0</formula>
      <formula>0.5</formula>
    </cfRule>
  </conditionalFormatting>
  <conditionalFormatting sqref="Z238">
    <cfRule type="cellIs" dxfId="10335" priority="12688" operator="between">
      <formula>0.76</formula>
      <formula>0.95</formula>
    </cfRule>
    <cfRule type="cellIs" dxfId="10334" priority="12689" operator="between">
      <formula>0.51</formula>
      <formula>0.75</formula>
    </cfRule>
    <cfRule type="cellIs" dxfId="10333" priority="12690" operator="greaterThan">
      <formula>1</formula>
    </cfRule>
    <cfRule type="cellIs" dxfId="10332" priority="12691" operator="between">
      <formula>0.95</formula>
      <formula>1</formula>
    </cfRule>
    <cfRule type="cellIs" dxfId="10331" priority="12692" stopIfTrue="1" operator="between">
      <formula>0</formula>
      <formula>0.5</formula>
    </cfRule>
  </conditionalFormatting>
  <conditionalFormatting sqref="X303">
    <cfRule type="cellIs" dxfId="10330" priority="12678" operator="between">
      <formula>0.76</formula>
      <formula>0.95</formula>
    </cfRule>
    <cfRule type="cellIs" dxfId="10329" priority="12679" operator="between">
      <formula>0.51</formula>
      <formula>0.75</formula>
    </cfRule>
    <cfRule type="cellIs" dxfId="10328" priority="12680" operator="greaterThan">
      <formula>1</formula>
    </cfRule>
    <cfRule type="cellIs" dxfId="10327" priority="12681" operator="between">
      <formula>0.95</formula>
      <formula>1</formula>
    </cfRule>
    <cfRule type="cellIs" dxfId="10326" priority="12682" stopIfTrue="1" operator="between">
      <formula>0</formula>
      <formula>0.5</formula>
    </cfRule>
  </conditionalFormatting>
  <conditionalFormatting sqref="X307">
    <cfRule type="cellIs" dxfId="10325" priority="12668" operator="between">
      <formula>0.76</formula>
      <formula>0.95</formula>
    </cfRule>
    <cfRule type="cellIs" dxfId="10324" priority="12669" operator="between">
      <formula>0.51</formula>
      <formula>0.75</formula>
    </cfRule>
    <cfRule type="cellIs" dxfId="10323" priority="12670" operator="greaterThan">
      <formula>1</formula>
    </cfRule>
    <cfRule type="cellIs" dxfId="10322" priority="12671" operator="between">
      <formula>0.95</formula>
      <formula>1</formula>
    </cfRule>
    <cfRule type="cellIs" dxfId="10321" priority="12672" stopIfTrue="1" operator="between">
      <formula>0</formula>
      <formula>0.5</formula>
    </cfRule>
  </conditionalFormatting>
  <conditionalFormatting sqref="X322">
    <cfRule type="cellIs" dxfId="10320" priority="12658" operator="between">
      <formula>0.76</formula>
      <formula>0.95</formula>
    </cfRule>
    <cfRule type="cellIs" dxfId="10319" priority="12659" operator="between">
      <formula>0.51</formula>
      <formula>0.75</formula>
    </cfRule>
    <cfRule type="cellIs" dxfId="10318" priority="12660" operator="greaterThan">
      <formula>1</formula>
    </cfRule>
    <cfRule type="cellIs" dxfId="10317" priority="12661" operator="between">
      <formula>0.95</formula>
      <formula>1</formula>
    </cfRule>
    <cfRule type="cellIs" dxfId="10316" priority="12662" stopIfTrue="1" operator="between">
      <formula>0</formula>
      <formula>0.5</formula>
    </cfRule>
  </conditionalFormatting>
  <conditionalFormatting sqref="Z322">
    <cfRule type="cellIs" dxfId="10315" priority="12653" operator="between">
      <formula>0.76</formula>
      <formula>0.95</formula>
    </cfRule>
    <cfRule type="cellIs" dxfId="10314" priority="12654" operator="between">
      <formula>0.51</formula>
      <formula>0.75</formula>
    </cfRule>
    <cfRule type="cellIs" dxfId="10313" priority="12655" operator="greaterThan">
      <formula>1</formula>
    </cfRule>
    <cfRule type="cellIs" dxfId="10312" priority="12656" operator="between">
      <formula>0.95</formula>
      <formula>1</formula>
    </cfRule>
    <cfRule type="cellIs" dxfId="10311" priority="12657" stopIfTrue="1" operator="between">
      <formula>0</formula>
      <formula>0.5</formula>
    </cfRule>
  </conditionalFormatting>
  <conditionalFormatting sqref="X332">
    <cfRule type="cellIs" dxfId="10310" priority="12648" operator="between">
      <formula>0.76</formula>
      <formula>0.95</formula>
    </cfRule>
    <cfRule type="cellIs" dxfId="10309" priority="12649" operator="between">
      <formula>0.51</formula>
      <formula>0.75</formula>
    </cfRule>
    <cfRule type="cellIs" dxfId="10308" priority="12650" operator="greaterThan">
      <formula>1</formula>
    </cfRule>
    <cfRule type="cellIs" dxfId="10307" priority="12651" operator="between">
      <formula>0.95</formula>
      <formula>1</formula>
    </cfRule>
    <cfRule type="cellIs" dxfId="10306" priority="12652" stopIfTrue="1" operator="between">
      <formula>0</formula>
      <formula>0.5</formula>
    </cfRule>
  </conditionalFormatting>
  <conditionalFormatting sqref="W333">
    <cfRule type="cellIs" dxfId="10305" priority="12638" operator="between">
      <formula>0.76</formula>
      <formula>0.95</formula>
    </cfRule>
    <cfRule type="cellIs" dxfId="10304" priority="12639" operator="between">
      <formula>0.51</formula>
      <formula>0.75</formula>
    </cfRule>
    <cfRule type="cellIs" dxfId="10303" priority="12640" operator="greaterThan">
      <formula>1</formula>
    </cfRule>
    <cfRule type="cellIs" dxfId="10302" priority="12641" operator="between">
      <formula>0.95</formula>
      <formula>1</formula>
    </cfRule>
    <cfRule type="cellIs" dxfId="10301" priority="12642" stopIfTrue="1" operator="between">
      <formula>0</formula>
      <formula>0.5</formula>
    </cfRule>
  </conditionalFormatting>
  <conditionalFormatting sqref="X333">
    <cfRule type="cellIs" dxfId="10300" priority="12628" operator="between">
      <formula>0.76</formula>
      <formula>0.95</formula>
    </cfRule>
    <cfRule type="cellIs" dxfId="10299" priority="12629" operator="between">
      <formula>0.51</formula>
      <formula>0.75</formula>
    </cfRule>
    <cfRule type="cellIs" dxfId="10298" priority="12630" operator="greaterThan">
      <formula>1</formula>
    </cfRule>
    <cfRule type="cellIs" dxfId="10297" priority="12631" operator="between">
      <formula>0.95</formula>
      <formula>1</formula>
    </cfRule>
    <cfRule type="cellIs" dxfId="10296" priority="12632" stopIfTrue="1" operator="between">
      <formula>0</formula>
      <formula>0.5</formula>
    </cfRule>
  </conditionalFormatting>
  <conditionalFormatting sqref="X382">
    <cfRule type="cellIs" dxfId="10295" priority="12608" operator="between">
      <formula>0.76</formula>
      <formula>0.95</formula>
    </cfRule>
    <cfRule type="cellIs" dxfId="10294" priority="12609" operator="between">
      <formula>0.51</formula>
      <formula>0.75</formula>
    </cfRule>
    <cfRule type="cellIs" dxfId="10293" priority="12610" operator="greaterThan">
      <formula>1</formula>
    </cfRule>
    <cfRule type="cellIs" dxfId="10292" priority="12611" operator="between">
      <formula>0.95</formula>
      <formula>1</formula>
    </cfRule>
    <cfRule type="cellIs" dxfId="10291" priority="12612" stopIfTrue="1" operator="between">
      <formula>0</formula>
      <formula>0.5</formula>
    </cfRule>
  </conditionalFormatting>
  <conditionalFormatting sqref="X383">
    <cfRule type="cellIs" dxfId="10290" priority="12598" operator="between">
      <formula>0.76</formula>
      <formula>0.95</formula>
    </cfRule>
    <cfRule type="cellIs" dxfId="10289" priority="12599" operator="between">
      <formula>0.51</formula>
      <formula>0.75</formula>
    </cfRule>
    <cfRule type="cellIs" dxfId="10288" priority="12600" operator="greaterThan">
      <formula>1</formula>
    </cfRule>
    <cfRule type="cellIs" dxfId="10287" priority="12601" operator="between">
      <formula>0.95</formula>
      <formula>1</formula>
    </cfRule>
    <cfRule type="cellIs" dxfId="10286" priority="12602" stopIfTrue="1" operator="between">
      <formula>0</formula>
      <formula>0.5</formula>
    </cfRule>
  </conditionalFormatting>
  <conditionalFormatting sqref="X384">
    <cfRule type="cellIs" dxfId="10285" priority="12588" operator="between">
      <formula>0.7501</formula>
      <formula>0.95</formula>
    </cfRule>
    <cfRule type="cellIs" dxfId="10284" priority="12589" operator="between">
      <formula>0.51</formula>
      <formula>0.75</formula>
    </cfRule>
    <cfRule type="cellIs" dxfId="10283" priority="12590" operator="greaterThan">
      <formula>1</formula>
    </cfRule>
    <cfRule type="cellIs" dxfId="10282" priority="12591" operator="between">
      <formula>0.95</formula>
      <formula>1</formula>
    </cfRule>
    <cfRule type="cellIs" dxfId="10281" priority="12592" stopIfTrue="1" operator="between">
      <formula>0</formula>
      <formula>0.5</formula>
    </cfRule>
  </conditionalFormatting>
  <conditionalFormatting sqref="X385">
    <cfRule type="cellIs" dxfId="10280" priority="12578" operator="between">
      <formula>0.76</formula>
      <formula>0.95</formula>
    </cfRule>
    <cfRule type="cellIs" dxfId="10279" priority="12579" operator="between">
      <formula>0.51</formula>
      <formula>0.75</formula>
    </cfRule>
    <cfRule type="cellIs" dxfId="10278" priority="12580" operator="greaterThan">
      <formula>1</formula>
    </cfRule>
    <cfRule type="cellIs" dxfId="10277" priority="12581" operator="between">
      <formula>0.95</formula>
      <formula>1</formula>
    </cfRule>
    <cfRule type="cellIs" dxfId="10276" priority="12582" stopIfTrue="1" operator="between">
      <formula>0</formula>
      <formula>0.5</formula>
    </cfRule>
  </conditionalFormatting>
  <conditionalFormatting sqref="AE71:AE79 AE86:AE94 AE98:AE99 AE102:AE103 AE110:AE114 AE184:AE205 AE207:AE214 AE216:AE226 AE228:AE236 AE239:AE240 AE304 AE308 AE323:AE328 AE334 AE363 AE107:AE108 AE331 AE320:AE321 AE376 AE243:AE244 AE247:AE248 AE251:AE252 AE257:AE264 AE83:AE84 AE306 AE116:AE117">
    <cfRule type="cellIs" dxfId="10275" priority="12558" operator="between">
      <formula>0.76</formula>
      <formula>0.95</formula>
    </cfRule>
    <cfRule type="cellIs" dxfId="10274" priority="12559" operator="between">
      <formula>0.51</formula>
      <formula>0.75</formula>
    </cfRule>
    <cfRule type="cellIs" dxfId="10273" priority="12560" operator="greaterThan">
      <formula>1</formula>
    </cfRule>
    <cfRule type="cellIs" dxfId="10272" priority="12561" operator="between">
      <formula>0.95</formula>
      <formula>1</formula>
    </cfRule>
    <cfRule type="cellIs" dxfId="10271" priority="12562" stopIfTrue="1" operator="between">
      <formula>0</formula>
      <formula>0.5</formula>
    </cfRule>
  </conditionalFormatting>
  <conditionalFormatting sqref="AG71:AG79 AG86:AG94 AG98:AG99 AG102:AG103 AG184:AG205 AG207:AG214 AG216:AG226 AG228:AG236 AG239:AG240 AG304 AG308 AG323:AG328 AG334 AG363 AG107:AG108 AG331 AG320:AG321 AG376 AG243:AG244 AG247:AG248 AG251:AG252 AG257:AG264 AG110:AG114 AG83:AG84 AG306 AG116:AG117">
    <cfRule type="cellIs" dxfId="10270" priority="12553" operator="between">
      <formula>0.76</formula>
      <formula>0.95</formula>
    </cfRule>
    <cfRule type="cellIs" dxfId="10269" priority="12554" operator="between">
      <formula>0.51</formula>
      <formula>0.75</formula>
    </cfRule>
    <cfRule type="cellIs" dxfId="10268" priority="12555" operator="greaterThan">
      <formula>1</formula>
    </cfRule>
    <cfRule type="cellIs" dxfId="10267" priority="12556" operator="between">
      <formula>0.95</formula>
      <formula>1</formula>
    </cfRule>
    <cfRule type="cellIs" dxfId="10266" priority="12557" stopIfTrue="1" operator="between">
      <formula>0</formula>
      <formula>0.5</formula>
    </cfRule>
  </conditionalFormatting>
  <conditionalFormatting sqref="AE43">
    <cfRule type="cellIs" dxfId="10265" priority="12548" operator="between">
      <formula>0.76</formula>
      <formula>0.95</formula>
    </cfRule>
    <cfRule type="cellIs" dxfId="10264" priority="12549" operator="between">
      <formula>0.51</formula>
      <formula>0.75</formula>
    </cfRule>
    <cfRule type="cellIs" dxfId="10263" priority="12550" operator="greaterThan">
      <formula>1</formula>
    </cfRule>
    <cfRule type="cellIs" dxfId="10262" priority="12551" operator="between">
      <formula>0.95</formula>
      <formula>1</formula>
    </cfRule>
    <cfRule type="cellIs" dxfId="10261" priority="12552" stopIfTrue="1" operator="between">
      <formula>0</formula>
      <formula>0.5</formula>
    </cfRule>
  </conditionalFormatting>
  <conditionalFormatting sqref="AG43">
    <cfRule type="cellIs" dxfId="10260" priority="12543" operator="between">
      <formula>0.76</formula>
      <formula>0.95</formula>
    </cfRule>
    <cfRule type="cellIs" dxfId="10259" priority="12544" operator="between">
      <formula>0.51</formula>
      <formula>0.75</formula>
    </cfRule>
    <cfRule type="cellIs" dxfId="10258" priority="12545" operator="greaterThan">
      <formula>1</formula>
    </cfRule>
    <cfRule type="cellIs" dxfId="10257" priority="12546" operator="between">
      <formula>0.95</formula>
      <formula>1</formula>
    </cfRule>
    <cfRule type="cellIs" dxfId="10256" priority="12547" stopIfTrue="1" operator="between">
      <formula>0</formula>
      <formula>0.5</formula>
    </cfRule>
  </conditionalFormatting>
  <conditionalFormatting sqref="AE70">
    <cfRule type="cellIs" dxfId="10255" priority="12538" operator="between">
      <formula>0.76</formula>
      <formula>0.95</formula>
    </cfRule>
    <cfRule type="cellIs" dxfId="10254" priority="12539" operator="between">
      <formula>0.51</formula>
      <formula>0.75</formula>
    </cfRule>
    <cfRule type="cellIs" dxfId="10253" priority="12540" operator="greaterThan">
      <formula>1</formula>
    </cfRule>
    <cfRule type="cellIs" dxfId="10252" priority="12541" operator="between">
      <formula>0.95</formula>
      <formula>1</formula>
    </cfRule>
    <cfRule type="cellIs" dxfId="10251" priority="12542" stopIfTrue="1" operator="between">
      <formula>0</formula>
      <formula>0.5</formula>
    </cfRule>
  </conditionalFormatting>
  <conditionalFormatting sqref="AG70">
    <cfRule type="cellIs" dxfId="10250" priority="12533" operator="between">
      <formula>0.76</formula>
      <formula>0.95</formula>
    </cfRule>
    <cfRule type="cellIs" dxfId="10249" priority="12534" operator="between">
      <formula>0.51</formula>
      <formula>0.75</formula>
    </cfRule>
    <cfRule type="cellIs" dxfId="10248" priority="12535" operator="greaterThan">
      <formula>1</formula>
    </cfRule>
    <cfRule type="cellIs" dxfId="10247" priority="12536" operator="between">
      <formula>0.95</formula>
      <formula>1</formula>
    </cfRule>
    <cfRule type="cellIs" dxfId="10246" priority="12537" stopIfTrue="1" operator="between">
      <formula>0</formula>
      <formula>0.5</formula>
    </cfRule>
  </conditionalFormatting>
  <conditionalFormatting sqref="AE85">
    <cfRule type="cellIs" dxfId="10245" priority="12528" operator="between">
      <formula>0.76</formula>
      <formula>0.95</formula>
    </cfRule>
    <cfRule type="cellIs" dxfId="10244" priority="12529" operator="between">
      <formula>0.51</formula>
      <formula>0.75</formula>
    </cfRule>
    <cfRule type="cellIs" dxfId="10243" priority="12530" operator="greaterThan">
      <formula>1</formula>
    </cfRule>
    <cfRule type="cellIs" dxfId="10242" priority="12531" operator="between">
      <formula>0.95</formula>
      <formula>1</formula>
    </cfRule>
    <cfRule type="cellIs" dxfId="10241" priority="12532" stopIfTrue="1" operator="between">
      <formula>0</formula>
      <formula>0.5</formula>
    </cfRule>
  </conditionalFormatting>
  <conditionalFormatting sqref="AG85">
    <cfRule type="cellIs" dxfId="10240" priority="12523" operator="between">
      <formula>0.76</formula>
      <formula>0.95</formula>
    </cfRule>
    <cfRule type="cellIs" dxfId="10239" priority="12524" operator="between">
      <formula>0.51</formula>
      <formula>0.75</formula>
    </cfRule>
    <cfRule type="cellIs" dxfId="10238" priority="12525" operator="greaterThan">
      <formula>1</formula>
    </cfRule>
    <cfRule type="cellIs" dxfId="10237" priority="12526" operator="between">
      <formula>0.95</formula>
      <formula>1</formula>
    </cfRule>
    <cfRule type="cellIs" dxfId="10236" priority="12527" stopIfTrue="1" operator="between">
      <formula>0</formula>
      <formula>0.5</formula>
    </cfRule>
  </conditionalFormatting>
  <conditionalFormatting sqref="AE109">
    <cfRule type="cellIs" dxfId="10235" priority="12518" operator="between">
      <formula>0.76</formula>
      <formula>0.95</formula>
    </cfRule>
    <cfRule type="cellIs" dxfId="10234" priority="12519" operator="between">
      <formula>0.51</formula>
      <formula>0.75</formula>
    </cfRule>
    <cfRule type="cellIs" dxfId="10233" priority="12520" operator="greaterThan">
      <formula>1</formula>
    </cfRule>
    <cfRule type="cellIs" dxfId="10232" priority="12521" operator="between">
      <formula>0.95</formula>
      <formula>1</formula>
    </cfRule>
    <cfRule type="cellIs" dxfId="10231" priority="12522" stopIfTrue="1" operator="between">
      <formula>0</formula>
      <formula>0.5</formula>
    </cfRule>
  </conditionalFormatting>
  <conditionalFormatting sqref="AG109">
    <cfRule type="cellIs" dxfId="10230" priority="12513" operator="between">
      <formula>0.76</formula>
      <formula>0.95</formula>
    </cfRule>
    <cfRule type="cellIs" dxfId="10229" priority="12514" operator="between">
      <formula>0.51</formula>
      <formula>0.75</formula>
    </cfRule>
    <cfRule type="cellIs" dxfId="10228" priority="12515" operator="greaterThan">
      <formula>1</formula>
    </cfRule>
    <cfRule type="cellIs" dxfId="10227" priority="12516" operator="between">
      <formula>0.95</formula>
      <formula>1</formula>
    </cfRule>
    <cfRule type="cellIs" dxfId="10226" priority="12517" stopIfTrue="1" operator="between">
      <formula>0</formula>
      <formula>0.5</formula>
    </cfRule>
  </conditionalFormatting>
  <conditionalFormatting sqref="AE118">
    <cfRule type="cellIs" dxfId="10225" priority="12508" operator="between">
      <formula>0.76</formula>
      <formula>0.95</formula>
    </cfRule>
    <cfRule type="cellIs" dxfId="10224" priority="12509" operator="between">
      <formula>0.51</formula>
      <formula>0.75</formula>
    </cfRule>
    <cfRule type="cellIs" dxfId="10223" priority="12510" operator="greaterThan">
      <formula>1</formula>
    </cfRule>
    <cfRule type="cellIs" dxfId="10222" priority="12511" operator="between">
      <formula>0.95</formula>
      <formula>1</formula>
    </cfRule>
    <cfRule type="cellIs" dxfId="10221" priority="12512" stopIfTrue="1" operator="between">
      <formula>0</formula>
      <formula>0.5</formula>
    </cfRule>
  </conditionalFormatting>
  <conditionalFormatting sqref="AG118">
    <cfRule type="cellIs" dxfId="10220" priority="12503" operator="between">
      <formula>0.76</formula>
      <formula>0.95</formula>
    </cfRule>
    <cfRule type="cellIs" dxfId="10219" priority="12504" operator="between">
      <formula>0.51</formula>
      <formula>0.75</formula>
    </cfRule>
    <cfRule type="cellIs" dxfId="10218" priority="12505" operator="greaterThan">
      <formula>1</formula>
    </cfRule>
    <cfRule type="cellIs" dxfId="10217" priority="12506" operator="between">
      <formula>0.95</formula>
      <formula>1</formula>
    </cfRule>
    <cfRule type="cellIs" dxfId="10216" priority="12507" stopIfTrue="1" operator="between">
      <formula>0</formula>
      <formula>0.5</formula>
    </cfRule>
  </conditionalFormatting>
  <conditionalFormatting sqref="AD119">
    <cfRule type="cellIs" dxfId="10215" priority="12498" operator="between">
      <formula>0.76</formula>
      <formula>0.95</formula>
    </cfRule>
    <cfRule type="cellIs" dxfId="10214" priority="12499" operator="between">
      <formula>0.51</formula>
      <formula>0.75</formula>
    </cfRule>
    <cfRule type="cellIs" dxfId="10213" priority="12500" operator="greaterThan">
      <formula>1</formula>
    </cfRule>
    <cfRule type="cellIs" dxfId="10212" priority="12501" operator="between">
      <formula>0.95</formula>
      <formula>1</formula>
    </cfRule>
    <cfRule type="cellIs" dxfId="10211" priority="12502" stopIfTrue="1" operator="between">
      <formula>0</formula>
      <formula>0.5</formula>
    </cfRule>
  </conditionalFormatting>
  <conditionalFormatting sqref="AE119">
    <cfRule type="cellIs" dxfId="10210" priority="12493" operator="between">
      <formula>0.76</formula>
      <formula>0.95</formula>
    </cfRule>
    <cfRule type="cellIs" dxfId="10209" priority="12494" operator="between">
      <formula>0.51</formula>
      <formula>0.75</formula>
    </cfRule>
    <cfRule type="cellIs" dxfId="10208" priority="12495" operator="greaterThan">
      <formula>1</formula>
    </cfRule>
    <cfRule type="cellIs" dxfId="10207" priority="12496" operator="between">
      <formula>0.95</formula>
      <formula>1</formula>
    </cfRule>
    <cfRule type="cellIs" dxfId="10206" priority="12497" stopIfTrue="1" operator="between">
      <formula>0</formula>
      <formula>0.5</formula>
    </cfRule>
  </conditionalFormatting>
  <conditionalFormatting sqref="AF119">
    <cfRule type="cellIs" dxfId="10205" priority="12478" operator="between">
      <formula>0.76</formula>
      <formula>0.95</formula>
    </cfRule>
    <cfRule type="cellIs" dxfId="10204" priority="12479" operator="between">
      <formula>0.51</formula>
      <formula>0.75</formula>
    </cfRule>
    <cfRule type="cellIs" dxfId="10203" priority="12480" operator="greaterThan">
      <formula>1</formula>
    </cfRule>
    <cfRule type="cellIs" dxfId="10202" priority="12481" operator="between">
      <formula>0.95</formula>
      <formula>1</formula>
    </cfRule>
    <cfRule type="cellIs" dxfId="10201" priority="12482" stopIfTrue="1" operator="between">
      <formula>0</formula>
      <formula>0.5</formula>
    </cfRule>
  </conditionalFormatting>
  <conditionalFormatting sqref="AE183">
    <cfRule type="cellIs" dxfId="10200" priority="12468" operator="between">
      <formula>0.76</formula>
      <formula>0.95</formula>
    </cfRule>
    <cfRule type="cellIs" dxfId="10199" priority="12469" operator="between">
      <formula>0.51</formula>
      <formula>0.75</formula>
    </cfRule>
    <cfRule type="cellIs" dxfId="10198" priority="12470" operator="greaterThan">
      <formula>1</formula>
    </cfRule>
    <cfRule type="cellIs" dxfId="10197" priority="12471" operator="between">
      <formula>0.95</formula>
      <formula>1</formula>
    </cfRule>
    <cfRule type="cellIs" dxfId="10196" priority="12472" stopIfTrue="1" operator="between">
      <formula>0</formula>
      <formula>0.5</formula>
    </cfRule>
  </conditionalFormatting>
  <conditionalFormatting sqref="AG183">
    <cfRule type="cellIs" dxfId="10195" priority="12463" operator="between">
      <formula>0.76</formula>
      <formula>0.95</formula>
    </cfRule>
    <cfRule type="cellIs" dxfId="10194" priority="12464" operator="between">
      <formula>0.501</formula>
      <formula>0.75</formula>
    </cfRule>
    <cfRule type="cellIs" dxfId="10193" priority="12465" operator="greaterThan">
      <formula>1</formula>
    </cfRule>
    <cfRule type="cellIs" dxfId="10192" priority="12466" operator="between">
      <formula>0.95</formula>
      <formula>1</formula>
    </cfRule>
    <cfRule type="cellIs" dxfId="10191" priority="12467" stopIfTrue="1" operator="between">
      <formula>0</formula>
      <formula>0.5</formula>
    </cfRule>
  </conditionalFormatting>
  <conditionalFormatting sqref="AE206">
    <cfRule type="cellIs" dxfId="10190" priority="12458" operator="between">
      <formula>0.76</formula>
      <formula>0.95</formula>
    </cfRule>
    <cfRule type="cellIs" dxfId="10189" priority="12459" operator="between">
      <formula>0.51</formula>
      <formula>0.75</formula>
    </cfRule>
    <cfRule type="cellIs" dxfId="10188" priority="12460" operator="greaterThan">
      <formula>1</formula>
    </cfRule>
    <cfRule type="cellIs" dxfId="10187" priority="12461" operator="between">
      <formula>0.95</formula>
      <formula>1</formula>
    </cfRule>
    <cfRule type="cellIs" dxfId="10186" priority="12462" stopIfTrue="1" operator="between">
      <formula>0</formula>
      <formula>0.5</formula>
    </cfRule>
  </conditionalFormatting>
  <conditionalFormatting sqref="AF206">
    <cfRule type="cellIs" dxfId="10185" priority="12453" operator="between">
      <formula>0.76</formula>
      <formula>0.95</formula>
    </cfRule>
    <cfRule type="cellIs" dxfId="10184" priority="12454" operator="between">
      <formula>0.51</formula>
      <formula>0.75</formula>
    </cfRule>
    <cfRule type="cellIs" dxfId="10183" priority="12455" operator="greaterThan">
      <formula>1</formula>
    </cfRule>
    <cfRule type="cellIs" dxfId="10182" priority="12456" operator="between">
      <formula>0.95</formula>
      <formula>1</formula>
    </cfRule>
    <cfRule type="cellIs" dxfId="10181" priority="12457" stopIfTrue="1" operator="between">
      <formula>0</formula>
      <formula>0.5</formula>
    </cfRule>
  </conditionalFormatting>
  <conditionalFormatting sqref="AG206">
    <cfRule type="cellIs" dxfId="10180" priority="12448" operator="between">
      <formula>0.76</formula>
      <formula>0.95</formula>
    </cfRule>
    <cfRule type="cellIs" dxfId="10179" priority="12449" operator="between">
      <formula>0.51</formula>
      <formula>0.75</formula>
    </cfRule>
    <cfRule type="cellIs" dxfId="10178" priority="12450" operator="greaterThan">
      <formula>1</formula>
    </cfRule>
    <cfRule type="cellIs" dxfId="10177" priority="12451" operator="between">
      <formula>0.95</formula>
      <formula>1</formula>
    </cfRule>
    <cfRule type="cellIs" dxfId="10176" priority="12452" stopIfTrue="1" operator="between">
      <formula>0</formula>
      <formula>0.5</formula>
    </cfRule>
  </conditionalFormatting>
  <conditionalFormatting sqref="AE215">
    <cfRule type="cellIs" dxfId="10175" priority="12443" operator="between">
      <formula>0.76</formula>
      <formula>0.95</formula>
    </cfRule>
    <cfRule type="cellIs" dxfId="10174" priority="12444" operator="between">
      <formula>0.51</formula>
      <formula>0.75</formula>
    </cfRule>
    <cfRule type="cellIs" dxfId="10173" priority="12445" operator="greaterThan">
      <formula>1</formula>
    </cfRule>
    <cfRule type="cellIs" dxfId="10172" priority="12446" operator="between">
      <formula>0.95</formula>
      <formula>1</formula>
    </cfRule>
    <cfRule type="cellIs" dxfId="10171" priority="12447" stopIfTrue="1" operator="between">
      <formula>0</formula>
      <formula>0.5</formula>
    </cfRule>
  </conditionalFormatting>
  <conditionalFormatting sqref="AG215">
    <cfRule type="cellIs" dxfId="10170" priority="12438" operator="between">
      <formula>0.76</formula>
      <formula>0.95</formula>
    </cfRule>
    <cfRule type="cellIs" dxfId="10169" priority="12439" operator="between">
      <formula>0.51</formula>
      <formula>0.75</formula>
    </cfRule>
    <cfRule type="cellIs" dxfId="10168" priority="12440" operator="greaterThan">
      <formula>1</formula>
    </cfRule>
    <cfRule type="cellIs" dxfId="10167" priority="12441" operator="between">
      <formula>0.95</formula>
      <formula>1</formula>
    </cfRule>
    <cfRule type="cellIs" dxfId="10166" priority="12442" stopIfTrue="1" operator="between">
      <formula>0</formula>
      <formula>0.5</formula>
    </cfRule>
  </conditionalFormatting>
  <conditionalFormatting sqref="AE227">
    <cfRule type="cellIs" dxfId="10165" priority="12433" operator="between">
      <formula>0.76</formula>
      <formula>0.95</formula>
    </cfRule>
    <cfRule type="cellIs" dxfId="10164" priority="12434" operator="between">
      <formula>0.51</formula>
      <formula>0.75</formula>
    </cfRule>
    <cfRule type="cellIs" dxfId="10163" priority="12435" operator="greaterThan">
      <formula>1</formula>
    </cfRule>
    <cfRule type="cellIs" dxfId="10162" priority="12436" operator="between">
      <formula>0.95</formula>
      <formula>1</formula>
    </cfRule>
    <cfRule type="cellIs" dxfId="10161" priority="12437" stopIfTrue="1" operator="between">
      <formula>0</formula>
      <formula>0.5</formula>
    </cfRule>
  </conditionalFormatting>
  <conditionalFormatting sqref="AG227">
    <cfRule type="cellIs" dxfId="10160" priority="12428" operator="between">
      <formula>0.76</formula>
      <formula>0.95</formula>
    </cfRule>
    <cfRule type="cellIs" dxfId="10159" priority="12429" operator="between">
      <formula>0.51</formula>
      <formula>0.75</formula>
    </cfRule>
    <cfRule type="cellIs" dxfId="10158" priority="12430" operator="greaterThan">
      <formula>1</formula>
    </cfRule>
    <cfRule type="cellIs" dxfId="10157" priority="12431" operator="between">
      <formula>0.95</formula>
      <formula>1</formula>
    </cfRule>
    <cfRule type="cellIs" dxfId="10156" priority="12432" stopIfTrue="1" operator="between">
      <formula>0</formula>
      <formula>0.5</formula>
    </cfRule>
  </conditionalFormatting>
  <conditionalFormatting sqref="AE237">
    <cfRule type="cellIs" dxfId="10155" priority="12423" operator="between">
      <formula>0.76</formula>
      <formula>0.95</formula>
    </cfRule>
    <cfRule type="cellIs" dxfId="10154" priority="12424" operator="between">
      <formula>0.51</formula>
      <formula>0.75</formula>
    </cfRule>
    <cfRule type="cellIs" dxfId="10153" priority="12425" operator="greaterThan">
      <formula>1</formula>
    </cfRule>
    <cfRule type="cellIs" dxfId="10152" priority="12426" operator="between">
      <formula>0.95</formula>
      <formula>1</formula>
    </cfRule>
    <cfRule type="cellIs" dxfId="10151" priority="12427" stopIfTrue="1" operator="between">
      <formula>0</formula>
      <formula>0.5</formula>
    </cfRule>
  </conditionalFormatting>
  <conditionalFormatting sqref="AG237">
    <cfRule type="cellIs" dxfId="10150" priority="12418" operator="between">
      <formula>0.76</formula>
      <formula>0.95</formula>
    </cfRule>
    <cfRule type="cellIs" dxfId="10149" priority="12419" operator="between">
      <formula>0.51</formula>
      <formula>0.75</formula>
    </cfRule>
    <cfRule type="cellIs" dxfId="10148" priority="12420" operator="greaterThan">
      <formula>1</formula>
    </cfRule>
    <cfRule type="cellIs" dxfId="10147" priority="12421" operator="between">
      <formula>0.95</formula>
      <formula>1</formula>
    </cfRule>
    <cfRule type="cellIs" dxfId="10146" priority="12422" stopIfTrue="1" operator="between">
      <formula>0</formula>
      <formula>0.5</formula>
    </cfRule>
  </conditionalFormatting>
  <conditionalFormatting sqref="AD238">
    <cfRule type="cellIs" dxfId="10145" priority="12413" operator="between">
      <formula>0.76</formula>
      <formula>0.95</formula>
    </cfRule>
    <cfRule type="cellIs" dxfId="10144" priority="12414" operator="between">
      <formula>0.51</formula>
      <formula>0.75</formula>
    </cfRule>
    <cfRule type="cellIs" dxfId="10143" priority="12415" operator="greaterThan">
      <formula>1</formula>
    </cfRule>
    <cfRule type="cellIs" dxfId="10142" priority="12416" operator="between">
      <formula>0.95</formula>
      <formula>1</formula>
    </cfRule>
    <cfRule type="cellIs" dxfId="10141" priority="12417" stopIfTrue="1" operator="between">
      <formula>0</formula>
      <formula>0.5</formula>
    </cfRule>
  </conditionalFormatting>
  <conditionalFormatting sqref="AE238">
    <cfRule type="cellIs" dxfId="10140" priority="12408" operator="between">
      <formula>0.76</formula>
      <formula>0.95</formula>
    </cfRule>
    <cfRule type="cellIs" dxfId="10139" priority="12409" operator="between">
      <formula>0.51</formula>
      <formula>0.75</formula>
    </cfRule>
    <cfRule type="cellIs" dxfId="10138" priority="12410" operator="greaterThan">
      <formula>1</formula>
    </cfRule>
    <cfRule type="cellIs" dxfId="10137" priority="12411" operator="between">
      <formula>0.95</formula>
      <formula>1</formula>
    </cfRule>
    <cfRule type="cellIs" dxfId="10136" priority="12412" stopIfTrue="1" operator="between">
      <formula>0</formula>
      <formula>0.5</formula>
    </cfRule>
  </conditionalFormatting>
  <conditionalFormatting sqref="AF238">
    <cfRule type="cellIs" dxfId="10135" priority="12393" operator="between">
      <formula>0.76</formula>
      <formula>0.95</formula>
    </cfRule>
    <cfRule type="cellIs" dxfId="10134" priority="12394" operator="between">
      <formula>0.51</formula>
      <formula>0.75</formula>
    </cfRule>
    <cfRule type="cellIs" dxfId="10133" priority="12395" operator="greaterThan">
      <formula>1</formula>
    </cfRule>
    <cfRule type="cellIs" dxfId="10132" priority="12396" operator="between">
      <formula>0.95</formula>
      <formula>1</formula>
    </cfRule>
    <cfRule type="cellIs" dxfId="10131" priority="12397" stopIfTrue="1" operator="between">
      <formula>0</formula>
      <formula>0.5</formula>
    </cfRule>
  </conditionalFormatting>
  <conditionalFormatting sqref="AG238">
    <cfRule type="cellIs" dxfId="10130" priority="12388" operator="between">
      <formula>0.76</formula>
      <formula>0.95</formula>
    </cfRule>
    <cfRule type="cellIs" dxfId="10129" priority="12389" operator="between">
      <formula>0.51</formula>
      <formula>0.75</formula>
    </cfRule>
    <cfRule type="cellIs" dxfId="10128" priority="12390" operator="greaterThan">
      <formula>1</formula>
    </cfRule>
    <cfRule type="cellIs" dxfId="10127" priority="12391" operator="between">
      <formula>0.95</formula>
      <formula>1</formula>
    </cfRule>
    <cfRule type="cellIs" dxfId="10126" priority="12392" stopIfTrue="1" operator="between">
      <formula>0</formula>
      <formula>0.5</formula>
    </cfRule>
  </conditionalFormatting>
  <conditionalFormatting sqref="AE303">
    <cfRule type="cellIs" dxfId="10125" priority="12383" operator="between">
      <formula>0.76</formula>
      <formula>0.95</formula>
    </cfRule>
    <cfRule type="cellIs" dxfId="10124" priority="12384" operator="between">
      <formula>0.51</formula>
      <formula>0.75</formula>
    </cfRule>
    <cfRule type="cellIs" dxfId="10123" priority="12385" operator="greaterThan">
      <formula>1</formula>
    </cfRule>
    <cfRule type="cellIs" dxfId="10122" priority="12386" operator="between">
      <formula>0.95</formula>
      <formula>1</formula>
    </cfRule>
    <cfRule type="cellIs" dxfId="10121" priority="12387" stopIfTrue="1" operator="between">
      <formula>0</formula>
      <formula>0.5</formula>
    </cfRule>
  </conditionalFormatting>
  <conditionalFormatting sqref="AG303">
    <cfRule type="cellIs" dxfId="10120" priority="12378" operator="between">
      <formula>0.76</formula>
      <formula>0.95</formula>
    </cfRule>
    <cfRule type="cellIs" dxfId="10119" priority="12379" operator="between">
      <formula>0.51</formula>
      <formula>0.75</formula>
    </cfRule>
    <cfRule type="cellIs" dxfId="10118" priority="12380" operator="greaterThan">
      <formula>1</formula>
    </cfRule>
    <cfRule type="cellIs" dxfId="10117" priority="12381" operator="between">
      <formula>0.95</formula>
      <formula>1</formula>
    </cfRule>
    <cfRule type="cellIs" dxfId="10116" priority="12382" stopIfTrue="1" operator="between">
      <formula>0</formula>
      <formula>0.5</formula>
    </cfRule>
  </conditionalFormatting>
  <conditionalFormatting sqref="AE307">
    <cfRule type="cellIs" dxfId="10115" priority="12373" operator="between">
      <formula>0.76</formula>
      <formula>0.95</formula>
    </cfRule>
    <cfRule type="cellIs" dxfId="10114" priority="12374" operator="between">
      <formula>0.51</formula>
      <formula>0.75</formula>
    </cfRule>
    <cfRule type="cellIs" dxfId="10113" priority="12375" operator="greaterThan">
      <formula>1</formula>
    </cfRule>
    <cfRule type="cellIs" dxfId="10112" priority="12376" operator="between">
      <formula>0.95</formula>
      <formula>1</formula>
    </cfRule>
    <cfRule type="cellIs" dxfId="10111" priority="12377" stopIfTrue="1" operator="between">
      <formula>0</formula>
      <formula>0.5</formula>
    </cfRule>
  </conditionalFormatting>
  <conditionalFormatting sqref="AG307">
    <cfRule type="cellIs" dxfId="10110" priority="12368" operator="between">
      <formula>0.76</formula>
      <formula>0.95</formula>
    </cfRule>
    <cfRule type="cellIs" dxfId="10109" priority="12369" operator="between">
      <formula>0.51</formula>
      <formula>0.75</formula>
    </cfRule>
    <cfRule type="cellIs" dxfId="10108" priority="12370" operator="greaterThan">
      <formula>1</formula>
    </cfRule>
    <cfRule type="cellIs" dxfId="10107" priority="12371" operator="between">
      <formula>0.95</formula>
      <formula>1</formula>
    </cfRule>
    <cfRule type="cellIs" dxfId="10106" priority="12372" stopIfTrue="1" operator="between">
      <formula>0</formula>
      <formula>0.5</formula>
    </cfRule>
  </conditionalFormatting>
  <conditionalFormatting sqref="AE322">
    <cfRule type="cellIs" dxfId="10105" priority="12363" operator="between">
      <formula>0.76</formula>
      <formula>0.95</formula>
    </cfRule>
    <cfRule type="cellIs" dxfId="10104" priority="12364" operator="between">
      <formula>0.51</formula>
      <formula>0.75</formula>
    </cfRule>
    <cfRule type="cellIs" dxfId="10103" priority="12365" operator="greaterThan">
      <formula>1</formula>
    </cfRule>
    <cfRule type="cellIs" dxfId="10102" priority="12366" operator="between">
      <formula>0.95</formula>
      <formula>1</formula>
    </cfRule>
    <cfRule type="cellIs" dxfId="10101" priority="12367" stopIfTrue="1" operator="between">
      <formula>0</formula>
      <formula>0.5</formula>
    </cfRule>
  </conditionalFormatting>
  <conditionalFormatting sqref="AG322">
    <cfRule type="cellIs" dxfId="10100" priority="12358" operator="between">
      <formula>0.76</formula>
      <formula>0.95</formula>
    </cfRule>
    <cfRule type="cellIs" dxfId="10099" priority="12359" operator="between">
      <formula>0.51</formula>
      <formula>0.75</formula>
    </cfRule>
    <cfRule type="cellIs" dxfId="10098" priority="12360" operator="greaterThan">
      <formula>1</formula>
    </cfRule>
    <cfRule type="cellIs" dxfId="10097" priority="12361" operator="between">
      <formula>0.95</formula>
      <formula>1</formula>
    </cfRule>
    <cfRule type="cellIs" dxfId="10096" priority="12362" stopIfTrue="1" operator="between">
      <formula>0</formula>
      <formula>0.5</formula>
    </cfRule>
  </conditionalFormatting>
  <conditionalFormatting sqref="AE332">
    <cfRule type="cellIs" dxfId="10095" priority="12353" operator="between">
      <formula>0.76</formula>
      <formula>0.95</formula>
    </cfRule>
    <cfRule type="cellIs" dxfId="10094" priority="12354" operator="between">
      <formula>0.51</formula>
      <formula>0.75</formula>
    </cfRule>
    <cfRule type="cellIs" dxfId="10093" priority="12355" operator="greaterThan">
      <formula>1</formula>
    </cfRule>
    <cfRule type="cellIs" dxfId="10092" priority="12356" operator="between">
      <formula>0.95</formula>
      <formula>1</formula>
    </cfRule>
    <cfRule type="cellIs" dxfId="10091" priority="12357" stopIfTrue="1" operator="between">
      <formula>0</formula>
      <formula>0.5</formula>
    </cfRule>
  </conditionalFormatting>
  <conditionalFormatting sqref="AG332:AG333">
    <cfRule type="cellIs" dxfId="10090" priority="12348" operator="between">
      <formula>0.76</formula>
      <formula>0.95</formula>
    </cfRule>
    <cfRule type="cellIs" dxfId="10089" priority="12349" operator="between">
      <formula>0.51</formula>
      <formula>0.75</formula>
    </cfRule>
    <cfRule type="cellIs" dxfId="10088" priority="12350" operator="greaterThan">
      <formula>1</formula>
    </cfRule>
    <cfRule type="cellIs" dxfId="10087" priority="12351" operator="between">
      <formula>0.95</formula>
      <formula>1</formula>
    </cfRule>
    <cfRule type="cellIs" dxfId="10086" priority="12352" stopIfTrue="1" operator="between">
      <formula>0</formula>
      <formula>0.5</formula>
    </cfRule>
  </conditionalFormatting>
  <conditionalFormatting sqref="AD333">
    <cfRule type="cellIs" dxfId="10085" priority="12343" operator="between">
      <formula>0.76</formula>
      <formula>0.95</formula>
    </cfRule>
    <cfRule type="cellIs" dxfId="10084" priority="12344" operator="between">
      <formula>0.51</formula>
      <formula>0.75</formula>
    </cfRule>
    <cfRule type="cellIs" dxfId="10083" priority="12345" operator="greaterThan">
      <formula>1</formula>
    </cfRule>
    <cfRule type="cellIs" dxfId="10082" priority="12346" operator="between">
      <formula>0.95</formula>
      <formula>1</formula>
    </cfRule>
    <cfRule type="cellIs" dxfId="10081" priority="12347" stopIfTrue="1" operator="between">
      <formula>0</formula>
      <formula>0.5</formula>
    </cfRule>
  </conditionalFormatting>
  <conditionalFormatting sqref="AE333">
    <cfRule type="cellIs" dxfId="10080" priority="12338" operator="between">
      <formula>0.76</formula>
      <formula>0.95</formula>
    </cfRule>
    <cfRule type="cellIs" dxfId="10079" priority="12339" operator="between">
      <formula>0.51</formula>
      <formula>0.75</formula>
    </cfRule>
    <cfRule type="cellIs" dxfId="10078" priority="12340" operator="greaterThan">
      <formula>1</formula>
    </cfRule>
    <cfRule type="cellIs" dxfId="10077" priority="12341" operator="between">
      <formula>0.95</formula>
      <formula>1</formula>
    </cfRule>
    <cfRule type="cellIs" dxfId="10076" priority="12342" stopIfTrue="1" operator="between">
      <formula>0</formula>
      <formula>0.5</formula>
    </cfRule>
  </conditionalFormatting>
  <conditionalFormatting sqref="AF333">
    <cfRule type="cellIs" dxfId="10075" priority="12333" operator="between">
      <formula>0.76</formula>
      <formula>0.95</formula>
    </cfRule>
    <cfRule type="cellIs" dxfId="10074" priority="12334" operator="between">
      <formula>0.51</formula>
      <formula>0.75</formula>
    </cfRule>
    <cfRule type="cellIs" dxfId="10073" priority="12335" operator="greaterThan">
      <formula>1</formula>
    </cfRule>
    <cfRule type="cellIs" dxfId="10072" priority="12336" operator="between">
      <formula>0.95</formula>
      <formula>1</formula>
    </cfRule>
    <cfRule type="cellIs" dxfId="10071" priority="12337" stopIfTrue="1" operator="between">
      <formula>0</formula>
      <formula>0.5</formula>
    </cfRule>
  </conditionalFormatting>
  <conditionalFormatting sqref="AG333">
    <cfRule type="cellIs" dxfId="10070" priority="12328" operator="between">
      <formula>0.76</formula>
      <formula>0.95</formula>
    </cfRule>
    <cfRule type="cellIs" dxfId="10069" priority="12329" operator="between">
      <formula>0.51</formula>
      <formula>0.75</formula>
    </cfRule>
    <cfRule type="cellIs" dxfId="10068" priority="12330" operator="greaterThan">
      <formula>1</formula>
    </cfRule>
    <cfRule type="cellIs" dxfId="10067" priority="12331" operator="between">
      <formula>0.95</formula>
      <formula>1</formula>
    </cfRule>
    <cfRule type="cellIs" dxfId="10066" priority="12332" stopIfTrue="1" operator="between">
      <formula>0</formula>
      <formula>0.5</formula>
    </cfRule>
  </conditionalFormatting>
  <conditionalFormatting sqref="AE382">
    <cfRule type="cellIs" dxfId="10065" priority="12323" operator="between">
      <formula>0.76</formula>
      <formula>0.95</formula>
    </cfRule>
    <cfRule type="cellIs" dxfId="10064" priority="12324" operator="between">
      <formula>0.51</formula>
      <formula>0.75</formula>
    </cfRule>
    <cfRule type="cellIs" dxfId="10063" priority="12325" operator="greaterThan">
      <formula>1</formula>
    </cfRule>
    <cfRule type="cellIs" dxfId="10062" priority="12326" operator="between">
      <formula>0.95</formula>
      <formula>1</formula>
    </cfRule>
    <cfRule type="cellIs" dxfId="10061" priority="12327" stopIfTrue="1" operator="between">
      <formula>0</formula>
      <formula>0.5</formula>
    </cfRule>
  </conditionalFormatting>
  <conditionalFormatting sqref="AG382">
    <cfRule type="cellIs" dxfId="10060" priority="12318" operator="between">
      <formula>0.76</formula>
      <formula>0.95</formula>
    </cfRule>
    <cfRule type="cellIs" dxfId="10059" priority="12319" operator="between">
      <formula>0.51</formula>
      <formula>0.75</formula>
    </cfRule>
    <cfRule type="cellIs" dxfId="10058" priority="12320" operator="greaterThan">
      <formula>1</formula>
    </cfRule>
    <cfRule type="cellIs" dxfId="10057" priority="12321" operator="between">
      <formula>0.95</formula>
      <formula>1</formula>
    </cfRule>
    <cfRule type="cellIs" dxfId="10056" priority="12322" stopIfTrue="1" operator="between">
      <formula>0</formula>
      <formula>0.5</formula>
    </cfRule>
  </conditionalFormatting>
  <conditionalFormatting sqref="AE383">
    <cfRule type="cellIs" dxfId="10055" priority="12313" operator="between">
      <formula>0.76</formula>
      <formula>0.95</formula>
    </cfRule>
    <cfRule type="cellIs" dxfId="10054" priority="12314" operator="between">
      <formula>0.51</formula>
      <formula>0.75</formula>
    </cfRule>
    <cfRule type="cellIs" dxfId="10053" priority="12315" operator="greaterThan">
      <formula>1</formula>
    </cfRule>
    <cfRule type="cellIs" dxfId="10052" priority="12316" operator="between">
      <formula>0.95</formula>
      <formula>1</formula>
    </cfRule>
    <cfRule type="cellIs" dxfId="10051" priority="12317" stopIfTrue="1" operator="between">
      <formula>0</formula>
      <formula>0.5</formula>
    </cfRule>
  </conditionalFormatting>
  <conditionalFormatting sqref="AG383">
    <cfRule type="cellIs" dxfId="10050" priority="12308" operator="between">
      <formula>0.76</formula>
      <formula>0.95</formula>
    </cfRule>
    <cfRule type="cellIs" dxfId="10049" priority="12309" operator="between">
      <formula>0.51</formula>
      <formula>0.75</formula>
    </cfRule>
    <cfRule type="cellIs" dxfId="10048" priority="12310" operator="greaterThan">
      <formula>1</formula>
    </cfRule>
    <cfRule type="cellIs" dxfId="10047" priority="12311" operator="between">
      <formula>0.95</formula>
      <formula>1</formula>
    </cfRule>
    <cfRule type="cellIs" dxfId="10046" priority="12312" stopIfTrue="1" operator="between">
      <formula>0</formula>
      <formula>0.5</formula>
    </cfRule>
  </conditionalFormatting>
  <conditionalFormatting sqref="AE384">
    <cfRule type="cellIs" dxfId="10045" priority="12303" operator="between">
      <formula>0.76</formula>
      <formula>0.95</formula>
    </cfRule>
    <cfRule type="cellIs" dxfId="10044" priority="12304" operator="between">
      <formula>0.51</formula>
      <formula>0.75</formula>
    </cfRule>
    <cfRule type="cellIs" dxfId="10043" priority="12305" operator="greaterThan">
      <formula>1</formula>
    </cfRule>
    <cfRule type="cellIs" dxfId="10042" priority="12306" operator="between">
      <formula>0.95</formula>
      <formula>1</formula>
    </cfRule>
    <cfRule type="cellIs" dxfId="10041" priority="12307" stopIfTrue="1" operator="between">
      <formula>0</formula>
      <formula>0.5</formula>
    </cfRule>
  </conditionalFormatting>
  <conditionalFormatting sqref="AG384">
    <cfRule type="cellIs" dxfId="10040" priority="12298" operator="between">
      <formula>0.76</formula>
      <formula>0.95</formula>
    </cfRule>
    <cfRule type="cellIs" dxfId="10039" priority="12299" operator="between">
      <formula>0.51</formula>
      <formula>0.75</formula>
    </cfRule>
    <cfRule type="cellIs" dxfId="10038" priority="12300" operator="greaterThan">
      <formula>1</formula>
    </cfRule>
    <cfRule type="cellIs" dxfId="10037" priority="12301" operator="between">
      <formula>0.95</formula>
      <formula>1</formula>
    </cfRule>
    <cfRule type="cellIs" dxfId="10036" priority="12302" stopIfTrue="1" operator="between">
      <formula>0</formula>
      <formula>0.5</formula>
    </cfRule>
  </conditionalFormatting>
  <conditionalFormatting sqref="AE385">
    <cfRule type="cellIs" dxfId="10035" priority="12293" operator="between">
      <formula>0.76</formula>
      <formula>0.95</formula>
    </cfRule>
    <cfRule type="cellIs" dxfId="10034" priority="12294" operator="between">
      <formula>0.51</formula>
      <formula>0.75</formula>
    </cfRule>
    <cfRule type="cellIs" dxfId="10033" priority="12295" operator="greaterThan">
      <formula>1</formula>
    </cfRule>
    <cfRule type="cellIs" dxfId="10032" priority="12296" operator="between">
      <formula>0.95</formula>
      <formula>1</formula>
    </cfRule>
    <cfRule type="cellIs" dxfId="10031" priority="12297" stopIfTrue="1" operator="between">
      <formula>0</formula>
      <formula>0.5</formula>
    </cfRule>
  </conditionalFormatting>
  <conditionalFormatting sqref="AG385">
    <cfRule type="cellIs" dxfId="10030" priority="12288" operator="between">
      <formula>0.76</formula>
      <formula>0.95</formula>
    </cfRule>
    <cfRule type="cellIs" dxfId="10029" priority="12289" operator="between">
      <formula>0.51</formula>
      <formula>0.75</formula>
    </cfRule>
    <cfRule type="cellIs" dxfId="10028" priority="12290" operator="greaterThan">
      <formula>1</formula>
    </cfRule>
    <cfRule type="cellIs" dxfId="10027" priority="12291" operator="between">
      <formula>0.95</formula>
      <formula>1</formula>
    </cfRule>
    <cfRule type="cellIs" dxfId="10026" priority="12292" stopIfTrue="1" operator="between">
      <formula>0</formula>
      <formula>0.5</formula>
    </cfRule>
  </conditionalFormatting>
  <conditionalFormatting sqref="R119">
    <cfRule type="cellIs" dxfId="10025" priority="12268" operator="between">
      <formula>0.3751</formula>
      <formula>0.475</formula>
    </cfRule>
    <cfRule type="cellIs" dxfId="10024" priority="12269" operator="between">
      <formula>0.2551</formula>
      <formula>0.375</formula>
    </cfRule>
    <cfRule type="cellIs" dxfId="10023" priority="12270" operator="greaterThan">
      <formula>0.505</formula>
    </cfRule>
    <cfRule type="cellIs" dxfId="10022" priority="12271" operator="between">
      <formula>0.4751</formula>
      <formula>0.5</formula>
    </cfRule>
    <cfRule type="cellIs" dxfId="10021" priority="12272" stopIfTrue="1" operator="between">
      <formula>0</formula>
      <formula>0.255</formula>
    </cfRule>
  </conditionalFormatting>
  <conditionalFormatting sqref="R238">
    <cfRule type="cellIs" dxfId="10020" priority="12258" operator="between">
      <formula>0.3751</formula>
      <formula>0.475</formula>
    </cfRule>
    <cfRule type="cellIs" dxfId="10019" priority="12259" operator="between">
      <formula>0.2551</formula>
      <formula>0.375</formula>
    </cfRule>
    <cfRule type="cellIs" dxfId="10018" priority="12260" operator="greaterThan">
      <formula>0.505</formula>
    </cfRule>
    <cfRule type="cellIs" dxfId="10017" priority="12261" operator="between">
      <formula>0.4751</formula>
      <formula>0.5</formula>
    </cfRule>
    <cfRule type="cellIs" dxfId="10016" priority="12262" stopIfTrue="1" operator="between">
      <formula>0</formula>
      <formula>0.255</formula>
    </cfRule>
  </conditionalFormatting>
  <conditionalFormatting sqref="R333">
    <cfRule type="cellIs" dxfId="10015" priority="12248" operator="between">
      <formula>0.3751</formula>
      <formula>0.475</formula>
    </cfRule>
    <cfRule type="cellIs" dxfId="10014" priority="12249" operator="between">
      <formula>0.2551</formula>
      <formula>0.375</formula>
    </cfRule>
    <cfRule type="cellIs" dxfId="10013" priority="12250" operator="greaterThan">
      <formula>0.505</formula>
    </cfRule>
    <cfRule type="cellIs" dxfId="10012" priority="12251" operator="between">
      <formula>0.4751</formula>
      <formula>0.5</formula>
    </cfRule>
    <cfRule type="cellIs" dxfId="10011" priority="12252" stopIfTrue="1" operator="between">
      <formula>0</formula>
      <formula>0.255</formula>
    </cfRule>
  </conditionalFormatting>
  <conditionalFormatting sqref="T43">
    <cfRule type="cellIs" dxfId="10010" priority="12243" operator="between">
      <formula>0.3751</formula>
      <formula>0.475</formula>
    </cfRule>
    <cfRule type="cellIs" dxfId="10009" priority="12244" operator="between">
      <formula>0.2551</formula>
      <formula>0.375</formula>
    </cfRule>
    <cfRule type="cellIs" dxfId="10008" priority="12245" operator="greaterThan">
      <formula>0.505</formula>
    </cfRule>
    <cfRule type="cellIs" dxfId="10007" priority="12246" operator="between">
      <formula>0.4751</formula>
      <formula>0.5</formula>
    </cfRule>
    <cfRule type="cellIs" dxfId="10006" priority="12247" stopIfTrue="1" operator="between">
      <formula>0</formula>
      <formula>0.255</formula>
    </cfRule>
  </conditionalFormatting>
  <conditionalFormatting sqref="T85">
    <cfRule type="cellIs" dxfId="10005" priority="12233" operator="between">
      <formula>0.3751</formula>
      <formula>0.475</formula>
    </cfRule>
    <cfRule type="cellIs" dxfId="10004" priority="12234" operator="between">
      <formula>0.2551</formula>
      <formula>0.375</formula>
    </cfRule>
    <cfRule type="cellIs" dxfId="10003" priority="12235" operator="greaterThan">
      <formula>0.505</formula>
    </cfRule>
    <cfRule type="cellIs" dxfId="10002" priority="12236" operator="between">
      <formula>0.4751</formula>
      <formula>0.5</formula>
    </cfRule>
    <cfRule type="cellIs" dxfId="10001" priority="12237" stopIfTrue="1" operator="between">
      <formula>0</formula>
      <formula>0.255</formula>
    </cfRule>
  </conditionalFormatting>
  <conditionalFormatting sqref="T109">
    <cfRule type="cellIs" dxfId="10000" priority="12228" operator="between">
      <formula>0.3751</formula>
      <formula>0.475</formula>
    </cfRule>
    <cfRule type="cellIs" dxfId="9999" priority="12229" operator="between">
      <formula>0.2551</formula>
      <formula>0.375</formula>
    </cfRule>
    <cfRule type="cellIs" dxfId="9998" priority="12230" operator="greaterThan">
      <formula>0.505</formula>
    </cfRule>
    <cfRule type="cellIs" dxfId="9997" priority="12231" operator="between">
      <formula>0.4751</formula>
      <formula>0.5</formula>
    </cfRule>
    <cfRule type="cellIs" dxfId="9996" priority="12232" stopIfTrue="1" operator="between">
      <formula>0</formula>
      <formula>0.255</formula>
    </cfRule>
  </conditionalFormatting>
  <conditionalFormatting sqref="T118">
    <cfRule type="cellIs" dxfId="9995" priority="12223" operator="between">
      <formula>0.3751</formula>
      <formula>0.475</formula>
    </cfRule>
    <cfRule type="cellIs" dxfId="9994" priority="12224" operator="between">
      <formula>0.2551</formula>
      <formula>0.375</formula>
    </cfRule>
    <cfRule type="cellIs" dxfId="9993" priority="12225" operator="greaterThan">
      <formula>0.505</formula>
    </cfRule>
    <cfRule type="cellIs" dxfId="9992" priority="12226" operator="between">
      <formula>0.4751</formula>
      <formula>0.5</formula>
    </cfRule>
    <cfRule type="cellIs" dxfId="9991" priority="12227" stopIfTrue="1" operator="between">
      <formula>0</formula>
      <formula>0.255</formula>
    </cfRule>
  </conditionalFormatting>
  <conditionalFormatting sqref="T183">
    <cfRule type="cellIs" dxfId="9990" priority="12213" operator="between">
      <formula>0.3751</formula>
      <formula>0.475</formula>
    </cfRule>
    <cfRule type="cellIs" dxfId="9989" priority="12214" operator="between">
      <formula>0.2551</formula>
      <formula>0.375</formula>
    </cfRule>
    <cfRule type="cellIs" dxfId="9988" priority="12215" operator="greaterThan">
      <formula>0.505</formula>
    </cfRule>
    <cfRule type="cellIs" dxfId="9987" priority="12216" operator="between">
      <formula>0.4751</formula>
      <formula>0.5</formula>
    </cfRule>
    <cfRule type="cellIs" dxfId="9986" priority="12217" stopIfTrue="1" operator="between">
      <formula>0</formula>
      <formula>0.255</formula>
    </cfRule>
  </conditionalFormatting>
  <conditionalFormatting sqref="T206">
    <cfRule type="cellIs" dxfId="9985" priority="12208" operator="between">
      <formula>0.3751</formula>
      <formula>0.475</formula>
    </cfRule>
    <cfRule type="cellIs" dxfId="9984" priority="12209" operator="between">
      <formula>0.2551</formula>
      <formula>0.375</formula>
    </cfRule>
    <cfRule type="cellIs" dxfId="9983" priority="12210" operator="greaterThan">
      <formula>0.505</formula>
    </cfRule>
    <cfRule type="cellIs" dxfId="9982" priority="12211" operator="between">
      <formula>0.4751</formula>
      <formula>0.5</formula>
    </cfRule>
    <cfRule type="cellIs" dxfId="9981" priority="12212" stopIfTrue="1" operator="between">
      <formula>0</formula>
      <formula>0.255</formula>
    </cfRule>
  </conditionalFormatting>
  <conditionalFormatting sqref="T215">
    <cfRule type="cellIs" dxfId="9980" priority="12203" operator="between">
      <formula>0.3751</formula>
      <formula>0.475</formula>
    </cfRule>
    <cfRule type="cellIs" dxfId="9979" priority="12204" operator="between">
      <formula>0.2551</formula>
      <formula>0.375</formula>
    </cfRule>
    <cfRule type="cellIs" dxfId="9978" priority="12205" operator="greaterThan">
      <formula>0.505</formula>
    </cfRule>
    <cfRule type="cellIs" dxfId="9977" priority="12206" operator="between">
      <formula>0.4751</formula>
      <formula>0.5</formula>
    </cfRule>
    <cfRule type="cellIs" dxfId="9976" priority="12207" stopIfTrue="1" operator="between">
      <formula>0</formula>
      <formula>0.255</formula>
    </cfRule>
  </conditionalFormatting>
  <conditionalFormatting sqref="T227">
    <cfRule type="cellIs" dxfId="9975" priority="12198" operator="between">
      <formula>0.3751</formula>
      <formula>0.475</formula>
    </cfRule>
    <cfRule type="cellIs" dxfId="9974" priority="12199" operator="between">
      <formula>0.2551</formula>
      <formula>0.375</formula>
    </cfRule>
    <cfRule type="cellIs" dxfId="9973" priority="12200" operator="greaterThan">
      <formula>0.505</formula>
    </cfRule>
    <cfRule type="cellIs" dxfId="9972" priority="12201" operator="between">
      <formula>0.4751</formula>
      <formula>0.5</formula>
    </cfRule>
    <cfRule type="cellIs" dxfId="9971" priority="12202" stopIfTrue="1" operator="between">
      <formula>0</formula>
      <formula>0.255</formula>
    </cfRule>
  </conditionalFormatting>
  <conditionalFormatting sqref="T237">
    <cfRule type="cellIs" dxfId="9970" priority="12193" operator="between">
      <formula>0.3751</formula>
      <formula>0.475</formula>
    </cfRule>
    <cfRule type="cellIs" dxfId="9969" priority="12194" operator="between">
      <formula>0.2551</formula>
      <formula>0.375</formula>
    </cfRule>
    <cfRule type="cellIs" dxfId="9968" priority="12195" operator="greaterThan">
      <formula>0.505</formula>
    </cfRule>
    <cfRule type="cellIs" dxfId="9967" priority="12196" operator="between">
      <formula>0.4751</formula>
      <formula>0.5</formula>
    </cfRule>
    <cfRule type="cellIs" dxfId="9966" priority="12197" stopIfTrue="1" operator="between">
      <formula>0</formula>
      <formula>0.255</formula>
    </cfRule>
  </conditionalFormatting>
  <conditionalFormatting sqref="T238">
    <cfRule type="cellIs" dxfId="9965" priority="12188" operator="between">
      <formula>0.3751</formula>
      <formula>0.475</formula>
    </cfRule>
    <cfRule type="cellIs" dxfId="9964" priority="12189" operator="between">
      <formula>0.2551</formula>
      <formula>0.375</formula>
    </cfRule>
    <cfRule type="cellIs" dxfId="9963" priority="12190" operator="greaterThan">
      <formula>0.505</formula>
    </cfRule>
    <cfRule type="cellIs" dxfId="9962" priority="12191" operator="between">
      <formula>0.4751</formula>
      <formula>0.5</formula>
    </cfRule>
    <cfRule type="cellIs" dxfId="9961" priority="12192" stopIfTrue="1" operator="between">
      <formula>0</formula>
      <formula>0.255</formula>
    </cfRule>
  </conditionalFormatting>
  <conditionalFormatting sqref="T303">
    <cfRule type="cellIs" dxfId="9960" priority="12183" operator="between">
      <formula>0.3751</formula>
      <formula>0.475</formula>
    </cfRule>
    <cfRule type="cellIs" dxfId="9959" priority="12184" operator="between">
      <formula>0.2551</formula>
      <formula>0.375</formula>
    </cfRule>
    <cfRule type="cellIs" dxfId="9958" priority="12185" operator="greaterThan">
      <formula>0.505</formula>
    </cfRule>
    <cfRule type="cellIs" dxfId="9957" priority="12186" operator="between">
      <formula>0.4751</formula>
      <formula>0.5</formula>
    </cfRule>
    <cfRule type="cellIs" dxfId="9956" priority="12187" stopIfTrue="1" operator="between">
      <formula>0</formula>
      <formula>0.255</formula>
    </cfRule>
  </conditionalFormatting>
  <conditionalFormatting sqref="T307">
    <cfRule type="cellIs" dxfId="9955" priority="12178" operator="between">
      <formula>0.3751</formula>
      <formula>0.475</formula>
    </cfRule>
    <cfRule type="cellIs" dxfId="9954" priority="12179" operator="between">
      <formula>0.2551</formula>
      <formula>0.375</formula>
    </cfRule>
    <cfRule type="cellIs" dxfId="9953" priority="12180" operator="greaterThan">
      <formula>0.505</formula>
    </cfRule>
    <cfRule type="cellIs" dxfId="9952" priority="12181" operator="between">
      <formula>0.4751</formula>
      <formula>0.5</formula>
    </cfRule>
    <cfRule type="cellIs" dxfId="9951" priority="12182" stopIfTrue="1" operator="between">
      <formula>0</formula>
      <formula>0.255</formula>
    </cfRule>
  </conditionalFormatting>
  <conditionalFormatting sqref="T322">
    <cfRule type="cellIs" dxfId="9950" priority="12173" operator="between">
      <formula>0.3751</formula>
      <formula>0.475</formula>
    </cfRule>
    <cfRule type="cellIs" dxfId="9949" priority="12174" operator="between">
      <formula>0.2551</formula>
      <formula>0.375</formula>
    </cfRule>
    <cfRule type="cellIs" dxfId="9948" priority="12175" operator="greaterThan">
      <formula>0.505</formula>
    </cfRule>
    <cfRule type="cellIs" dxfId="9947" priority="12176" operator="between">
      <formula>0.4751</formula>
      <formula>0.5</formula>
    </cfRule>
    <cfRule type="cellIs" dxfId="9946" priority="12177" stopIfTrue="1" operator="between">
      <formula>0</formula>
      <formula>0.255</formula>
    </cfRule>
  </conditionalFormatting>
  <conditionalFormatting sqref="T332">
    <cfRule type="cellIs" dxfId="9945" priority="12168" operator="between">
      <formula>0.3751</formula>
      <formula>0.475</formula>
    </cfRule>
    <cfRule type="cellIs" dxfId="9944" priority="12169" operator="between">
      <formula>0.2551</formula>
      <formula>0.375</formula>
    </cfRule>
    <cfRule type="cellIs" dxfId="9943" priority="12170" operator="greaterThan">
      <formula>0.505</formula>
    </cfRule>
    <cfRule type="cellIs" dxfId="9942" priority="12171" operator="between">
      <formula>0.4751</formula>
      <formula>0.5</formula>
    </cfRule>
    <cfRule type="cellIs" dxfId="9941" priority="12172" stopIfTrue="1" operator="between">
      <formula>0</formula>
      <formula>0.255</formula>
    </cfRule>
  </conditionalFormatting>
  <conditionalFormatting sqref="T333">
    <cfRule type="cellIs" dxfId="9940" priority="12163" operator="between">
      <formula>0.3751</formula>
      <formula>0.475</formula>
    </cfRule>
    <cfRule type="cellIs" dxfId="9939" priority="12164" operator="between">
      <formula>0.2551</formula>
      <formula>0.375</formula>
    </cfRule>
    <cfRule type="cellIs" dxfId="9938" priority="12165" operator="greaterThan">
      <formula>0.505</formula>
    </cfRule>
    <cfRule type="cellIs" dxfId="9937" priority="12166" operator="between">
      <formula>0.4751</formula>
      <formula>0.5</formula>
    </cfRule>
    <cfRule type="cellIs" dxfId="9936" priority="12167" stopIfTrue="1" operator="between">
      <formula>0</formula>
      <formula>0.255</formula>
    </cfRule>
  </conditionalFormatting>
  <conditionalFormatting sqref="T382">
    <cfRule type="cellIs" dxfId="9935" priority="12158" operator="between">
      <formula>0.3751</formula>
      <formula>0.475</formula>
    </cfRule>
    <cfRule type="cellIs" dxfId="9934" priority="12159" operator="between">
      <formula>0.2551</formula>
      <formula>0.375</formula>
    </cfRule>
    <cfRule type="cellIs" dxfId="9933" priority="12160" operator="greaterThan">
      <formula>0.505</formula>
    </cfRule>
    <cfRule type="cellIs" dxfId="9932" priority="12161" operator="between">
      <formula>0.4751</formula>
      <formula>0.5</formula>
    </cfRule>
    <cfRule type="cellIs" dxfId="9931" priority="12162" stopIfTrue="1" operator="between">
      <formula>0</formula>
      <formula>0.255</formula>
    </cfRule>
  </conditionalFormatting>
  <conditionalFormatting sqref="T384">
    <cfRule type="cellIs" dxfId="9930" priority="12153" operator="between">
      <formula>0.38</formula>
      <formula>0.475</formula>
    </cfRule>
    <cfRule type="cellIs" dxfId="9929" priority="12154" operator="between">
      <formula>0.2551</formula>
      <formula>0.375</formula>
    </cfRule>
    <cfRule type="cellIs" dxfId="9928" priority="12155" operator="greaterThan">
      <formula>0.505</formula>
    </cfRule>
    <cfRule type="cellIs" dxfId="9927" priority="12156" operator="between">
      <formula>0.48</formula>
      <formula>0.51</formula>
    </cfRule>
    <cfRule type="cellIs" dxfId="9926" priority="12157" stopIfTrue="1" operator="between">
      <formula>0</formula>
      <formula>0.255</formula>
    </cfRule>
  </conditionalFormatting>
  <conditionalFormatting sqref="T385">
    <cfRule type="cellIs" dxfId="9925" priority="12148" operator="between">
      <formula>0.3751</formula>
      <formula>0.475</formula>
    </cfRule>
    <cfRule type="cellIs" dxfId="9924" priority="12149" operator="between">
      <formula>0.2551</formula>
      <formula>0.375</formula>
    </cfRule>
    <cfRule type="cellIs" dxfId="9923" priority="12150" operator="greaterThan">
      <formula>0.505</formula>
    </cfRule>
    <cfRule type="cellIs" dxfId="9922" priority="12151" operator="between">
      <formula>0.48</formula>
      <formula>0.51</formula>
    </cfRule>
    <cfRule type="cellIs" dxfId="9921" priority="12152" stopIfTrue="1" operator="between">
      <formula>0</formula>
      <formula>0.255</formula>
    </cfRule>
  </conditionalFormatting>
  <conditionalFormatting sqref="T386">
    <cfRule type="cellIs" dxfId="9920" priority="12143" operator="between">
      <formula>0.3751</formula>
      <formula>0.475</formula>
    </cfRule>
    <cfRule type="cellIs" dxfId="9919" priority="12144" operator="between">
      <formula>0.2551</formula>
      <formula>0.375</formula>
    </cfRule>
    <cfRule type="cellIs" dxfId="9918" priority="12145" operator="greaterThan">
      <formula>0.505</formula>
    </cfRule>
    <cfRule type="cellIs" dxfId="9917" priority="12146" operator="between">
      <formula>0.48</formula>
      <formula>0.51</formula>
    </cfRule>
    <cfRule type="cellIs" dxfId="9916" priority="12147" stopIfTrue="1" operator="between">
      <formula>0</formula>
      <formula>0.255</formula>
    </cfRule>
  </conditionalFormatting>
  <conditionalFormatting sqref="AA227">
    <cfRule type="cellIs" dxfId="9915" priority="12093" operator="between">
      <formula>0.76</formula>
      <formula>0.95</formula>
    </cfRule>
    <cfRule type="cellIs" dxfId="9914" priority="12094" operator="between">
      <formula>0.51</formula>
      <formula>0.75</formula>
    </cfRule>
    <cfRule type="cellIs" dxfId="9913" priority="12095" operator="greaterThan">
      <formula>1</formula>
    </cfRule>
    <cfRule type="cellIs" dxfId="9912" priority="12096" operator="between">
      <formula>0.95</formula>
      <formula>1</formula>
    </cfRule>
    <cfRule type="cellIs" dxfId="9911" priority="12097" stopIfTrue="1" operator="between">
      <formula>0</formula>
      <formula>0.5</formula>
    </cfRule>
  </conditionalFormatting>
  <conditionalFormatting sqref="AA238">
    <cfRule type="cellIs" dxfId="9910" priority="12083" operator="between">
      <formula>0.76</formula>
      <formula>0.95</formula>
    </cfRule>
    <cfRule type="cellIs" dxfId="9909" priority="12084" operator="between">
      <formula>0.51</formula>
      <formula>0.75</formula>
    </cfRule>
    <cfRule type="cellIs" dxfId="9908" priority="12085" operator="greaterThan">
      <formula>1</formula>
    </cfRule>
    <cfRule type="cellIs" dxfId="9907" priority="12086" operator="between">
      <formula>0.95</formula>
      <formula>1</formula>
    </cfRule>
    <cfRule type="cellIs" dxfId="9906" priority="12087" stopIfTrue="1" operator="between">
      <formula>0</formula>
      <formula>0.5</formula>
    </cfRule>
  </conditionalFormatting>
  <conditionalFormatting sqref="AA322">
    <cfRule type="cellIs" dxfId="9905" priority="12068" operator="between">
      <formula>0.76</formula>
      <formula>0.95</formula>
    </cfRule>
    <cfRule type="cellIs" dxfId="9904" priority="12069" operator="between">
      <formula>0.51</formula>
      <formula>0.75</formula>
    </cfRule>
    <cfRule type="cellIs" dxfId="9903" priority="12070" operator="greaterThan">
      <formula>1</formula>
    </cfRule>
    <cfRule type="cellIs" dxfId="9902" priority="12071" operator="between">
      <formula>0.95</formula>
      <formula>1</formula>
    </cfRule>
    <cfRule type="cellIs" dxfId="9901" priority="12072" stopIfTrue="1" operator="between">
      <formula>0</formula>
      <formula>0.5</formula>
    </cfRule>
  </conditionalFormatting>
  <conditionalFormatting sqref="AA382">
    <cfRule type="cellIs" dxfId="9900" priority="12053" operator="between">
      <formula>0.56251</formula>
      <formula>0.7125</formula>
    </cfRule>
    <cfRule type="cellIs" dxfId="9899" priority="12054" operator="between">
      <formula>0.3751</formula>
      <formula>0.5625</formula>
    </cfRule>
    <cfRule type="cellIs" dxfId="9898" priority="12055" operator="greaterThan">
      <formula>0.751</formula>
    </cfRule>
    <cfRule type="cellIs" dxfId="9897" priority="12056" operator="between">
      <formula>0.71251</formula>
      <formula>0.75</formula>
    </cfRule>
    <cfRule type="cellIs" dxfId="9896" priority="12057" stopIfTrue="1" operator="between">
      <formula>0</formula>
      <formula>0.375</formula>
    </cfRule>
  </conditionalFormatting>
  <conditionalFormatting sqref="J15">
    <cfRule type="cellIs" dxfId="9895" priority="12028" operator="between">
      <formula>0.76</formula>
      <formula>0.95</formula>
    </cfRule>
    <cfRule type="cellIs" dxfId="9894" priority="12029" operator="between">
      <formula>0.51</formula>
      <formula>0.75</formula>
    </cfRule>
    <cfRule type="cellIs" dxfId="9893" priority="12030" operator="greaterThan">
      <formula>1</formula>
    </cfRule>
    <cfRule type="cellIs" dxfId="9892" priority="12031" operator="between">
      <formula>0.95</formula>
      <formula>1</formula>
    </cfRule>
    <cfRule type="cellIs" dxfId="9891" priority="12032" stopIfTrue="1" operator="between">
      <formula>0</formula>
      <formula>0.5</formula>
    </cfRule>
  </conditionalFormatting>
  <conditionalFormatting sqref="L15">
    <cfRule type="cellIs" dxfId="9890" priority="12023" operator="between">
      <formula>0.376</formula>
      <formula>0.475</formula>
    </cfRule>
    <cfRule type="cellIs" dxfId="9889" priority="12024" operator="between">
      <formula>0.2551</formula>
      <formula>0.3751</formula>
    </cfRule>
    <cfRule type="cellIs" dxfId="9888" priority="12025" operator="greaterThan">
      <formula>0.505</formula>
    </cfRule>
    <cfRule type="cellIs" dxfId="9887" priority="12026" operator="between">
      <formula>0.48</formula>
      <formula>0.5</formula>
    </cfRule>
    <cfRule type="cellIs" dxfId="9886" priority="12027" stopIfTrue="1" operator="between">
      <formula>0</formula>
      <formula>0.255</formula>
    </cfRule>
  </conditionalFormatting>
  <conditionalFormatting sqref="M15">
    <cfRule type="cellIs" dxfId="9885" priority="12018" operator="between">
      <formula>0.376</formula>
      <formula>0.475</formula>
    </cfRule>
    <cfRule type="cellIs" dxfId="9884" priority="12019" operator="between">
      <formula>0.2551</formula>
      <formula>0.3751</formula>
    </cfRule>
    <cfRule type="cellIs" dxfId="9883" priority="12020" operator="greaterThan">
      <formula>0.505</formula>
    </cfRule>
    <cfRule type="cellIs" dxfId="9882" priority="12021" operator="between">
      <formula>0.48</formula>
      <formula>0.5</formula>
    </cfRule>
    <cfRule type="cellIs" dxfId="9881" priority="12022" stopIfTrue="1" operator="between">
      <formula>0</formula>
      <formula>0.255</formula>
    </cfRule>
  </conditionalFormatting>
  <conditionalFormatting sqref="L43">
    <cfRule type="cellIs" dxfId="9880" priority="12013" operator="between">
      <formula>0.3751</formula>
      <formula>0.475</formula>
    </cfRule>
    <cfRule type="cellIs" dxfId="9879" priority="12014" operator="between">
      <formula>0.2551</formula>
      <formula>0.375</formula>
    </cfRule>
    <cfRule type="cellIs" dxfId="9878" priority="12015" operator="greaterThan">
      <formula>0.505</formula>
    </cfRule>
    <cfRule type="cellIs" dxfId="9877" priority="12016" operator="between">
      <formula>0.4751</formula>
      <formula>0.5</formula>
    </cfRule>
    <cfRule type="cellIs" dxfId="9876" priority="12017" stopIfTrue="1" operator="between">
      <formula>0</formula>
      <formula>0.255</formula>
    </cfRule>
  </conditionalFormatting>
  <conditionalFormatting sqref="M43">
    <cfRule type="cellIs" dxfId="9875" priority="12008" operator="between">
      <formula>0.3751</formula>
      <formula>0.475</formula>
    </cfRule>
    <cfRule type="cellIs" dxfId="9874" priority="12009" operator="between">
      <formula>0.2551</formula>
      <formula>0.375</formula>
    </cfRule>
    <cfRule type="cellIs" dxfId="9873" priority="12010" operator="greaterThan">
      <formula>0.505</formula>
    </cfRule>
    <cfRule type="cellIs" dxfId="9872" priority="12011" operator="between">
      <formula>0.4751</formula>
      <formula>0.5</formula>
    </cfRule>
    <cfRule type="cellIs" dxfId="9871" priority="12012" stopIfTrue="1" operator="between">
      <formula>0</formula>
      <formula>0.255</formula>
    </cfRule>
  </conditionalFormatting>
  <conditionalFormatting sqref="M85">
    <cfRule type="cellIs" dxfId="9870" priority="11993" operator="between">
      <formula>0.191</formula>
      <formula>0.24</formula>
    </cfRule>
    <cfRule type="cellIs" dxfId="9869" priority="11994" operator="between">
      <formula>0.1251</formula>
      <formula>0.19</formula>
    </cfRule>
    <cfRule type="cellIs" dxfId="9868" priority="11995" operator="greaterThan">
      <formula>0.2601</formula>
    </cfRule>
    <cfRule type="cellIs" dxfId="9867" priority="11996" operator="between">
      <formula>0.2401</formula>
      <formula>0.26</formula>
    </cfRule>
    <cfRule type="cellIs" dxfId="9866" priority="11997" stopIfTrue="1" operator="between">
      <formula>0</formula>
      <formula>0.125</formula>
    </cfRule>
  </conditionalFormatting>
  <conditionalFormatting sqref="L109:M109">
    <cfRule type="cellIs" dxfId="9865" priority="11988" operator="between">
      <formula>0.191</formula>
      <formula>0.24</formula>
    </cfRule>
    <cfRule type="cellIs" dxfId="9864" priority="11989" operator="between">
      <formula>0.1251</formula>
      <formula>0.19</formula>
    </cfRule>
    <cfRule type="cellIs" dxfId="9863" priority="11990" operator="greaterThan">
      <formula>0.2601</formula>
    </cfRule>
    <cfRule type="cellIs" dxfId="9862" priority="11991" operator="between">
      <formula>0.2401</formula>
      <formula>0.26</formula>
    </cfRule>
    <cfRule type="cellIs" dxfId="9861" priority="11992" stopIfTrue="1" operator="between">
      <formula>0</formula>
      <formula>0.125</formula>
    </cfRule>
  </conditionalFormatting>
  <conditionalFormatting sqref="L118:M118">
    <cfRule type="cellIs" dxfId="9860" priority="11983" operator="between">
      <formula>0.191</formula>
      <formula>0.24</formula>
    </cfRule>
    <cfRule type="cellIs" dxfId="9859" priority="11984" operator="between">
      <formula>0.1251</formula>
      <formula>0.19</formula>
    </cfRule>
    <cfRule type="cellIs" dxfId="9858" priority="11985" operator="greaterThan">
      <formula>0.2601</formula>
    </cfRule>
    <cfRule type="cellIs" dxfId="9857" priority="11986" operator="between">
      <formula>0.2401</formula>
      <formula>0.26</formula>
    </cfRule>
    <cfRule type="cellIs" dxfId="9856" priority="11987" stopIfTrue="1" operator="between">
      <formula>0</formula>
      <formula>0.125</formula>
    </cfRule>
  </conditionalFormatting>
  <conditionalFormatting sqref="L183:M183">
    <cfRule type="cellIs" dxfId="9855" priority="11978" operator="between">
      <formula>0.191</formula>
      <formula>0.24</formula>
    </cfRule>
    <cfRule type="cellIs" dxfId="9854" priority="11979" operator="between">
      <formula>0.1251</formula>
      <formula>0.19</formula>
    </cfRule>
    <cfRule type="cellIs" dxfId="9853" priority="11980" operator="greaterThan">
      <formula>0.2601</formula>
    </cfRule>
    <cfRule type="cellIs" dxfId="9852" priority="11981" operator="between">
      <formula>0.2401</formula>
      <formula>0.26</formula>
    </cfRule>
    <cfRule type="cellIs" dxfId="9851" priority="11982" stopIfTrue="1" operator="between">
      <formula>0</formula>
      <formula>0.125</formula>
    </cfRule>
  </conditionalFormatting>
  <conditionalFormatting sqref="L206:M206">
    <cfRule type="cellIs" dxfId="9850" priority="11973" operator="between">
      <formula>0.191</formula>
      <formula>0.24</formula>
    </cfRule>
    <cfRule type="cellIs" dxfId="9849" priority="11974" operator="between">
      <formula>0.1251</formula>
      <formula>0.19</formula>
    </cfRule>
    <cfRule type="cellIs" dxfId="9848" priority="11975" operator="greaterThan">
      <formula>0.2601</formula>
    </cfRule>
    <cfRule type="cellIs" dxfId="9847" priority="11976" operator="between">
      <formula>0.2401</formula>
      <formula>0.26</formula>
    </cfRule>
    <cfRule type="cellIs" dxfId="9846" priority="11977" stopIfTrue="1" operator="between">
      <formula>0</formula>
      <formula>0.125</formula>
    </cfRule>
  </conditionalFormatting>
  <conditionalFormatting sqref="L215:M215">
    <cfRule type="cellIs" dxfId="9845" priority="11968" operator="between">
      <formula>0.191</formula>
      <formula>0.24</formula>
    </cfRule>
    <cfRule type="cellIs" dxfId="9844" priority="11969" operator="between">
      <formula>0.1251</formula>
      <formula>0.19</formula>
    </cfRule>
    <cfRule type="cellIs" dxfId="9843" priority="11970" operator="greaterThan">
      <formula>0.2601</formula>
    </cfRule>
    <cfRule type="cellIs" dxfId="9842" priority="11971" operator="between">
      <formula>0.2401</formula>
      <formula>0.26</formula>
    </cfRule>
    <cfRule type="cellIs" dxfId="9841" priority="11972" stopIfTrue="1" operator="between">
      <formula>0</formula>
      <formula>0.125</formula>
    </cfRule>
  </conditionalFormatting>
  <conditionalFormatting sqref="L227:M227">
    <cfRule type="cellIs" dxfId="9840" priority="11963" operator="between">
      <formula>0.191</formula>
      <formula>0.24</formula>
    </cfRule>
    <cfRule type="cellIs" dxfId="9839" priority="11964" operator="between">
      <formula>0.1251</formula>
      <formula>0.19</formula>
    </cfRule>
    <cfRule type="cellIs" dxfId="9838" priority="11965" operator="greaterThan">
      <formula>0.2601</formula>
    </cfRule>
    <cfRule type="cellIs" dxfId="9837" priority="11966" operator="between">
      <formula>0.2401</formula>
      <formula>0.26</formula>
    </cfRule>
    <cfRule type="cellIs" dxfId="9836" priority="11967" stopIfTrue="1" operator="between">
      <formula>0</formula>
      <formula>0.125</formula>
    </cfRule>
  </conditionalFormatting>
  <conditionalFormatting sqref="L237:M237">
    <cfRule type="cellIs" dxfId="9835" priority="11958" operator="between">
      <formula>0.191</formula>
      <formula>0.24</formula>
    </cfRule>
    <cfRule type="cellIs" dxfId="9834" priority="11959" operator="between">
      <formula>0.1251</formula>
      <formula>0.19</formula>
    </cfRule>
    <cfRule type="cellIs" dxfId="9833" priority="11960" operator="greaterThan">
      <formula>0.2601</formula>
    </cfRule>
    <cfRule type="cellIs" dxfId="9832" priority="11961" operator="between">
      <formula>0.2401</formula>
      <formula>0.26</formula>
    </cfRule>
    <cfRule type="cellIs" dxfId="9831" priority="11962" stopIfTrue="1" operator="between">
      <formula>0</formula>
      <formula>0.125</formula>
    </cfRule>
  </conditionalFormatting>
  <conditionalFormatting sqref="L238:M238">
    <cfRule type="cellIs" dxfId="9830" priority="11953" operator="between">
      <formula>0.191</formula>
      <formula>0.24</formula>
    </cfRule>
    <cfRule type="cellIs" dxfId="9829" priority="11954" operator="between">
      <formula>0.1251</formula>
      <formula>0.19</formula>
    </cfRule>
    <cfRule type="cellIs" dxfId="9828" priority="11955" operator="greaterThan">
      <formula>0.2601</formula>
    </cfRule>
    <cfRule type="cellIs" dxfId="9827" priority="11956" operator="between">
      <formula>0.2401</formula>
      <formula>0.26</formula>
    </cfRule>
    <cfRule type="cellIs" dxfId="9826" priority="11957" stopIfTrue="1" operator="between">
      <formula>0</formula>
      <formula>0.125</formula>
    </cfRule>
  </conditionalFormatting>
  <conditionalFormatting sqref="L303:M303">
    <cfRule type="cellIs" dxfId="9825" priority="11948" operator="between">
      <formula>0.191</formula>
      <formula>0.24</formula>
    </cfRule>
    <cfRule type="cellIs" dxfId="9824" priority="11949" operator="between">
      <formula>0.1251</formula>
      <formula>0.19</formula>
    </cfRule>
    <cfRule type="cellIs" dxfId="9823" priority="11950" operator="greaterThan">
      <formula>0.2601</formula>
    </cfRule>
    <cfRule type="cellIs" dxfId="9822" priority="11951" operator="between">
      <formula>0.2401</formula>
      <formula>0.26</formula>
    </cfRule>
    <cfRule type="cellIs" dxfId="9821" priority="11952" stopIfTrue="1" operator="between">
      <formula>0</formula>
      <formula>0.125</formula>
    </cfRule>
  </conditionalFormatting>
  <conditionalFormatting sqref="L307:M307">
    <cfRule type="cellIs" dxfId="9820" priority="11943" operator="between">
      <formula>0.191</formula>
      <formula>0.24</formula>
    </cfRule>
    <cfRule type="cellIs" dxfId="9819" priority="11944" operator="between">
      <formula>0.1251</formula>
      <formula>0.19</formula>
    </cfRule>
    <cfRule type="cellIs" dxfId="9818" priority="11945" operator="greaterThan">
      <formula>0.2601</formula>
    </cfRule>
    <cfRule type="cellIs" dxfId="9817" priority="11946" operator="between">
      <formula>0.2401</formula>
      <formula>0.26</formula>
    </cfRule>
    <cfRule type="cellIs" dxfId="9816" priority="11947" stopIfTrue="1" operator="between">
      <formula>0</formula>
      <formula>0.125</formula>
    </cfRule>
  </conditionalFormatting>
  <conditionalFormatting sqref="L322:M322">
    <cfRule type="cellIs" dxfId="9815" priority="11938" operator="between">
      <formula>0.191</formula>
      <formula>0.24</formula>
    </cfRule>
    <cfRule type="cellIs" dxfId="9814" priority="11939" operator="between">
      <formula>0.1251</formula>
      <formula>0.19</formula>
    </cfRule>
    <cfRule type="cellIs" dxfId="9813" priority="11940" operator="greaterThan">
      <formula>0.2601</formula>
    </cfRule>
    <cfRule type="cellIs" dxfId="9812" priority="11941" operator="between">
      <formula>0.2401</formula>
      <formula>0.26</formula>
    </cfRule>
    <cfRule type="cellIs" dxfId="9811" priority="11942" stopIfTrue="1" operator="between">
      <formula>0</formula>
      <formula>0.125</formula>
    </cfRule>
  </conditionalFormatting>
  <conditionalFormatting sqref="L332:M332">
    <cfRule type="cellIs" dxfId="9810" priority="11933" operator="between">
      <formula>0.191</formula>
      <formula>0.24</formula>
    </cfRule>
    <cfRule type="cellIs" dxfId="9809" priority="11934" operator="between">
      <formula>0.1251</formula>
      <formula>0.19</formula>
    </cfRule>
    <cfRule type="cellIs" dxfId="9808" priority="11935" operator="greaterThan">
      <formula>0.2601</formula>
    </cfRule>
    <cfRule type="cellIs" dxfId="9807" priority="11936" operator="between">
      <formula>0.2401</formula>
      <formula>0.26</formula>
    </cfRule>
    <cfRule type="cellIs" dxfId="9806" priority="11937" stopIfTrue="1" operator="between">
      <formula>0</formula>
      <formula>0.125</formula>
    </cfRule>
  </conditionalFormatting>
  <conditionalFormatting sqref="L333:M333">
    <cfRule type="cellIs" dxfId="9805" priority="11928" operator="between">
      <formula>0.191</formula>
      <formula>0.24</formula>
    </cfRule>
    <cfRule type="cellIs" dxfId="9804" priority="11929" operator="between">
      <formula>0.1251</formula>
      <formula>0.19</formula>
    </cfRule>
    <cfRule type="cellIs" dxfId="9803" priority="11930" operator="greaterThan">
      <formula>0.2601</formula>
    </cfRule>
    <cfRule type="cellIs" dxfId="9802" priority="11931" operator="between">
      <formula>0.2401</formula>
      <formula>0.26</formula>
    </cfRule>
    <cfRule type="cellIs" dxfId="9801" priority="11932" stopIfTrue="1" operator="between">
      <formula>0</formula>
      <formula>0.125</formula>
    </cfRule>
  </conditionalFormatting>
  <conditionalFormatting sqref="L382:M382">
    <cfRule type="cellIs" dxfId="9800" priority="11923" operator="between">
      <formula>0.191</formula>
      <formula>0.24</formula>
    </cfRule>
    <cfRule type="cellIs" dxfId="9799" priority="11924" operator="between">
      <formula>0.1251</formula>
      <formula>0.19</formula>
    </cfRule>
    <cfRule type="cellIs" dxfId="9798" priority="11925" operator="greaterThan">
      <formula>0.2601</formula>
    </cfRule>
    <cfRule type="cellIs" dxfId="9797" priority="11926" operator="between">
      <formula>0.2401</formula>
      <formula>0.26</formula>
    </cfRule>
    <cfRule type="cellIs" dxfId="9796" priority="11927" stopIfTrue="1" operator="between">
      <formula>0</formula>
      <formula>0.125</formula>
    </cfRule>
  </conditionalFormatting>
  <conditionalFormatting sqref="L383:M383">
    <cfRule type="cellIs" dxfId="9795" priority="11918" operator="between">
      <formula>0.191</formula>
      <formula>0.24</formula>
    </cfRule>
    <cfRule type="cellIs" dxfId="9794" priority="11919" operator="between">
      <formula>0.1251</formula>
      <formula>0.19</formula>
    </cfRule>
    <cfRule type="cellIs" dxfId="9793" priority="11920" operator="greaterThan">
      <formula>0.2601</formula>
    </cfRule>
    <cfRule type="cellIs" dxfId="9792" priority="11921" operator="between">
      <formula>0.2401</formula>
      <formula>0.26</formula>
    </cfRule>
    <cfRule type="cellIs" dxfId="9791" priority="11922" stopIfTrue="1" operator="between">
      <formula>0</formula>
      <formula>0.125</formula>
    </cfRule>
  </conditionalFormatting>
  <conditionalFormatting sqref="L384:M384">
    <cfRule type="cellIs" dxfId="9790" priority="11913" operator="between">
      <formula>0.191</formula>
      <formula>0.24</formula>
    </cfRule>
    <cfRule type="cellIs" dxfId="9789" priority="11914" operator="between">
      <formula>0.1251</formula>
      <formula>0.19</formula>
    </cfRule>
    <cfRule type="cellIs" dxfId="9788" priority="11915" operator="greaterThan">
      <formula>0.2601</formula>
    </cfRule>
    <cfRule type="cellIs" dxfId="9787" priority="11916" operator="between">
      <formula>0.2401</formula>
      <formula>0.26</formula>
    </cfRule>
    <cfRule type="cellIs" dxfId="9786" priority="11917" stopIfTrue="1" operator="between">
      <formula>0</formula>
      <formula>0.125</formula>
    </cfRule>
  </conditionalFormatting>
  <conditionalFormatting sqref="L386:M386">
    <cfRule type="cellIs" dxfId="9785" priority="11903" operator="between">
      <formula>0.191</formula>
      <formula>0.24</formula>
    </cfRule>
    <cfRule type="cellIs" dxfId="9784" priority="11904" operator="between">
      <formula>0.1251</formula>
      <formula>0.19</formula>
    </cfRule>
    <cfRule type="cellIs" dxfId="9783" priority="11905" operator="greaterThan">
      <formula>0.2601</formula>
    </cfRule>
    <cfRule type="cellIs" dxfId="9782" priority="11906" operator="between">
      <formula>0.2401</formula>
      <formula>0.26</formula>
    </cfRule>
    <cfRule type="cellIs" dxfId="9781" priority="11907" stopIfTrue="1" operator="between">
      <formula>0</formula>
      <formula>0.125</formula>
    </cfRule>
  </conditionalFormatting>
  <conditionalFormatting sqref="J36">
    <cfRule type="cellIs" dxfId="9780" priority="11898" operator="between">
      <formula>0.76</formula>
      <formula>0.95</formula>
    </cfRule>
    <cfRule type="cellIs" dxfId="9779" priority="11899" operator="between">
      <formula>0.51</formula>
      <formula>0.75</formula>
    </cfRule>
    <cfRule type="cellIs" dxfId="9778" priority="11900" operator="greaterThan">
      <formula>1</formula>
    </cfRule>
    <cfRule type="cellIs" dxfId="9777" priority="11901" operator="between">
      <formula>0.95</formula>
      <formula>1</formula>
    </cfRule>
    <cfRule type="cellIs" dxfId="9776" priority="11902" stopIfTrue="1" operator="between">
      <formula>0</formula>
      <formula>0.5</formula>
    </cfRule>
  </conditionalFormatting>
  <conditionalFormatting sqref="M36">
    <cfRule type="cellIs" dxfId="9775" priority="11893" operator="between">
      <formula>0.191</formula>
      <formula>0.24</formula>
    </cfRule>
    <cfRule type="cellIs" dxfId="9774" priority="11894" operator="between">
      <formula>0.1251</formula>
      <formula>0.19</formula>
    </cfRule>
    <cfRule type="cellIs" dxfId="9773" priority="11895" operator="greaterThan">
      <formula>0.2601</formula>
    </cfRule>
    <cfRule type="cellIs" dxfId="9772" priority="11896" operator="between">
      <formula>0.2401</formula>
      <formula>0.26</formula>
    </cfRule>
    <cfRule type="cellIs" dxfId="9771" priority="11897" stopIfTrue="1" operator="between">
      <formula>0</formula>
      <formula>0.125</formula>
    </cfRule>
  </conditionalFormatting>
  <conditionalFormatting sqref="I36">
    <cfRule type="cellIs" dxfId="9770" priority="11888" operator="between">
      <formula>0.76</formula>
      <formula>0.95</formula>
    </cfRule>
    <cfRule type="cellIs" dxfId="9769" priority="11889" operator="between">
      <formula>0.51</formula>
      <formula>0.75</formula>
    </cfRule>
    <cfRule type="cellIs" dxfId="9768" priority="11890" operator="greaterThan">
      <formula>1</formula>
    </cfRule>
    <cfRule type="cellIs" dxfId="9767" priority="11891" operator="between">
      <formula>0.95</formula>
      <formula>1</formula>
    </cfRule>
    <cfRule type="cellIs" dxfId="9766" priority="11892" stopIfTrue="1" operator="between">
      <formula>0</formula>
      <formula>0.5</formula>
    </cfRule>
  </conditionalFormatting>
  <conditionalFormatting sqref="K36">
    <cfRule type="cellIs" dxfId="9765" priority="11883" operator="between">
      <formula>0.191</formula>
      <formula>0.24</formula>
    </cfRule>
    <cfRule type="cellIs" dxfId="9764" priority="11884" operator="between">
      <formula>0.1251</formula>
      <formula>0.19</formula>
    </cfRule>
    <cfRule type="cellIs" dxfId="9763" priority="11885" operator="greaterThan">
      <formula>0.2601</formula>
    </cfRule>
    <cfRule type="cellIs" dxfId="9762" priority="11886" operator="between">
      <formula>0.2401</formula>
      <formula>0.26</formula>
    </cfRule>
    <cfRule type="cellIs" dxfId="9761" priority="11887" stopIfTrue="1" operator="between">
      <formula>0</formula>
      <formula>0.125</formula>
    </cfRule>
  </conditionalFormatting>
  <conditionalFormatting sqref="Q36">
    <cfRule type="cellIs" dxfId="9760" priority="11878" operator="between">
      <formula>0.76</formula>
      <formula>0.95</formula>
    </cfRule>
    <cfRule type="cellIs" dxfId="9759" priority="11879" operator="between">
      <formula>0.51</formula>
      <formula>0.75</formula>
    </cfRule>
    <cfRule type="cellIs" dxfId="9758" priority="11880" operator="greaterThan">
      <formula>1</formula>
    </cfRule>
    <cfRule type="cellIs" dxfId="9757" priority="11881" operator="between">
      <formula>0.95</formula>
      <formula>1</formula>
    </cfRule>
    <cfRule type="cellIs" dxfId="9756" priority="11882" stopIfTrue="1" operator="between">
      <formula>0</formula>
      <formula>0.5</formula>
    </cfRule>
  </conditionalFormatting>
  <conditionalFormatting sqref="P36">
    <cfRule type="cellIs" dxfId="9755" priority="11873" operator="between">
      <formula>0.76</formula>
      <formula>0.95</formula>
    </cfRule>
    <cfRule type="cellIs" dxfId="9754" priority="11874" operator="between">
      <formula>0.51</formula>
      <formula>0.75</formula>
    </cfRule>
    <cfRule type="cellIs" dxfId="9753" priority="11875" operator="greaterThan">
      <formula>1</formula>
    </cfRule>
    <cfRule type="cellIs" dxfId="9752" priority="11876" operator="between">
      <formula>0.95</formula>
      <formula>1</formula>
    </cfRule>
    <cfRule type="cellIs" dxfId="9751" priority="11877" stopIfTrue="1" operator="between">
      <formula>0</formula>
      <formula>0.5</formula>
    </cfRule>
  </conditionalFormatting>
  <conditionalFormatting sqref="R36">
    <cfRule type="cellIs" dxfId="9750" priority="11868" operator="between">
      <formula>0.3751</formula>
      <formula>0.475</formula>
    </cfRule>
    <cfRule type="cellIs" dxfId="9749" priority="11869" operator="between">
      <formula>0.2551</formula>
      <formula>0.375</formula>
    </cfRule>
    <cfRule type="cellIs" dxfId="9748" priority="11870" operator="greaterThan">
      <formula>0.505</formula>
    </cfRule>
    <cfRule type="cellIs" dxfId="9747" priority="11871" operator="between">
      <formula>0.48</formula>
      <formula>0.5</formula>
    </cfRule>
    <cfRule type="cellIs" dxfId="9746" priority="11872" stopIfTrue="1" operator="between">
      <formula>0</formula>
      <formula>0.255</formula>
    </cfRule>
  </conditionalFormatting>
  <conditionalFormatting sqref="T36">
    <cfRule type="cellIs" dxfId="9745" priority="11863" operator="between">
      <formula>0.376</formula>
      <formula>0.475</formula>
    </cfRule>
    <cfRule type="cellIs" dxfId="9744" priority="11864" operator="between">
      <formula>0.2551</formula>
      <formula>0.3751</formula>
    </cfRule>
    <cfRule type="cellIs" dxfId="9743" priority="11865" operator="greaterThan">
      <formula>0.505</formula>
    </cfRule>
    <cfRule type="cellIs" dxfId="9742" priority="11866" operator="between">
      <formula>0.48</formula>
      <formula>0.5</formula>
    </cfRule>
    <cfRule type="cellIs" dxfId="9741" priority="11867" stopIfTrue="1" operator="between">
      <formula>0</formula>
      <formula>0.255</formula>
    </cfRule>
  </conditionalFormatting>
  <conditionalFormatting sqref="X36">
    <cfRule type="cellIs" dxfId="9740" priority="11858" operator="between">
      <formula>0.76</formula>
      <formula>0.95</formula>
    </cfRule>
    <cfRule type="cellIs" dxfId="9739" priority="11859" operator="between">
      <formula>0.51</formula>
      <formula>0.75</formula>
    </cfRule>
    <cfRule type="cellIs" dxfId="9738" priority="11860" operator="greaterThan">
      <formula>1</formula>
    </cfRule>
    <cfRule type="cellIs" dxfId="9737" priority="11861" operator="between">
      <formula>0.95</formula>
      <formula>1</formula>
    </cfRule>
    <cfRule type="cellIs" dxfId="9736" priority="11862" stopIfTrue="1" operator="between">
      <formula>0</formula>
      <formula>0.5</formula>
    </cfRule>
  </conditionalFormatting>
  <conditionalFormatting sqref="W36">
    <cfRule type="cellIs" dxfId="9735" priority="11853" operator="between">
      <formula>0.76</formula>
      <formula>0.95</formula>
    </cfRule>
    <cfRule type="cellIs" dxfId="9734" priority="11854" operator="between">
      <formula>0.51</formula>
      <formula>0.75</formula>
    </cfRule>
    <cfRule type="cellIs" dxfId="9733" priority="11855" operator="greaterThan">
      <formula>1</formula>
    </cfRule>
    <cfRule type="cellIs" dxfId="9732" priority="11856" operator="between">
      <formula>0.95</formula>
      <formula>1</formula>
    </cfRule>
    <cfRule type="cellIs" dxfId="9731" priority="11857" stopIfTrue="1" operator="between">
      <formula>0</formula>
      <formula>0.5</formula>
    </cfRule>
  </conditionalFormatting>
  <conditionalFormatting sqref="AE36 AG36">
    <cfRule type="cellIs" dxfId="9730" priority="11843" operator="between">
      <formula>0.76</formula>
      <formula>0.95</formula>
    </cfRule>
    <cfRule type="cellIs" dxfId="9729" priority="11844" operator="between">
      <formula>0.51</formula>
      <formula>0.75</formula>
    </cfRule>
    <cfRule type="cellIs" dxfId="9728" priority="11845" operator="greaterThan">
      <formula>1</formula>
    </cfRule>
    <cfRule type="cellIs" dxfId="9727" priority="11846" operator="between">
      <formula>0.95</formula>
      <formula>1</formula>
    </cfRule>
    <cfRule type="cellIs" dxfId="9726" priority="11847" stopIfTrue="1" operator="between">
      <formula>0</formula>
      <formula>0.5</formula>
    </cfRule>
  </conditionalFormatting>
  <conditionalFormatting sqref="AD36">
    <cfRule type="cellIs" dxfId="9725" priority="11838" operator="between">
      <formula>0.76</formula>
      <formula>0.95</formula>
    </cfRule>
    <cfRule type="cellIs" dxfId="9724" priority="11839" operator="between">
      <formula>0.51</formula>
      <formula>0.75</formula>
    </cfRule>
    <cfRule type="cellIs" dxfId="9723" priority="11840" operator="greaterThan">
      <formula>1</formula>
    </cfRule>
    <cfRule type="cellIs" dxfId="9722" priority="11841" operator="between">
      <formula>0.95</formula>
      <formula>1</formula>
    </cfRule>
    <cfRule type="cellIs" dxfId="9721" priority="11842" stopIfTrue="1" operator="between">
      <formula>0</formula>
      <formula>0.5</formula>
    </cfRule>
  </conditionalFormatting>
  <conditionalFormatting sqref="AF36">
    <cfRule type="cellIs" dxfId="9720" priority="11833" operator="between">
      <formula>0.76</formula>
      <formula>0.95</formula>
    </cfRule>
    <cfRule type="cellIs" dxfId="9719" priority="11834" operator="between">
      <formula>0.51</formula>
      <formula>0.75</formula>
    </cfRule>
    <cfRule type="cellIs" dxfId="9718" priority="11835" operator="greaterThan">
      <formula>1</formula>
    </cfRule>
    <cfRule type="cellIs" dxfId="9717" priority="11836" operator="between">
      <formula>0.95</formula>
      <formula>1</formula>
    </cfRule>
    <cfRule type="cellIs" dxfId="9716" priority="11837" stopIfTrue="1" operator="between">
      <formula>0</formula>
      <formula>0.5</formula>
    </cfRule>
  </conditionalFormatting>
  <conditionalFormatting sqref="Q154">
    <cfRule type="cellIs" dxfId="9715" priority="11783" operator="between">
      <formula>0.76</formula>
      <formula>0.95</formula>
    </cfRule>
    <cfRule type="cellIs" dxfId="9714" priority="11784" operator="between">
      <formula>0.51</formula>
      <formula>0.75</formula>
    </cfRule>
    <cfRule type="cellIs" dxfId="9713" priority="11785" operator="greaterThan">
      <formula>1</formula>
    </cfRule>
    <cfRule type="cellIs" dxfId="9712" priority="11786" operator="between">
      <formula>0.95</formula>
      <formula>1</formula>
    </cfRule>
    <cfRule type="cellIs" dxfId="9711" priority="11787" stopIfTrue="1" operator="between">
      <formula>0</formula>
      <formula>0.5</formula>
    </cfRule>
  </conditionalFormatting>
  <conditionalFormatting sqref="I154">
    <cfRule type="cellIs" dxfId="9710" priority="11823" operator="between">
      <formula>0.76</formula>
      <formula>0.95</formula>
    </cfRule>
    <cfRule type="cellIs" dxfId="9709" priority="11824" operator="between">
      <formula>0.51</formula>
      <formula>0.75</formula>
    </cfRule>
    <cfRule type="cellIs" dxfId="9708" priority="11825" operator="greaterThan">
      <formula>1</formula>
    </cfRule>
    <cfRule type="cellIs" dxfId="9707" priority="11826" operator="between">
      <formula>0.95</formula>
      <formula>1</formula>
    </cfRule>
    <cfRule type="cellIs" dxfId="9706" priority="11827" stopIfTrue="1" operator="between">
      <formula>0</formula>
      <formula>0.5</formula>
    </cfRule>
  </conditionalFormatting>
  <conditionalFormatting sqref="K154">
    <cfRule type="cellIs" dxfId="9705" priority="11813" operator="between">
      <formula>0.191</formula>
      <formula>0.24</formula>
    </cfRule>
    <cfRule type="cellIs" dxfId="9704" priority="11814" operator="between">
      <formula>0.1251</formula>
      <formula>0.19</formula>
    </cfRule>
    <cfRule type="cellIs" dxfId="9703" priority="11815" operator="greaterThan">
      <formula>0.2601</formula>
    </cfRule>
    <cfRule type="cellIs" dxfId="9702" priority="11816" operator="between">
      <formula>0.2401</formula>
      <formula>0.26</formula>
    </cfRule>
    <cfRule type="cellIs" dxfId="9701" priority="11817" stopIfTrue="1" operator="between">
      <formula>0</formula>
      <formula>0.125</formula>
    </cfRule>
  </conditionalFormatting>
  <conditionalFormatting sqref="P154">
    <cfRule type="cellIs" dxfId="9700" priority="11803" operator="between">
      <formula>0.76</formula>
      <formula>0.95</formula>
    </cfRule>
    <cfRule type="cellIs" dxfId="9699" priority="11804" operator="between">
      <formula>0.51</formula>
      <formula>0.75</formula>
    </cfRule>
    <cfRule type="cellIs" dxfId="9698" priority="11805" operator="greaterThan">
      <formula>1</formula>
    </cfRule>
    <cfRule type="cellIs" dxfId="9697" priority="11806" operator="between">
      <formula>0.95</formula>
      <formula>1</formula>
    </cfRule>
    <cfRule type="cellIs" dxfId="9696" priority="11807" stopIfTrue="1" operator="between">
      <formula>0</formula>
      <formula>0.5</formula>
    </cfRule>
  </conditionalFormatting>
  <conditionalFormatting sqref="R154">
    <cfRule type="cellIs" dxfId="9695" priority="11798" operator="between">
      <formula>0.3751</formula>
      <formula>0.475</formula>
    </cfRule>
    <cfRule type="cellIs" dxfId="9694" priority="11799" operator="between">
      <formula>0.2551</formula>
      <formula>0.375</formula>
    </cfRule>
    <cfRule type="cellIs" dxfId="9693" priority="11800" operator="greaterThan">
      <formula>0.505</formula>
    </cfRule>
    <cfRule type="cellIs" dxfId="9692" priority="11801" operator="between">
      <formula>0.48</formula>
      <formula>0.5</formula>
    </cfRule>
    <cfRule type="cellIs" dxfId="9691" priority="11802" stopIfTrue="1" operator="between">
      <formula>0</formula>
      <formula>0.255</formula>
    </cfRule>
  </conditionalFormatting>
  <conditionalFormatting sqref="J154">
    <cfRule type="cellIs" dxfId="9690" priority="11788" operator="between">
      <formula>0.76</formula>
      <formula>0.95</formula>
    </cfRule>
    <cfRule type="cellIs" dxfId="9689" priority="11789" operator="between">
      <formula>0.51</formula>
      <formula>0.75</formula>
    </cfRule>
    <cfRule type="cellIs" dxfId="9688" priority="11790" operator="greaterThan">
      <formula>1</formula>
    </cfRule>
    <cfRule type="cellIs" dxfId="9687" priority="11791" operator="between">
      <formula>0.95</formula>
      <formula>1</formula>
    </cfRule>
    <cfRule type="cellIs" dxfId="9686" priority="11792" stopIfTrue="1" operator="between">
      <formula>0</formula>
      <formula>0.5</formula>
    </cfRule>
  </conditionalFormatting>
  <conditionalFormatting sqref="W154">
    <cfRule type="cellIs" dxfId="9685" priority="11773" operator="between">
      <formula>0.76</formula>
      <formula>0.95</formula>
    </cfRule>
    <cfRule type="cellIs" dxfId="9684" priority="11774" operator="between">
      <formula>0.51</formula>
      <formula>0.75</formula>
    </cfRule>
    <cfRule type="cellIs" dxfId="9683" priority="11775" operator="greaterThan">
      <formula>1</formula>
    </cfRule>
    <cfRule type="cellIs" dxfId="9682" priority="11776" operator="between">
      <formula>0.95</formula>
      <formula>1</formula>
    </cfRule>
    <cfRule type="cellIs" dxfId="9681" priority="11777" stopIfTrue="1" operator="between">
      <formula>0</formula>
      <formula>0.5</formula>
    </cfRule>
  </conditionalFormatting>
  <conditionalFormatting sqref="X154">
    <cfRule type="cellIs" dxfId="9680" priority="11763" operator="between">
      <formula>0.76</formula>
      <formula>0.95</formula>
    </cfRule>
    <cfRule type="cellIs" dxfId="9679" priority="11764" operator="between">
      <formula>0.51</formula>
      <formula>0.75</formula>
    </cfRule>
    <cfRule type="cellIs" dxfId="9678" priority="11765" operator="greaterThan">
      <formula>1</formula>
    </cfRule>
    <cfRule type="cellIs" dxfId="9677" priority="11766" operator="between">
      <formula>0.95</formula>
      <formula>1</formula>
    </cfRule>
    <cfRule type="cellIs" dxfId="9676" priority="11767" stopIfTrue="1" operator="between">
      <formula>0</formula>
      <formula>0.5</formula>
    </cfRule>
  </conditionalFormatting>
  <conditionalFormatting sqref="AE154 AG154">
    <cfRule type="cellIs" dxfId="9675" priority="11758" operator="between">
      <formula>0.76</formula>
      <formula>0.95</formula>
    </cfRule>
    <cfRule type="cellIs" dxfId="9674" priority="11759" operator="between">
      <formula>0.51</formula>
      <formula>0.75</formula>
    </cfRule>
    <cfRule type="cellIs" dxfId="9673" priority="11760" operator="greaterThan">
      <formula>1</formula>
    </cfRule>
    <cfRule type="cellIs" dxfId="9672" priority="11761" operator="between">
      <formula>0.95</formula>
      <formula>1</formula>
    </cfRule>
    <cfRule type="cellIs" dxfId="9671" priority="11762" stopIfTrue="1" operator="between">
      <formula>0</formula>
      <formula>0.5</formula>
    </cfRule>
  </conditionalFormatting>
  <conditionalFormatting sqref="AD154">
    <cfRule type="cellIs" dxfId="9670" priority="11753" operator="between">
      <formula>0.76</formula>
      <formula>0.95</formula>
    </cfRule>
    <cfRule type="cellIs" dxfId="9669" priority="11754" operator="between">
      <formula>0.51</formula>
      <formula>0.75</formula>
    </cfRule>
    <cfRule type="cellIs" dxfId="9668" priority="11755" operator="greaterThan">
      <formula>1</formula>
    </cfRule>
    <cfRule type="cellIs" dxfId="9667" priority="11756" operator="between">
      <formula>0.95</formula>
      <formula>1</formula>
    </cfRule>
    <cfRule type="cellIs" dxfId="9666" priority="11757" stopIfTrue="1" operator="between">
      <formula>0</formula>
      <formula>0.5</formula>
    </cfRule>
  </conditionalFormatting>
  <conditionalFormatting sqref="AF154">
    <cfRule type="cellIs" dxfId="9665" priority="11748" operator="between">
      <formula>0.76</formula>
      <formula>0.95</formula>
    </cfRule>
    <cfRule type="cellIs" dxfId="9664" priority="11749" operator="between">
      <formula>0.51</formula>
      <formula>0.75</formula>
    </cfRule>
    <cfRule type="cellIs" dxfId="9663" priority="11750" operator="greaterThan">
      <formula>1</formula>
    </cfRule>
    <cfRule type="cellIs" dxfId="9662" priority="11751" operator="between">
      <formula>0.95</formula>
      <formula>1</formula>
    </cfRule>
    <cfRule type="cellIs" dxfId="9661" priority="11752" stopIfTrue="1" operator="between">
      <formula>0</formula>
      <formula>0.5</formula>
    </cfRule>
  </conditionalFormatting>
  <conditionalFormatting sqref="AG40">
    <cfRule type="cellIs" dxfId="9660" priority="11666" operator="between">
      <formula>0.76</formula>
      <formula>0.95</formula>
    </cfRule>
    <cfRule type="cellIs" dxfId="9659" priority="11667" operator="between">
      <formula>0.51</formula>
      <formula>0.75</formula>
    </cfRule>
    <cfRule type="cellIs" dxfId="9658" priority="11668" operator="greaterThan">
      <formula>1</formula>
    </cfRule>
    <cfRule type="cellIs" dxfId="9657" priority="11669" operator="between">
      <formula>0.95</formula>
      <formula>1</formula>
    </cfRule>
    <cfRule type="cellIs" dxfId="9656" priority="11670" stopIfTrue="1" operator="between">
      <formula>0</formula>
      <formula>0.5</formula>
    </cfRule>
  </conditionalFormatting>
  <conditionalFormatting sqref="I40">
    <cfRule type="cellIs" dxfId="9655" priority="11735" operator="between">
      <formula>0.76</formula>
      <formula>0.95</formula>
    </cfRule>
    <cfRule type="cellIs" dxfId="9654" priority="11736" operator="between">
      <formula>0.51</formula>
      <formula>0.75</formula>
    </cfRule>
    <cfRule type="cellIs" dxfId="9653" priority="11737" operator="greaterThan">
      <formula>1</formula>
    </cfRule>
    <cfRule type="cellIs" dxfId="9652" priority="11738" operator="between">
      <formula>0.95</formula>
      <formula>1</formula>
    </cfRule>
    <cfRule type="cellIs" dxfId="9651" priority="11739" stopIfTrue="1" operator="between">
      <formula>0</formula>
      <formula>0.5</formula>
    </cfRule>
  </conditionalFormatting>
  <conditionalFormatting sqref="K40">
    <cfRule type="cellIs" dxfId="9650" priority="11725" operator="between">
      <formula>0.191</formula>
      <formula>0.24</formula>
    </cfRule>
    <cfRule type="cellIs" dxfId="9649" priority="11726" operator="between">
      <formula>0.1251</formula>
      <formula>0.19</formula>
    </cfRule>
    <cfRule type="cellIs" dxfId="9648" priority="11727" operator="greaterThan">
      <formula>0.2601</formula>
    </cfRule>
    <cfRule type="cellIs" dxfId="9647" priority="11728" operator="between">
      <formula>0.2401</formula>
      <formula>0.26</formula>
    </cfRule>
    <cfRule type="cellIs" dxfId="9646" priority="11729" stopIfTrue="1" operator="between">
      <formula>0</formula>
      <formula>0.125</formula>
    </cfRule>
  </conditionalFormatting>
  <conditionalFormatting sqref="J40">
    <cfRule type="cellIs" dxfId="9645" priority="11720" operator="between">
      <formula>0.76</formula>
      <formula>0.95</formula>
    </cfRule>
    <cfRule type="cellIs" dxfId="9644" priority="11721" operator="between">
      <formula>0.51</formula>
      <formula>0.75</formula>
    </cfRule>
    <cfRule type="cellIs" dxfId="9643" priority="11722" operator="greaterThan">
      <formula>1</formula>
    </cfRule>
    <cfRule type="cellIs" dxfId="9642" priority="11723" operator="between">
      <formula>0.95</formula>
      <formula>1</formula>
    </cfRule>
    <cfRule type="cellIs" dxfId="9641" priority="11724" stopIfTrue="1" operator="between">
      <formula>0</formula>
      <formula>0.5</formula>
    </cfRule>
  </conditionalFormatting>
  <conditionalFormatting sqref="P40">
    <cfRule type="cellIs" dxfId="9640" priority="11707" operator="between">
      <formula>0.76</formula>
      <formula>0.95</formula>
    </cfRule>
    <cfRule type="cellIs" dxfId="9639" priority="11708" operator="between">
      <formula>0.51</formula>
      <formula>0.75</formula>
    </cfRule>
    <cfRule type="cellIs" dxfId="9638" priority="11709" operator="greaterThan">
      <formula>1</formula>
    </cfRule>
    <cfRule type="cellIs" dxfId="9637" priority="11710" operator="between">
      <formula>0.95</formula>
      <formula>1</formula>
    </cfRule>
    <cfRule type="cellIs" dxfId="9636" priority="11711" stopIfTrue="1" operator="between">
      <formula>0</formula>
      <formula>0.5</formula>
    </cfRule>
  </conditionalFormatting>
  <conditionalFormatting sqref="R40">
    <cfRule type="cellIs" dxfId="9635" priority="11702" operator="between">
      <formula>0.3751</formula>
      <formula>0.475</formula>
    </cfRule>
    <cfRule type="cellIs" dxfId="9634" priority="11703" operator="between">
      <formula>0.2551</formula>
      <formula>0.375</formula>
    </cfRule>
    <cfRule type="cellIs" dxfId="9633" priority="11704" operator="greaterThan">
      <formula>0.505</formula>
    </cfRule>
    <cfRule type="cellIs" dxfId="9632" priority="11705" operator="between">
      <formula>0.48</formula>
      <formula>0.5</formula>
    </cfRule>
    <cfRule type="cellIs" dxfId="9631" priority="11706" stopIfTrue="1" operator="between">
      <formula>0</formula>
      <formula>0.255</formula>
    </cfRule>
  </conditionalFormatting>
  <conditionalFormatting sqref="T40">
    <cfRule type="cellIs" dxfId="9630" priority="11697" operator="between">
      <formula>0.376</formula>
      <formula>0.475</formula>
    </cfRule>
    <cfRule type="cellIs" dxfId="9629" priority="11698" operator="between">
      <formula>0.2551</formula>
      <formula>0.3751</formula>
    </cfRule>
    <cfRule type="cellIs" dxfId="9628" priority="11699" operator="greaterThan">
      <formula>0.505</formula>
    </cfRule>
    <cfRule type="cellIs" dxfId="9627" priority="11700" operator="between">
      <formula>0.48</formula>
      <formula>0.5</formula>
    </cfRule>
    <cfRule type="cellIs" dxfId="9626" priority="11701" stopIfTrue="1" operator="between">
      <formula>0</formula>
      <formula>0.255</formula>
    </cfRule>
  </conditionalFormatting>
  <conditionalFormatting sqref="Q40">
    <cfRule type="cellIs" dxfId="9625" priority="11692" operator="between">
      <formula>0.76</formula>
      <formula>0.95</formula>
    </cfRule>
    <cfRule type="cellIs" dxfId="9624" priority="11693" operator="between">
      <formula>0.51</formula>
      <formula>0.75</formula>
    </cfRule>
    <cfRule type="cellIs" dxfId="9623" priority="11694" operator="greaterThan">
      <formula>1</formula>
    </cfRule>
    <cfRule type="cellIs" dxfId="9622" priority="11695" operator="between">
      <formula>0.95</formula>
      <formula>1</formula>
    </cfRule>
    <cfRule type="cellIs" dxfId="9621" priority="11696" stopIfTrue="1" operator="between">
      <formula>0</formula>
      <formula>0.5</formula>
    </cfRule>
  </conditionalFormatting>
  <conditionalFormatting sqref="X40">
    <cfRule type="cellIs" dxfId="9620" priority="11684" operator="between">
      <formula>0.76</formula>
      <formula>0.95</formula>
    </cfRule>
    <cfRule type="cellIs" dxfId="9619" priority="11685" operator="between">
      <formula>0.51</formula>
      <formula>0.75</formula>
    </cfRule>
    <cfRule type="cellIs" dxfId="9618" priority="11686" operator="greaterThan">
      <formula>1</formula>
    </cfRule>
    <cfRule type="cellIs" dxfId="9617" priority="11687" operator="between">
      <formula>0.95</formula>
      <formula>1</formula>
    </cfRule>
    <cfRule type="cellIs" dxfId="9616" priority="11688" stopIfTrue="1" operator="between">
      <formula>0</formula>
      <formula>0.5</formula>
    </cfRule>
  </conditionalFormatting>
  <conditionalFormatting sqref="W40">
    <cfRule type="cellIs" dxfId="9615" priority="11679" operator="between">
      <formula>0.76</formula>
      <formula>0.95</formula>
    </cfRule>
    <cfRule type="cellIs" dxfId="9614" priority="11680" operator="between">
      <formula>0.51</formula>
      <formula>0.75</formula>
    </cfRule>
    <cfRule type="cellIs" dxfId="9613" priority="11681" operator="greaterThan">
      <formula>1</formula>
    </cfRule>
    <cfRule type="cellIs" dxfId="9612" priority="11682" operator="between">
      <formula>0.95</formula>
      <formula>1</formula>
    </cfRule>
    <cfRule type="cellIs" dxfId="9611" priority="11683" stopIfTrue="1" operator="between">
      <formula>0</formula>
      <formula>0.5</formula>
    </cfRule>
  </conditionalFormatting>
  <conditionalFormatting sqref="AD40">
    <cfRule type="cellIs" dxfId="9610" priority="11661" operator="between">
      <formula>0.76</formula>
      <formula>0.95</formula>
    </cfRule>
    <cfRule type="cellIs" dxfId="9609" priority="11662" operator="between">
      <formula>0.51</formula>
      <formula>0.75</formula>
    </cfRule>
    <cfRule type="cellIs" dxfId="9608" priority="11663" operator="greaterThan">
      <formula>1</formula>
    </cfRule>
    <cfRule type="cellIs" dxfId="9607" priority="11664" operator="between">
      <formula>0.95</formula>
      <formula>1</formula>
    </cfRule>
    <cfRule type="cellIs" dxfId="9606" priority="11665" stopIfTrue="1" operator="between">
      <formula>0</formula>
      <formula>0.5</formula>
    </cfRule>
  </conditionalFormatting>
  <conditionalFormatting sqref="AF40">
    <cfRule type="cellIs" dxfId="9605" priority="11656" operator="between">
      <formula>0.76</formula>
      <formula>0.95</formula>
    </cfRule>
    <cfRule type="cellIs" dxfId="9604" priority="11657" operator="between">
      <formula>0.51</formula>
      <formula>0.75</formula>
    </cfRule>
    <cfRule type="cellIs" dxfId="9603" priority="11658" operator="greaterThan">
      <formula>1</formula>
    </cfRule>
    <cfRule type="cellIs" dxfId="9602" priority="11659" operator="between">
      <formula>0.95</formula>
      <formula>1</formula>
    </cfRule>
    <cfRule type="cellIs" dxfId="9601" priority="11660" stopIfTrue="1" operator="between">
      <formula>0</formula>
      <formula>0.5</formula>
    </cfRule>
  </conditionalFormatting>
  <conditionalFormatting sqref="AE40">
    <cfRule type="cellIs" dxfId="9600" priority="11651" operator="between">
      <formula>0.76</formula>
      <formula>0.95</formula>
    </cfRule>
    <cfRule type="cellIs" dxfId="9599" priority="11652" operator="between">
      <formula>0.51</formula>
      <formula>0.75</formula>
    </cfRule>
    <cfRule type="cellIs" dxfId="9598" priority="11653" operator="greaterThan">
      <formula>1</formula>
    </cfRule>
    <cfRule type="cellIs" dxfId="9597" priority="11654" operator="between">
      <formula>0.95</formula>
      <formula>1</formula>
    </cfRule>
    <cfRule type="cellIs" dxfId="9596" priority="11655" stopIfTrue="1" operator="between">
      <formula>0</formula>
      <formula>0.5</formula>
    </cfRule>
  </conditionalFormatting>
  <conditionalFormatting sqref="AG41">
    <cfRule type="cellIs" dxfId="9595" priority="11492" operator="between">
      <formula>0.76</formula>
      <formula>0.95</formula>
    </cfRule>
    <cfRule type="cellIs" dxfId="9594" priority="11493" operator="between">
      <formula>0.51</formula>
      <formula>0.75</formula>
    </cfRule>
    <cfRule type="cellIs" dxfId="9593" priority="11494" operator="greaterThan">
      <formula>1</formula>
    </cfRule>
    <cfRule type="cellIs" dxfId="9592" priority="11495" operator="between">
      <formula>0.95</formula>
      <formula>1</formula>
    </cfRule>
    <cfRule type="cellIs" dxfId="9591" priority="11496" stopIfTrue="1" operator="between">
      <formula>0</formula>
      <formula>0.5</formula>
    </cfRule>
  </conditionalFormatting>
  <conditionalFormatting sqref="I41">
    <cfRule type="cellIs" dxfId="9590" priority="11556" operator="between">
      <formula>0.76</formula>
      <formula>0.95</formula>
    </cfRule>
    <cfRule type="cellIs" dxfId="9589" priority="11557" operator="between">
      <formula>0.51</formula>
      <formula>0.75</formula>
    </cfRule>
    <cfRule type="cellIs" dxfId="9588" priority="11558" operator="greaterThan">
      <formula>1</formula>
    </cfRule>
    <cfRule type="cellIs" dxfId="9587" priority="11559" operator="between">
      <formula>0.95</formula>
      <formula>1</formula>
    </cfRule>
    <cfRule type="cellIs" dxfId="9586" priority="11560" stopIfTrue="1" operator="between">
      <formula>0</formula>
      <formula>0.5</formula>
    </cfRule>
  </conditionalFormatting>
  <conditionalFormatting sqref="K41">
    <cfRule type="cellIs" dxfId="9585" priority="11546" operator="between">
      <formula>0.191</formula>
      <formula>0.24</formula>
    </cfRule>
    <cfRule type="cellIs" dxfId="9584" priority="11547" operator="between">
      <formula>0.1251</formula>
      <formula>0.19</formula>
    </cfRule>
    <cfRule type="cellIs" dxfId="9583" priority="11548" operator="greaterThan">
      <formula>0.2601</formula>
    </cfRule>
    <cfRule type="cellIs" dxfId="9582" priority="11549" operator="between">
      <formula>0.2401</formula>
      <formula>0.26</formula>
    </cfRule>
    <cfRule type="cellIs" dxfId="9581" priority="11550" stopIfTrue="1" operator="between">
      <formula>0</formula>
      <formula>0.125</formula>
    </cfRule>
  </conditionalFormatting>
  <conditionalFormatting sqref="J41">
    <cfRule type="cellIs" dxfId="9580" priority="11541" operator="between">
      <formula>0.76</formula>
      <formula>0.95</formula>
    </cfRule>
    <cfRule type="cellIs" dxfId="9579" priority="11542" operator="between">
      <formula>0.51</formula>
      <formula>0.75</formula>
    </cfRule>
    <cfRule type="cellIs" dxfId="9578" priority="11543" operator="greaterThan">
      <formula>1</formula>
    </cfRule>
    <cfRule type="cellIs" dxfId="9577" priority="11544" operator="between">
      <formula>0.95</formula>
      <formula>1</formula>
    </cfRule>
    <cfRule type="cellIs" dxfId="9576" priority="11545" stopIfTrue="1" operator="between">
      <formula>0</formula>
      <formula>0.5</formula>
    </cfRule>
  </conditionalFormatting>
  <conditionalFormatting sqref="P41">
    <cfRule type="cellIs" dxfId="9575" priority="11533" operator="between">
      <formula>0.76</formula>
      <formula>0.95</formula>
    </cfRule>
    <cfRule type="cellIs" dxfId="9574" priority="11534" operator="between">
      <formula>0.51</formula>
      <formula>0.75</formula>
    </cfRule>
    <cfRule type="cellIs" dxfId="9573" priority="11535" operator="greaterThan">
      <formula>1</formula>
    </cfRule>
    <cfRule type="cellIs" dxfId="9572" priority="11536" operator="between">
      <formula>0.95</formula>
      <formula>1</formula>
    </cfRule>
    <cfRule type="cellIs" dxfId="9571" priority="11537" stopIfTrue="1" operator="between">
      <formula>0</formula>
      <formula>0.5</formula>
    </cfRule>
  </conditionalFormatting>
  <conditionalFormatting sqref="R41">
    <cfRule type="cellIs" dxfId="9570" priority="11528" operator="between">
      <formula>0.3751</formula>
      <formula>0.475</formula>
    </cfRule>
    <cfRule type="cellIs" dxfId="9569" priority="11529" operator="between">
      <formula>0.2551</formula>
      <formula>0.375</formula>
    </cfRule>
    <cfRule type="cellIs" dxfId="9568" priority="11530" operator="greaterThan">
      <formula>0.505</formula>
    </cfRule>
    <cfRule type="cellIs" dxfId="9567" priority="11531" operator="between">
      <formula>0.48</formula>
      <formula>0.5</formula>
    </cfRule>
    <cfRule type="cellIs" dxfId="9566" priority="11532" stopIfTrue="1" operator="between">
      <formula>0</formula>
      <formula>0.255</formula>
    </cfRule>
  </conditionalFormatting>
  <conditionalFormatting sqref="T41">
    <cfRule type="cellIs" dxfId="9565" priority="11523" operator="between">
      <formula>0.376</formula>
      <formula>0.475</formula>
    </cfRule>
    <cfRule type="cellIs" dxfId="9564" priority="11524" operator="between">
      <formula>0.2551</formula>
      <formula>0.3751</formula>
    </cfRule>
    <cfRule type="cellIs" dxfId="9563" priority="11525" operator="greaterThan">
      <formula>0.505</formula>
    </cfRule>
    <cfRule type="cellIs" dxfId="9562" priority="11526" operator="between">
      <formula>0.48</formula>
      <formula>0.5</formula>
    </cfRule>
    <cfRule type="cellIs" dxfId="9561" priority="11527" stopIfTrue="1" operator="between">
      <formula>0</formula>
      <formula>0.255</formula>
    </cfRule>
  </conditionalFormatting>
  <conditionalFormatting sqref="Q41">
    <cfRule type="cellIs" dxfId="9560" priority="11518" operator="between">
      <formula>0.76</formula>
      <formula>0.95</formula>
    </cfRule>
    <cfRule type="cellIs" dxfId="9559" priority="11519" operator="between">
      <formula>0.51</formula>
      <formula>0.75</formula>
    </cfRule>
    <cfRule type="cellIs" dxfId="9558" priority="11520" operator="greaterThan">
      <formula>1</formula>
    </cfRule>
    <cfRule type="cellIs" dxfId="9557" priority="11521" operator="between">
      <formula>0.95</formula>
      <formula>1</formula>
    </cfRule>
    <cfRule type="cellIs" dxfId="9556" priority="11522" stopIfTrue="1" operator="between">
      <formula>0</formula>
      <formula>0.5</formula>
    </cfRule>
  </conditionalFormatting>
  <conditionalFormatting sqref="X41">
    <cfRule type="cellIs" dxfId="9555" priority="11510" operator="between">
      <formula>0.76</formula>
      <formula>0.95</formula>
    </cfRule>
    <cfRule type="cellIs" dxfId="9554" priority="11511" operator="between">
      <formula>0.51</formula>
      <formula>0.75</formula>
    </cfRule>
    <cfRule type="cellIs" dxfId="9553" priority="11512" operator="greaterThan">
      <formula>1</formula>
    </cfRule>
    <cfRule type="cellIs" dxfId="9552" priority="11513" operator="between">
      <formula>0.95</formula>
      <formula>1</formula>
    </cfRule>
    <cfRule type="cellIs" dxfId="9551" priority="11514" stopIfTrue="1" operator="between">
      <formula>0</formula>
      <formula>0.5</formula>
    </cfRule>
  </conditionalFormatting>
  <conditionalFormatting sqref="W41">
    <cfRule type="cellIs" dxfId="9550" priority="11505" operator="between">
      <formula>0.76</formula>
      <formula>0.95</formula>
    </cfRule>
    <cfRule type="cellIs" dxfId="9549" priority="11506" operator="between">
      <formula>0.51</formula>
      <formula>0.75</formula>
    </cfRule>
    <cfRule type="cellIs" dxfId="9548" priority="11507" operator="greaterThan">
      <formula>1</formula>
    </cfRule>
    <cfRule type="cellIs" dxfId="9547" priority="11508" operator="between">
      <formula>0.95</formula>
      <formula>1</formula>
    </cfRule>
    <cfRule type="cellIs" dxfId="9546" priority="11509" stopIfTrue="1" operator="between">
      <formula>0</formula>
      <formula>0.5</formula>
    </cfRule>
  </conditionalFormatting>
  <conditionalFormatting sqref="AD41">
    <cfRule type="cellIs" dxfId="9545" priority="11487" operator="between">
      <formula>0.76</formula>
      <formula>0.95</formula>
    </cfRule>
    <cfRule type="cellIs" dxfId="9544" priority="11488" operator="between">
      <formula>0.51</formula>
      <formula>0.75</formula>
    </cfRule>
    <cfRule type="cellIs" dxfId="9543" priority="11489" operator="greaterThan">
      <formula>1</formula>
    </cfRule>
    <cfRule type="cellIs" dxfId="9542" priority="11490" operator="between">
      <formula>0.95</formula>
      <formula>1</formula>
    </cfRule>
    <cfRule type="cellIs" dxfId="9541" priority="11491" stopIfTrue="1" operator="between">
      <formula>0</formula>
      <formula>0.5</formula>
    </cfRule>
  </conditionalFormatting>
  <conditionalFormatting sqref="AF41">
    <cfRule type="cellIs" dxfId="9540" priority="11482" operator="between">
      <formula>0.76</formula>
      <formula>0.95</formula>
    </cfRule>
    <cfRule type="cellIs" dxfId="9539" priority="11483" operator="between">
      <formula>0.51</formula>
      <formula>0.75</formula>
    </cfRule>
    <cfRule type="cellIs" dxfId="9538" priority="11484" operator="greaterThan">
      <formula>1</formula>
    </cfRule>
    <cfRule type="cellIs" dxfId="9537" priority="11485" operator="between">
      <formula>0.95</formula>
      <formula>1</formula>
    </cfRule>
    <cfRule type="cellIs" dxfId="9536" priority="11486" stopIfTrue="1" operator="between">
      <formula>0</formula>
      <formula>0.5</formula>
    </cfRule>
  </conditionalFormatting>
  <conditionalFormatting sqref="X31 AE31 AG31">
    <cfRule type="cellIs" dxfId="9535" priority="11472" operator="between">
      <formula>0.76</formula>
      <formula>0.95</formula>
    </cfRule>
    <cfRule type="cellIs" dxfId="9534" priority="11473" operator="between">
      <formula>0.51</formula>
      <formula>0.75</formula>
    </cfRule>
    <cfRule type="cellIs" dxfId="9533" priority="11474" operator="greaterThan">
      <formula>1</formula>
    </cfRule>
    <cfRule type="cellIs" dxfId="9532" priority="11475" operator="between">
      <formula>0.95</formula>
      <formula>1</formula>
    </cfRule>
    <cfRule type="cellIs" dxfId="9531" priority="11476" stopIfTrue="1" operator="between">
      <formula>0</formula>
      <formula>0.5</formula>
    </cfRule>
  </conditionalFormatting>
  <conditionalFormatting sqref="I31">
    <cfRule type="cellIs" dxfId="9530" priority="11467" operator="between">
      <formula>0.76</formula>
      <formula>0.95</formula>
    </cfRule>
    <cfRule type="cellIs" dxfId="9529" priority="11468" operator="between">
      <formula>0.51</formula>
      <formula>0.75</formula>
    </cfRule>
    <cfRule type="cellIs" dxfId="9528" priority="11469" operator="greaterThan">
      <formula>1</formula>
    </cfRule>
    <cfRule type="cellIs" dxfId="9527" priority="11470" operator="between">
      <formula>0.95</formula>
      <formula>1</formula>
    </cfRule>
    <cfRule type="cellIs" dxfId="9526" priority="11471" stopIfTrue="1" operator="between">
      <formula>0</formula>
      <formula>0.5</formula>
    </cfRule>
  </conditionalFormatting>
  <conditionalFormatting sqref="P31">
    <cfRule type="cellIs" dxfId="9525" priority="11462" operator="between">
      <formula>0.76</formula>
      <formula>0.95</formula>
    </cfRule>
    <cfRule type="cellIs" dxfId="9524" priority="11463" operator="between">
      <formula>0.51</formula>
      <formula>0.75</formula>
    </cfRule>
    <cfRule type="cellIs" dxfId="9523" priority="11464" operator="greaterThan">
      <formula>1</formula>
    </cfRule>
    <cfRule type="cellIs" dxfId="9522" priority="11465" operator="between">
      <formula>0.95</formula>
      <formula>1</formula>
    </cfRule>
    <cfRule type="cellIs" dxfId="9521" priority="11466" stopIfTrue="1" operator="between">
      <formula>0</formula>
      <formula>0.5</formula>
    </cfRule>
  </conditionalFormatting>
  <conditionalFormatting sqref="W31">
    <cfRule type="cellIs" dxfId="9520" priority="11457" operator="between">
      <formula>0.76</formula>
      <formula>0.95</formula>
    </cfRule>
    <cfRule type="cellIs" dxfId="9519" priority="11458" operator="between">
      <formula>0.51</formula>
      <formula>0.75</formula>
    </cfRule>
    <cfRule type="cellIs" dxfId="9518" priority="11459" operator="greaterThan">
      <formula>1</formula>
    </cfRule>
    <cfRule type="cellIs" dxfId="9517" priority="11460" operator="between">
      <formula>0.95</formula>
      <formula>1</formula>
    </cfRule>
    <cfRule type="cellIs" dxfId="9516" priority="11461" stopIfTrue="1" operator="between">
      <formula>0</formula>
      <formula>0.5</formula>
    </cfRule>
  </conditionalFormatting>
  <conditionalFormatting sqref="AD31">
    <cfRule type="cellIs" dxfId="9515" priority="11452" operator="between">
      <formula>0.76</formula>
      <formula>0.95</formula>
    </cfRule>
    <cfRule type="cellIs" dxfId="9514" priority="11453" operator="between">
      <formula>0.51</formula>
      <formula>0.75</formula>
    </cfRule>
    <cfRule type="cellIs" dxfId="9513" priority="11454" operator="greaterThan">
      <formula>1</formula>
    </cfRule>
    <cfRule type="cellIs" dxfId="9512" priority="11455" operator="between">
      <formula>0.95</formula>
      <formula>1</formula>
    </cfRule>
    <cfRule type="cellIs" dxfId="9511" priority="11456" stopIfTrue="1" operator="between">
      <formula>0</formula>
      <formula>0.5</formula>
    </cfRule>
  </conditionalFormatting>
  <conditionalFormatting sqref="AF31">
    <cfRule type="cellIs" dxfId="9510" priority="11442" operator="between">
      <formula>0.76</formula>
      <formula>0.95</formula>
    </cfRule>
    <cfRule type="cellIs" dxfId="9509" priority="11443" operator="between">
      <formula>0.51</formula>
      <formula>0.75</formula>
    </cfRule>
    <cfRule type="cellIs" dxfId="9508" priority="11444" operator="greaterThan">
      <formula>1</formula>
    </cfRule>
    <cfRule type="cellIs" dxfId="9507" priority="11445" operator="between">
      <formula>0.95</formula>
      <formula>1</formula>
    </cfRule>
    <cfRule type="cellIs" dxfId="9506" priority="11446" stopIfTrue="1" operator="between">
      <formula>0</formula>
      <formula>0.5</formula>
    </cfRule>
  </conditionalFormatting>
  <conditionalFormatting sqref="M31">
    <cfRule type="cellIs" dxfId="9505" priority="11425" operator="between">
      <formula>0.191</formula>
      <formula>0.24</formula>
    </cfRule>
    <cfRule type="cellIs" dxfId="9504" priority="11426" operator="between">
      <formula>0.1251</formula>
      <formula>0.19</formula>
    </cfRule>
    <cfRule type="cellIs" dxfId="9503" priority="11427" operator="greaterThan">
      <formula>0.2601</formula>
    </cfRule>
    <cfRule type="cellIs" dxfId="9502" priority="11428" operator="between">
      <formula>0.2401</formula>
      <formula>0.26</formula>
    </cfRule>
    <cfRule type="cellIs" dxfId="9501" priority="11429" stopIfTrue="1" operator="between">
      <formula>0</formula>
      <formula>0.125</formula>
    </cfRule>
  </conditionalFormatting>
  <conditionalFormatting sqref="K31">
    <cfRule type="cellIs" dxfId="9500" priority="11420" operator="between">
      <formula>0.191</formula>
      <formula>0.24</formula>
    </cfRule>
    <cfRule type="cellIs" dxfId="9499" priority="11421" operator="between">
      <formula>0.1251</formula>
      <formula>0.19</formula>
    </cfRule>
    <cfRule type="cellIs" dxfId="9498" priority="11422" operator="greaterThan">
      <formula>0.2601</formula>
    </cfRule>
    <cfRule type="cellIs" dxfId="9497" priority="11423" operator="between">
      <formula>0.2401</formula>
      <formula>0.26</formula>
    </cfRule>
    <cfRule type="cellIs" dxfId="9496" priority="11424" stopIfTrue="1" operator="between">
      <formula>0</formula>
      <formula>0.125</formula>
    </cfRule>
  </conditionalFormatting>
  <conditionalFormatting sqref="R31">
    <cfRule type="cellIs" dxfId="9495" priority="11415" operator="between">
      <formula>0.3751</formula>
      <formula>0.475</formula>
    </cfRule>
    <cfRule type="cellIs" dxfId="9494" priority="11416" operator="between">
      <formula>0.2551</formula>
      <formula>0.375</formula>
    </cfRule>
    <cfRule type="cellIs" dxfId="9493" priority="11417" operator="greaterThan">
      <formula>0.505</formula>
    </cfRule>
    <cfRule type="cellIs" dxfId="9492" priority="11418" operator="between">
      <formula>0.48</formula>
      <formula>0.5</formula>
    </cfRule>
    <cfRule type="cellIs" dxfId="9491" priority="11419" stopIfTrue="1" operator="between">
      <formula>0</formula>
      <formula>0.255</formula>
    </cfRule>
  </conditionalFormatting>
  <conditionalFormatting sqref="T31">
    <cfRule type="cellIs" dxfId="9490" priority="11410" operator="between">
      <formula>0.376</formula>
      <formula>0.475</formula>
    </cfRule>
    <cfRule type="cellIs" dxfId="9489" priority="11411" operator="between">
      <formula>0.2551</formula>
      <formula>0.3751</formula>
    </cfRule>
    <cfRule type="cellIs" dxfId="9488" priority="11412" operator="greaterThan">
      <formula>0.505</formula>
    </cfRule>
    <cfRule type="cellIs" dxfId="9487" priority="11413" operator="between">
      <formula>0.48</formula>
      <formula>0.5</formula>
    </cfRule>
    <cfRule type="cellIs" dxfId="9486" priority="11414" stopIfTrue="1" operator="between">
      <formula>0</formula>
      <formula>0.255</formula>
    </cfRule>
  </conditionalFormatting>
  <conditionalFormatting sqref="J31">
    <cfRule type="cellIs" dxfId="9485" priority="11405" operator="between">
      <formula>0.76</formula>
      <formula>0.95</formula>
    </cfRule>
    <cfRule type="cellIs" dxfId="9484" priority="11406" operator="between">
      <formula>0.51</formula>
      <formula>0.75</formula>
    </cfRule>
    <cfRule type="cellIs" dxfId="9483" priority="11407" operator="greaterThan">
      <formula>1</formula>
    </cfRule>
    <cfRule type="cellIs" dxfId="9482" priority="11408" operator="between">
      <formula>0.95</formula>
      <formula>1</formula>
    </cfRule>
    <cfRule type="cellIs" dxfId="9481" priority="11409" stopIfTrue="1" operator="between">
      <formula>0</formula>
      <formula>0.5</formula>
    </cfRule>
  </conditionalFormatting>
  <conditionalFormatting sqref="Q31">
    <cfRule type="cellIs" dxfId="9480" priority="11400" operator="between">
      <formula>0.76</formula>
      <formula>0.95</formula>
    </cfRule>
    <cfRule type="cellIs" dxfId="9479" priority="11401" operator="between">
      <formula>0.51</formula>
      <formula>0.75</formula>
    </cfRule>
    <cfRule type="cellIs" dxfId="9478" priority="11402" operator="greaterThan">
      <formula>1</formula>
    </cfRule>
    <cfRule type="cellIs" dxfId="9477" priority="11403" operator="between">
      <formula>0.95</formula>
      <formula>1</formula>
    </cfRule>
    <cfRule type="cellIs" dxfId="9476" priority="11404" stopIfTrue="1" operator="between">
      <formula>0</formula>
      <formula>0.5</formula>
    </cfRule>
  </conditionalFormatting>
  <conditionalFormatting sqref="J356">
    <cfRule type="cellIs" dxfId="9475" priority="11290" operator="between">
      <formula>0.76</formula>
      <formula>0.95</formula>
    </cfRule>
    <cfRule type="cellIs" dxfId="9474" priority="11291" operator="between">
      <formula>0.51</formula>
      <formula>0.75</formula>
    </cfRule>
    <cfRule type="cellIs" dxfId="9473" priority="11292" operator="greaterThan">
      <formula>1</formula>
    </cfRule>
    <cfRule type="cellIs" dxfId="9472" priority="11293" operator="between">
      <formula>0.95</formula>
      <formula>1</formula>
    </cfRule>
    <cfRule type="cellIs" dxfId="9471" priority="11294" stopIfTrue="1" operator="between">
      <formula>0</formula>
      <formula>0.5</formula>
    </cfRule>
  </conditionalFormatting>
  <conditionalFormatting sqref="I356">
    <cfRule type="cellIs" dxfId="9470" priority="11285" operator="between">
      <formula>0.76</formula>
      <formula>0.95</formula>
    </cfRule>
    <cfRule type="cellIs" dxfId="9469" priority="11286" operator="between">
      <formula>0.51</formula>
      <formula>0.75</formula>
    </cfRule>
    <cfRule type="cellIs" dxfId="9468" priority="11287" operator="greaterThan">
      <formula>1</formula>
    </cfRule>
    <cfRule type="cellIs" dxfId="9467" priority="11288" operator="between">
      <formula>0.95</formula>
      <formula>1</formula>
    </cfRule>
    <cfRule type="cellIs" dxfId="9466" priority="11289" stopIfTrue="1" operator="between">
      <formula>0</formula>
      <formula>0.5</formula>
    </cfRule>
  </conditionalFormatting>
  <conditionalFormatting sqref="W356">
    <cfRule type="cellIs" dxfId="9465" priority="11270" operator="between">
      <formula>0.76</formula>
      <formula>0.95</formula>
    </cfRule>
    <cfRule type="cellIs" dxfId="9464" priority="11271" operator="between">
      <formula>0.51</formula>
      <formula>0.75</formula>
    </cfRule>
    <cfRule type="cellIs" dxfId="9463" priority="11272" operator="greaterThan">
      <formula>1</formula>
    </cfRule>
    <cfRule type="cellIs" dxfId="9462" priority="11273" operator="between">
      <formula>0.95</formula>
      <formula>1</formula>
    </cfRule>
    <cfRule type="cellIs" dxfId="9461" priority="11274" stopIfTrue="1" operator="between">
      <formula>0</formula>
      <formula>0.5</formula>
    </cfRule>
  </conditionalFormatting>
  <conditionalFormatting sqref="P356">
    <cfRule type="cellIs" dxfId="9460" priority="11275" operator="between">
      <formula>0.76</formula>
      <formula>0.95</formula>
    </cfRule>
    <cfRule type="cellIs" dxfId="9459" priority="11276" operator="between">
      <formula>0.51</formula>
      <formula>0.75</formula>
    </cfRule>
    <cfRule type="cellIs" dxfId="9458" priority="11277" operator="greaterThan">
      <formula>1</formula>
    </cfRule>
    <cfRule type="cellIs" dxfId="9457" priority="11278" operator="between">
      <formula>0.95</formula>
      <formula>1</formula>
    </cfRule>
    <cfRule type="cellIs" dxfId="9456" priority="11279" stopIfTrue="1" operator="between">
      <formula>0</formula>
      <formula>0.5</formula>
    </cfRule>
  </conditionalFormatting>
  <conditionalFormatting sqref="AD356">
    <cfRule type="cellIs" dxfId="9455" priority="11265" operator="between">
      <formula>0.76</formula>
      <formula>0.95</formula>
    </cfRule>
    <cfRule type="cellIs" dxfId="9454" priority="11266" operator="between">
      <formula>0.51</formula>
      <formula>0.75</formula>
    </cfRule>
    <cfRule type="cellIs" dxfId="9453" priority="11267" operator="greaterThan">
      <formula>1</formula>
    </cfRule>
    <cfRule type="cellIs" dxfId="9452" priority="11268" operator="between">
      <formula>0.95</formula>
      <formula>1</formula>
    </cfRule>
    <cfRule type="cellIs" dxfId="9451" priority="11269" stopIfTrue="1" operator="between">
      <formula>0</formula>
      <formula>0.5</formula>
    </cfRule>
  </conditionalFormatting>
  <conditionalFormatting sqref="AF356">
    <cfRule type="cellIs" dxfId="9450" priority="11255" operator="between">
      <formula>0.76</formula>
      <formula>0.95</formula>
    </cfRule>
    <cfRule type="cellIs" dxfId="9449" priority="11256" operator="between">
      <formula>0.51</formula>
      <formula>0.75</formula>
    </cfRule>
    <cfRule type="cellIs" dxfId="9448" priority="11257" operator="greaterThan">
      <formula>1</formula>
    </cfRule>
    <cfRule type="cellIs" dxfId="9447" priority="11258" operator="between">
      <formula>0.95</formula>
      <formula>1</formula>
    </cfRule>
    <cfRule type="cellIs" dxfId="9446" priority="11259" stopIfTrue="1" operator="between">
      <formula>0</formula>
      <formula>0.5</formula>
    </cfRule>
  </conditionalFormatting>
  <conditionalFormatting sqref="K356">
    <cfRule type="cellIs" dxfId="9445" priority="11236" operator="between">
      <formula>0.191</formula>
      <formula>0.24</formula>
    </cfRule>
    <cfRule type="cellIs" dxfId="9444" priority="11237" operator="between">
      <formula>0.1251</formula>
      <formula>0.19</formula>
    </cfRule>
    <cfRule type="cellIs" dxfId="9443" priority="11238" operator="greaterThan">
      <formula>0.2601</formula>
    </cfRule>
    <cfRule type="cellIs" dxfId="9442" priority="11239" operator="between">
      <formula>0.2401</formula>
      <formula>0.26</formula>
    </cfRule>
    <cfRule type="cellIs" dxfId="9441" priority="11240" stopIfTrue="1" operator="between">
      <formula>0</formula>
      <formula>0.125</formula>
    </cfRule>
  </conditionalFormatting>
  <conditionalFormatting sqref="R356">
    <cfRule type="cellIs" dxfId="9440" priority="11231" operator="between">
      <formula>0.3751</formula>
      <formula>0.475</formula>
    </cfRule>
    <cfRule type="cellIs" dxfId="9439" priority="11232" operator="between">
      <formula>0.2551</formula>
      <formula>0.375</formula>
    </cfRule>
    <cfRule type="cellIs" dxfId="9438" priority="11233" operator="greaterThan">
      <formula>0.505</formula>
    </cfRule>
    <cfRule type="cellIs" dxfId="9437" priority="11234" operator="between">
      <formula>0.48</formula>
      <formula>0.5</formula>
    </cfRule>
    <cfRule type="cellIs" dxfId="9436" priority="11235" stopIfTrue="1" operator="between">
      <formula>0</formula>
      <formula>0.255</formula>
    </cfRule>
  </conditionalFormatting>
  <conditionalFormatting sqref="T356">
    <cfRule type="cellIs" dxfId="9435" priority="11226" operator="between">
      <formula>0.376</formula>
      <formula>0.475</formula>
    </cfRule>
    <cfRule type="cellIs" dxfId="9434" priority="11227" operator="between">
      <formula>0.2551</formula>
      <formula>0.3751</formula>
    </cfRule>
    <cfRule type="cellIs" dxfId="9433" priority="11228" operator="greaterThan">
      <formula>0.505</formula>
    </cfRule>
    <cfRule type="cellIs" dxfId="9432" priority="11229" operator="between">
      <formula>0.48</formula>
      <formula>0.5</formula>
    </cfRule>
    <cfRule type="cellIs" dxfId="9431" priority="11230" stopIfTrue="1" operator="between">
      <formula>0</formula>
      <formula>0.255</formula>
    </cfRule>
  </conditionalFormatting>
  <conditionalFormatting sqref="AE356">
    <cfRule type="cellIs" dxfId="9430" priority="11211" operator="between">
      <formula>0.76</formula>
      <formula>0.95</formula>
    </cfRule>
    <cfRule type="cellIs" dxfId="9429" priority="11212" operator="between">
      <formula>0.51</formula>
      <formula>0.75</formula>
    </cfRule>
    <cfRule type="cellIs" dxfId="9428" priority="11213" operator="greaterThan">
      <formula>1</formula>
    </cfRule>
    <cfRule type="cellIs" dxfId="9427" priority="11214" operator="between">
      <formula>0.95</formula>
      <formula>1</formula>
    </cfRule>
    <cfRule type="cellIs" dxfId="9426" priority="11215" stopIfTrue="1" operator="between">
      <formula>0</formula>
      <formula>0.5</formula>
    </cfRule>
  </conditionalFormatting>
  <conditionalFormatting sqref="AG356">
    <cfRule type="cellIs" dxfId="9425" priority="11206" operator="between">
      <formula>0.76</formula>
      <formula>0.95</formula>
    </cfRule>
    <cfRule type="cellIs" dxfId="9424" priority="11207" operator="between">
      <formula>0.51</formula>
      <formula>0.75</formula>
    </cfRule>
    <cfRule type="cellIs" dxfId="9423" priority="11208" operator="greaterThan">
      <formula>1</formula>
    </cfRule>
    <cfRule type="cellIs" dxfId="9422" priority="11209" operator="between">
      <formula>0.95</formula>
      <formula>1</formula>
    </cfRule>
    <cfRule type="cellIs" dxfId="9421" priority="11210" stopIfTrue="1" operator="between">
      <formula>0</formula>
      <formula>0.5</formula>
    </cfRule>
  </conditionalFormatting>
  <conditionalFormatting sqref="Q356">
    <cfRule type="cellIs" dxfId="9420" priority="11201" operator="between">
      <formula>0.76</formula>
      <formula>0.95</formula>
    </cfRule>
    <cfRule type="cellIs" dxfId="9419" priority="11202" operator="between">
      <formula>0.51</formula>
      <formula>0.75</formula>
    </cfRule>
    <cfRule type="cellIs" dxfId="9418" priority="11203" operator="greaterThan">
      <formula>1</formula>
    </cfRule>
    <cfRule type="cellIs" dxfId="9417" priority="11204" operator="between">
      <formula>0.95</formula>
      <formula>1</formula>
    </cfRule>
    <cfRule type="cellIs" dxfId="9416" priority="11205" stopIfTrue="1" operator="between">
      <formula>0</formula>
      <formula>0.5</formula>
    </cfRule>
  </conditionalFormatting>
  <conditionalFormatting sqref="X356">
    <cfRule type="cellIs" dxfId="9415" priority="11196" operator="between">
      <formula>0.76</formula>
      <formula>0.95</formula>
    </cfRule>
    <cfRule type="cellIs" dxfId="9414" priority="11197" operator="between">
      <formula>0.51</formula>
      <formula>0.75</formula>
    </cfRule>
    <cfRule type="cellIs" dxfId="9413" priority="11198" operator="greaterThan">
      <formula>1</formula>
    </cfRule>
    <cfRule type="cellIs" dxfId="9412" priority="11199" operator="between">
      <formula>0.95</formula>
      <formula>1</formula>
    </cfRule>
    <cfRule type="cellIs" dxfId="9411" priority="11200" stopIfTrue="1" operator="between">
      <formula>0</formula>
      <formula>0.5</formula>
    </cfRule>
  </conditionalFormatting>
  <conditionalFormatting sqref="I32">
    <cfRule type="cellIs" dxfId="9410" priority="11188" operator="between">
      <formula>0.76</formula>
      <formula>0.95</formula>
    </cfRule>
    <cfRule type="cellIs" dxfId="9409" priority="11189" operator="between">
      <formula>0.51</formula>
      <formula>0.75</formula>
    </cfRule>
    <cfRule type="cellIs" dxfId="9408" priority="11190" operator="greaterThan">
      <formula>1</formula>
    </cfRule>
    <cfRule type="cellIs" dxfId="9407" priority="11191" operator="between">
      <formula>0.95</formula>
      <formula>1</formula>
    </cfRule>
    <cfRule type="cellIs" dxfId="9406" priority="11192" stopIfTrue="1" operator="between">
      <formula>0</formula>
      <formula>0.5</formula>
    </cfRule>
  </conditionalFormatting>
  <conditionalFormatting sqref="M32">
    <cfRule type="cellIs" dxfId="9405" priority="11183" operator="between">
      <formula>0.191</formula>
      <formula>0.24</formula>
    </cfRule>
    <cfRule type="cellIs" dxfId="9404" priority="11184" operator="between">
      <formula>0.1251</formula>
      <formula>0.19</formula>
    </cfRule>
    <cfRule type="cellIs" dxfId="9403" priority="11185" operator="greaterThan">
      <formula>0.2601</formula>
    </cfRule>
    <cfRule type="cellIs" dxfId="9402" priority="11186" operator="between">
      <formula>0.2401</formula>
      <formula>0.26</formula>
    </cfRule>
    <cfRule type="cellIs" dxfId="9401" priority="11187" stopIfTrue="1" operator="between">
      <formula>0</formula>
      <formula>0.125</formula>
    </cfRule>
  </conditionalFormatting>
  <conditionalFormatting sqref="K32">
    <cfRule type="cellIs" dxfId="9400" priority="11178" operator="between">
      <formula>0.191</formula>
      <formula>0.24</formula>
    </cfRule>
    <cfRule type="cellIs" dxfId="9399" priority="11179" operator="between">
      <formula>0.1251</formula>
      <formula>0.19</formula>
    </cfRule>
    <cfRule type="cellIs" dxfId="9398" priority="11180" operator="greaterThan">
      <formula>0.2601</formula>
    </cfRule>
    <cfRule type="cellIs" dxfId="9397" priority="11181" operator="between">
      <formula>0.2401</formula>
      <formula>0.26</formula>
    </cfRule>
    <cfRule type="cellIs" dxfId="9396" priority="11182" stopIfTrue="1" operator="between">
      <formula>0</formula>
      <formula>0.125</formula>
    </cfRule>
  </conditionalFormatting>
  <conditionalFormatting sqref="J32">
    <cfRule type="cellIs" dxfId="9395" priority="11173" operator="between">
      <formula>0.76</formula>
      <formula>0.95</formula>
    </cfRule>
    <cfRule type="cellIs" dxfId="9394" priority="11174" operator="between">
      <formula>0.51</formula>
      <formula>0.75</formula>
    </cfRule>
    <cfRule type="cellIs" dxfId="9393" priority="11175" operator="greaterThan">
      <formula>1</formula>
    </cfRule>
    <cfRule type="cellIs" dxfId="9392" priority="11176" operator="between">
      <formula>0.95</formula>
      <formula>1</formula>
    </cfRule>
    <cfRule type="cellIs" dxfId="9391" priority="11177" stopIfTrue="1" operator="between">
      <formula>0</formula>
      <formula>0.5</formula>
    </cfRule>
  </conditionalFormatting>
  <conditionalFormatting sqref="AE32 AG32">
    <cfRule type="cellIs" dxfId="9390" priority="11159" operator="between">
      <formula>0.76</formula>
      <formula>0.95</formula>
    </cfRule>
    <cfRule type="cellIs" dxfId="9389" priority="11160" operator="between">
      <formula>0.51</formula>
      <formula>0.75</formula>
    </cfRule>
    <cfRule type="cellIs" dxfId="9388" priority="11161" operator="greaterThan">
      <formula>1</formula>
    </cfRule>
    <cfRule type="cellIs" dxfId="9387" priority="11162" operator="between">
      <formula>0.95</formula>
      <formula>1</formula>
    </cfRule>
    <cfRule type="cellIs" dxfId="9386" priority="11163" stopIfTrue="1" operator="between">
      <formula>0</formula>
      <formula>0.5</formula>
    </cfRule>
  </conditionalFormatting>
  <conditionalFormatting sqref="P32">
    <cfRule type="cellIs" dxfId="9385" priority="11154" operator="between">
      <formula>0.76</formula>
      <formula>0.95</formula>
    </cfRule>
    <cfRule type="cellIs" dxfId="9384" priority="11155" operator="between">
      <formula>0.51</formula>
      <formula>0.75</formula>
    </cfRule>
    <cfRule type="cellIs" dxfId="9383" priority="11156" operator="greaterThan">
      <formula>1</formula>
    </cfRule>
    <cfRule type="cellIs" dxfId="9382" priority="11157" operator="between">
      <formula>0.95</formula>
      <formula>1</formula>
    </cfRule>
    <cfRule type="cellIs" dxfId="9381" priority="11158" stopIfTrue="1" operator="between">
      <formula>0</formula>
      <formula>0.5</formula>
    </cfRule>
  </conditionalFormatting>
  <conditionalFormatting sqref="W32">
    <cfRule type="cellIs" dxfId="9380" priority="11149" operator="between">
      <formula>0.76</formula>
      <formula>0.95</formula>
    </cfRule>
    <cfRule type="cellIs" dxfId="9379" priority="11150" operator="between">
      <formula>0.51</formula>
      <formula>0.75</formula>
    </cfRule>
    <cfRule type="cellIs" dxfId="9378" priority="11151" operator="greaterThan">
      <formula>1</formula>
    </cfRule>
    <cfRule type="cellIs" dxfId="9377" priority="11152" operator="between">
      <formula>0.95</formula>
      <formula>1</formula>
    </cfRule>
    <cfRule type="cellIs" dxfId="9376" priority="11153" stopIfTrue="1" operator="between">
      <formula>0</formula>
      <formula>0.5</formula>
    </cfRule>
  </conditionalFormatting>
  <conditionalFormatting sqref="AD32">
    <cfRule type="cellIs" dxfId="9375" priority="11144" operator="between">
      <formula>0.76</formula>
      <formula>0.95</formula>
    </cfRule>
    <cfRule type="cellIs" dxfId="9374" priority="11145" operator="between">
      <formula>0.51</formula>
      <formula>0.75</formula>
    </cfRule>
    <cfRule type="cellIs" dxfId="9373" priority="11146" operator="greaterThan">
      <formula>1</formula>
    </cfRule>
    <cfRule type="cellIs" dxfId="9372" priority="11147" operator="between">
      <formula>0.95</formula>
      <formula>1</formula>
    </cfRule>
    <cfRule type="cellIs" dxfId="9371" priority="11148" stopIfTrue="1" operator="between">
      <formula>0</formula>
      <formula>0.5</formula>
    </cfRule>
  </conditionalFormatting>
  <conditionalFormatting sqref="AF32">
    <cfRule type="cellIs" dxfId="9370" priority="11134" operator="between">
      <formula>0.76</formula>
      <formula>0.95</formula>
    </cfRule>
    <cfRule type="cellIs" dxfId="9369" priority="11135" operator="between">
      <formula>0.51</formula>
      <formula>0.75</formula>
    </cfRule>
    <cfRule type="cellIs" dxfId="9368" priority="11136" operator="greaterThan">
      <formula>1</formula>
    </cfRule>
    <cfRule type="cellIs" dxfId="9367" priority="11137" operator="between">
      <formula>0.95</formula>
      <formula>1</formula>
    </cfRule>
    <cfRule type="cellIs" dxfId="9366" priority="11138" stopIfTrue="1" operator="between">
      <formula>0</formula>
      <formula>0.5</formula>
    </cfRule>
  </conditionalFormatting>
  <conditionalFormatting sqref="R32">
    <cfRule type="cellIs" dxfId="9365" priority="11129" operator="between">
      <formula>0.3751</formula>
      <formula>0.475</formula>
    </cfRule>
    <cfRule type="cellIs" dxfId="9364" priority="11130" operator="between">
      <formula>0.2551</formula>
      <formula>0.375</formula>
    </cfRule>
    <cfRule type="cellIs" dxfId="9363" priority="11131" operator="greaterThan">
      <formula>0.505</formula>
    </cfRule>
    <cfRule type="cellIs" dxfId="9362" priority="11132" operator="between">
      <formula>0.48</formula>
      <formula>0.5</formula>
    </cfRule>
    <cfRule type="cellIs" dxfId="9361" priority="11133" stopIfTrue="1" operator="between">
      <formula>0</formula>
      <formula>0.255</formula>
    </cfRule>
  </conditionalFormatting>
  <conditionalFormatting sqref="T32">
    <cfRule type="cellIs" dxfId="9360" priority="11124" operator="between">
      <formula>0.376</formula>
      <formula>0.475</formula>
    </cfRule>
    <cfRule type="cellIs" dxfId="9359" priority="11125" operator="between">
      <formula>0.2551</formula>
      <formula>0.3751</formula>
    </cfRule>
    <cfRule type="cellIs" dxfId="9358" priority="11126" operator="greaterThan">
      <formula>0.505</formula>
    </cfRule>
    <cfRule type="cellIs" dxfId="9357" priority="11127" operator="between">
      <formula>0.48</formula>
      <formula>0.5</formula>
    </cfRule>
    <cfRule type="cellIs" dxfId="9356" priority="11128" stopIfTrue="1" operator="between">
      <formula>0</formula>
      <formula>0.255</formula>
    </cfRule>
  </conditionalFormatting>
  <conditionalFormatting sqref="Q32">
    <cfRule type="cellIs" dxfId="9355" priority="11119" operator="between">
      <formula>0.76</formula>
      <formula>0.95</formula>
    </cfRule>
    <cfRule type="cellIs" dxfId="9354" priority="11120" operator="between">
      <formula>0.51</formula>
      <formula>0.75</formula>
    </cfRule>
    <cfRule type="cellIs" dxfId="9353" priority="11121" operator="greaterThan">
      <formula>1</formula>
    </cfRule>
    <cfRule type="cellIs" dxfId="9352" priority="11122" operator="between">
      <formula>0.95</formula>
      <formula>1</formula>
    </cfRule>
    <cfRule type="cellIs" dxfId="9351" priority="11123" stopIfTrue="1" operator="between">
      <formula>0</formula>
      <formula>0.5</formula>
    </cfRule>
  </conditionalFormatting>
  <conditionalFormatting sqref="X32">
    <cfRule type="cellIs" dxfId="9350" priority="11114" operator="between">
      <formula>0.76</formula>
      <formula>0.95</formula>
    </cfRule>
    <cfRule type="cellIs" dxfId="9349" priority="11115" operator="between">
      <formula>0.51</formula>
      <formula>0.75</formula>
    </cfRule>
    <cfRule type="cellIs" dxfId="9348" priority="11116" operator="greaterThan">
      <formula>1</formula>
    </cfRule>
    <cfRule type="cellIs" dxfId="9347" priority="11117" operator="between">
      <formula>0.95</formula>
      <formula>1</formula>
    </cfRule>
    <cfRule type="cellIs" dxfId="9346" priority="11118" stopIfTrue="1" operator="between">
      <formula>0</formula>
      <formula>0.5</formula>
    </cfRule>
  </conditionalFormatting>
  <conditionalFormatting sqref="I33">
    <cfRule type="cellIs" dxfId="9345" priority="11097" operator="between">
      <formula>0.76</formula>
      <formula>0.95</formula>
    </cfRule>
    <cfRule type="cellIs" dxfId="9344" priority="11098" operator="between">
      <formula>0.51</formula>
      <formula>0.75</formula>
    </cfRule>
    <cfRule type="cellIs" dxfId="9343" priority="11099" operator="greaterThan">
      <formula>1</formula>
    </cfRule>
    <cfRule type="cellIs" dxfId="9342" priority="11100" operator="between">
      <formula>0.95</formula>
      <formula>1</formula>
    </cfRule>
    <cfRule type="cellIs" dxfId="9341" priority="11101" stopIfTrue="1" operator="between">
      <formula>0</formula>
      <formula>0.5</formula>
    </cfRule>
  </conditionalFormatting>
  <conditionalFormatting sqref="M33">
    <cfRule type="cellIs" dxfId="9340" priority="11092" operator="between">
      <formula>0.191</formula>
      <formula>0.24</formula>
    </cfRule>
    <cfRule type="cellIs" dxfId="9339" priority="11093" operator="between">
      <formula>0.1251</formula>
      <formula>0.19</formula>
    </cfRule>
    <cfRule type="cellIs" dxfId="9338" priority="11094" operator="greaterThan">
      <formula>0.2601</formula>
    </cfRule>
    <cfRule type="cellIs" dxfId="9337" priority="11095" operator="between">
      <formula>0.2401</formula>
      <formula>0.26</formula>
    </cfRule>
    <cfRule type="cellIs" dxfId="9336" priority="11096" stopIfTrue="1" operator="between">
      <formula>0</formula>
      <formula>0.125</formula>
    </cfRule>
  </conditionalFormatting>
  <conditionalFormatting sqref="K33">
    <cfRule type="cellIs" dxfId="9335" priority="11087" operator="between">
      <formula>0.191</formula>
      <formula>0.24</formula>
    </cfRule>
    <cfRule type="cellIs" dxfId="9334" priority="11088" operator="between">
      <formula>0.1251</formula>
      <formula>0.19</formula>
    </cfRule>
    <cfRule type="cellIs" dxfId="9333" priority="11089" operator="greaterThan">
      <formula>0.2601</formula>
    </cfRule>
    <cfRule type="cellIs" dxfId="9332" priority="11090" operator="between">
      <formula>0.2401</formula>
      <formula>0.26</formula>
    </cfRule>
    <cfRule type="cellIs" dxfId="9331" priority="11091" stopIfTrue="1" operator="between">
      <formula>0</formula>
      <formula>0.125</formula>
    </cfRule>
  </conditionalFormatting>
  <conditionalFormatting sqref="J33">
    <cfRule type="cellIs" dxfId="9330" priority="11082" operator="between">
      <formula>0.76</formula>
      <formula>0.95</formula>
    </cfRule>
    <cfRule type="cellIs" dxfId="9329" priority="11083" operator="between">
      <formula>0.51</formula>
      <formula>0.75</formula>
    </cfRule>
    <cfRule type="cellIs" dxfId="9328" priority="11084" operator="greaterThan">
      <formula>1</formula>
    </cfRule>
    <cfRule type="cellIs" dxfId="9327" priority="11085" operator="between">
      <formula>0.95</formula>
      <formula>1</formula>
    </cfRule>
    <cfRule type="cellIs" dxfId="9326" priority="11086" stopIfTrue="1" operator="between">
      <formula>0</formula>
      <formula>0.5</formula>
    </cfRule>
  </conditionalFormatting>
  <conditionalFormatting sqref="AE33 AG33">
    <cfRule type="cellIs" dxfId="9325" priority="11077" operator="between">
      <formula>0.76</formula>
      <formula>0.95</formula>
    </cfRule>
    <cfRule type="cellIs" dxfId="9324" priority="11078" operator="between">
      <formula>0.51</formula>
      <formula>0.75</formula>
    </cfRule>
    <cfRule type="cellIs" dxfId="9323" priority="11079" operator="greaterThan">
      <formula>1</formula>
    </cfRule>
    <cfRule type="cellIs" dxfId="9322" priority="11080" operator="between">
      <formula>0.95</formula>
      <formula>1</formula>
    </cfRule>
    <cfRule type="cellIs" dxfId="9321" priority="11081" stopIfTrue="1" operator="between">
      <formula>0</formula>
      <formula>0.5</formula>
    </cfRule>
  </conditionalFormatting>
  <conditionalFormatting sqref="P33">
    <cfRule type="cellIs" dxfId="9320" priority="11072" operator="between">
      <formula>0.76</formula>
      <formula>0.95</formula>
    </cfRule>
    <cfRule type="cellIs" dxfId="9319" priority="11073" operator="between">
      <formula>0.51</formula>
      <formula>0.75</formula>
    </cfRule>
    <cfRule type="cellIs" dxfId="9318" priority="11074" operator="greaterThan">
      <formula>1</formula>
    </cfRule>
    <cfRule type="cellIs" dxfId="9317" priority="11075" operator="between">
      <formula>0.95</formula>
      <formula>1</formula>
    </cfRule>
    <cfRule type="cellIs" dxfId="9316" priority="11076" stopIfTrue="1" operator="between">
      <formula>0</formula>
      <formula>0.5</formula>
    </cfRule>
  </conditionalFormatting>
  <conditionalFormatting sqref="W33">
    <cfRule type="cellIs" dxfId="9315" priority="11067" operator="between">
      <formula>0.76</formula>
      <formula>0.95</formula>
    </cfRule>
    <cfRule type="cellIs" dxfId="9314" priority="11068" operator="between">
      <formula>0.51</formula>
      <formula>0.75</formula>
    </cfRule>
    <cfRule type="cellIs" dxfId="9313" priority="11069" operator="greaterThan">
      <formula>1</formula>
    </cfRule>
    <cfRule type="cellIs" dxfId="9312" priority="11070" operator="between">
      <formula>0.95</formula>
      <formula>1</formula>
    </cfRule>
    <cfRule type="cellIs" dxfId="9311" priority="11071" stopIfTrue="1" operator="between">
      <formula>0</formula>
      <formula>0.5</formula>
    </cfRule>
  </conditionalFormatting>
  <conditionalFormatting sqref="AD33">
    <cfRule type="cellIs" dxfId="9310" priority="11062" operator="between">
      <formula>0.76</formula>
      <formula>0.95</formula>
    </cfRule>
    <cfRule type="cellIs" dxfId="9309" priority="11063" operator="between">
      <formula>0.51</formula>
      <formula>0.75</formula>
    </cfRule>
    <cfRule type="cellIs" dxfId="9308" priority="11064" operator="greaterThan">
      <formula>1</formula>
    </cfRule>
    <cfRule type="cellIs" dxfId="9307" priority="11065" operator="between">
      <formula>0.95</formula>
      <formula>1</formula>
    </cfRule>
    <cfRule type="cellIs" dxfId="9306" priority="11066" stopIfTrue="1" operator="between">
      <formula>0</formula>
      <formula>0.5</formula>
    </cfRule>
  </conditionalFormatting>
  <conditionalFormatting sqref="AF33">
    <cfRule type="cellIs" dxfId="9305" priority="11052" operator="between">
      <formula>0.76</formula>
      <formula>0.95</formula>
    </cfRule>
    <cfRule type="cellIs" dxfId="9304" priority="11053" operator="between">
      <formula>0.51</formula>
      <formula>0.75</formula>
    </cfRule>
    <cfRule type="cellIs" dxfId="9303" priority="11054" operator="greaterThan">
      <formula>1</formula>
    </cfRule>
    <cfRule type="cellIs" dxfId="9302" priority="11055" operator="between">
      <formula>0.95</formula>
      <formula>1</formula>
    </cfRule>
    <cfRule type="cellIs" dxfId="9301" priority="11056" stopIfTrue="1" operator="between">
      <formula>0</formula>
      <formula>0.5</formula>
    </cfRule>
  </conditionalFormatting>
  <conditionalFormatting sqref="R33">
    <cfRule type="cellIs" dxfId="9300" priority="11047" operator="between">
      <formula>0.3751</formula>
      <formula>0.475</formula>
    </cfRule>
    <cfRule type="cellIs" dxfId="9299" priority="11048" operator="between">
      <formula>0.2551</formula>
      <formula>0.375</formula>
    </cfRule>
    <cfRule type="cellIs" dxfId="9298" priority="11049" operator="greaterThan">
      <formula>0.505</formula>
    </cfRule>
    <cfRule type="cellIs" dxfId="9297" priority="11050" operator="between">
      <formula>0.48</formula>
      <formula>0.5</formula>
    </cfRule>
    <cfRule type="cellIs" dxfId="9296" priority="11051" stopIfTrue="1" operator="between">
      <formula>0</formula>
      <formula>0.255</formula>
    </cfRule>
  </conditionalFormatting>
  <conditionalFormatting sqref="T33">
    <cfRule type="cellIs" dxfId="9295" priority="11042" operator="between">
      <formula>0.376</formula>
      <formula>0.475</formula>
    </cfRule>
    <cfRule type="cellIs" dxfId="9294" priority="11043" operator="between">
      <formula>0.2551</formula>
      <formula>0.3751</formula>
    </cfRule>
    <cfRule type="cellIs" dxfId="9293" priority="11044" operator="greaterThan">
      <formula>0.505</formula>
    </cfRule>
    <cfRule type="cellIs" dxfId="9292" priority="11045" operator="between">
      <formula>0.48</formula>
      <formula>0.5</formula>
    </cfRule>
    <cfRule type="cellIs" dxfId="9291" priority="11046" stopIfTrue="1" operator="between">
      <formula>0</formula>
      <formula>0.255</formula>
    </cfRule>
  </conditionalFormatting>
  <conditionalFormatting sqref="Q33">
    <cfRule type="cellIs" dxfId="9290" priority="11037" operator="between">
      <formula>0.76</formula>
      <formula>0.95</formula>
    </cfRule>
    <cfRule type="cellIs" dxfId="9289" priority="11038" operator="between">
      <formula>0.51</formula>
      <formula>0.75</formula>
    </cfRule>
    <cfRule type="cellIs" dxfId="9288" priority="11039" operator="greaterThan">
      <formula>1</formula>
    </cfRule>
    <cfRule type="cellIs" dxfId="9287" priority="11040" operator="between">
      <formula>0.95</formula>
      <formula>1</formula>
    </cfRule>
    <cfRule type="cellIs" dxfId="9286" priority="11041" stopIfTrue="1" operator="between">
      <formula>0</formula>
      <formula>0.5</formula>
    </cfRule>
  </conditionalFormatting>
  <conditionalFormatting sqref="X33">
    <cfRule type="cellIs" dxfId="9285" priority="11032" operator="between">
      <formula>0.76</formula>
      <formula>0.95</formula>
    </cfRule>
    <cfRule type="cellIs" dxfId="9284" priority="11033" operator="between">
      <formula>0.51</formula>
      <formula>0.75</formula>
    </cfRule>
    <cfRule type="cellIs" dxfId="9283" priority="11034" operator="greaterThan">
      <formula>1</formula>
    </cfRule>
    <cfRule type="cellIs" dxfId="9282" priority="11035" operator="between">
      <formula>0.95</formula>
      <formula>1</formula>
    </cfRule>
    <cfRule type="cellIs" dxfId="9281" priority="11036" stopIfTrue="1" operator="between">
      <formula>0</formula>
      <formula>0.5</formula>
    </cfRule>
  </conditionalFormatting>
  <conditionalFormatting sqref="J104">
    <cfRule type="cellIs" dxfId="9280" priority="11024" operator="between">
      <formula>0.76</formula>
      <formula>0.95</formula>
    </cfRule>
    <cfRule type="cellIs" dxfId="9279" priority="11025" operator="between">
      <formula>0.51</formula>
      <formula>0.75</formula>
    </cfRule>
    <cfRule type="cellIs" dxfId="9278" priority="11026" operator="greaterThan">
      <formula>1</formula>
    </cfRule>
    <cfRule type="cellIs" dxfId="9277" priority="11027" operator="between">
      <formula>0.95</formula>
      <formula>1</formula>
    </cfRule>
    <cfRule type="cellIs" dxfId="9276" priority="11028" stopIfTrue="1" operator="between">
      <formula>0</formula>
      <formula>0.5</formula>
    </cfRule>
  </conditionalFormatting>
  <conditionalFormatting sqref="I104">
    <cfRule type="cellIs" dxfId="9275" priority="11019" operator="between">
      <formula>0.76</formula>
      <formula>0.95</formula>
    </cfRule>
    <cfRule type="cellIs" dxfId="9274" priority="11020" operator="between">
      <formula>0.51</formula>
      <formula>0.75</formula>
    </cfRule>
    <cfRule type="cellIs" dxfId="9273" priority="11021" operator="greaterThan">
      <formula>1</formula>
    </cfRule>
    <cfRule type="cellIs" dxfId="9272" priority="11022" operator="between">
      <formula>0.95</formula>
      <formula>1</formula>
    </cfRule>
    <cfRule type="cellIs" dxfId="9271" priority="11023" stopIfTrue="1" operator="between">
      <formula>0</formula>
      <formula>0.5</formula>
    </cfRule>
  </conditionalFormatting>
  <conditionalFormatting sqref="Q104">
    <cfRule type="cellIs" dxfId="9270" priority="11014" operator="between">
      <formula>0.76</formula>
      <formula>0.95</formula>
    </cfRule>
    <cfRule type="cellIs" dxfId="9269" priority="11015" operator="between">
      <formula>0.51</formula>
      <formula>0.75</formula>
    </cfRule>
    <cfRule type="cellIs" dxfId="9268" priority="11016" operator="greaterThan">
      <formula>1</formula>
    </cfRule>
    <cfRule type="cellIs" dxfId="9267" priority="11017" operator="between">
      <formula>0.95</formula>
      <formula>1</formula>
    </cfRule>
    <cfRule type="cellIs" dxfId="9266" priority="11018" stopIfTrue="1" operator="between">
      <formula>0</formula>
      <formula>0.5</formula>
    </cfRule>
  </conditionalFormatting>
  <conditionalFormatting sqref="P104">
    <cfRule type="cellIs" dxfId="9265" priority="11009" operator="between">
      <formula>0.76</formula>
      <formula>0.95</formula>
    </cfRule>
    <cfRule type="cellIs" dxfId="9264" priority="11010" operator="between">
      <formula>0.51</formula>
      <formula>0.75</formula>
    </cfRule>
    <cfRule type="cellIs" dxfId="9263" priority="11011" operator="greaterThan">
      <formula>1</formula>
    </cfRule>
    <cfRule type="cellIs" dxfId="9262" priority="11012" operator="between">
      <formula>0.95</formula>
      <formula>1</formula>
    </cfRule>
    <cfRule type="cellIs" dxfId="9261" priority="11013" stopIfTrue="1" operator="between">
      <formula>0</formula>
      <formula>0.5</formula>
    </cfRule>
  </conditionalFormatting>
  <conditionalFormatting sqref="W104">
    <cfRule type="cellIs" dxfId="9260" priority="11004" operator="between">
      <formula>0.76</formula>
      <formula>0.95</formula>
    </cfRule>
    <cfRule type="cellIs" dxfId="9259" priority="11005" operator="between">
      <formula>0.51</formula>
      <formula>0.75</formula>
    </cfRule>
    <cfRule type="cellIs" dxfId="9258" priority="11006" operator="greaterThan">
      <formula>1</formula>
    </cfRule>
    <cfRule type="cellIs" dxfId="9257" priority="11007" operator="between">
      <formula>0.95</formula>
      <formula>1</formula>
    </cfRule>
    <cfRule type="cellIs" dxfId="9256" priority="11008" stopIfTrue="1" operator="between">
      <formula>0</formula>
      <formula>0.5</formula>
    </cfRule>
  </conditionalFormatting>
  <conditionalFormatting sqref="AD104">
    <cfRule type="cellIs" dxfId="9255" priority="10999" operator="between">
      <formula>0.76</formula>
      <formula>0.95</formula>
    </cfRule>
    <cfRule type="cellIs" dxfId="9254" priority="11000" operator="between">
      <formula>0.51</formula>
      <formula>0.75</formula>
    </cfRule>
    <cfRule type="cellIs" dxfId="9253" priority="11001" operator="greaterThan">
      <formula>1</formula>
    </cfRule>
    <cfRule type="cellIs" dxfId="9252" priority="11002" operator="between">
      <formula>0.95</formula>
      <formula>1</formula>
    </cfRule>
    <cfRule type="cellIs" dxfId="9251" priority="11003" stopIfTrue="1" operator="between">
      <formula>0</formula>
      <formula>0.5</formula>
    </cfRule>
  </conditionalFormatting>
  <conditionalFormatting sqref="AF104">
    <cfRule type="cellIs" dxfId="9250" priority="10989" operator="between">
      <formula>0.76</formula>
      <formula>0.95</formula>
    </cfRule>
    <cfRule type="cellIs" dxfId="9249" priority="10990" operator="between">
      <formula>0.51</formula>
      <formula>0.75</formula>
    </cfRule>
    <cfRule type="cellIs" dxfId="9248" priority="10991" operator="greaterThan">
      <formula>1</formula>
    </cfRule>
    <cfRule type="cellIs" dxfId="9247" priority="10992" operator="between">
      <formula>0.95</formula>
      <formula>1</formula>
    </cfRule>
    <cfRule type="cellIs" dxfId="9246" priority="10993" stopIfTrue="1" operator="between">
      <formula>0</formula>
      <formula>0.5</formula>
    </cfRule>
  </conditionalFormatting>
  <conditionalFormatting sqref="L104:M104">
    <cfRule type="cellIs" dxfId="9245" priority="10975" operator="between">
      <formula>0.191</formula>
      <formula>0.24</formula>
    </cfRule>
    <cfRule type="cellIs" dxfId="9244" priority="10976" operator="between">
      <formula>0.1251</formula>
      <formula>0.19</formula>
    </cfRule>
    <cfRule type="cellIs" dxfId="9243" priority="10977" operator="greaterThan">
      <formula>0.2601</formula>
    </cfRule>
    <cfRule type="cellIs" dxfId="9242" priority="10978" operator="between">
      <formula>0.2401</formula>
      <formula>0.26</formula>
    </cfRule>
    <cfRule type="cellIs" dxfId="9241" priority="10979" stopIfTrue="1" operator="between">
      <formula>0</formula>
      <formula>0.125</formula>
    </cfRule>
  </conditionalFormatting>
  <conditionalFormatting sqref="K104">
    <cfRule type="cellIs" dxfId="9240" priority="10970" operator="between">
      <formula>0.191</formula>
      <formula>0.24</formula>
    </cfRule>
    <cfRule type="cellIs" dxfId="9239" priority="10971" operator="between">
      <formula>0.1251</formula>
      <formula>0.19</formula>
    </cfRule>
    <cfRule type="cellIs" dxfId="9238" priority="10972" operator="greaterThan">
      <formula>0.2601</formula>
    </cfRule>
    <cfRule type="cellIs" dxfId="9237" priority="10973" operator="between">
      <formula>0.2401</formula>
      <formula>0.26</formula>
    </cfRule>
    <cfRule type="cellIs" dxfId="9236" priority="10974" stopIfTrue="1" operator="between">
      <formula>0</formula>
      <formula>0.125</formula>
    </cfRule>
  </conditionalFormatting>
  <conditionalFormatting sqref="R104">
    <cfRule type="cellIs" dxfId="9235" priority="10965" operator="between">
      <formula>0.3751</formula>
      <formula>0.475</formula>
    </cfRule>
    <cfRule type="cellIs" dxfId="9234" priority="10966" operator="between">
      <formula>0.2551</formula>
      <formula>0.375</formula>
    </cfRule>
    <cfRule type="cellIs" dxfId="9233" priority="10967" operator="greaterThan">
      <formula>0.505</formula>
    </cfRule>
    <cfRule type="cellIs" dxfId="9232" priority="10968" operator="between">
      <formula>0.48</formula>
      <formula>0.5</formula>
    </cfRule>
    <cfRule type="cellIs" dxfId="9231" priority="10969" stopIfTrue="1" operator="between">
      <formula>0</formula>
      <formula>0.255</formula>
    </cfRule>
  </conditionalFormatting>
  <conditionalFormatting sqref="S104:T104">
    <cfRule type="cellIs" dxfId="9230" priority="10960" operator="between">
      <formula>0.376</formula>
      <formula>0.475</formula>
    </cfRule>
    <cfRule type="cellIs" dxfId="9229" priority="10961" operator="between">
      <formula>0.2551</formula>
      <formula>0.3751</formula>
    </cfRule>
    <cfRule type="cellIs" dxfId="9228" priority="10962" operator="greaterThan">
      <formula>0.505</formula>
    </cfRule>
    <cfRule type="cellIs" dxfId="9227" priority="10963" operator="between">
      <formula>0.48</formula>
      <formula>0.5</formula>
    </cfRule>
    <cfRule type="cellIs" dxfId="9226" priority="10964" stopIfTrue="1" operator="between">
      <formula>0</formula>
      <formula>0.255</formula>
    </cfRule>
  </conditionalFormatting>
  <conditionalFormatting sqref="X104">
    <cfRule type="cellIs" dxfId="9225" priority="10955" operator="between">
      <formula>0.76</formula>
      <formula>0.95</formula>
    </cfRule>
    <cfRule type="cellIs" dxfId="9224" priority="10956" operator="between">
      <formula>0.51</formula>
      <formula>0.75</formula>
    </cfRule>
    <cfRule type="cellIs" dxfId="9223" priority="10957" operator="greaterThan">
      <formula>1</formula>
    </cfRule>
    <cfRule type="cellIs" dxfId="9222" priority="10958" operator="between">
      <formula>0.95</formula>
      <formula>1</formula>
    </cfRule>
    <cfRule type="cellIs" dxfId="9221" priority="10959" stopIfTrue="1" operator="between">
      <formula>0</formula>
      <formula>0.5</formula>
    </cfRule>
  </conditionalFormatting>
  <conditionalFormatting sqref="AE104">
    <cfRule type="cellIs" dxfId="9220" priority="10945" operator="between">
      <formula>0.76</formula>
      <formula>0.95</formula>
    </cfRule>
    <cfRule type="cellIs" dxfId="9219" priority="10946" operator="between">
      <formula>0.51</formula>
      <formula>0.75</formula>
    </cfRule>
    <cfRule type="cellIs" dxfId="9218" priority="10947" operator="greaterThan">
      <formula>1</formula>
    </cfRule>
    <cfRule type="cellIs" dxfId="9217" priority="10948" operator="between">
      <formula>0.95</formula>
      <formula>1</formula>
    </cfRule>
    <cfRule type="cellIs" dxfId="9216" priority="10949" stopIfTrue="1" operator="between">
      <formula>0</formula>
      <formula>0.5</formula>
    </cfRule>
  </conditionalFormatting>
  <conditionalFormatting sqref="AG104">
    <cfRule type="cellIs" dxfId="9215" priority="10940" operator="between">
      <formula>0.76</formula>
      <formula>0.95</formula>
    </cfRule>
    <cfRule type="cellIs" dxfId="9214" priority="10941" operator="between">
      <formula>0.51</formula>
      <formula>0.75</formula>
    </cfRule>
    <cfRule type="cellIs" dxfId="9213" priority="10942" operator="greaterThan">
      <formula>1</formula>
    </cfRule>
    <cfRule type="cellIs" dxfId="9212" priority="10943" operator="between">
      <formula>0.95</formula>
      <formula>1</formula>
    </cfRule>
    <cfRule type="cellIs" dxfId="9211" priority="10944" stopIfTrue="1" operator="between">
      <formula>0</formula>
      <formula>0.5</formula>
    </cfRule>
  </conditionalFormatting>
  <conditionalFormatting sqref="J329">
    <cfRule type="cellIs" dxfId="9210" priority="10932" operator="between">
      <formula>0.76</formula>
      <formula>0.95</formula>
    </cfRule>
    <cfRule type="cellIs" dxfId="9209" priority="10933" operator="between">
      <formula>0.51</formula>
      <formula>0.75</formula>
    </cfRule>
    <cfRule type="cellIs" dxfId="9208" priority="10934" operator="greaterThan">
      <formula>1</formula>
    </cfRule>
    <cfRule type="cellIs" dxfId="9207" priority="10935" operator="between">
      <formula>0.95</formula>
      <formula>1</formula>
    </cfRule>
    <cfRule type="cellIs" dxfId="9206" priority="10936" stopIfTrue="1" operator="between">
      <formula>0</formula>
      <formula>0.5</formula>
    </cfRule>
  </conditionalFormatting>
  <conditionalFormatting sqref="I329">
    <cfRule type="cellIs" dxfId="9205" priority="10927" operator="between">
      <formula>0.76</formula>
      <formula>0.95</formula>
    </cfRule>
    <cfRule type="cellIs" dxfId="9204" priority="10928" operator="between">
      <formula>0.51</formula>
      <formula>0.75</formula>
    </cfRule>
    <cfRule type="cellIs" dxfId="9203" priority="10929" operator="greaterThan">
      <formula>1</formula>
    </cfRule>
    <cfRule type="cellIs" dxfId="9202" priority="10930" operator="between">
      <formula>0.95</formula>
      <formula>1</formula>
    </cfRule>
    <cfRule type="cellIs" dxfId="9201" priority="10931" stopIfTrue="1" operator="between">
      <formula>0</formula>
      <formula>0.5</formula>
    </cfRule>
  </conditionalFormatting>
  <conditionalFormatting sqref="Q329">
    <cfRule type="cellIs" dxfId="9200" priority="10922" operator="between">
      <formula>0.76</formula>
      <formula>0.95</formula>
    </cfRule>
    <cfRule type="cellIs" dxfId="9199" priority="10923" operator="between">
      <formula>0.51</formula>
      <formula>0.75</formula>
    </cfRule>
    <cfRule type="cellIs" dxfId="9198" priority="10924" operator="greaterThan">
      <formula>1</formula>
    </cfRule>
    <cfRule type="cellIs" dxfId="9197" priority="10925" operator="between">
      <formula>0.95</formula>
      <formula>1</formula>
    </cfRule>
    <cfRule type="cellIs" dxfId="9196" priority="10926" stopIfTrue="1" operator="between">
      <formula>0</formula>
      <formula>0.5</formula>
    </cfRule>
  </conditionalFormatting>
  <conditionalFormatting sqref="P329">
    <cfRule type="cellIs" dxfId="9195" priority="10917" operator="between">
      <formula>0.76</formula>
      <formula>0.95</formula>
    </cfRule>
    <cfRule type="cellIs" dxfId="9194" priority="10918" operator="between">
      <formula>0.51</formula>
      <formula>0.75</formula>
    </cfRule>
    <cfRule type="cellIs" dxfId="9193" priority="10919" operator="greaterThan">
      <formula>1</formula>
    </cfRule>
    <cfRule type="cellIs" dxfId="9192" priority="10920" operator="between">
      <formula>0.95</formula>
      <formula>1</formula>
    </cfRule>
    <cfRule type="cellIs" dxfId="9191" priority="10921" stopIfTrue="1" operator="between">
      <formula>0</formula>
      <formula>0.5</formula>
    </cfRule>
  </conditionalFormatting>
  <conditionalFormatting sqref="W329">
    <cfRule type="cellIs" dxfId="9190" priority="10912" operator="between">
      <formula>0.76</formula>
      <formula>0.95</formula>
    </cfRule>
    <cfRule type="cellIs" dxfId="9189" priority="10913" operator="between">
      <formula>0.51</formula>
      <formula>0.75</formula>
    </cfRule>
    <cfRule type="cellIs" dxfId="9188" priority="10914" operator="greaterThan">
      <formula>1</formula>
    </cfRule>
    <cfRule type="cellIs" dxfId="9187" priority="10915" operator="between">
      <formula>0.95</formula>
      <formula>1</formula>
    </cfRule>
    <cfRule type="cellIs" dxfId="9186" priority="10916" stopIfTrue="1" operator="between">
      <formula>0</formula>
      <formula>0.5</formula>
    </cfRule>
  </conditionalFormatting>
  <conditionalFormatting sqref="AD329">
    <cfRule type="cellIs" dxfId="9185" priority="10907" operator="between">
      <formula>0.76</formula>
      <formula>0.95</formula>
    </cfRule>
    <cfRule type="cellIs" dxfId="9184" priority="10908" operator="between">
      <formula>0.51</formula>
      <formula>0.75</formula>
    </cfRule>
    <cfRule type="cellIs" dxfId="9183" priority="10909" operator="greaterThan">
      <formula>1</formula>
    </cfRule>
    <cfRule type="cellIs" dxfId="9182" priority="10910" operator="between">
      <formula>0.95</formula>
      <formula>1</formula>
    </cfRule>
    <cfRule type="cellIs" dxfId="9181" priority="10911" stopIfTrue="1" operator="between">
      <formula>0</formula>
      <formula>0.5</formula>
    </cfRule>
  </conditionalFormatting>
  <conditionalFormatting sqref="AF329">
    <cfRule type="cellIs" dxfId="9180" priority="10897" operator="between">
      <formula>0.76</formula>
      <formula>0.95</formula>
    </cfRule>
    <cfRule type="cellIs" dxfId="9179" priority="10898" operator="between">
      <formula>0.51</formula>
      <formula>0.75</formula>
    </cfRule>
    <cfRule type="cellIs" dxfId="9178" priority="10899" operator="greaterThan">
      <formula>1</formula>
    </cfRule>
    <cfRule type="cellIs" dxfId="9177" priority="10900" operator="between">
      <formula>0.95</formula>
      <formula>1</formula>
    </cfRule>
    <cfRule type="cellIs" dxfId="9176" priority="10901" stopIfTrue="1" operator="between">
      <formula>0</formula>
      <formula>0.5</formula>
    </cfRule>
  </conditionalFormatting>
  <conditionalFormatting sqref="K329">
    <cfRule type="cellIs" dxfId="9175" priority="10878" operator="between">
      <formula>0.191</formula>
      <formula>0.24</formula>
    </cfRule>
    <cfRule type="cellIs" dxfId="9174" priority="10879" operator="between">
      <formula>0.1251</formula>
      <formula>0.19</formula>
    </cfRule>
    <cfRule type="cellIs" dxfId="9173" priority="10880" operator="greaterThan">
      <formula>0.2601</formula>
    </cfRule>
    <cfRule type="cellIs" dxfId="9172" priority="10881" operator="between">
      <formula>0.2401</formula>
      <formula>0.26</formula>
    </cfRule>
    <cfRule type="cellIs" dxfId="9171" priority="10882" stopIfTrue="1" operator="between">
      <formula>0</formula>
      <formula>0.125</formula>
    </cfRule>
  </conditionalFormatting>
  <conditionalFormatting sqref="R329">
    <cfRule type="cellIs" dxfId="9170" priority="10873" operator="between">
      <formula>0.3751</formula>
      <formula>0.475</formula>
    </cfRule>
    <cfRule type="cellIs" dxfId="9169" priority="10874" operator="between">
      <formula>0.2551</formula>
      <formula>0.375</formula>
    </cfRule>
    <cfRule type="cellIs" dxfId="9168" priority="10875" operator="greaterThan">
      <formula>0.505</formula>
    </cfRule>
    <cfRule type="cellIs" dxfId="9167" priority="10876" operator="between">
      <formula>0.48</formula>
      <formula>0.5</formula>
    </cfRule>
    <cfRule type="cellIs" dxfId="9166" priority="10877" stopIfTrue="1" operator="between">
      <formula>0</formula>
      <formula>0.255</formula>
    </cfRule>
  </conditionalFormatting>
  <conditionalFormatting sqref="T329">
    <cfRule type="cellIs" dxfId="9165" priority="10868" operator="between">
      <formula>0.376</formula>
      <formula>0.475</formula>
    </cfRule>
    <cfRule type="cellIs" dxfId="9164" priority="10869" operator="between">
      <formula>0.2551</formula>
      <formula>0.3751</formula>
    </cfRule>
    <cfRule type="cellIs" dxfId="9163" priority="10870" operator="greaterThan">
      <formula>0.505</formula>
    </cfRule>
    <cfRule type="cellIs" dxfId="9162" priority="10871" operator="between">
      <formula>0.48</formula>
      <formula>0.5</formula>
    </cfRule>
    <cfRule type="cellIs" dxfId="9161" priority="10872" stopIfTrue="1" operator="between">
      <formula>0</formula>
      <formula>0.255</formula>
    </cfRule>
  </conditionalFormatting>
  <conditionalFormatting sqref="X329">
    <cfRule type="cellIs" dxfId="9160" priority="10863" operator="between">
      <formula>0.76</formula>
      <formula>0.95</formula>
    </cfRule>
    <cfRule type="cellIs" dxfId="9159" priority="10864" operator="between">
      <formula>0.51</formula>
      <formula>0.75</formula>
    </cfRule>
    <cfRule type="cellIs" dxfId="9158" priority="10865" operator="greaterThan">
      <formula>1</formula>
    </cfRule>
    <cfRule type="cellIs" dxfId="9157" priority="10866" operator="between">
      <formula>0.95</formula>
      <formula>1</formula>
    </cfRule>
    <cfRule type="cellIs" dxfId="9156" priority="10867" stopIfTrue="1" operator="between">
      <formula>0</formula>
      <formula>0.5</formula>
    </cfRule>
  </conditionalFormatting>
  <conditionalFormatting sqref="AG329">
    <cfRule type="cellIs" dxfId="9155" priority="10848" operator="between">
      <formula>0.76</formula>
      <formula>0.95</formula>
    </cfRule>
    <cfRule type="cellIs" dxfId="9154" priority="10849" operator="between">
      <formula>0.51</formula>
      <formula>0.75</formula>
    </cfRule>
    <cfRule type="cellIs" dxfId="9153" priority="10850" operator="greaterThan">
      <formula>1</formula>
    </cfRule>
    <cfRule type="cellIs" dxfId="9152" priority="10851" operator="between">
      <formula>0.95</formula>
      <formula>1</formula>
    </cfRule>
    <cfRule type="cellIs" dxfId="9151" priority="10852" stopIfTrue="1" operator="between">
      <formula>0</formula>
      <formula>0.5</formula>
    </cfRule>
  </conditionalFormatting>
  <conditionalFormatting sqref="J330">
    <cfRule type="cellIs" dxfId="9150" priority="10840" operator="between">
      <formula>0.76</formula>
      <formula>0.95</formula>
    </cfRule>
    <cfRule type="cellIs" dxfId="9149" priority="10841" operator="between">
      <formula>0.51</formula>
      <formula>0.75</formula>
    </cfRule>
    <cfRule type="cellIs" dxfId="9148" priority="10842" operator="greaterThan">
      <formula>1</formula>
    </cfRule>
    <cfRule type="cellIs" dxfId="9147" priority="10843" operator="between">
      <formula>0.95</formula>
      <formula>1</formula>
    </cfRule>
    <cfRule type="cellIs" dxfId="9146" priority="10844" stopIfTrue="1" operator="between">
      <formula>0</formula>
      <formula>0.5</formula>
    </cfRule>
  </conditionalFormatting>
  <conditionalFormatting sqref="I330">
    <cfRule type="cellIs" dxfId="9145" priority="10835" operator="between">
      <formula>0.76</formula>
      <formula>0.95</formula>
    </cfRule>
    <cfRule type="cellIs" dxfId="9144" priority="10836" operator="between">
      <formula>0.51</formula>
      <formula>0.75</formula>
    </cfRule>
    <cfRule type="cellIs" dxfId="9143" priority="10837" operator="greaterThan">
      <formula>1</formula>
    </cfRule>
    <cfRule type="cellIs" dxfId="9142" priority="10838" operator="between">
      <formula>0.95</formula>
      <formula>1</formula>
    </cfRule>
    <cfRule type="cellIs" dxfId="9141" priority="10839" stopIfTrue="1" operator="between">
      <formula>0</formula>
      <formula>0.5</formula>
    </cfRule>
  </conditionalFormatting>
  <conditionalFormatting sqref="Q330">
    <cfRule type="cellIs" dxfId="9140" priority="10830" operator="between">
      <formula>0.76</formula>
      <formula>0.95</formula>
    </cfRule>
    <cfRule type="cellIs" dxfId="9139" priority="10831" operator="between">
      <formula>0.51</formula>
      <formula>0.75</formula>
    </cfRule>
    <cfRule type="cellIs" dxfId="9138" priority="10832" operator="greaterThan">
      <formula>1</formula>
    </cfRule>
    <cfRule type="cellIs" dxfId="9137" priority="10833" operator="between">
      <formula>0.95</formula>
      <formula>1</formula>
    </cfRule>
    <cfRule type="cellIs" dxfId="9136" priority="10834" stopIfTrue="1" operator="between">
      <formula>0</formula>
      <formula>0.5</formula>
    </cfRule>
  </conditionalFormatting>
  <conditionalFormatting sqref="P330">
    <cfRule type="cellIs" dxfId="9135" priority="10825" operator="between">
      <formula>0.76</formula>
      <formula>0.95</formula>
    </cfRule>
    <cfRule type="cellIs" dxfId="9134" priority="10826" operator="between">
      <formula>0.51</formula>
      <formula>0.75</formula>
    </cfRule>
    <cfRule type="cellIs" dxfId="9133" priority="10827" operator="greaterThan">
      <formula>1</formula>
    </cfRule>
    <cfRule type="cellIs" dxfId="9132" priority="10828" operator="between">
      <formula>0.95</formula>
      <formula>1</formula>
    </cfRule>
    <cfRule type="cellIs" dxfId="9131" priority="10829" stopIfTrue="1" operator="between">
      <formula>0</formula>
      <formula>0.5</formula>
    </cfRule>
  </conditionalFormatting>
  <conditionalFormatting sqref="W330">
    <cfRule type="cellIs" dxfId="9130" priority="10820" operator="between">
      <formula>0.76</formula>
      <formula>0.95</formula>
    </cfRule>
    <cfRule type="cellIs" dxfId="9129" priority="10821" operator="between">
      <formula>0.51</formula>
      <formula>0.75</formula>
    </cfRule>
    <cfRule type="cellIs" dxfId="9128" priority="10822" operator="greaterThan">
      <formula>1</formula>
    </cfRule>
    <cfRule type="cellIs" dxfId="9127" priority="10823" operator="between">
      <formula>0.95</formula>
      <formula>1</formula>
    </cfRule>
    <cfRule type="cellIs" dxfId="9126" priority="10824" stopIfTrue="1" operator="between">
      <formula>0</formula>
      <formula>0.5</formula>
    </cfRule>
  </conditionalFormatting>
  <conditionalFormatting sqref="AD330">
    <cfRule type="cellIs" dxfId="9125" priority="10815" operator="between">
      <formula>0.76</formula>
      <formula>0.95</formula>
    </cfRule>
    <cfRule type="cellIs" dxfId="9124" priority="10816" operator="between">
      <formula>0.51</formula>
      <formula>0.75</formula>
    </cfRule>
    <cfRule type="cellIs" dxfId="9123" priority="10817" operator="greaterThan">
      <formula>1</formula>
    </cfRule>
    <cfRule type="cellIs" dxfId="9122" priority="10818" operator="between">
      <formula>0.95</formula>
      <formula>1</formula>
    </cfRule>
    <cfRule type="cellIs" dxfId="9121" priority="10819" stopIfTrue="1" operator="between">
      <formula>0</formula>
      <formula>0.5</formula>
    </cfRule>
  </conditionalFormatting>
  <conditionalFormatting sqref="AF330">
    <cfRule type="cellIs" dxfId="9120" priority="10805" operator="between">
      <formula>0.76</formula>
      <formula>0.95</formula>
    </cfRule>
    <cfRule type="cellIs" dxfId="9119" priority="10806" operator="between">
      <formula>0.51</formula>
      <formula>0.75</formula>
    </cfRule>
    <cfRule type="cellIs" dxfId="9118" priority="10807" operator="greaterThan">
      <formula>1</formula>
    </cfRule>
    <cfRule type="cellIs" dxfId="9117" priority="10808" operator="between">
      <formula>0.95</formula>
      <formula>1</formula>
    </cfRule>
    <cfRule type="cellIs" dxfId="9116" priority="10809" stopIfTrue="1" operator="between">
      <formula>0</formula>
      <formula>0.5</formula>
    </cfRule>
  </conditionalFormatting>
  <conditionalFormatting sqref="M330">
    <cfRule type="cellIs" dxfId="9115" priority="10791" operator="between">
      <formula>0.191</formula>
      <formula>0.24</formula>
    </cfRule>
    <cfRule type="cellIs" dxfId="9114" priority="10792" operator="between">
      <formula>0.1251</formula>
      <formula>0.19</formula>
    </cfRule>
    <cfRule type="cellIs" dxfId="9113" priority="10793" operator="greaterThan">
      <formula>0.2601</formula>
    </cfRule>
    <cfRule type="cellIs" dxfId="9112" priority="10794" operator="between">
      <formula>0.2401</formula>
      <formula>0.26</formula>
    </cfRule>
    <cfRule type="cellIs" dxfId="9111" priority="10795" stopIfTrue="1" operator="between">
      <formula>0</formula>
      <formula>0.125</formula>
    </cfRule>
  </conditionalFormatting>
  <conditionalFormatting sqref="K330">
    <cfRule type="cellIs" dxfId="9110" priority="10786" operator="between">
      <formula>0.191</formula>
      <formula>0.24</formula>
    </cfRule>
    <cfRule type="cellIs" dxfId="9109" priority="10787" operator="between">
      <formula>0.1251</formula>
      <formula>0.19</formula>
    </cfRule>
    <cfRule type="cellIs" dxfId="9108" priority="10788" operator="greaterThan">
      <formula>0.2601</formula>
    </cfRule>
    <cfRule type="cellIs" dxfId="9107" priority="10789" operator="between">
      <formula>0.2401</formula>
      <formula>0.26</formula>
    </cfRule>
    <cfRule type="cellIs" dxfId="9106" priority="10790" stopIfTrue="1" operator="between">
      <formula>0</formula>
      <formula>0.125</formula>
    </cfRule>
  </conditionalFormatting>
  <conditionalFormatting sqref="R330">
    <cfRule type="cellIs" dxfId="9105" priority="10781" operator="between">
      <formula>0.3751</formula>
      <formula>0.475</formula>
    </cfRule>
    <cfRule type="cellIs" dxfId="9104" priority="10782" operator="between">
      <formula>0.2551</formula>
      <formula>0.375</formula>
    </cfRule>
    <cfRule type="cellIs" dxfId="9103" priority="10783" operator="greaterThan">
      <formula>0.505</formula>
    </cfRule>
    <cfRule type="cellIs" dxfId="9102" priority="10784" operator="between">
      <formula>0.48</formula>
      <formula>0.5</formula>
    </cfRule>
    <cfRule type="cellIs" dxfId="9101" priority="10785" stopIfTrue="1" operator="between">
      <formula>0</formula>
      <formula>0.255</formula>
    </cfRule>
  </conditionalFormatting>
  <conditionalFormatting sqref="T330">
    <cfRule type="cellIs" dxfId="9100" priority="10776" operator="between">
      <formula>0.376</formula>
      <formula>0.475</formula>
    </cfRule>
    <cfRule type="cellIs" dxfId="9099" priority="10777" operator="between">
      <formula>0.2551</formula>
      <formula>0.3751</formula>
    </cfRule>
    <cfRule type="cellIs" dxfId="9098" priority="10778" operator="greaterThan">
      <formula>0.505</formula>
    </cfRule>
    <cfRule type="cellIs" dxfId="9097" priority="10779" operator="between">
      <formula>0.48</formula>
      <formula>0.5</formula>
    </cfRule>
    <cfRule type="cellIs" dxfId="9096" priority="10780" stopIfTrue="1" operator="between">
      <formula>0</formula>
      <formula>0.255</formula>
    </cfRule>
  </conditionalFormatting>
  <conditionalFormatting sqref="X330">
    <cfRule type="cellIs" dxfId="9095" priority="10771" operator="between">
      <formula>0.76</formula>
      <formula>0.95</formula>
    </cfRule>
    <cfRule type="cellIs" dxfId="9094" priority="10772" operator="between">
      <formula>0.51</formula>
      <formula>0.75</formula>
    </cfRule>
    <cfRule type="cellIs" dxfId="9093" priority="10773" operator="greaterThan">
      <formula>1</formula>
    </cfRule>
    <cfRule type="cellIs" dxfId="9092" priority="10774" operator="between">
      <formula>0.95</formula>
      <formula>1</formula>
    </cfRule>
    <cfRule type="cellIs" dxfId="9091" priority="10775" stopIfTrue="1" operator="between">
      <formula>0</formula>
      <formula>0.5</formula>
    </cfRule>
  </conditionalFormatting>
  <conditionalFormatting sqref="AG330">
    <cfRule type="cellIs" dxfId="9090" priority="10756" operator="between">
      <formula>0.76</formula>
      <formula>0.95</formula>
    </cfRule>
    <cfRule type="cellIs" dxfId="9089" priority="10757" operator="between">
      <formula>0.51</formula>
      <formula>0.75</formula>
    </cfRule>
    <cfRule type="cellIs" dxfId="9088" priority="10758" operator="greaterThan">
      <formula>1</formula>
    </cfRule>
    <cfRule type="cellIs" dxfId="9087" priority="10759" operator="between">
      <formula>0.95</formula>
      <formula>1</formula>
    </cfRule>
    <cfRule type="cellIs" dxfId="9086" priority="10760" stopIfTrue="1" operator="between">
      <formula>0</formula>
      <formula>0.5</formula>
    </cfRule>
  </conditionalFormatting>
  <conditionalFormatting sqref="X153 AE153 AG153 Q153 J153">
    <cfRule type="cellIs" dxfId="9085" priority="10739" operator="between">
      <formula>0.76</formula>
      <formula>0.95</formula>
    </cfRule>
    <cfRule type="cellIs" dxfId="9084" priority="10740" operator="between">
      <formula>0.51</formula>
      <formula>0.75</formula>
    </cfRule>
    <cfRule type="cellIs" dxfId="9083" priority="10741" operator="greaterThan">
      <formula>1</formula>
    </cfRule>
    <cfRule type="cellIs" dxfId="9082" priority="10742" operator="between">
      <formula>0.95</formula>
      <formula>1</formula>
    </cfRule>
    <cfRule type="cellIs" dxfId="9081" priority="10743" stopIfTrue="1" operator="between">
      <formula>0</formula>
      <formula>0.5</formula>
    </cfRule>
  </conditionalFormatting>
  <conditionalFormatting sqref="I153">
    <cfRule type="cellIs" dxfId="9080" priority="10734" operator="between">
      <formula>0.76</formula>
      <formula>0.95</formula>
    </cfRule>
    <cfRule type="cellIs" dxfId="9079" priority="10735" operator="between">
      <formula>0.51</formula>
      <formula>0.75</formula>
    </cfRule>
    <cfRule type="cellIs" dxfId="9078" priority="10736" operator="greaterThan">
      <formula>1</formula>
    </cfRule>
    <cfRule type="cellIs" dxfId="9077" priority="10737" operator="between">
      <formula>0.95</formula>
      <formula>1</formula>
    </cfRule>
    <cfRule type="cellIs" dxfId="9076" priority="10738" stopIfTrue="1" operator="between">
      <formula>0</formula>
      <formula>0.5</formula>
    </cfRule>
  </conditionalFormatting>
  <conditionalFormatting sqref="P153">
    <cfRule type="cellIs" dxfId="9075" priority="10729" operator="between">
      <formula>0.76</formula>
      <formula>0.95</formula>
    </cfRule>
    <cfRule type="cellIs" dxfId="9074" priority="10730" operator="between">
      <formula>0.51</formula>
      <formula>0.75</formula>
    </cfRule>
    <cfRule type="cellIs" dxfId="9073" priority="10731" operator="greaterThan">
      <formula>1</formula>
    </cfRule>
    <cfRule type="cellIs" dxfId="9072" priority="10732" operator="between">
      <formula>0.95</formula>
      <formula>1</formula>
    </cfRule>
    <cfRule type="cellIs" dxfId="9071" priority="10733" stopIfTrue="1" operator="between">
      <formula>0</formula>
      <formula>0.5</formula>
    </cfRule>
  </conditionalFormatting>
  <conditionalFormatting sqref="W153">
    <cfRule type="cellIs" dxfId="9070" priority="10724" operator="between">
      <formula>0.76</formula>
      <formula>0.95</formula>
    </cfRule>
    <cfRule type="cellIs" dxfId="9069" priority="10725" operator="between">
      <formula>0.51</formula>
      <formula>0.75</formula>
    </cfRule>
    <cfRule type="cellIs" dxfId="9068" priority="10726" operator="greaterThan">
      <formula>1</formula>
    </cfRule>
    <cfRule type="cellIs" dxfId="9067" priority="10727" operator="between">
      <formula>0.95</formula>
      <formula>1</formula>
    </cfRule>
    <cfRule type="cellIs" dxfId="9066" priority="10728" stopIfTrue="1" operator="between">
      <formula>0</formula>
      <formula>0.5</formula>
    </cfRule>
  </conditionalFormatting>
  <conditionalFormatting sqref="AD153">
    <cfRule type="cellIs" dxfId="9065" priority="10719" operator="between">
      <formula>0.76</formula>
      <formula>0.95</formula>
    </cfRule>
    <cfRule type="cellIs" dxfId="9064" priority="10720" operator="between">
      <formula>0.51</formula>
      <formula>0.75</formula>
    </cfRule>
    <cfRule type="cellIs" dxfId="9063" priority="10721" operator="greaterThan">
      <formula>1</formula>
    </cfRule>
    <cfRule type="cellIs" dxfId="9062" priority="10722" operator="between">
      <formula>0.95</formula>
      <formula>1</formula>
    </cfRule>
    <cfRule type="cellIs" dxfId="9061" priority="10723" stopIfTrue="1" operator="between">
      <formula>0</formula>
      <formula>0.5</formula>
    </cfRule>
  </conditionalFormatting>
  <conditionalFormatting sqref="AF153">
    <cfRule type="cellIs" dxfId="9060" priority="10709" operator="between">
      <formula>0.76</formula>
      <formula>0.95</formula>
    </cfRule>
    <cfRule type="cellIs" dxfId="9059" priority="10710" operator="between">
      <formula>0.51</formula>
      <formula>0.75</formula>
    </cfRule>
    <cfRule type="cellIs" dxfId="9058" priority="10711" operator="greaterThan">
      <formula>1</formula>
    </cfRule>
    <cfRule type="cellIs" dxfId="9057" priority="10712" operator="between">
      <formula>0.95</formula>
      <formula>1</formula>
    </cfRule>
    <cfRule type="cellIs" dxfId="9056" priority="10713" stopIfTrue="1" operator="between">
      <formula>0</formula>
      <formula>0.5</formula>
    </cfRule>
  </conditionalFormatting>
  <conditionalFormatting sqref="M153">
    <cfRule type="cellIs" dxfId="9055" priority="10704" operator="between">
      <formula>0.191</formula>
      <formula>0.24</formula>
    </cfRule>
    <cfRule type="cellIs" dxfId="9054" priority="10705" operator="between">
      <formula>0.1251</formula>
      <formula>0.19</formula>
    </cfRule>
    <cfRule type="cellIs" dxfId="9053" priority="10706" operator="greaterThan">
      <formula>0.2601</formula>
    </cfRule>
    <cfRule type="cellIs" dxfId="9052" priority="10707" operator="between">
      <formula>0.2401</formula>
      <formula>0.26</formula>
    </cfRule>
    <cfRule type="cellIs" dxfId="9051" priority="10708" stopIfTrue="1" operator="between">
      <formula>0</formula>
      <formula>0.125</formula>
    </cfRule>
  </conditionalFormatting>
  <conditionalFormatting sqref="K153">
    <cfRule type="cellIs" dxfId="9050" priority="10699" operator="between">
      <formula>0.191</formula>
      <formula>0.24</formula>
    </cfRule>
    <cfRule type="cellIs" dxfId="9049" priority="10700" operator="between">
      <formula>0.1251</formula>
      <formula>0.19</formula>
    </cfRule>
    <cfRule type="cellIs" dxfId="9048" priority="10701" operator="greaterThan">
      <formula>0.2601</formula>
    </cfRule>
    <cfRule type="cellIs" dxfId="9047" priority="10702" operator="between">
      <formula>0.2401</formula>
      <formula>0.26</formula>
    </cfRule>
    <cfRule type="cellIs" dxfId="9046" priority="10703" stopIfTrue="1" operator="between">
      <formula>0</formula>
      <formula>0.125</formula>
    </cfRule>
  </conditionalFormatting>
  <conditionalFormatting sqref="R153">
    <cfRule type="cellIs" dxfId="9045" priority="10694" operator="between">
      <formula>0.3751</formula>
      <formula>0.475</formula>
    </cfRule>
    <cfRule type="cellIs" dxfId="9044" priority="10695" operator="between">
      <formula>0.2551</formula>
      <formula>0.375</formula>
    </cfRule>
    <cfRule type="cellIs" dxfId="9043" priority="10696" operator="greaterThan">
      <formula>0.505</formula>
    </cfRule>
    <cfRule type="cellIs" dxfId="9042" priority="10697" operator="between">
      <formula>0.48</formula>
      <formula>0.5</formula>
    </cfRule>
    <cfRule type="cellIs" dxfId="9041" priority="10698" stopIfTrue="1" operator="between">
      <formula>0</formula>
      <formula>0.255</formula>
    </cfRule>
  </conditionalFormatting>
  <conditionalFormatting sqref="T153">
    <cfRule type="cellIs" dxfId="9040" priority="10689" operator="between">
      <formula>0.376</formula>
      <formula>0.475</formula>
    </cfRule>
    <cfRule type="cellIs" dxfId="9039" priority="10690" operator="between">
      <formula>0.2551</formula>
      <formula>0.3751</formula>
    </cfRule>
    <cfRule type="cellIs" dxfId="9038" priority="10691" operator="greaterThan">
      <formula>0.505</formula>
    </cfRule>
    <cfRule type="cellIs" dxfId="9037" priority="10692" operator="between">
      <formula>0.48</formula>
      <formula>0.5</formula>
    </cfRule>
    <cfRule type="cellIs" dxfId="9036" priority="10693" stopIfTrue="1" operator="between">
      <formula>0</formula>
      <formula>0.255</formula>
    </cfRule>
  </conditionalFormatting>
  <conditionalFormatting sqref="J309:J312">
    <cfRule type="cellIs" dxfId="9035" priority="10681" operator="between">
      <formula>0.76</formula>
      <formula>0.95</formula>
    </cfRule>
    <cfRule type="cellIs" dxfId="9034" priority="10682" operator="between">
      <formula>0.51</formula>
      <formula>0.75</formula>
    </cfRule>
    <cfRule type="cellIs" dxfId="9033" priority="10683" operator="greaterThan">
      <formula>1</formula>
    </cfRule>
    <cfRule type="cellIs" dxfId="9032" priority="10684" operator="between">
      <formula>0.95</formula>
      <formula>1</formula>
    </cfRule>
    <cfRule type="cellIs" dxfId="9031" priority="10685" stopIfTrue="1" operator="between">
      <formula>0</formula>
      <formula>0.5</formula>
    </cfRule>
  </conditionalFormatting>
  <conditionalFormatting sqref="I309:I312">
    <cfRule type="cellIs" dxfId="9030" priority="10676" operator="between">
      <formula>0.76</formula>
      <formula>0.95</formula>
    </cfRule>
    <cfRule type="cellIs" dxfId="9029" priority="10677" operator="between">
      <formula>0.51</formula>
      <formula>0.75</formula>
    </cfRule>
    <cfRule type="cellIs" dxfId="9028" priority="10678" operator="greaterThan">
      <formula>1</formula>
    </cfRule>
    <cfRule type="cellIs" dxfId="9027" priority="10679" operator="between">
      <formula>0.95</formula>
      <formula>1</formula>
    </cfRule>
    <cfRule type="cellIs" dxfId="9026" priority="10680" stopIfTrue="1" operator="between">
      <formula>0</formula>
      <formula>0.5</formula>
    </cfRule>
  </conditionalFormatting>
  <conditionalFormatting sqref="Q309:Q312">
    <cfRule type="cellIs" dxfId="9025" priority="10671" operator="between">
      <formula>0.76</formula>
      <formula>0.95</formula>
    </cfRule>
    <cfRule type="cellIs" dxfId="9024" priority="10672" operator="between">
      <formula>0.51</formula>
      <formula>0.75</formula>
    </cfRule>
    <cfRule type="cellIs" dxfId="9023" priority="10673" operator="greaterThan">
      <formula>1</formula>
    </cfRule>
    <cfRule type="cellIs" dxfId="9022" priority="10674" operator="between">
      <formula>0.95</formula>
      <formula>1</formula>
    </cfRule>
    <cfRule type="cellIs" dxfId="9021" priority="10675" stopIfTrue="1" operator="between">
      <formula>0</formula>
      <formula>0.5</formula>
    </cfRule>
  </conditionalFormatting>
  <conditionalFormatting sqref="P309:P312">
    <cfRule type="cellIs" dxfId="9020" priority="10666" operator="between">
      <formula>0.76</formula>
      <formula>0.95</formula>
    </cfRule>
    <cfRule type="cellIs" dxfId="9019" priority="10667" operator="between">
      <formula>0.51</formula>
      <formula>0.75</formula>
    </cfRule>
    <cfRule type="cellIs" dxfId="9018" priority="10668" operator="greaterThan">
      <formula>1</formula>
    </cfRule>
    <cfRule type="cellIs" dxfId="9017" priority="10669" operator="between">
      <formula>0.95</formula>
      <formula>1</formula>
    </cfRule>
    <cfRule type="cellIs" dxfId="9016" priority="10670" stopIfTrue="1" operator="between">
      <formula>0</formula>
      <formula>0.5</formula>
    </cfRule>
  </conditionalFormatting>
  <conditionalFormatting sqref="W309:W312">
    <cfRule type="cellIs" dxfId="9015" priority="10661" operator="between">
      <formula>0.76</formula>
      <formula>0.95</formula>
    </cfRule>
    <cfRule type="cellIs" dxfId="9014" priority="10662" operator="between">
      <formula>0.51</formula>
      <formula>0.75</formula>
    </cfRule>
    <cfRule type="cellIs" dxfId="9013" priority="10663" operator="greaterThan">
      <formula>1</formula>
    </cfRule>
    <cfRule type="cellIs" dxfId="9012" priority="10664" operator="between">
      <formula>0.95</formula>
      <formula>1</formula>
    </cfRule>
    <cfRule type="cellIs" dxfId="9011" priority="10665" stopIfTrue="1" operator="between">
      <formula>0</formula>
      <formula>0.5</formula>
    </cfRule>
  </conditionalFormatting>
  <conditionalFormatting sqref="AD309:AD312">
    <cfRule type="cellIs" dxfId="9010" priority="10656" operator="between">
      <formula>0.76</formula>
      <formula>0.95</formula>
    </cfRule>
    <cfRule type="cellIs" dxfId="9009" priority="10657" operator="between">
      <formula>0.51</formula>
      <formula>0.75</formula>
    </cfRule>
    <cfRule type="cellIs" dxfId="9008" priority="10658" operator="greaterThan">
      <formula>1</formula>
    </cfRule>
    <cfRule type="cellIs" dxfId="9007" priority="10659" operator="between">
      <formula>0.95</formula>
      <formula>1</formula>
    </cfRule>
    <cfRule type="cellIs" dxfId="9006" priority="10660" stopIfTrue="1" operator="between">
      <formula>0</formula>
      <formula>0.5</formula>
    </cfRule>
  </conditionalFormatting>
  <conditionalFormatting sqref="AF309:AF312">
    <cfRule type="cellIs" dxfId="9005" priority="10646" operator="between">
      <formula>0.76</formula>
      <formula>0.95</formula>
    </cfRule>
    <cfRule type="cellIs" dxfId="9004" priority="10647" operator="between">
      <formula>0.51</formula>
      <formula>0.75</formula>
    </cfRule>
    <cfRule type="cellIs" dxfId="9003" priority="10648" operator="greaterThan">
      <formula>1</formula>
    </cfRule>
    <cfRule type="cellIs" dxfId="9002" priority="10649" operator="between">
      <formula>0.95</formula>
      <formula>1</formula>
    </cfRule>
    <cfRule type="cellIs" dxfId="9001" priority="10650" stopIfTrue="1" operator="between">
      <formula>0</formula>
      <formula>0.5</formula>
    </cfRule>
  </conditionalFormatting>
  <conditionalFormatting sqref="L309:L321">
    <cfRule type="cellIs" dxfId="9000" priority="10632" operator="between">
      <formula>0.191</formula>
      <formula>0.24</formula>
    </cfRule>
    <cfRule type="cellIs" dxfId="8999" priority="10633" operator="between">
      <formula>0.1251</formula>
      <formula>0.19</formula>
    </cfRule>
    <cfRule type="cellIs" dxfId="8998" priority="10634" operator="greaterThan">
      <formula>0.2601</formula>
    </cfRule>
    <cfRule type="cellIs" dxfId="8997" priority="10635" operator="between">
      <formula>0.2401</formula>
      <formula>0.26</formula>
    </cfRule>
    <cfRule type="cellIs" dxfId="8996" priority="10636" stopIfTrue="1" operator="between">
      <formula>0</formula>
      <formula>0.125</formula>
    </cfRule>
  </conditionalFormatting>
  <conditionalFormatting sqref="K309:K312">
    <cfRule type="cellIs" dxfId="8995" priority="10627" operator="between">
      <formula>0.191</formula>
      <formula>0.24</formula>
    </cfRule>
    <cfRule type="cellIs" dxfId="8994" priority="10628" operator="between">
      <formula>0.1251</formula>
      <formula>0.19</formula>
    </cfRule>
    <cfRule type="cellIs" dxfId="8993" priority="10629" operator="greaterThan">
      <formula>0.2601</formula>
    </cfRule>
    <cfRule type="cellIs" dxfId="8992" priority="10630" operator="between">
      <formula>0.2401</formula>
      <formula>0.26</formula>
    </cfRule>
    <cfRule type="cellIs" dxfId="8991" priority="10631" stopIfTrue="1" operator="between">
      <formula>0</formula>
      <formula>0.125</formula>
    </cfRule>
  </conditionalFormatting>
  <conditionalFormatting sqref="R309:R312">
    <cfRule type="cellIs" dxfId="8990" priority="10622" operator="between">
      <formula>0.3751</formula>
      <formula>0.475</formula>
    </cfRule>
    <cfRule type="cellIs" dxfId="8989" priority="10623" operator="between">
      <formula>0.2551</formula>
      <formula>0.375</formula>
    </cfRule>
    <cfRule type="cellIs" dxfId="8988" priority="10624" operator="greaterThan">
      <formula>0.505</formula>
    </cfRule>
    <cfRule type="cellIs" dxfId="8987" priority="10625" operator="between">
      <formula>0.48</formula>
      <formula>0.5</formula>
    </cfRule>
    <cfRule type="cellIs" dxfId="8986" priority="10626" stopIfTrue="1" operator="between">
      <formula>0</formula>
      <formula>0.255</formula>
    </cfRule>
  </conditionalFormatting>
  <conditionalFormatting sqref="S309:T309 T310:T312 S310:S331">
    <cfRule type="cellIs" dxfId="8985" priority="10617" operator="between">
      <formula>0.376</formula>
      <formula>0.475</formula>
    </cfRule>
    <cfRule type="cellIs" dxfId="8984" priority="10618" operator="between">
      <formula>0.2551</formula>
      <formula>0.3751</formula>
    </cfRule>
    <cfRule type="cellIs" dxfId="8983" priority="10619" operator="greaterThan">
      <formula>0.505</formula>
    </cfRule>
    <cfRule type="cellIs" dxfId="8982" priority="10620" operator="between">
      <formula>0.48</formula>
      <formula>0.5</formula>
    </cfRule>
    <cfRule type="cellIs" dxfId="8981" priority="10621" stopIfTrue="1" operator="between">
      <formula>0</formula>
      <formula>0.255</formula>
    </cfRule>
  </conditionalFormatting>
  <conditionalFormatting sqref="X309:X312">
    <cfRule type="cellIs" dxfId="8980" priority="10612" operator="between">
      <formula>0.76</formula>
      <formula>0.95</formula>
    </cfRule>
    <cfRule type="cellIs" dxfId="8979" priority="10613" operator="between">
      <formula>0.51</formula>
      <formula>0.75</formula>
    </cfRule>
    <cfRule type="cellIs" dxfId="8978" priority="10614" operator="greaterThan">
      <formula>1</formula>
    </cfRule>
    <cfRule type="cellIs" dxfId="8977" priority="10615" operator="between">
      <formula>0.95</formula>
      <formula>1</formula>
    </cfRule>
    <cfRule type="cellIs" dxfId="8976" priority="10616" stopIfTrue="1" operator="between">
      <formula>0</formula>
      <formula>0.5</formula>
    </cfRule>
  </conditionalFormatting>
  <conditionalFormatting sqref="AE309:AE312">
    <cfRule type="cellIs" dxfId="8975" priority="10602" operator="between">
      <formula>0.76</formula>
      <formula>0.95</formula>
    </cfRule>
    <cfRule type="cellIs" dxfId="8974" priority="10603" operator="between">
      <formula>0.51</formula>
      <formula>0.75</formula>
    </cfRule>
    <cfRule type="cellIs" dxfId="8973" priority="10604" operator="greaterThan">
      <formula>1</formula>
    </cfRule>
    <cfRule type="cellIs" dxfId="8972" priority="10605" operator="between">
      <formula>0.95</formula>
      <formula>1</formula>
    </cfRule>
    <cfRule type="cellIs" dxfId="8971" priority="10606" stopIfTrue="1" operator="between">
      <formula>0</formula>
      <formula>0.5</formula>
    </cfRule>
  </conditionalFormatting>
  <conditionalFormatting sqref="AG309:AG312">
    <cfRule type="cellIs" dxfId="8970" priority="10597" operator="between">
      <formula>0.76</formula>
      <formula>0.95</formula>
    </cfRule>
    <cfRule type="cellIs" dxfId="8969" priority="10598" operator="between">
      <formula>0.51</formula>
      <formula>0.75</formula>
    </cfRule>
    <cfRule type="cellIs" dxfId="8968" priority="10599" operator="greaterThan">
      <formula>1</formula>
    </cfRule>
    <cfRule type="cellIs" dxfId="8967" priority="10600" operator="between">
      <formula>0.95</formula>
      <formula>1</formula>
    </cfRule>
    <cfRule type="cellIs" dxfId="8966" priority="10601" stopIfTrue="1" operator="between">
      <formula>0</formula>
      <formula>0.5</formula>
    </cfRule>
  </conditionalFormatting>
  <conditionalFormatting sqref="J313">
    <cfRule type="cellIs" dxfId="8965" priority="10580" operator="between">
      <formula>0.76</formula>
      <formula>0.95</formula>
    </cfRule>
    <cfRule type="cellIs" dxfId="8964" priority="10581" operator="between">
      <formula>0.51</formula>
      <formula>0.75</formula>
    </cfRule>
    <cfRule type="cellIs" dxfId="8963" priority="10582" operator="greaterThan">
      <formula>1</formula>
    </cfRule>
    <cfRule type="cellIs" dxfId="8962" priority="10583" operator="between">
      <formula>0.95</formula>
      <formula>1</formula>
    </cfRule>
    <cfRule type="cellIs" dxfId="8961" priority="10584" stopIfTrue="1" operator="between">
      <formula>0</formula>
      <formula>0.5</formula>
    </cfRule>
  </conditionalFormatting>
  <conditionalFormatting sqref="I313">
    <cfRule type="cellIs" dxfId="8960" priority="10575" operator="between">
      <formula>0.76</formula>
      <formula>0.95</formula>
    </cfRule>
    <cfRule type="cellIs" dxfId="8959" priority="10576" operator="between">
      <formula>0.51</formula>
      <formula>0.75</formula>
    </cfRule>
    <cfRule type="cellIs" dxfId="8958" priority="10577" operator="greaterThan">
      <formula>1</formula>
    </cfRule>
    <cfRule type="cellIs" dxfId="8957" priority="10578" operator="between">
      <formula>0.95</formula>
      <formula>1</formula>
    </cfRule>
    <cfRule type="cellIs" dxfId="8956" priority="10579" stopIfTrue="1" operator="between">
      <formula>0</formula>
      <formula>0.5</formula>
    </cfRule>
  </conditionalFormatting>
  <conditionalFormatting sqref="P313">
    <cfRule type="cellIs" dxfId="8955" priority="10565" operator="between">
      <formula>0.76</formula>
      <formula>0.95</formula>
    </cfRule>
    <cfRule type="cellIs" dxfId="8954" priority="10566" operator="between">
      <formula>0.51</formula>
      <formula>0.75</formula>
    </cfRule>
    <cfRule type="cellIs" dxfId="8953" priority="10567" operator="greaterThan">
      <formula>1</formula>
    </cfRule>
    <cfRule type="cellIs" dxfId="8952" priority="10568" operator="between">
      <formula>0.95</formula>
      <formula>1</formula>
    </cfRule>
    <cfRule type="cellIs" dxfId="8951" priority="10569" stopIfTrue="1" operator="between">
      <formula>0</formula>
      <formula>0.5</formula>
    </cfRule>
  </conditionalFormatting>
  <conditionalFormatting sqref="W313">
    <cfRule type="cellIs" dxfId="8950" priority="10560" operator="between">
      <formula>0.76</formula>
      <formula>0.95</formula>
    </cfRule>
    <cfRule type="cellIs" dxfId="8949" priority="10561" operator="between">
      <formula>0.51</formula>
      <formula>0.75</formula>
    </cfRule>
    <cfRule type="cellIs" dxfId="8948" priority="10562" operator="greaterThan">
      <formula>1</formula>
    </cfRule>
    <cfRule type="cellIs" dxfId="8947" priority="10563" operator="between">
      <formula>0.95</formula>
      <formula>1</formula>
    </cfRule>
    <cfRule type="cellIs" dxfId="8946" priority="10564" stopIfTrue="1" operator="between">
      <formula>0</formula>
      <formula>0.5</formula>
    </cfRule>
  </conditionalFormatting>
  <conditionalFormatting sqref="AD313">
    <cfRule type="cellIs" dxfId="8945" priority="10555" operator="between">
      <formula>0.76</formula>
      <formula>0.95</formula>
    </cfRule>
    <cfRule type="cellIs" dxfId="8944" priority="10556" operator="between">
      <formula>0.51</formula>
      <formula>0.75</formula>
    </cfRule>
    <cfRule type="cellIs" dxfId="8943" priority="10557" operator="greaterThan">
      <formula>1</formula>
    </cfRule>
    <cfRule type="cellIs" dxfId="8942" priority="10558" operator="between">
      <formula>0.95</formula>
      <formula>1</formula>
    </cfRule>
    <cfRule type="cellIs" dxfId="8941" priority="10559" stopIfTrue="1" operator="between">
      <formula>0</formula>
      <formula>0.5</formula>
    </cfRule>
  </conditionalFormatting>
  <conditionalFormatting sqref="AF313">
    <cfRule type="cellIs" dxfId="8940" priority="10545" operator="between">
      <formula>0.76</formula>
      <formula>0.95</formula>
    </cfRule>
    <cfRule type="cellIs" dxfId="8939" priority="10546" operator="between">
      <formula>0.51</formula>
      <formula>0.75</formula>
    </cfRule>
    <cfRule type="cellIs" dxfId="8938" priority="10547" operator="greaterThan">
      <formula>1</formula>
    </cfRule>
    <cfRule type="cellIs" dxfId="8937" priority="10548" operator="between">
      <formula>0.95</formula>
      <formula>1</formula>
    </cfRule>
    <cfRule type="cellIs" dxfId="8936" priority="10549" stopIfTrue="1" operator="between">
      <formula>0</formula>
      <formula>0.5</formula>
    </cfRule>
  </conditionalFormatting>
  <conditionalFormatting sqref="K313">
    <cfRule type="cellIs" dxfId="8935" priority="10535" operator="between">
      <formula>0.191</formula>
      <formula>0.24</formula>
    </cfRule>
    <cfRule type="cellIs" dxfId="8934" priority="10536" operator="between">
      <formula>0.1251</formula>
      <formula>0.19</formula>
    </cfRule>
    <cfRule type="cellIs" dxfId="8933" priority="10537" operator="greaterThan">
      <formula>0.2601</formula>
    </cfRule>
    <cfRule type="cellIs" dxfId="8932" priority="10538" operator="between">
      <formula>0.2401</formula>
      <formula>0.26</formula>
    </cfRule>
    <cfRule type="cellIs" dxfId="8931" priority="10539" stopIfTrue="1" operator="between">
      <formula>0</formula>
      <formula>0.125</formula>
    </cfRule>
  </conditionalFormatting>
  <conditionalFormatting sqref="R313">
    <cfRule type="cellIs" dxfId="8930" priority="10530" operator="between">
      <formula>0.3751</formula>
      <formula>0.475</formula>
    </cfRule>
    <cfRule type="cellIs" dxfId="8929" priority="10531" operator="between">
      <formula>0.2551</formula>
      <formula>0.375</formula>
    </cfRule>
    <cfRule type="cellIs" dxfId="8928" priority="10532" operator="greaterThan">
      <formula>0.505</formula>
    </cfRule>
    <cfRule type="cellIs" dxfId="8927" priority="10533" operator="between">
      <formula>0.48</formula>
      <formula>0.5</formula>
    </cfRule>
    <cfRule type="cellIs" dxfId="8926" priority="10534" stopIfTrue="1" operator="between">
      <formula>0</formula>
      <formula>0.255</formula>
    </cfRule>
  </conditionalFormatting>
  <conditionalFormatting sqref="T313">
    <cfRule type="cellIs" dxfId="8925" priority="10525" operator="between">
      <formula>0.376</formula>
      <formula>0.475</formula>
    </cfRule>
    <cfRule type="cellIs" dxfId="8924" priority="10526" operator="between">
      <formula>0.2551</formula>
      <formula>0.3751</formula>
    </cfRule>
    <cfRule type="cellIs" dxfId="8923" priority="10527" operator="greaterThan">
      <formula>0.505</formula>
    </cfRule>
    <cfRule type="cellIs" dxfId="8922" priority="10528" operator="between">
      <formula>0.48</formula>
      <formula>0.5</formula>
    </cfRule>
    <cfRule type="cellIs" dxfId="8921" priority="10529" stopIfTrue="1" operator="between">
      <formula>0</formula>
      <formula>0.255</formula>
    </cfRule>
  </conditionalFormatting>
  <conditionalFormatting sqref="Q314:Q319">
    <cfRule type="cellIs" dxfId="8920" priority="10393" operator="between">
      <formula>0.76</formula>
      <formula>0.95</formula>
    </cfRule>
    <cfRule type="cellIs" dxfId="8919" priority="10394" operator="between">
      <formula>0.51</formula>
      <formula>0.75</formula>
    </cfRule>
    <cfRule type="cellIs" dxfId="8918" priority="10395" operator="greaterThan">
      <formula>1</formula>
    </cfRule>
    <cfRule type="cellIs" dxfId="8917" priority="10396" operator="between">
      <formula>0.95</formula>
      <formula>1</formula>
    </cfRule>
    <cfRule type="cellIs" dxfId="8916" priority="10397" stopIfTrue="1" operator="between">
      <formula>0</formula>
      <formula>0.5</formula>
    </cfRule>
  </conditionalFormatting>
  <conditionalFormatting sqref="X315">
    <cfRule type="cellIs" dxfId="8915" priority="10388" operator="between">
      <formula>0.76</formula>
      <formula>0.95</formula>
    </cfRule>
    <cfRule type="cellIs" dxfId="8914" priority="10389" operator="between">
      <formula>0.51</formula>
      <formula>0.75</formula>
    </cfRule>
    <cfRule type="cellIs" dxfId="8913" priority="10390" operator="greaterThan">
      <formula>1</formula>
    </cfRule>
    <cfRule type="cellIs" dxfId="8912" priority="10391" operator="between">
      <formula>0.95</formula>
      <formula>1</formula>
    </cfRule>
    <cfRule type="cellIs" dxfId="8911" priority="10392" stopIfTrue="1" operator="between">
      <formula>0</formula>
      <formula>0.5</formula>
    </cfRule>
  </conditionalFormatting>
  <conditionalFormatting sqref="AG313">
    <cfRule type="cellIs" dxfId="8910" priority="10505" operator="between">
      <formula>0.76</formula>
      <formula>0.95</formula>
    </cfRule>
    <cfRule type="cellIs" dxfId="8909" priority="10506" operator="between">
      <formula>0.51</formula>
      <formula>0.75</formula>
    </cfRule>
    <cfRule type="cellIs" dxfId="8908" priority="10507" operator="greaterThan">
      <formula>1</formula>
    </cfRule>
    <cfRule type="cellIs" dxfId="8907" priority="10508" operator="between">
      <formula>0.95</formula>
      <formula>1</formula>
    </cfRule>
    <cfRule type="cellIs" dxfId="8906" priority="10509" stopIfTrue="1" operator="between">
      <formula>0</formula>
      <formula>0.5</formula>
    </cfRule>
  </conditionalFormatting>
  <conditionalFormatting sqref="Q313">
    <cfRule type="cellIs" dxfId="8905" priority="10500" operator="between">
      <formula>0.76</formula>
      <formula>0.95</formula>
    </cfRule>
    <cfRule type="cellIs" dxfId="8904" priority="10501" operator="between">
      <formula>0.51</formula>
      <formula>0.75</formula>
    </cfRule>
    <cfRule type="cellIs" dxfId="8903" priority="10502" operator="greaterThan">
      <formula>1</formula>
    </cfRule>
    <cfRule type="cellIs" dxfId="8902" priority="10503" operator="between">
      <formula>0.95</formula>
      <formula>1</formula>
    </cfRule>
    <cfRule type="cellIs" dxfId="8901" priority="10504" stopIfTrue="1" operator="between">
      <formula>0</formula>
      <formula>0.5</formula>
    </cfRule>
  </conditionalFormatting>
  <conditionalFormatting sqref="X313">
    <cfRule type="cellIs" dxfId="8900" priority="10495" operator="between">
      <formula>0.76</formula>
      <formula>0.95</formula>
    </cfRule>
    <cfRule type="cellIs" dxfId="8899" priority="10496" operator="between">
      <formula>0.51</formula>
      <formula>0.75</formula>
    </cfRule>
    <cfRule type="cellIs" dxfId="8898" priority="10497" operator="greaterThan">
      <formula>1</formula>
    </cfRule>
    <cfRule type="cellIs" dxfId="8897" priority="10498" operator="between">
      <formula>0.95</formula>
      <formula>1</formula>
    </cfRule>
    <cfRule type="cellIs" dxfId="8896" priority="10499" stopIfTrue="1" operator="between">
      <formula>0</formula>
      <formula>0.5</formula>
    </cfRule>
  </conditionalFormatting>
  <conditionalFormatting sqref="AE313">
    <cfRule type="cellIs" dxfId="8895" priority="10490" operator="between">
      <formula>0.76</formula>
      <formula>0.95</formula>
    </cfRule>
    <cfRule type="cellIs" dxfId="8894" priority="10491" operator="between">
      <formula>0.51</formula>
      <formula>0.75</formula>
    </cfRule>
    <cfRule type="cellIs" dxfId="8893" priority="10492" operator="greaterThan">
      <formula>1</formula>
    </cfRule>
    <cfRule type="cellIs" dxfId="8892" priority="10493" operator="between">
      <formula>0.95</formula>
      <formula>1</formula>
    </cfRule>
    <cfRule type="cellIs" dxfId="8891" priority="10494" stopIfTrue="1" operator="between">
      <formula>0</formula>
      <formula>0.5</formula>
    </cfRule>
  </conditionalFormatting>
  <conditionalFormatting sqref="J314:J319">
    <cfRule type="cellIs" dxfId="8890" priority="10473" operator="between">
      <formula>0.76</formula>
      <formula>0.95</formula>
    </cfRule>
    <cfRule type="cellIs" dxfId="8889" priority="10474" operator="between">
      <formula>0.51</formula>
      <formula>0.75</formula>
    </cfRule>
    <cfRule type="cellIs" dxfId="8888" priority="10475" operator="greaterThan">
      <formula>1</formula>
    </cfRule>
    <cfRule type="cellIs" dxfId="8887" priority="10476" operator="between">
      <formula>0.95</formula>
      <formula>1</formula>
    </cfRule>
    <cfRule type="cellIs" dxfId="8886" priority="10477" stopIfTrue="1" operator="between">
      <formula>0</formula>
      <formula>0.5</formula>
    </cfRule>
  </conditionalFormatting>
  <conditionalFormatting sqref="I314:I319">
    <cfRule type="cellIs" dxfId="8885" priority="10468" operator="between">
      <formula>0.76</formula>
      <formula>0.95</formula>
    </cfRule>
    <cfRule type="cellIs" dxfId="8884" priority="10469" operator="between">
      <formula>0.51</formula>
      <formula>0.75</formula>
    </cfRule>
    <cfRule type="cellIs" dxfId="8883" priority="10470" operator="greaterThan">
      <formula>1</formula>
    </cfRule>
    <cfRule type="cellIs" dxfId="8882" priority="10471" operator="between">
      <formula>0.95</formula>
      <formula>1</formula>
    </cfRule>
    <cfRule type="cellIs" dxfId="8881" priority="10472" stopIfTrue="1" operator="between">
      <formula>0</formula>
      <formula>0.5</formula>
    </cfRule>
  </conditionalFormatting>
  <conditionalFormatting sqref="P314:P319">
    <cfRule type="cellIs" dxfId="8880" priority="10463" operator="between">
      <formula>0.76</formula>
      <formula>0.95</formula>
    </cfRule>
    <cfRule type="cellIs" dxfId="8879" priority="10464" operator="between">
      <formula>0.51</formula>
      <formula>0.75</formula>
    </cfRule>
    <cfRule type="cellIs" dxfId="8878" priority="10465" operator="greaterThan">
      <formula>1</formula>
    </cfRule>
    <cfRule type="cellIs" dxfId="8877" priority="10466" operator="between">
      <formula>0.95</formula>
      <formula>1</formula>
    </cfRule>
    <cfRule type="cellIs" dxfId="8876" priority="10467" stopIfTrue="1" operator="between">
      <formula>0</formula>
      <formula>0.5</formula>
    </cfRule>
  </conditionalFormatting>
  <conditionalFormatting sqref="W314:W319">
    <cfRule type="cellIs" dxfId="8875" priority="10458" operator="between">
      <formula>0.76</formula>
      <formula>0.95</formula>
    </cfRule>
    <cfRule type="cellIs" dxfId="8874" priority="10459" operator="between">
      <formula>0.51</formula>
      <formula>0.75</formula>
    </cfRule>
    <cfRule type="cellIs" dxfId="8873" priority="10460" operator="greaterThan">
      <formula>1</formula>
    </cfRule>
    <cfRule type="cellIs" dxfId="8872" priority="10461" operator="between">
      <formula>0.95</formula>
      <formula>1</formula>
    </cfRule>
    <cfRule type="cellIs" dxfId="8871" priority="10462" stopIfTrue="1" operator="between">
      <formula>0</formula>
      <formula>0.5</formula>
    </cfRule>
  </conditionalFormatting>
  <conditionalFormatting sqref="AD314:AD319">
    <cfRule type="cellIs" dxfId="8870" priority="10453" operator="between">
      <formula>0.76</formula>
      <formula>0.95</formula>
    </cfRule>
    <cfRule type="cellIs" dxfId="8869" priority="10454" operator="between">
      <formula>0.51</formula>
      <formula>0.75</formula>
    </cfRule>
    <cfRule type="cellIs" dxfId="8868" priority="10455" operator="greaterThan">
      <formula>1</formula>
    </cfRule>
    <cfRule type="cellIs" dxfId="8867" priority="10456" operator="between">
      <formula>0.95</formula>
      <formula>1</formula>
    </cfRule>
    <cfRule type="cellIs" dxfId="8866" priority="10457" stopIfTrue="1" operator="between">
      <formula>0</formula>
      <formula>0.5</formula>
    </cfRule>
  </conditionalFormatting>
  <conditionalFormatting sqref="AF314:AF319">
    <cfRule type="cellIs" dxfId="8865" priority="10443" operator="between">
      <formula>0.76</formula>
      <formula>0.95</formula>
    </cfRule>
    <cfRule type="cellIs" dxfId="8864" priority="10444" operator="between">
      <formula>0.51</formula>
      <formula>0.75</formula>
    </cfRule>
    <cfRule type="cellIs" dxfId="8863" priority="10445" operator="greaterThan">
      <formula>1</formula>
    </cfRule>
    <cfRule type="cellIs" dxfId="8862" priority="10446" operator="between">
      <formula>0.95</formula>
      <formula>1</formula>
    </cfRule>
    <cfRule type="cellIs" dxfId="8861" priority="10447" stopIfTrue="1" operator="between">
      <formula>0</formula>
      <formula>0.5</formula>
    </cfRule>
  </conditionalFormatting>
  <conditionalFormatting sqref="K314:K319">
    <cfRule type="cellIs" dxfId="8860" priority="10433" operator="between">
      <formula>0.191</formula>
      <formula>0.24</formula>
    </cfRule>
    <cfRule type="cellIs" dxfId="8859" priority="10434" operator="between">
      <formula>0.1251</formula>
      <formula>0.19</formula>
    </cfRule>
    <cfRule type="cellIs" dxfId="8858" priority="10435" operator="greaterThan">
      <formula>0.2601</formula>
    </cfRule>
    <cfRule type="cellIs" dxfId="8857" priority="10436" operator="between">
      <formula>0.2401</formula>
      <formula>0.26</formula>
    </cfRule>
    <cfRule type="cellIs" dxfId="8856" priority="10437" stopIfTrue="1" operator="between">
      <formula>0</formula>
      <formula>0.125</formula>
    </cfRule>
  </conditionalFormatting>
  <conditionalFormatting sqref="R314:R319">
    <cfRule type="cellIs" dxfId="8855" priority="10428" operator="between">
      <formula>0.3751</formula>
      <formula>0.475</formula>
    </cfRule>
    <cfRule type="cellIs" dxfId="8854" priority="10429" operator="between">
      <formula>0.2551</formula>
      <formula>0.375</formula>
    </cfRule>
    <cfRule type="cellIs" dxfId="8853" priority="10430" operator="greaterThan">
      <formula>0.505</formula>
    </cfRule>
    <cfRule type="cellIs" dxfId="8852" priority="10431" operator="between">
      <formula>0.48</formula>
      <formula>0.5</formula>
    </cfRule>
    <cfRule type="cellIs" dxfId="8851" priority="10432" stopIfTrue="1" operator="between">
      <formula>0</formula>
      <formula>0.255</formula>
    </cfRule>
  </conditionalFormatting>
  <conditionalFormatting sqref="T314:T319">
    <cfRule type="cellIs" dxfId="8850" priority="10423" operator="between">
      <formula>0.376</formula>
      <formula>0.475</formula>
    </cfRule>
    <cfRule type="cellIs" dxfId="8849" priority="10424" operator="between">
      <formula>0.2551</formula>
      <formula>0.3751</formula>
    </cfRule>
    <cfRule type="cellIs" dxfId="8848" priority="10425" operator="greaterThan">
      <formula>0.505</formula>
    </cfRule>
    <cfRule type="cellIs" dxfId="8847" priority="10426" operator="between">
      <formula>0.48</formula>
      <formula>0.5</formula>
    </cfRule>
    <cfRule type="cellIs" dxfId="8846" priority="10427" stopIfTrue="1" operator="between">
      <formula>0</formula>
      <formula>0.255</formula>
    </cfRule>
  </conditionalFormatting>
  <conditionalFormatting sqref="AG314:AG319">
    <cfRule type="cellIs" dxfId="8845" priority="10413" operator="between">
      <formula>0.76</formula>
      <formula>0.95</formula>
    </cfRule>
    <cfRule type="cellIs" dxfId="8844" priority="10414" operator="between">
      <formula>0.51</formula>
      <formula>0.75</formula>
    </cfRule>
    <cfRule type="cellIs" dxfId="8843" priority="10415" operator="greaterThan">
      <formula>1</formula>
    </cfRule>
    <cfRule type="cellIs" dxfId="8842" priority="10416" operator="between">
      <formula>0.95</formula>
      <formula>1</formula>
    </cfRule>
    <cfRule type="cellIs" dxfId="8841" priority="10417" stopIfTrue="1" operator="between">
      <formula>0</formula>
      <formula>0.5</formula>
    </cfRule>
  </conditionalFormatting>
  <conditionalFormatting sqref="X318:X319">
    <cfRule type="cellIs" dxfId="8840" priority="10383" operator="between">
      <formula>0.76</formula>
      <formula>0.95</formula>
    </cfRule>
    <cfRule type="cellIs" dxfId="8839" priority="10384" operator="between">
      <formula>0.51</formula>
      <formula>0.75</formula>
    </cfRule>
    <cfRule type="cellIs" dxfId="8838" priority="10385" operator="greaterThan">
      <formula>1</formula>
    </cfRule>
    <cfRule type="cellIs" dxfId="8837" priority="10386" operator="between">
      <formula>0.95</formula>
      <formula>1</formula>
    </cfRule>
    <cfRule type="cellIs" dxfId="8836" priority="10387" stopIfTrue="1" operator="between">
      <formula>0</formula>
      <formula>0.5</formula>
    </cfRule>
  </conditionalFormatting>
  <conditionalFormatting sqref="X314 X316:X317">
    <cfRule type="cellIs" dxfId="8835" priority="10403" operator="between">
      <formula>0.76</formula>
      <formula>0.95</formula>
    </cfRule>
    <cfRule type="cellIs" dxfId="8834" priority="10404" operator="between">
      <formula>0.51</formula>
      <formula>0.75</formula>
    </cfRule>
    <cfRule type="cellIs" dxfId="8833" priority="10405" operator="greaterThan">
      <formula>1</formula>
    </cfRule>
    <cfRule type="cellIs" dxfId="8832" priority="10406" operator="between">
      <formula>0.95</formula>
      <formula>1</formula>
    </cfRule>
    <cfRule type="cellIs" dxfId="8831" priority="10407" stopIfTrue="1" operator="between">
      <formula>0</formula>
      <formula>0.5</formula>
    </cfRule>
  </conditionalFormatting>
  <conditionalFormatting sqref="AE314 AE317">
    <cfRule type="cellIs" dxfId="8830" priority="10398" operator="between">
      <formula>0.76</formula>
      <formula>0.95</formula>
    </cfRule>
    <cfRule type="cellIs" dxfId="8829" priority="10399" operator="between">
      <formula>0.51</formula>
      <formula>0.75</formula>
    </cfRule>
    <cfRule type="cellIs" dxfId="8828" priority="10400" operator="greaterThan">
      <formula>1</formula>
    </cfRule>
    <cfRule type="cellIs" dxfId="8827" priority="10401" operator="between">
      <formula>0.95</formula>
      <formula>1</formula>
    </cfRule>
    <cfRule type="cellIs" dxfId="8826" priority="10402" stopIfTrue="1" operator="between">
      <formula>0</formula>
      <formula>0.5</formula>
    </cfRule>
  </conditionalFormatting>
  <conditionalFormatting sqref="AE315:AE316">
    <cfRule type="cellIs" dxfId="8825" priority="10378" operator="between">
      <formula>0.76</formula>
      <formula>0.95</formula>
    </cfRule>
    <cfRule type="cellIs" dxfId="8824" priority="10379" operator="between">
      <formula>0.51</formula>
      <formula>0.75</formula>
    </cfRule>
    <cfRule type="cellIs" dxfId="8823" priority="10380" operator="greaterThan">
      <formula>1</formula>
    </cfRule>
    <cfRule type="cellIs" dxfId="8822" priority="10381" operator="between">
      <formula>0.95</formula>
      <formula>1</formula>
    </cfRule>
    <cfRule type="cellIs" dxfId="8821" priority="10382" stopIfTrue="1" operator="between">
      <formula>0</formula>
      <formula>0.5</formula>
    </cfRule>
  </conditionalFormatting>
  <conditionalFormatting sqref="AE318:AE319">
    <cfRule type="cellIs" dxfId="8820" priority="10373" operator="between">
      <formula>0.76</formula>
      <formula>0.95</formula>
    </cfRule>
    <cfRule type="cellIs" dxfId="8819" priority="10374" operator="between">
      <formula>0.51</formula>
      <formula>0.75</formula>
    </cfRule>
    <cfRule type="cellIs" dxfId="8818" priority="10375" operator="greaterThan">
      <formula>1</formula>
    </cfRule>
    <cfRule type="cellIs" dxfId="8817" priority="10376" operator="between">
      <formula>0.95</formula>
      <formula>1</formula>
    </cfRule>
    <cfRule type="cellIs" dxfId="8816" priority="10377" stopIfTrue="1" operator="between">
      <formula>0</formula>
      <formula>0.5</formula>
    </cfRule>
  </conditionalFormatting>
  <conditionalFormatting sqref="P335:P344">
    <cfRule type="cellIs" dxfId="8815" priority="10258" operator="between">
      <formula>0.76</formula>
      <formula>0.95</formula>
    </cfRule>
    <cfRule type="cellIs" dxfId="8814" priority="10259" operator="between">
      <formula>0.51</formula>
      <formula>0.75</formula>
    </cfRule>
    <cfRule type="cellIs" dxfId="8813" priority="10260" operator="greaterThan">
      <formula>1</formula>
    </cfRule>
    <cfRule type="cellIs" dxfId="8812" priority="10261" operator="between">
      <formula>0.95</formula>
      <formula>1</formula>
    </cfRule>
    <cfRule type="cellIs" dxfId="8811" priority="10262" stopIfTrue="1" operator="between">
      <formula>0</formula>
      <formula>0.5</formula>
    </cfRule>
  </conditionalFormatting>
  <conditionalFormatting sqref="W335:W344">
    <cfRule type="cellIs" dxfId="8810" priority="10253" operator="between">
      <formula>0.76</formula>
      <formula>0.95</formula>
    </cfRule>
    <cfRule type="cellIs" dxfId="8809" priority="10254" operator="between">
      <formula>0.51</formula>
      <formula>0.75</formula>
    </cfRule>
    <cfRule type="cellIs" dxfId="8808" priority="10255" operator="greaterThan">
      <formula>1</formula>
    </cfRule>
    <cfRule type="cellIs" dxfId="8807" priority="10256" operator="between">
      <formula>0.95</formula>
      <formula>1</formula>
    </cfRule>
    <cfRule type="cellIs" dxfId="8806" priority="10257" stopIfTrue="1" operator="between">
      <formula>0</formula>
      <formula>0.5</formula>
    </cfRule>
  </conditionalFormatting>
  <conditionalFormatting sqref="AD335:AD344">
    <cfRule type="cellIs" dxfId="8805" priority="10248" operator="between">
      <formula>0.76</formula>
      <formula>0.95</formula>
    </cfRule>
    <cfRule type="cellIs" dxfId="8804" priority="10249" operator="between">
      <formula>0.51</formula>
      <formula>0.75</formula>
    </cfRule>
    <cfRule type="cellIs" dxfId="8803" priority="10250" operator="greaterThan">
      <formula>1</formula>
    </cfRule>
    <cfRule type="cellIs" dxfId="8802" priority="10251" operator="between">
      <formula>0.95</formula>
      <formula>1</formula>
    </cfRule>
    <cfRule type="cellIs" dxfId="8801" priority="10252" stopIfTrue="1" operator="between">
      <formula>0</formula>
      <formula>0.5</formula>
    </cfRule>
  </conditionalFormatting>
  <conditionalFormatting sqref="AF335:AF344">
    <cfRule type="cellIs" dxfId="8800" priority="10238" operator="between">
      <formula>0.76</formula>
      <formula>0.95</formula>
    </cfRule>
    <cfRule type="cellIs" dxfId="8799" priority="10239" operator="between">
      <formula>0.51</formula>
      <formula>0.75</formula>
    </cfRule>
    <cfRule type="cellIs" dxfId="8798" priority="10240" operator="greaterThan">
      <formula>1</formula>
    </cfRule>
    <cfRule type="cellIs" dxfId="8797" priority="10241" operator="between">
      <formula>0.95</formula>
      <formula>1</formula>
    </cfRule>
    <cfRule type="cellIs" dxfId="8796" priority="10242" stopIfTrue="1" operator="between">
      <formula>0</formula>
      <formula>0.5</formula>
    </cfRule>
  </conditionalFormatting>
  <conditionalFormatting sqref="AG335:AG344">
    <cfRule type="cellIs" dxfId="8795" priority="10189" operator="between">
      <formula>0.76</formula>
      <formula>0.95</formula>
    </cfRule>
    <cfRule type="cellIs" dxfId="8794" priority="10190" operator="between">
      <formula>0.51</formula>
      <formula>0.75</formula>
    </cfRule>
    <cfRule type="cellIs" dxfId="8793" priority="10191" operator="greaterThan">
      <formula>1</formula>
    </cfRule>
    <cfRule type="cellIs" dxfId="8792" priority="10192" operator="between">
      <formula>0.95</formula>
      <formula>1</formula>
    </cfRule>
    <cfRule type="cellIs" dxfId="8791" priority="10193" stopIfTrue="1" operator="between">
      <formula>0</formula>
      <formula>0.5</formula>
    </cfRule>
  </conditionalFormatting>
  <conditionalFormatting sqref="J335:J344">
    <cfRule type="cellIs" dxfId="8790" priority="10184" operator="between">
      <formula>0.76</formula>
      <formula>0.95</formula>
    </cfRule>
    <cfRule type="cellIs" dxfId="8789" priority="10185" operator="between">
      <formula>0.51</formula>
      <formula>0.75</formula>
    </cfRule>
    <cfRule type="cellIs" dxfId="8788" priority="10186" operator="greaterThan">
      <formula>1</formula>
    </cfRule>
    <cfRule type="cellIs" dxfId="8787" priority="10187" operator="between">
      <formula>0.95</formula>
      <formula>1</formula>
    </cfRule>
    <cfRule type="cellIs" dxfId="8786" priority="10188" stopIfTrue="1" operator="between">
      <formula>0</formula>
      <formula>0.5</formula>
    </cfRule>
  </conditionalFormatting>
  <conditionalFormatting sqref="Q335:Q344">
    <cfRule type="cellIs" dxfId="8785" priority="10179" operator="between">
      <formula>0.76</formula>
      <formula>0.95</formula>
    </cfRule>
    <cfRule type="cellIs" dxfId="8784" priority="10180" operator="between">
      <formula>0.51</formula>
      <formula>0.75</formula>
    </cfRule>
    <cfRule type="cellIs" dxfId="8783" priority="10181" operator="greaterThan">
      <formula>1</formula>
    </cfRule>
    <cfRule type="cellIs" dxfId="8782" priority="10182" operator="between">
      <formula>0.95</formula>
      <formula>1</formula>
    </cfRule>
    <cfRule type="cellIs" dxfId="8781" priority="10183" stopIfTrue="1" operator="between">
      <formula>0</formula>
      <formula>0.5</formula>
    </cfRule>
  </conditionalFormatting>
  <conditionalFormatting sqref="X334:X344">
    <cfRule type="cellIs" dxfId="8780" priority="10174" operator="between">
      <formula>0.76</formula>
      <formula>0.95</formula>
    </cfRule>
    <cfRule type="cellIs" dxfId="8779" priority="10175" operator="between">
      <formula>0.51</formula>
      <formula>0.75</formula>
    </cfRule>
    <cfRule type="cellIs" dxfId="8778" priority="10176" operator="greaterThan">
      <formula>1</formula>
    </cfRule>
    <cfRule type="cellIs" dxfId="8777" priority="10177" operator="between">
      <formula>0.95</formula>
      <formula>1</formula>
    </cfRule>
    <cfRule type="cellIs" dxfId="8776" priority="10178" stopIfTrue="1" operator="between">
      <formula>0</formula>
      <formula>0.5</formula>
    </cfRule>
  </conditionalFormatting>
  <conditionalFormatting sqref="I335:I344">
    <cfRule type="cellIs" dxfId="8775" priority="10268" operator="between">
      <formula>0.76</formula>
      <formula>0.95</formula>
    </cfRule>
    <cfRule type="cellIs" dxfId="8774" priority="10269" operator="between">
      <formula>0.51</formula>
      <formula>0.75</formula>
    </cfRule>
    <cfRule type="cellIs" dxfId="8773" priority="10270" operator="greaterThan">
      <formula>1</formula>
    </cfRule>
    <cfRule type="cellIs" dxfId="8772" priority="10271" operator="between">
      <formula>0.95</formula>
      <formula>1</formula>
    </cfRule>
    <cfRule type="cellIs" dxfId="8771" priority="10272" stopIfTrue="1" operator="between">
      <formula>0</formula>
      <formula>0.5</formula>
    </cfRule>
  </conditionalFormatting>
  <conditionalFormatting sqref="K335:K344">
    <cfRule type="cellIs" dxfId="8770" priority="10219" operator="between">
      <formula>0.191</formula>
      <formula>0.24</formula>
    </cfRule>
    <cfRule type="cellIs" dxfId="8769" priority="10220" operator="between">
      <formula>0.1251</formula>
      <formula>0.19</formula>
    </cfRule>
    <cfRule type="cellIs" dxfId="8768" priority="10221" operator="greaterThan">
      <formula>0.2601</formula>
    </cfRule>
    <cfRule type="cellIs" dxfId="8767" priority="10222" operator="between">
      <formula>0.2401</formula>
      <formula>0.26</formula>
    </cfRule>
    <cfRule type="cellIs" dxfId="8766" priority="10223" stopIfTrue="1" operator="between">
      <formula>0</formula>
      <formula>0.125</formula>
    </cfRule>
  </conditionalFormatting>
  <conditionalFormatting sqref="R335:R344">
    <cfRule type="cellIs" dxfId="8765" priority="10214" operator="between">
      <formula>0.3751</formula>
      <formula>0.475</formula>
    </cfRule>
    <cfRule type="cellIs" dxfId="8764" priority="10215" operator="between">
      <formula>0.2551</formula>
      <formula>0.375</formula>
    </cfRule>
    <cfRule type="cellIs" dxfId="8763" priority="10216" operator="greaterThan">
      <formula>0.505</formula>
    </cfRule>
    <cfRule type="cellIs" dxfId="8762" priority="10217" operator="between">
      <formula>0.48</formula>
      <formula>0.5</formula>
    </cfRule>
    <cfRule type="cellIs" dxfId="8761" priority="10218" stopIfTrue="1" operator="between">
      <formula>0</formula>
      <formula>0.255</formula>
    </cfRule>
  </conditionalFormatting>
  <conditionalFormatting sqref="S335:T335 T336:T344">
    <cfRule type="cellIs" dxfId="8760" priority="10209" operator="between">
      <formula>0.376</formula>
      <formula>0.475</formula>
    </cfRule>
    <cfRule type="cellIs" dxfId="8759" priority="10210" operator="between">
      <formula>0.2551</formula>
      <formula>0.3751</formula>
    </cfRule>
    <cfRule type="cellIs" dxfId="8758" priority="10211" operator="greaterThan">
      <formula>0.505</formula>
    </cfRule>
    <cfRule type="cellIs" dxfId="8757" priority="10212" operator="between">
      <formula>0.48</formula>
      <formula>0.5</formula>
    </cfRule>
    <cfRule type="cellIs" dxfId="8756" priority="10213" stopIfTrue="1" operator="between">
      <formula>0</formula>
      <formula>0.255</formula>
    </cfRule>
  </conditionalFormatting>
  <conditionalFormatting sqref="AE335:AE344">
    <cfRule type="cellIs" dxfId="8755" priority="10194" operator="between">
      <formula>0.76</formula>
      <formula>0.95</formula>
    </cfRule>
    <cfRule type="cellIs" dxfId="8754" priority="10195" operator="between">
      <formula>0.51</formula>
      <formula>0.75</formula>
    </cfRule>
    <cfRule type="cellIs" dxfId="8753" priority="10196" operator="greaterThan">
      <formula>1</formula>
    </cfRule>
    <cfRule type="cellIs" dxfId="8752" priority="10197" operator="between">
      <formula>0.95</formula>
      <formula>1</formula>
    </cfRule>
    <cfRule type="cellIs" dxfId="8751" priority="10198" stopIfTrue="1" operator="between">
      <formula>0</formula>
      <formula>0.5</formula>
    </cfRule>
  </conditionalFormatting>
  <conditionalFormatting sqref="X375">
    <cfRule type="cellIs" dxfId="8750" priority="10097" operator="between">
      <formula>0.76</formula>
      <formula>0.95</formula>
    </cfRule>
    <cfRule type="cellIs" dxfId="8749" priority="10098" operator="between">
      <formula>0.51</formula>
      <formula>0.75</formula>
    </cfRule>
    <cfRule type="cellIs" dxfId="8748" priority="10099" operator="greaterThan">
      <formula>1</formula>
    </cfRule>
    <cfRule type="cellIs" dxfId="8747" priority="10100" operator="between">
      <formula>0.95</formula>
      <formula>1</formula>
    </cfRule>
    <cfRule type="cellIs" dxfId="8746" priority="10101" stopIfTrue="1" operator="between">
      <formula>0</formula>
      <formula>0.5</formula>
    </cfRule>
  </conditionalFormatting>
  <conditionalFormatting sqref="J364:J375">
    <cfRule type="cellIs" dxfId="8745" priority="10077" operator="between">
      <formula>0.76</formula>
      <formula>0.95</formula>
    </cfRule>
    <cfRule type="cellIs" dxfId="8744" priority="10078" operator="between">
      <formula>0.51</formula>
      <formula>0.75</formula>
    </cfRule>
    <cfRule type="cellIs" dxfId="8743" priority="10079" operator="greaterThan">
      <formula>1</formula>
    </cfRule>
    <cfRule type="cellIs" dxfId="8742" priority="10080" operator="between">
      <formula>0.95</formula>
      <formula>1</formula>
    </cfRule>
    <cfRule type="cellIs" dxfId="8741" priority="10081" stopIfTrue="1" operator="between">
      <formula>0</formula>
      <formula>0.5</formula>
    </cfRule>
  </conditionalFormatting>
  <conditionalFormatting sqref="J38">
    <cfRule type="cellIs" dxfId="8740" priority="10067" operator="between">
      <formula>0.76</formula>
      <formula>0.95</formula>
    </cfRule>
    <cfRule type="cellIs" dxfId="8739" priority="10068" operator="between">
      <formula>0.51</formula>
      <formula>0.75</formula>
    </cfRule>
    <cfRule type="cellIs" dxfId="8738" priority="10069" operator="greaterThan">
      <formula>1</formula>
    </cfRule>
    <cfRule type="cellIs" dxfId="8737" priority="10070" operator="between">
      <formula>0.95</formula>
      <formula>1</formula>
    </cfRule>
    <cfRule type="cellIs" dxfId="8736" priority="10071" stopIfTrue="1" operator="between">
      <formula>0</formula>
      <formula>0.5</formula>
    </cfRule>
  </conditionalFormatting>
  <conditionalFormatting sqref="X364:X374">
    <cfRule type="cellIs" dxfId="8735" priority="10062" operator="between">
      <formula>0.76</formula>
      <formula>0.95</formula>
    </cfRule>
    <cfRule type="cellIs" dxfId="8734" priority="10063" operator="between">
      <formula>0.51</formula>
      <formula>0.75</formula>
    </cfRule>
    <cfRule type="cellIs" dxfId="8733" priority="10064" operator="greaterThan">
      <formula>1</formula>
    </cfRule>
    <cfRule type="cellIs" dxfId="8732" priority="10065" operator="between">
      <formula>0.95</formula>
      <formula>1</formula>
    </cfRule>
    <cfRule type="cellIs" dxfId="8731" priority="10066" stopIfTrue="1" operator="between">
      <formula>0</formula>
      <formula>0.5</formula>
    </cfRule>
  </conditionalFormatting>
  <conditionalFormatting sqref="X38">
    <cfRule type="cellIs" dxfId="8730" priority="10057" operator="between">
      <formula>0.76</formula>
      <formula>0.95</formula>
    </cfRule>
    <cfRule type="cellIs" dxfId="8729" priority="10058" operator="between">
      <formula>0.51</formula>
      <formula>0.75</formula>
    </cfRule>
    <cfRule type="cellIs" dxfId="8728" priority="10059" operator="greaterThan">
      <formula>1</formula>
    </cfRule>
    <cfRule type="cellIs" dxfId="8727" priority="10060" operator="between">
      <formula>0.95</formula>
      <formula>1</formula>
    </cfRule>
    <cfRule type="cellIs" dxfId="8726" priority="10061" stopIfTrue="1" operator="between">
      <formula>0</formula>
      <formula>0.5</formula>
    </cfRule>
  </conditionalFormatting>
  <conditionalFormatting sqref="X145:X148 AE145:AE148 AG145 Q145:Q148 J150 Q150 AG150 AE150 X150 AG147:AG148 J145:J148">
    <cfRule type="cellIs" dxfId="8725" priority="10043" operator="between">
      <formula>0.76</formula>
      <formula>0.95</formula>
    </cfRule>
    <cfRule type="cellIs" dxfId="8724" priority="10044" operator="between">
      <formula>0.51</formula>
      <formula>0.75</formula>
    </cfRule>
    <cfRule type="cellIs" dxfId="8723" priority="10045" operator="greaterThan">
      <formula>1</formula>
    </cfRule>
    <cfRule type="cellIs" dxfId="8722" priority="10046" operator="between">
      <formula>0.95</formula>
      <formula>1</formula>
    </cfRule>
    <cfRule type="cellIs" dxfId="8721" priority="10047" stopIfTrue="1" operator="between">
      <formula>0</formula>
      <formula>0.5</formula>
    </cfRule>
  </conditionalFormatting>
  <conditionalFormatting sqref="I145:I148 I150">
    <cfRule type="cellIs" dxfId="8720" priority="10038" operator="between">
      <formula>0.76</formula>
      <formula>0.95</formula>
    </cfRule>
    <cfRule type="cellIs" dxfId="8719" priority="10039" operator="between">
      <formula>0.51</formula>
      <formula>0.75</formula>
    </cfRule>
    <cfRule type="cellIs" dxfId="8718" priority="10040" operator="greaterThan">
      <formula>1</formula>
    </cfRule>
    <cfRule type="cellIs" dxfId="8717" priority="10041" operator="between">
      <formula>0.95</formula>
      <formula>1</formula>
    </cfRule>
    <cfRule type="cellIs" dxfId="8716" priority="10042" stopIfTrue="1" operator="between">
      <formula>0</formula>
      <formula>0.5</formula>
    </cfRule>
  </conditionalFormatting>
  <conditionalFormatting sqref="P145:P148 P150">
    <cfRule type="cellIs" dxfId="8715" priority="10033" operator="between">
      <formula>0.76</formula>
      <formula>0.95</formula>
    </cfRule>
    <cfRule type="cellIs" dxfId="8714" priority="10034" operator="between">
      <formula>0.51</formula>
      <formula>0.75</formula>
    </cfRule>
    <cfRule type="cellIs" dxfId="8713" priority="10035" operator="greaterThan">
      <formula>1</formula>
    </cfRule>
    <cfRule type="cellIs" dxfId="8712" priority="10036" operator="between">
      <formula>0.95</formula>
      <formula>1</formula>
    </cfRule>
    <cfRule type="cellIs" dxfId="8711" priority="10037" stopIfTrue="1" operator="between">
      <formula>0</formula>
      <formula>0.5</formula>
    </cfRule>
  </conditionalFormatting>
  <conditionalFormatting sqref="W145:W148 W150">
    <cfRule type="cellIs" dxfId="8710" priority="10028" operator="between">
      <formula>0.76</formula>
      <formula>0.95</formula>
    </cfRule>
    <cfRule type="cellIs" dxfId="8709" priority="10029" operator="between">
      <formula>0.51</formula>
      <formula>0.75</formula>
    </cfRule>
    <cfRule type="cellIs" dxfId="8708" priority="10030" operator="greaterThan">
      <formula>1</formula>
    </cfRule>
    <cfRule type="cellIs" dxfId="8707" priority="10031" operator="between">
      <formula>0.95</formula>
      <formula>1</formula>
    </cfRule>
    <cfRule type="cellIs" dxfId="8706" priority="10032" stopIfTrue="1" operator="between">
      <formula>0</formula>
      <formula>0.5</formula>
    </cfRule>
  </conditionalFormatting>
  <conditionalFormatting sqref="AD145:AD148 AD150">
    <cfRule type="cellIs" dxfId="8705" priority="10023" operator="between">
      <formula>0.76</formula>
      <formula>0.95</formula>
    </cfRule>
    <cfRule type="cellIs" dxfId="8704" priority="10024" operator="between">
      <formula>0.51</formula>
      <formula>0.75</formula>
    </cfRule>
    <cfRule type="cellIs" dxfId="8703" priority="10025" operator="greaterThan">
      <formula>1</formula>
    </cfRule>
    <cfRule type="cellIs" dxfId="8702" priority="10026" operator="between">
      <formula>0.95</formula>
      <formula>1</formula>
    </cfRule>
    <cfRule type="cellIs" dxfId="8701" priority="10027" stopIfTrue="1" operator="between">
      <formula>0</formula>
      <formula>0.5</formula>
    </cfRule>
  </conditionalFormatting>
  <conditionalFormatting sqref="AF145:AF148 AF150">
    <cfRule type="cellIs" dxfId="8700" priority="10013" operator="between">
      <formula>0.76</formula>
      <formula>0.95</formula>
    </cfRule>
    <cfRule type="cellIs" dxfId="8699" priority="10014" operator="between">
      <formula>0.51</formula>
      <formula>0.75</formula>
    </cfRule>
    <cfRule type="cellIs" dxfId="8698" priority="10015" operator="greaterThan">
      <formula>1</formula>
    </cfRule>
    <cfRule type="cellIs" dxfId="8697" priority="10016" operator="between">
      <formula>0.95</formula>
      <formula>1</formula>
    </cfRule>
    <cfRule type="cellIs" dxfId="8696" priority="10017" stopIfTrue="1" operator="between">
      <formula>0</formula>
      <formula>0.5</formula>
    </cfRule>
  </conditionalFormatting>
  <conditionalFormatting sqref="M150 M145:M148">
    <cfRule type="cellIs" dxfId="8695" priority="10005" operator="between">
      <formula>0.191</formula>
      <formula>0.24</formula>
    </cfRule>
    <cfRule type="cellIs" dxfId="8694" priority="10006" operator="between">
      <formula>0.1251</formula>
      <formula>0.19</formula>
    </cfRule>
    <cfRule type="cellIs" dxfId="8693" priority="10007" operator="greaterThan">
      <formula>0.2601</formula>
    </cfRule>
    <cfRule type="cellIs" dxfId="8692" priority="10008" operator="between">
      <formula>0.2401</formula>
      <formula>0.26</formula>
    </cfRule>
    <cfRule type="cellIs" dxfId="8691" priority="10009" stopIfTrue="1" operator="between">
      <formula>0</formula>
      <formula>0.125</formula>
    </cfRule>
  </conditionalFormatting>
  <conditionalFormatting sqref="K145:K148 K150">
    <cfRule type="cellIs" dxfId="8690" priority="10000" operator="between">
      <formula>0.191</formula>
      <formula>0.24</formula>
    </cfRule>
    <cfRule type="cellIs" dxfId="8689" priority="10001" operator="between">
      <formula>0.1251</formula>
      <formula>0.19</formula>
    </cfRule>
    <cfRule type="cellIs" dxfId="8688" priority="10002" operator="greaterThan">
      <formula>0.2601</formula>
    </cfRule>
    <cfRule type="cellIs" dxfId="8687" priority="10003" operator="between">
      <formula>0.2401</formula>
      <formula>0.26</formula>
    </cfRule>
    <cfRule type="cellIs" dxfId="8686" priority="10004" stopIfTrue="1" operator="between">
      <formula>0</formula>
      <formula>0.125</formula>
    </cfRule>
  </conditionalFormatting>
  <conditionalFormatting sqref="R145:R148 R150">
    <cfRule type="cellIs" dxfId="8685" priority="9995" operator="between">
      <formula>0.3751</formula>
      <formula>0.475</formula>
    </cfRule>
    <cfRule type="cellIs" dxfId="8684" priority="9996" operator="between">
      <formula>0.2551</formula>
      <formula>0.375</formula>
    </cfRule>
    <cfRule type="cellIs" dxfId="8683" priority="9997" operator="greaterThan">
      <formula>0.505</formula>
    </cfRule>
    <cfRule type="cellIs" dxfId="8682" priority="9998" operator="between">
      <formula>0.48</formula>
      <formula>0.5</formula>
    </cfRule>
    <cfRule type="cellIs" dxfId="8681" priority="9999" stopIfTrue="1" operator="between">
      <formula>0</formula>
      <formula>0.255</formula>
    </cfRule>
  </conditionalFormatting>
  <conditionalFormatting sqref="T145:T148 T150">
    <cfRule type="cellIs" dxfId="8680" priority="9990" operator="between">
      <formula>0.376</formula>
      <formula>0.475</formula>
    </cfRule>
    <cfRule type="cellIs" dxfId="8679" priority="9991" operator="between">
      <formula>0.2551</formula>
      <formula>0.3751</formula>
    </cfRule>
    <cfRule type="cellIs" dxfId="8678" priority="9992" operator="greaterThan">
      <formula>0.505</formula>
    </cfRule>
    <cfRule type="cellIs" dxfId="8677" priority="9993" operator="between">
      <formula>0.48</formula>
      <formula>0.5</formula>
    </cfRule>
    <cfRule type="cellIs" dxfId="8676" priority="9994" stopIfTrue="1" operator="between">
      <formula>0</formula>
      <formula>0.255</formula>
    </cfRule>
  </conditionalFormatting>
  <conditionalFormatting sqref="Q106">
    <cfRule type="cellIs" dxfId="8675" priority="9880" operator="between">
      <formula>0.76</formula>
      <formula>0.95</formula>
    </cfRule>
    <cfRule type="cellIs" dxfId="8674" priority="9881" operator="between">
      <formula>0.51</formula>
      <formula>0.75</formula>
    </cfRule>
    <cfRule type="cellIs" dxfId="8673" priority="9882" operator="greaterThan">
      <formula>1</formula>
    </cfRule>
    <cfRule type="cellIs" dxfId="8672" priority="9883" operator="between">
      <formula>0.95</formula>
      <formula>1</formula>
    </cfRule>
    <cfRule type="cellIs" dxfId="8671" priority="9884" stopIfTrue="1" operator="between">
      <formula>0</formula>
      <formula>0.5</formula>
    </cfRule>
  </conditionalFormatting>
  <conditionalFormatting sqref="P106">
    <cfRule type="cellIs" dxfId="8670" priority="9875" operator="between">
      <formula>0.76</formula>
      <formula>0.95</formula>
    </cfRule>
    <cfRule type="cellIs" dxfId="8669" priority="9876" operator="between">
      <formula>0.51</formula>
      <formula>0.75</formula>
    </cfRule>
    <cfRule type="cellIs" dxfId="8668" priority="9877" operator="greaterThan">
      <formula>1</formula>
    </cfRule>
    <cfRule type="cellIs" dxfId="8667" priority="9878" operator="between">
      <formula>0.95</formula>
      <formula>1</formula>
    </cfRule>
    <cfRule type="cellIs" dxfId="8666" priority="9879" stopIfTrue="1" operator="between">
      <formula>0</formula>
      <formula>0.5</formula>
    </cfRule>
  </conditionalFormatting>
  <conditionalFormatting sqref="W106">
    <cfRule type="cellIs" dxfId="8665" priority="9870" operator="between">
      <formula>0.76</formula>
      <formula>0.95</formula>
    </cfRule>
    <cfRule type="cellIs" dxfId="8664" priority="9871" operator="between">
      <formula>0.51</formula>
      <formula>0.75</formula>
    </cfRule>
    <cfRule type="cellIs" dxfId="8663" priority="9872" operator="greaterThan">
      <formula>1</formula>
    </cfRule>
    <cfRule type="cellIs" dxfId="8662" priority="9873" operator="between">
      <formula>0.95</formula>
      <formula>1</formula>
    </cfRule>
    <cfRule type="cellIs" dxfId="8661" priority="9874" stopIfTrue="1" operator="between">
      <formula>0</formula>
      <formula>0.5</formula>
    </cfRule>
  </conditionalFormatting>
  <conditionalFormatting sqref="AD106">
    <cfRule type="cellIs" dxfId="8660" priority="9865" operator="between">
      <formula>0.76</formula>
      <formula>0.95</formula>
    </cfRule>
    <cfRule type="cellIs" dxfId="8659" priority="9866" operator="between">
      <formula>0.51</formula>
      <formula>0.75</formula>
    </cfRule>
    <cfRule type="cellIs" dxfId="8658" priority="9867" operator="greaterThan">
      <formula>1</formula>
    </cfRule>
    <cfRule type="cellIs" dxfId="8657" priority="9868" operator="between">
      <formula>0.95</formula>
      <formula>1</formula>
    </cfRule>
    <cfRule type="cellIs" dxfId="8656" priority="9869" stopIfTrue="1" operator="between">
      <formula>0</formula>
      <formula>0.5</formula>
    </cfRule>
  </conditionalFormatting>
  <conditionalFormatting sqref="AF106">
    <cfRule type="cellIs" dxfId="8655" priority="9855" operator="between">
      <formula>0.76</formula>
      <formula>0.95</formula>
    </cfRule>
    <cfRule type="cellIs" dxfId="8654" priority="9856" operator="between">
      <formula>0.51</formula>
      <formula>0.75</formula>
    </cfRule>
    <cfRule type="cellIs" dxfId="8653" priority="9857" operator="greaterThan">
      <formula>1</formula>
    </cfRule>
    <cfRule type="cellIs" dxfId="8652" priority="9858" operator="between">
      <formula>0.95</formula>
      <formula>1</formula>
    </cfRule>
    <cfRule type="cellIs" dxfId="8651" priority="9859" stopIfTrue="1" operator="between">
      <formula>0</formula>
      <formula>0.5</formula>
    </cfRule>
  </conditionalFormatting>
  <conditionalFormatting sqref="AE106">
    <cfRule type="cellIs" dxfId="8650" priority="9811" operator="between">
      <formula>0.76</formula>
      <formula>0.95</formula>
    </cfRule>
    <cfRule type="cellIs" dxfId="8649" priority="9812" operator="between">
      <formula>0.51</formula>
      <formula>0.75</formula>
    </cfRule>
    <cfRule type="cellIs" dxfId="8648" priority="9813" operator="greaterThan">
      <formula>1</formula>
    </cfRule>
    <cfRule type="cellIs" dxfId="8647" priority="9814" operator="between">
      <formula>0.95</formula>
      <formula>1</formula>
    </cfRule>
    <cfRule type="cellIs" dxfId="8646" priority="9815" stopIfTrue="1" operator="between">
      <formula>0</formula>
      <formula>0.5</formula>
    </cfRule>
  </conditionalFormatting>
  <conditionalFormatting sqref="AG106">
    <cfRule type="cellIs" dxfId="8645" priority="9806" operator="between">
      <formula>0.76</formula>
      <formula>0.95</formula>
    </cfRule>
    <cfRule type="cellIs" dxfId="8644" priority="9807" operator="between">
      <formula>0.51</formula>
      <formula>0.75</formula>
    </cfRule>
    <cfRule type="cellIs" dxfId="8643" priority="9808" operator="greaterThan">
      <formula>1</formula>
    </cfRule>
    <cfRule type="cellIs" dxfId="8642" priority="9809" operator="between">
      <formula>0.95</formula>
      <formula>1</formula>
    </cfRule>
    <cfRule type="cellIs" dxfId="8641" priority="9810" stopIfTrue="1" operator="between">
      <formula>0</formula>
      <formula>0.5</formula>
    </cfRule>
  </conditionalFormatting>
  <conditionalFormatting sqref="J106">
    <cfRule type="cellIs" dxfId="8640" priority="9801" operator="between">
      <formula>0.76</formula>
      <formula>0.95</formula>
    </cfRule>
    <cfRule type="cellIs" dxfId="8639" priority="9802" operator="between">
      <formula>0.51</formula>
      <formula>0.75</formula>
    </cfRule>
    <cfRule type="cellIs" dxfId="8638" priority="9803" operator="greaterThan">
      <formula>1</formula>
    </cfRule>
    <cfRule type="cellIs" dxfId="8637" priority="9804" operator="between">
      <formula>0.95</formula>
      <formula>1</formula>
    </cfRule>
    <cfRule type="cellIs" dxfId="8636" priority="9805" stopIfTrue="1" operator="between">
      <formula>0</formula>
      <formula>0.5</formula>
    </cfRule>
  </conditionalFormatting>
  <conditionalFormatting sqref="J107">
    <cfRule type="cellIs" dxfId="8635" priority="9796" operator="between">
      <formula>0.76</formula>
      <formula>0.95</formula>
    </cfRule>
    <cfRule type="cellIs" dxfId="8634" priority="9797" operator="between">
      <formula>0.51</formula>
      <formula>0.75</formula>
    </cfRule>
    <cfRule type="cellIs" dxfId="8633" priority="9798" operator="greaterThan">
      <formula>1</formula>
    </cfRule>
    <cfRule type="cellIs" dxfId="8632" priority="9799" operator="between">
      <formula>0.95</formula>
      <formula>1</formula>
    </cfRule>
    <cfRule type="cellIs" dxfId="8631" priority="9800" stopIfTrue="1" operator="between">
      <formula>0</formula>
      <formula>0.5</formula>
    </cfRule>
  </conditionalFormatting>
  <conditionalFormatting sqref="I106">
    <cfRule type="cellIs" dxfId="8630" priority="9885" operator="between">
      <formula>0.76</formula>
      <formula>0.95</formula>
    </cfRule>
    <cfRule type="cellIs" dxfId="8629" priority="9886" operator="between">
      <formula>0.51</formula>
      <formula>0.75</formula>
    </cfRule>
    <cfRule type="cellIs" dxfId="8628" priority="9887" operator="greaterThan">
      <formula>1</formula>
    </cfRule>
    <cfRule type="cellIs" dxfId="8627" priority="9888" operator="between">
      <formula>0.95</formula>
      <formula>1</formula>
    </cfRule>
    <cfRule type="cellIs" dxfId="8626" priority="9889" stopIfTrue="1" operator="between">
      <formula>0</formula>
      <formula>0.5</formula>
    </cfRule>
  </conditionalFormatting>
  <conditionalFormatting sqref="L106:M106">
    <cfRule type="cellIs" dxfId="8625" priority="9841" operator="between">
      <formula>0.191</formula>
      <formula>0.24</formula>
    </cfRule>
    <cfRule type="cellIs" dxfId="8624" priority="9842" operator="between">
      <formula>0.1251</formula>
      <formula>0.19</formula>
    </cfRule>
    <cfRule type="cellIs" dxfId="8623" priority="9843" operator="greaterThan">
      <formula>0.2601</formula>
    </cfRule>
    <cfRule type="cellIs" dxfId="8622" priority="9844" operator="between">
      <formula>0.2401</formula>
      <formula>0.26</formula>
    </cfRule>
    <cfRule type="cellIs" dxfId="8621" priority="9845" stopIfTrue="1" operator="between">
      <formula>0</formula>
      <formula>0.125</formula>
    </cfRule>
  </conditionalFormatting>
  <conditionalFormatting sqref="K106">
    <cfRule type="cellIs" dxfId="8620" priority="9836" operator="between">
      <formula>0.191</formula>
      <formula>0.24</formula>
    </cfRule>
    <cfRule type="cellIs" dxfId="8619" priority="9837" operator="between">
      <formula>0.1251</formula>
      <formula>0.19</formula>
    </cfRule>
    <cfRule type="cellIs" dxfId="8618" priority="9838" operator="greaterThan">
      <formula>0.2601</formula>
    </cfRule>
    <cfRule type="cellIs" dxfId="8617" priority="9839" operator="between">
      <formula>0.2401</formula>
      <formula>0.26</formula>
    </cfRule>
    <cfRule type="cellIs" dxfId="8616" priority="9840" stopIfTrue="1" operator="between">
      <formula>0</formula>
      <formula>0.125</formula>
    </cfRule>
  </conditionalFormatting>
  <conditionalFormatting sqref="R106">
    <cfRule type="cellIs" dxfId="8615" priority="9831" operator="between">
      <formula>0.3751</formula>
      <formula>0.475</formula>
    </cfRule>
    <cfRule type="cellIs" dxfId="8614" priority="9832" operator="between">
      <formula>0.2551</formula>
      <formula>0.375</formula>
    </cfRule>
    <cfRule type="cellIs" dxfId="8613" priority="9833" operator="greaterThan">
      <formula>0.505</formula>
    </cfRule>
    <cfRule type="cellIs" dxfId="8612" priority="9834" operator="between">
      <formula>0.48</formula>
      <formula>0.5</formula>
    </cfRule>
    <cfRule type="cellIs" dxfId="8611" priority="9835" stopIfTrue="1" operator="between">
      <formula>0</formula>
      <formula>0.255</formula>
    </cfRule>
  </conditionalFormatting>
  <conditionalFormatting sqref="S106:T106">
    <cfRule type="cellIs" dxfId="8610" priority="9826" operator="between">
      <formula>0.376</formula>
      <formula>0.475</formula>
    </cfRule>
    <cfRule type="cellIs" dxfId="8609" priority="9827" operator="between">
      <formula>0.2551</formula>
      <formula>0.3751</formula>
    </cfRule>
    <cfRule type="cellIs" dxfId="8608" priority="9828" operator="greaterThan">
      <formula>0.505</formula>
    </cfRule>
    <cfRule type="cellIs" dxfId="8607" priority="9829" operator="between">
      <formula>0.48</formula>
      <formula>0.5</formula>
    </cfRule>
    <cfRule type="cellIs" dxfId="8606" priority="9830" stopIfTrue="1" operator="between">
      <formula>0</formula>
      <formula>0.255</formula>
    </cfRule>
  </conditionalFormatting>
  <conditionalFormatting sqref="X106">
    <cfRule type="cellIs" dxfId="8605" priority="9821" operator="between">
      <formula>0.76</formula>
      <formula>0.95</formula>
    </cfRule>
    <cfRule type="cellIs" dxfId="8604" priority="9822" operator="between">
      <formula>0.51</formula>
      <formula>0.75</formula>
    </cfRule>
    <cfRule type="cellIs" dxfId="8603" priority="9823" operator="greaterThan">
      <formula>1</formula>
    </cfRule>
    <cfRule type="cellIs" dxfId="8602" priority="9824" operator="between">
      <formula>0.95</formula>
      <formula>1</formula>
    </cfRule>
    <cfRule type="cellIs" dxfId="8601" priority="9825" stopIfTrue="1" operator="between">
      <formula>0</formula>
      <formula>0.5</formula>
    </cfRule>
  </conditionalFormatting>
  <conditionalFormatting sqref="P291:Q291 AD299:AG299 I291 W291:X291 AD291 AF291:AG291 W299">
    <cfRule type="cellIs" dxfId="8600" priority="9779" operator="between">
      <formula>0.76</formula>
      <formula>0.95</formula>
    </cfRule>
    <cfRule type="cellIs" dxfId="8599" priority="9780" operator="between">
      <formula>0.51</formula>
      <formula>0.75</formula>
    </cfRule>
    <cfRule type="cellIs" dxfId="8598" priority="9781" operator="greaterThan">
      <formula>1</formula>
    </cfRule>
    <cfRule type="cellIs" dxfId="8597" priority="9782" operator="between">
      <formula>0.95</formula>
      <formula>1</formula>
    </cfRule>
    <cfRule type="cellIs" dxfId="8596" priority="9783" stopIfTrue="1" operator="between">
      <formula>0</formula>
      <formula>0.5</formula>
    </cfRule>
  </conditionalFormatting>
  <conditionalFormatting sqref="R291">
    <cfRule type="cellIs" dxfId="8595" priority="9774" operator="between">
      <formula>0.3751</formula>
      <formula>0.475</formula>
    </cfRule>
    <cfRule type="cellIs" dxfId="8594" priority="9775" operator="between">
      <formula>0.2551</formula>
      <formula>0.375</formula>
    </cfRule>
    <cfRule type="cellIs" dxfId="8593" priority="9776" operator="greaterThan">
      <formula>0.505</formula>
    </cfRule>
    <cfRule type="cellIs" dxfId="8592" priority="9777" operator="between">
      <formula>0.48</formula>
      <formula>0.5</formula>
    </cfRule>
    <cfRule type="cellIs" dxfId="8591" priority="9778" stopIfTrue="1" operator="between">
      <formula>0</formula>
      <formula>0.255</formula>
    </cfRule>
  </conditionalFormatting>
  <conditionalFormatting sqref="K291">
    <cfRule type="cellIs" dxfId="8590" priority="9769" operator="between">
      <formula>0.191</formula>
      <formula>0.24</formula>
    </cfRule>
    <cfRule type="cellIs" dxfId="8589" priority="9770" operator="between">
      <formula>0.1251</formula>
      <formula>0.19</formula>
    </cfRule>
    <cfRule type="cellIs" dxfId="8588" priority="9771" operator="greaterThan">
      <formula>0.2601</formula>
    </cfRule>
    <cfRule type="cellIs" dxfId="8587" priority="9772" operator="between">
      <formula>0.2401</formula>
      <formula>0.26</formula>
    </cfRule>
    <cfRule type="cellIs" dxfId="8586" priority="9773" stopIfTrue="1" operator="between">
      <formula>0</formula>
      <formula>0.125</formula>
    </cfRule>
  </conditionalFormatting>
  <conditionalFormatting sqref="J291">
    <cfRule type="cellIs" dxfId="8585" priority="9759" operator="between">
      <formula>0.76</formula>
      <formula>0.95</formula>
    </cfRule>
    <cfRule type="cellIs" dxfId="8584" priority="9760" operator="between">
      <formula>0.51</formula>
      <formula>0.75</formula>
    </cfRule>
    <cfRule type="cellIs" dxfId="8583" priority="9761" operator="greaterThan">
      <formula>1</formula>
    </cfRule>
    <cfRule type="cellIs" dxfId="8582" priority="9762" operator="between">
      <formula>0.95</formula>
      <formula>1</formula>
    </cfRule>
    <cfRule type="cellIs" dxfId="8581" priority="9763" stopIfTrue="1" operator="between">
      <formula>0</formula>
      <formula>0.5</formula>
    </cfRule>
  </conditionalFormatting>
  <conditionalFormatting sqref="M291">
    <cfRule type="cellIs" dxfId="8580" priority="9754" operator="between">
      <formula>0.191</formula>
      <formula>0.24</formula>
    </cfRule>
    <cfRule type="cellIs" dxfId="8579" priority="9755" operator="between">
      <formula>0.1251</formula>
      <formula>0.19</formula>
    </cfRule>
    <cfRule type="cellIs" dxfId="8578" priority="9756" operator="greaterThan">
      <formula>0.2601</formula>
    </cfRule>
    <cfRule type="cellIs" dxfId="8577" priority="9757" operator="between">
      <formula>0.2401</formula>
      <formula>0.26</formula>
    </cfRule>
    <cfRule type="cellIs" dxfId="8576" priority="9758" stopIfTrue="1" operator="between">
      <formula>0</formula>
      <formula>0.125</formula>
    </cfRule>
  </conditionalFormatting>
  <conditionalFormatting sqref="T287">
    <cfRule type="cellIs" dxfId="8575" priority="9749" operator="between">
      <formula>0.376</formula>
      <formula>0.475</formula>
    </cfRule>
    <cfRule type="cellIs" dxfId="8574" priority="9750" operator="between">
      <formula>0.2551</formula>
      <formula>0.3751</formula>
    </cfRule>
    <cfRule type="cellIs" dxfId="8573" priority="9751" operator="greaterThan">
      <formula>0.505</formula>
    </cfRule>
    <cfRule type="cellIs" dxfId="8572" priority="9752" operator="between">
      <formula>0.48</formula>
      <formula>0.5</formula>
    </cfRule>
    <cfRule type="cellIs" dxfId="8571" priority="9753" stopIfTrue="1" operator="between">
      <formula>0</formula>
      <formula>0.255</formula>
    </cfRule>
  </conditionalFormatting>
  <conditionalFormatting sqref="AE291">
    <cfRule type="cellIs" dxfId="8570" priority="9739" operator="between">
      <formula>0.76</formula>
      <formula>0.95</formula>
    </cfRule>
    <cfRule type="cellIs" dxfId="8569" priority="9740" operator="between">
      <formula>0.51</formula>
      <formula>0.75</formula>
    </cfRule>
    <cfRule type="cellIs" dxfId="8568" priority="9741" operator="greaterThan">
      <formula>1</formula>
    </cfRule>
    <cfRule type="cellIs" dxfId="8567" priority="9742" operator="between">
      <formula>0.95</formula>
      <formula>1</formula>
    </cfRule>
    <cfRule type="cellIs" dxfId="8566" priority="9743" stopIfTrue="1" operator="between">
      <formula>0</formula>
      <formula>0.5</formula>
    </cfRule>
  </conditionalFormatting>
  <conditionalFormatting sqref="P296:Q296 P297:P298 W297:X298 W295:W296 P295">
    <cfRule type="cellIs" dxfId="8565" priority="9722" operator="between">
      <formula>0.76</formula>
      <formula>0.95</formula>
    </cfRule>
    <cfRule type="cellIs" dxfId="8564" priority="9723" operator="between">
      <formula>0.51</formula>
      <formula>0.75</formula>
    </cfRule>
    <cfRule type="cellIs" dxfId="8563" priority="9724" operator="greaterThan">
      <formula>1</formula>
    </cfRule>
    <cfRule type="cellIs" dxfId="8562" priority="9725" operator="between">
      <formula>0.95</formula>
      <formula>1</formula>
    </cfRule>
    <cfRule type="cellIs" dxfId="8561" priority="9726" stopIfTrue="1" operator="between">
      <formula>0</formula>
      <formula>0.5</formula>
    </cfRule>
  </conditionalFormatting>
  <conditionalFormatting sqref="Q297:Q298">
    <cfRule type="cellIs" dxfId="8560" priority="9667" operator="between">
      <formula>0.76</formula>
      <formula>0.95</formula>
    </cfRule>
    <cfRule type="cellIs" dxfId="8559" priority="9668" operator="between">
      <formula>0.51</formula>
      <formula>0.75</formula>
    </cfRule>
    <cfRule type="cellIs" dxfId="8558" priority="9669" operator="greaterThan">
      <formula>1</formula>
    </cfRule>
    <cfRule type="cellIs" dxfId="8557" priority="9670" operator="between">
      <formula>0.95</formula>
      <formula>1</formula>
    </cfRule>
    <cfRule type="cellIs" dxfId="8556" priority="9671" stopIfTrue="1" operator="between">
      <formula>0</formula>
      <formula>0.5</formula>
    </cfRule>
  </conditionalFormatting>
  <conditionalFormatting sqref="X295:X296">
    <cfRule type="cellIs" dxfId="8555" priority="9662" operator="between">
      <formula>0.76</formula>
      <formula>0.95</formula>
    </cfRule>
    <cfRule type="cellIs" dxfId="8554" priority="9663" operator="between">
      <formula>0.51</formula>
      <formula>0.75</formula>
    </cfRule>
    <cfRule type="cellIs" dxfId="8553" priority="9664" operator="greaterThan">
      <formula>1</formula>
    </cfRule>
    <cfRule type="cellIs" dxfId="8552" priority="9665" operator="between">
      <formula>0.95</formula>
      <formula>1</formula>
    </cfRule>
    <cfRule type="cellIs" dxfId="8551" priority="9666" stopIfTrue="1" operator="between">
      <formula>0</formula>
      <formula>0.5</formula>
    </cfRule>
  </conditionalFormatting>
  <conditionalFormatting sqref="Q299">
    <cfRule type="cellIs" dxfId="8550" priority="9612" operator="between">
      <formula>0.76</formula>
      <formula>0.95</formula>
    </cfRule>
    <cfRule type="cellIs" dxfId="8549" priority="9613" operator="between">
      <formula>0.51</formula>
      <formula>0.75</formula>
    </cfRule>
    <cfRule type="cellIs" dxfId="8548" priority="9614" operator="greaterThan">
      <formula>1</formula>
    </cfRule>
    <cfRule type="cellIs" dxfId="8547" priority="9615" operator="between">
      <formula>0.95</formula>
      <formula>1</formula>
    </cfRule>
    <cfRule type="cellIs" dxfId="8546" priority="9616" stopIfTrue="1" operator="between">
      <formula>0</formula>
      <formula>0.5</formula>
    </cfRule>
  </conditionalFormatting>
  <conditionalFormatting sqref="X299">
    <cfRule type="cellIs" dxfId="8545" priority="9607" operator="between">
      <formula>0.76</formula>
      <formula>0.95</formula>
    </cfRule>
    <cfRule type="cellIs" dxfId="8544" priority="9608" operator="between">
      <formula>0.51</formula>
      <formula>0.75</formula>
    </cfRule>
    <cfRule type="cellIs" dxfId="8543" priority="9609" operator="greaterThan">
      <formula>1</formula>
    </cfRule>
    <cfRule type="cellIs" dxfId="8542" priority="9610" operator="between">
      <formula>0.95</formula>
      <formula>1</formula>
    </cfRule>
    <cfRule type="cellIs" dxfId="8541" priority="9611" stopIfTrue="1" operator="between">
      <formula>0</formula>
      <formula>0.5</formula>
    </cfRule>
  </conditionalFormatting>
  <conditionalFormatting sqref="I300:J301 AD300:AG301 P300:P301 W301">
    <cfRule type="cellIs" dxfId="8540" priority="9590" operator="between">
      <formula>0.76</formula>
      <formula>0.95</formula>
    </cfRule>
    <cfRule type="cellIs" dxfId="8539" priority="9591" operator="between">
      <formula>0.51</formula>
      <formula>0.75</formula>
    </cfRule>
    <cfRule type="cellIs" dxfId="8538" priority="9592" operator="greaterThan">
      <formula>1</formula>
    </cfRule>
    <cfRule type="cellIs" dxfId="8537" priority="9593" operator="between">
      <formula>0.95</formula>
      <formula>1</formula>
    </cfRule>
    <cfRule type="cellIs" dxfId="8536" priority="9594" stopIfTrue="1" operator="between">
      <formula>0</formula>
      <formula>0.5</formula>
    </cfRule>
  </conditionalFormatting>
  <conditionalFormatting sqref="R300:R301">
    <cfRule type="cellIs" dxfId="8535" priority="9585" operator="between">
      <formula>0.3751</formula>
      <formula>0.475</formula>
    </cfRule>
    <cfRule type="cellIs" dxfId="8534" priority="9586" operator="between">
      <formula>0.2551</formula>
      <formula>0.375</formula>
    </cfRule>
    <cfRule type="cellIs" dxfId="8533" priority="9587" operator="greaterThan">
      <formula>0.505</formula>
    </cfRule>
    <cfRule type="cellIs" dxfId="8532" priority="9588" operator="between">
      <formula>0.48</formula>
      <formula>0.5</formula>
    </cfRule>
    <cfRule type="cellIs" dxfId="8531" priority="9589" stopIfTrue="1" operator="between">
      <formula>0</formula>
      <formula>0.255</formula>
    </cfRule>
  </conditionalFormatting>
  <conditionalFormatting sqref="K300:K301">
    <cfRule type="cellIs" dxfId="8530" priority="9580" operator="between">
      <formula>0.191</formula>
      <formula>0.24</formula>
    </cfRule>
    <cfRule type="cellIs" dxfId="8529" priority="9581" operator="between">
      <formula>0.1251</formula>
      <formula>0.19</formula>
    </cfRule>
    <cfRule type="cellIs" dxfId="8528" priority="9582" operator="greaterThan">
      <formula>0.2601</formula>
    </cfRule>
    <cfRule type="cellIs" dxfId="8527" priority="9583" operator="between">
      <formula>0.2401</formula>
      <formula>0.26</formula>
    </cfRule>
    <cfRule type="cellIs" dxfId="8526" priority="9584" stopIfTrue="1" operator="between">
      <formula>0</formula>
      <formula>0.125</formula>
    </cfRule>
  </conditionalFormatting>
  <conditionalFormatting sqref="T300:T301">
    <cfRule type="cellIs" dxfId="8525" priority="9570" operator="between">
      <formula>0.376</formula>
      <formula>0.475</formula>
    </cfRule>
    <cfRule type="cellIs" dxfId="8524" priority="9571" operator="between">
      <formula>0.2551</formula>
      <formula>0.3751</formula>
    </cfRule>
    <cfRule type="cellIs" dxfId="8523" priority="9572" operator="greaterThan">
      <formula>0.505</formula>
    </cfRule>
    <cfRule type="cellIs" dxfId="8522" priority="9573" operator="between">
      <formula>0.48</formula>
      <formula>0.5</formula>
    </cfRule>
    <cfRule type="cellIs" dxfId="8521" priority="9574" stopIfTrue="1" operator="between">
      <formula>0</formula>
      <formula>0.255</formula>
    </cfRule>
  </conditionalFormatting>
  <conditionalFormatting sqref="Q300:Q301">
    <cfRule type="cellIs" dxfId="8520" priority="9555" operator="between">
      <formula>0.76</formula>
      <formula>0.95</formula>
    </cfRule>
    <cfRule type="cellIs" dxfId="8519" priority="9556" operator="between">
      <formula>0.51</formula>
      <formula>0.75</formula>
    </cfRule>
    <cfRule type="cellIs" dxfId="8518" priority="9557" operator="greaterThan">
      <formula>1</formula>
    </cfRule>
    <cfRule type="cellIs" dxfId="8517" priority="9558" operator="between">
      <formula>0.95</formula>
      <formula>1</formula>
    </cfRule>
    <cfRule type="cellIs" dxfId="8516" priority="9559" stopIfTrue="1" operator="between">
      <formula>0</formula>
      <formula>0.5</formula>
    </cfRule>
  </conditionalFormatting>
  <conditionalFormatting sqref="X300:X301">
    <cfRule type="cellIs" dxfId="8515" priority="9550" operator="between">
      <formula>0.76</formula>
      <formula>0.95</formula>
    </cfRule>
    <cfRule type="cellIs" dxfId="8514" priority="9551" operator="between">
      <formula>0.51</formula>
      <formula>0.75</formula>
    </cfRule>
    <cfRule type="cellIs" dxfId="8513" priority="9552" operator="greaterThan">
      <formula>1</formula>
    </cfRule>
    <cfRule type="cellIs" dxfId="8512" priority="9553" operator="between">
      <formula>0.95</formula>
      <formula>1</formula>
    </cfRule>
    <cfRule type="cellIs" dxfId="8511" priority="9554" stopIfTrue="1" operator="between">
      <formula>0</formula>
      <formula>0.5</formula>
    </cfRule>
  </conditionalFormatting>
  <conditionalFormatting sqref="I377 I380">
    <cfRule type="cellIs" dxfId="8510" priority="9534" operator="between">
      <formula>0.76</formula>
      <formula>0.95</formula>
    </cfRule>
    <cfRule type="cellIs" dxfId="8509" priority="9535" operator="between">
      <formula>0.51</formula>
      <formula>0.75</formula>
    </cfRule>
    <cfRule type="cellIs" dxfId="8508" priority="9536" operator="greaterThan">
      <formula>1</formula>
    </cfRule>
    <cfRule type="cellIs" dxfId="8507" priority="9537" operator="between">
      <formula>0.95</formula>
      <formula>1</formula>
    </cfRule>
    <cfRule type="cellIs" dxfId="8506" priority="9538" stopIfTrue="1" operator="between">
      <formula>0</formula>
      <formula>0.5</formula>
    </cfRule>
  </conditionalFormatting>
  <conditionalFormatting sqref="Q377">
    <cfRule type="cellIs" dxfId="8505" priority="9529" operator="between">
      <formula>0.76</formula>
      <formula>0.95</formula>
    </cfRule>
    <cfRule type="cellIs" dxfId="8504" priority="9530" operator="between">
      <formula>0.51</formula>
      <formula>0.75</formula>
    </cfRule>
    <cfRule type="cellIs" dxfId="8503" priority="9531" operator="greaterThan">
      <formula>1</formula>
    </cfRule>
    <cfRule type="cellIs" dxfId="8502" priority="9532" operator="between">
      <formula>0.95</formula>
      <formula>1</formula>
    </cfRule>
    <cfRule type="cellIs" dxfId="8501" priority="9533" stopIfTrue="1" operator="between">
      <formula>0</formula>
      <formula>0.5</formula>
    </cfRule>
  </conditionalFormatting>
  <conditionalFormatting sqref="P377 P380">
    <cfRule type="cellIs" dxfId="8500" priority="9524" operator="between">
      <formula>0.76</formula>
      <formula>0.95</formula>
    </cfRule>
    <cfRule type="cellIs" dxfId="8499" priority="9525" operator="between">
      <formula>0.51</formula>
      <formula>0.75</formula>
    </cfRule>
    <cfRule type="cellIs" dxfId="8498" priority="9526" operator="greaterThan">
      <formula>1</formula>
    </cfRule>
    <cfRule type="cellIs" dxfId="8497" priority="9527" operator="between">
      <formula>0.95</formula>
      <formula>1</formula>
    </cfRule>
    <cfRule type="cellIs" dxfId="8496" priority="9528" stopIfTrue="1" operator="between">
      <formula>0</formula>
      <formula>0.5</formula>
    </cfRule>
  </conditionalFormatting>
  <conditionalFormatting sqref="W377 W380">
    <cfRule type="cellIs" dxfId="8495" priority="9519" operator="between">
      <formula>0.76</formula>
      <formula>0.95</formula>
    </cfRule>
    <cfRule type="cellIs" dxfId="8494" priority="9520" operator="between">
      <formula>0.51</formula>
      <formula>0.75</formula>
    </cfRule>
    <cfRule type="cellIs" dxfId="8493" priority="9521" operator="greaterThan">
      <formula>1</formula>
    </cfRule>
    <cfRule type="cellIs" dxfId="8492" priority="9522" operator="between">
      <formula>0.95</formula>
      <formula>1</formula>
    </cfRule>
    <cfRule type="cellIs" dxfId="8491" priority="9523" stopIfTrue="1" operator="between">
      <formula>0</formula>
      <formula>0.5</formula>
    </cfRule>
  </conditionalFormatting>
  <conditionalFormatting sqref="AD377 AD380">
    <cfRule type="cellIs" dxfId="8490" priority="9514" operator="between">
      <formula>0.76</formula>
      <formula>0.95</formula>
    </cfRule>
    <cfRule type="cellIs" dxfId="8489" priority="9515" operator="between">
      <formula>0.51</formula>
      <formula>0.75</formula>
    </cfRule>
    <cfRule type="cellIs" dxfId="8488" priority="9516" operator="greaterThan">
      <formula>1</formula>
    </cfRule>
    <cfRule type="cellIs" dxfId="8487" priority="9517" operator="between">
      <formula>0.95</formula>
      <formula>1</formula>
    </cfRule>
    <cfRule type="cellIs" dxfId="8486" priority="9518" stopIfTrue="1" operator="between">
      <formula>0</formula>
      <formula>0.5</formula>
    </cfRule>
  </conditionalFormatting>
  <conditionalFormatting sqref="AF377 AF380">
    <cfRule type="cellIs" dxfId="8485" priority="9504" operator="between">
      <formula>0.76</formula>
      <formula>0.95</formula>
    </cfRule>
    <cfRule type="cellIs" dxfId="8484" priority="9505" operator="between">
      <formula>0.51</formula>
      <formula>0.75</formula>
    </cfRule>
    <cfRule type="cellIs" dxfId="8483" priority="9506" operator="greaterThan">
      <formula>1</formula>
    </cfRule>
    <cfRule type="cellIs" dxfId="8482" priority="9507" operator="between">
      <formula>0.95</formula>
      <formula>1</formula>
    </cfRule>
    <cfRule type="cellIs" dxfId="8481" priority="9508" stopIfTrue="1" operator="between">
      <formula>0</formula>
      <formula>0.5</formula>
    </cfRule>
  </conditionalFormatting>
  <conditionalFormatting sqref="K377 K380">
    <cfRule type="cellIs" dxfId="8480" priority="9488" operator="between">
      <formula>0.191</formula>
      <formula>0.24</formula>
    </cfRule>
    <cfRule type="cellIs" dxfId="8479" priority="9489" operator="between">
      <formula>0.1251</formula>
      <formula>0.19</formula>
    </cfRule>
    <cfRule type="cellIs" dxfId="8478" priority="9490" operator="greaterThan">
      <formula>0.2601</formula>
    </cfRule>
    <cfRule type="cellIs" dxfId="8477" priority="9491" operator="between">
      <formula>0.2401</formula>
      <formula>0.26</formula>
    </cfRule>
    <cfRule type="cellIs" dxfId="8476" priority="9492" stopIfTrue="1" operator="between">
      <formula>0</formula>
      <formula>0.125</formula>
    </cfRule>
  </conditionalFormatting>
  <conditionalFormatting sqref="R377 R380">
    <cfRule type="cellIs" dxfId="8475" priority="9483" operator="between">
      <formula>0.3751</formula>
      <formula>0.475</formula>
    </cfRule>
    <cfRule type="cellIs" dxfId="8474" priority="9484" operator="between">
      <formula>0.2551</formula>
      <formula>0.375</formula>
    </cfRule>
    <cfRule type="cellIs" dxfId="8473" priority="9485" operator="greaterThan">
      <formula>0.505</formula>
    </cfRule>
    <cfRule type="cellIs" dxfId="8472" priority="9486" operator="between">
      <formula>0.48</formula>
      <formula>0.5</formula>
    </cfRule>
    <cfRule type="cellIs" dxfId="8471" priority="9487" stopIfTrue="1" operator="between">
      <formula>0</formula>
      <formula>0.255</formula>
    </cfRule>
  </conditionalFormatting>
  <conditionalFormatting sqref="T377 T380">
    <cfRule type="cellIs" dxfId="8470" priority="9478" operator="between">
      <formula>0.376</formula>
      <formula>0.475</formula>
    </cfRule>
    <cfRule type="cellIs" dxfId="8469" priority="9479" operator="between">
      <formula>0.2551</formula>
      <formula>0.3751</formula>
    </cfRule>
    <cfRule type="cellIs" dxfId="8468" priority="9480" operator="greaterThan">
      <formula>0.505</formula>
    </cfRule>
    <cfRule type="cellIs" dxfId="8467" priority="9481" operator="between">
      <formula>0.48</formula>
      <formula>0.5</formula>
    </cfRule>
    <cfRule type="cellIs" dxfId="8466" priority="9482" stopIfTrue="1" operator="between">
      <formula>0</formula>
      <formula>0.255</formula>
    </cfRule>
  </conditionalFormatting>
  <conditionalFormatting sqref="X380">
    <cfRule type="cellIs" dxfId="8465" priority="9473" operator="between">
      <formula>0.76</formula>
      <formula>0.95</formula>
    </cfRule>
    <cfRule type="cellIs" dxfId="8464" priority="9474" operator="between">
      <formula>0.51</formula>
      <formula>0.75</formula>
    </cfRule>
    <cfRule type="cellIs" dxfId="8463" priority="9475" operator="greaterThan">
      <formula>1</formula>
    </cfRule>
    <cfRule type="cellIs" dxfId="8462" priority="9476" operator="between">
      <formula>0.95</formula>
      <formula>1</formula>
    </cfRule>
    <cfRule type="cellIs" dxfId="8461" priority="9477" stopIfTrue="1" operator="between">
      <formula>0</formula>
      <formula>0.5</formula>
    </cfRule>
  </conditionalFormatting>
  <conditionalFormatting sqref="AE380">
    <cfRule type="cellIs" dxfId="8460" priority="9463" operator="between">
      <formula>0.76</formula>
      <formula>0.95</formula>
    </cfRule>
    <cfRule type="cellIs" dxfId="8459" priority="9464" operator="between">
      <formula>0.51</formula>
      <formula>0.75</formula>
    </cfRule>
    <cfRule type="cellIs" dxfId="8458" priority="9465" operator="greaterThan">
      <formula>1</formula>
    </cfRule>
    <cfRule type="cellIs" dxfId="8457" priority="9466" operator="between">
      <formula>0.95</formula>
      <formula>1</formula>
    </cfRule>
    <cfRule type="cellIs" dxfId="8456" priority="9467" stopIfTrue="1" operator="between">
      <formula>0</formula>
      <formula>0.5</formula>
    </cfRule>
  </conditionalFormatting>
  <conditionalFormatting sqref="AG377 AG380">
    <cfRule type="cellIs" dxfId="8455" priority="9458" operator="between">
      <formula>0.76</formula>
      <formula>0.95</formula>
    </cfRule>
    <cfRule type="cellIs" dxfId="8454" priority="9459" operator="between">
      <formula>0.51</formula>
      <formula>0.75</formula>
    </cfRule>
    <cfRule type="cellIs" dxfId="8453" priority="9460" operator="greaterThan">
      <formula>1</formula>
    </cfRule>
    <cfRule type="cellIs" dxfId="8452" priority="9461" operator="between">
      <formula>0.95</formula>
      <formula>1</formula>
    </cfRule>
    <cfRule type="cellIs" dxfId="8451" priority="9462" stopIfTrue="1" operator="between">
      <formula>0</formula>
      <formula>0.5</formula>
    </cfRule>
  </conditionalFormatting>
  <conditionalFormatting sqref="J377">
    <cfRule type="cellIs" dxfId="8450" priority="9453" operator="between">
      <formula>0.76</formula>
      <formula>0.95</formula>
    </cfRule>
    <cfRule type="cellIs" dxfId="8449" priority="9454" operator="between">
      <formula>0.51</formula>
      <formula>0.75</formula>
    </cfRule>
    <cfRule type="cellIs" dxfId="8448" priority="9455" operator="greaterThan">
      <formula>1</formula>
    </cfRule>
    <cfRule type="cellIs" dxfId="8447" priority="9456" operator="between">
      <formula>0.95</formula>
      <formula>1</formula>
    </cfRule>
    <cfRule type="cellIs" dxfId="8446" priority="9457" stopIfTrue="1" operator="between">
      <formula>0</formula>
      <formula>0.5</formula>
    </cfRule>
  </conditionalFormatting>
  <conditionalFormatting sqref="M376">
    <cfRule type="cellIs" dxfId="8445" priority="9442" operator="between">
      <formula>0.191</formula>
      <formula>0.24</formula>
    </cfRule>
    <cfRule type="cellIs" dxfId="8444" priority="9443" operator="between">
      <formula>0.1251</formula>
      <formula>0.19</formula>
    </cfRule>
    <cfRule type="cellIs" dxfId="8443" priority="9444" operator="greaterThan">
      <formula>0.2601</formula>
    </cfRule>
    <cfRule type="cellIs" dxfId="8442" priority="9445" operator="between">
      <formula>0.2401</formula>
      <formula>0.26</formula>
    </cfRule>
    <cfRule type="cellIs" dxfId="8441" priority="9446" stopIfTrue="1" operator="between">
      <formula>0</formula>
      <formula>0.125</formula>
    </cfRule>
  </conditionalFormatting>
  <conditionalFormatting sqref="X377">
    <cfRule type="cellIs" dxfId="8440" priority="9432" operator="between">
      <formula>0.76</formula>
      <formula>0.95</formula>
    </cfRule>
    <cfRule type="cellIs" dxfId="8439" priority="9433" operator="between">
      <formula>0.51</formula>
      <formula>0.75</formula>
    </cfRule>
    <cfRule type="cellIs" dxfId="8438" priority="9434" operator="greaterThan">
      <formula>1</formula>
    </cfRule>
    <cfRule type="cellIs" dxfId="8437" priority="9435" operator="between">
      <formula>0.95</formula>
      <formula>1</formula>
    </cfRule>
    <cfRule type="cellIs" dxfId="8436" priority="9436" stopIfTrue="1" operator="between">
      <formula>0</formula>
      <formula>0.5</formula>
    </cfRule>
  </conditionalFormatting>
  <conditionalFormatting sqref="AE377">
    <cfRule type="cellIs" dxfId="8435" priority="9427" operator="between">
      <formula>0.76</formula>
      <formula>0.95</formula>
    </cfRule>
    <cfRule type="cellIs" dxfId="8434" priority="9428" operator="between">
      <formula>0.51</formula>
      <formula>0.75</formula>
    </cfRule>
    <cfRule type="cellIs" dxfId="8433" priority="9429" operator="greaterThan">
      <formula>1</formula>
    </cfRule>
    <cfRule type="cellIs" dxfId="8432" priority="9430" operator="between">
      <formula>0.95</formula>
      <formula>1</formula>
    </cfRule>
    <cfRule type="cellIs" dxfId="8431" priority="9431" stopIfTrue="1" operator="between">
      <formula>0</formula>
      <formula>0.5</formula>
    </cfRule>
  </conditionalFormatting>
  <conditionalFormatting sqref="J380">
    <cfRule type="cellIs" dxfId="8430" priority="9422" operator="between">
      <formula>0.76</formula>
      <formula>0.95</formula>
    </cfRule>
    <cfRule type="cellIs" dxfId="8429" priority="9423" operator="between">
      <formula>0.51</formula>
      <formula>0.75</formula>
    </cfRule>
    <cfRule type="cellIs" dxfId="8428" priority="9424" operator="greaterThan">
      <formula>1</formula>
    </cfRule>
    <cfRule type="cellIs" dxfId="8427" priority="9425" operator="between">
      <formula>0.95</formula>
      <formula>1</formula>
    </cfRule>
    <cfRule type="cellIs" dxfId="8426" priority="9426" stopIfTrue="1" operator="between">
      <formula>0</formula>
      <formula>0.5</formula>
    </cfRule>
  </conditionalFormatting>
  <conditionalFormatting sqref="Q380">
    <cfRule type="cellIs" dxfId="8425" priority="9417" operator="between">
      <formula>0.76</formula>
      <formula>0.95</formula>
    </cfRule>
    <cfRule type="cellIs" dxfId="8424" priority="9418" operator="between">
      <formula>0.51</formula>
      <formula>0.75</formula>
    </cfRule>
    <cfRule type="cellIs" dxfId="8423" priority="9419" operator="greaterThan">
      <formula>1</formula>
    </cfRule>
    <cfRule type="cellIs" dxfId="8422" priority="9420" operator="between">
      <formula>0.95</formula>
      <formula>1</formula>
    </cfRule>
    <cfRule type="cellIs" dxfId="8421" priority="9421" stopIfTrue="1" operator="between">
      <formula>0</formula>
      <formula>0.5</formula>
    </cfRule>
  </conditionalFormatting>
  <conditionalFormatting sqref="I265">
    <cfRule type="cellIs" dxfId="8420" priority="9390" operator="between">
      <formula>0.76</formula>
      <formula>0.95</formula>
    </cfRule>
    <cfRule type="cellIs" dxfId="8419" priority="9391" operator="between">
      <formula>0.51</formula>
      <formula>0.75</formula>
    </cfRule>
    <cfRule type="cellIs" dxfId="8418" priority="9392" operator="greaterThan">
      <formula>1</formula>
    </cfRule>
    <cfRule type="cellIs" dxfId="8417" priority="9393" operator="between">
      <formula>0.95</formula>
      <formula>1</formula>
    </cfRule>
    <cfRule type="cellIs" dxfId="8416" priority="9394" stopIfTrue="1" operator="between">
      <formula>0</formula>
      <formula>0.5</formula>
    </cfRule>
  </conditionalFormatting>
  <conditionalFormatting sqref="K265">
    <cfRule type="cellIs" dxfId="8415" priority="9385" operator="between">
      <formula>0.191</formula>
      <formula>0.24</formula>
    </cfRule>
    <cfRule type="cellIs" dxfId="8414" priority="9386" operator="between">
      <formula>0.1251</formula>
      <formula>0.19</formula>
    </cfRule>
    <cfRule type="cellIs" dxfId="8413" priority="9387" operator="greaterThan">
      <formula>0.2601</formula>
    </cfRule>
    <cfRule type="cellIs" dxfId="8412" priority="9388" operator="between">
      <formula>0.2401</formula>
      <formula>0.26</formula>
    </cfRule>
    <cfRule type="cellIs" dxfId="8411" priority="9389" stopIfTrue="1" operator="between">
      <formula>0</formula>
      <formula>0.125</formula>
    </cfRule>
  </conditionalFormatting>
  <conditionalFormatting sqref="P265">
    <cfRule type="cellIs" dxfId="8410" priority="9380" operator="between">
      <formula>0.76</formula>
      <formula>0.95</formula>
    </cfRule>
    <cfRule type="cellIs" dxfId="8409" priority="9381" operator="between">
      <formula>0.51</formula>
      <formula>0.75</formula>
    </cfRule>
    <cfRule type="cellIs" dxfId="8408" priority="9382" operator="greaterThan">
      <formula>1</formula>
    </cfRule>
    <cfRule type="cellIs" dxfId="8407" priority="9383" operator="between">
      <formula>0.95</formula>
      <formula>1</formula>
    </cfRule>
    <cfRule type="cellIs" dxfId="8406" priority="9384" stopIfTrue="1" operator="between">
      <formula>0</formula>
      <formula>0.5</formula>
    </cfRule>
  </conditionalFormatting>
  <conditionalFormatting sqref="W265">
    <cfRule type="cellIs" dxfId="8405" priority="9375" operator="between">
      <formula>0.76</formula>
      <formula>0.95</formula>
    </cfRule>
    <cfRule type="cellIs" dxfId="8404" priority="9376" operator="between">
      <formula>0.51</formula>
      <formula>0.75</formula>
    </cfRule>
    <cfRule type="cellIs" dxfId="8403" priority="9377" operator="greaterThan">
      <formula>1</formula>
    </cfRule>
    <cfRule type="cellIs" dxfId="8402" priority="9378" operator="between">
      <formula>0.95</formula>
      <formula>1</formula>
    </cfRule>
    <cfRule type="cellIs" dxfId="8401" priority="9379" stopIfTrue="1" operator="between">
      <formula>0</formula>
      <formula>0.5</formula>
    </cfRule>
  </conditionalFormatting>
  <conditionalFormatting sqref="AD265">
    <cfRule type="cellIs" dxfId="8400" priority="9365" operator="between">
      <formula>0.76</formula>
      <formula>0.95</formula>
    </cfRule>
    <cfRule type="cellIs" dxfId="8399" priority="9366" operator="between">
      <formula>0.51</formula>
      <formula>0.75</formula>
    </cfRule>
    <cfRule type="cellIs" dxfId="8398" priority="9367" operator="greaterThan">
      <formula>1</formula>
    </cfRule>
    <cfRule type="cellIs" dxfId="8397" priority="9368" operator="between">
      <formula>0.95</formula>
      <formula>1</formula>
    </cfRule>
    <cfRule type="cellIs" dxfId="8396" priority="9369" stopIfTrue="1" operator="between">
      <formula>0</formula>
      <formula>0.5</formula>
    </cfRule>
  </conditionalFormatting>
  <conditionalFormatting sqref="AF265">
    <cfRule type="cellIs" dxfId="8395" priority="9360" operator="between">
      <formula>0.76</formula>
      <formula>0.95</formula>
    </cfRule>
    <cfRule type="cellIs" dxfId="8394" priority="9361" operator="between">
      <formula>0.51</formula>
      <formula>0.75</formula>
    </cfRule>
    <cfRule type="cellIs" dxfId="8393" priority="9362" operator="greaterThan">
      <formula>1</formula>
    </cfRule>
    <cfRule type="cellIs" dxfId="8392" priority="9363" operator="between">
      <formula>0.95</formula>
      <formula>1</formula>
    </cfRule>
    <cfRule type="cellIs" dxfId="8391" priority="9364" stopIfTrue="1" operator="between">
      <formula>0</formula>
      <formula>0.5</formula>
    </cfRule>
  </conditionalFormatting>
  <conditionalFormatting sqref="R265">
    <cfRule type="cellIs" dxfId="8390" priority="9355" operator="between">
      <formula>0.3751</formula>
      <formula>0.475</formula>
    </cfRule>
    <cfRule type="cellIs" dxfId="8389" priority="9356" operator="between">
      <formula>0.2551</formula>
      <formula>0.375</formula>
    </cfRule>
    <cfRule type="cellIs" dxfId="8388" priority="9357" operator="greaterThan">
      <formula>0.505</formula>
    </cfRule>
    <cfRule type="cellIs" dxfId="8387" priority="9358" operator="between">
      <formula>0.48</formula>
      <formula>0.5</formula>
    </cfRule>
    <cfRule type="cellIs" dxfId="8386" priority="9359" stopIfTrue="1" operator="between">
      <formula>0</formula>
      <formula>0.255</formula>
    </cfRule>
  </conditionalFormatting>
  <conditionalFormatting sqref="X265">
    <cfRule type="cellIs" dxfId="8385" priority="9345" operator="between">
      <formula>0.76</formula>
      <formula>0.95</formula>
    </cfRule>
    <cfRule type="cellIs" dxfId="8384" priority="9346" operator="between">
      <formula>0.51</formula>
      <formula>0.75</formula>
    </cfRule>
    <cfRule type="cellIs" dxfId="8383" priority="9347" operator="greaterThan">
      <formula>1</formula>
    </cfRule>
    <cfRule type="cellIs" dxfId="8382" priority="9348" operator="between">
      <formula>0.95</formula>
      <formula>1</formula>
    </cfRule>
    <cfRule type="cellIs" dxfId="8381" priority="9349" stopIfTrue="1" operator="between">
      <formula>0</formula>
      <formula>0.5</formula>
    </cfRule>
  </conditionalFormatting>
  <conditionalFormatting sqref="AE265">
    <cfRule type="cellIs" dxfId="8380" priority="9335" operator="between">
      <formula>0.76</formula>
      <formula>0.95</formula>
    </cfRule>
    <cfRule type="cellIs" dxfId="8379" priority="9336" operator="between">
      <formula>0.51</formula>
      <formula>0.75</formula>
    </cfRule>
    <cfRule type="cellIs" dxfId="8378" priority="9337" operator="greaterThan">
      <formula>1</formula>
    </cfRule>
    <cfRule type="cellIs" dxfId="8377" priority="9338" operator="between">
      <formula>0.95</formula>
      <formula>1</formula>
    </cfRule>
    <cfRule type="cellIs" dxfId="8376" priority="9339" stopIfTrue="1" operator="between">
      <formula>0</formula>
      <formula>0.5</formula>
    </cfRule>
  </conditionalFormatting>
  <conditionalFormatting sqref="AG265">
    <cfRule type="cellIs" dxfId="8375" priority="9330" operator="between">
      <formula>0.76</formula>
      <formula>0.95</formula>
    </cfRule>
    <cfRule type="cellIs" dxfId="8374" priority="9331" operator="between">
      <formula>0.51</formula>
      <formula>0.75</formula>
    </cfRule>
    <cfRule type="cellIs" dxfId="8373" priority="9332" operator="greaterThan">
      <formula>1</formula>
    </cfRule>
    <cfRule type="cellIs" dxfId="8372" priority="9333" operator="between">
      <formula>0.95</formula>
      <formula>1</formula>
    </cfRule>
    <cfRule type="cellIs" dxfId="8371" priority="9334" stopIfTrue="1" operator="between">
      <formula>0</formula>
      <formula>0.5</formula>
    </cfRule>
  </conditionalFormatting>
  <conditionalFormatting sqref="J265">
    <cfRule type="cellIs" dxfId="8370" priority="9325" operator="between">
      <formula>0.76</formula>
      <formula>0.95</formula>
    </cfRule>
    <cfRule type="cellIs" dxfId="8369" priority="9326" operator="between">
      <formula>0.51</formula>
      <formula>0.75</formula>
    </cfRule>
    <cfRule type="cellIs" dxfId="8368" priority="9327" operator="greaterThan">
      <formula>1</formula>
    </cfRule>
    <cfRule type="cellIs" dxfId="8367" priority="9328" operator="between">
      <formula>0.95</formula>
      <formula>1</formula>
    </cfRule>
    <cfRule type="cellIs" dxfId="8366" priority="9329" stopIfTrue="1" operator="between">
      <formula>0</formula>
      <formula>0.5</formula>
    </cfRule>
  </conditionalFormatting>
  <conditionalFormatting sqref="Q265">
    <cfRule type="cellIs" dxfId="8365" priority="9320" operator="between">
      <formula>0.76</formula>
      <formula>0.95</formula>
    </cfRule>
    <cfRule type="cellIs" dxfId="8364" priority="9321" operator="between">
      <formula>0.51</formula>
      <formula>0.75</formula>
    </cfRule>
    <cfRule type="cellIs" dxfId="8363" priority="9322" operator="greaterThan">
      <formula>1</formula>
    </cfRule>
    <cfRule type="cellIs" dxfId="8362" priority="9323" operator="between">
      <formula>0.95</formula>
      <formula>1</formula>
    </cfRule>
    <cfRule type="cellIs" dxfId="8361" priority="9324" stopIfTrue="1" operator="between">
      <formula>0</formula>
      <formula>0.5</formula>
    </cfRule>
  </conditionalFormatting>
  <conditionalFormatting sqref="I266">
    <cfRule type="cellIs" dxfId="8360" priority="9293" operator="between">
      <formula>0.76</formula>
      <formula>0.95</formula>
    </cfRule>
    <cfRule type="cellIs" dxfId="8359" priority="9294" operator="between">
      <formula>0.51</formula>
      <formula>0.75</formula>
    </cfRule>
    <cfRule type="cellIs" dxfId="8358" priority="9295" operator="greaterThan">
      <formula>1</formula>
    </cfRule>
    <cfRule type="cellIs" dxfId="8357" priority="9296" operator="between">
      <formula>0.95</formula>
      <formula>1</formula>
    </cfRule>
    <cfRule type="cellIs" dxfId="8356" priority="9297" stopIfTrue="1" operator="between">
      <formula>0</formula>
      <formula>0.5</formula>
    </cfRule>
  </conditionalFormatting>
  <conditionalFormatting sqref="K266">
    <cfRule type="cellIs" dxfId="8355" priority="9288" operator="between">
      <formula>0.191</formula>
      <formula>0.24</formula>
    </cfRule>
    <cfRule type="cellIs" dxfId="8354" priority="9289" operator="between">
      <formula>0.1251</formula>
      <formula>0.19</formula>
    </cfRule>
    <cfRule type="cellIs" dxfId="8353" priority="9290" operator="greaterThan">
      <formula>0.2601</formula>
    </cfRule>
    <cfRule type="cellIs" dxfId="8352" priority="9291" operator="between">
      <formula>0.2401</formula>
      <formula>0.26</formula>
    </cfRule>
    <cfRule type="cellIs" dxfId="8351" priority="9292" stopIfTrue="1" operator="between">
      <formula>0</formula>
      <formula>0.125</formula>
    </cfRule>
  </conditionalFormatting>
  <conditionalFormatting sqref="P266">
    <cfRule type="cellIs" dxfId="8350" priority="9283" operator="between">
      <formula>0.76</formula>
      <formula>0.95</formula>
    </cfRule>
    <cfRule type="cellIs" dxfId="8349" priority="9284" operator="between">
      <formula>0.51</formula>
      <formula>0.75</formula>
    </cfRule>
    <cfRule type="cellIs" dxfId="8348" priority="9285" operator="greaterThan">
      <formula>1</formula>
    </cfRule>
    <cfRule type="cellIs" dxfId="8347" priority="9286" operator="between">
      <formula>0.95</formula>
      <formula>1</formula>
    </cfRule>
    <cfRule type="cellIs" dxfId="8346" priority="9287" stopIfTrue="1" operator="between">
      <formula>0</formula>
      <formula>0.5</formula>
    </cfRule>
  </conditionalFormatting>
  <conditionalFormatting sqref="W266">
    <cfRule type="cellIs" dxfId="8345" priority="9278" operator="between">
      <formula>0.76</formula>
      <formula>0.95</formula>
    </cfRule>
    <cfRule type="cellIs" dxfId="8344" priority="9279" operator="between">
      <formula>0.51</formula>
      <formula>0.75</formula>
    </cfRule>
    <cfRule type="cellIs" dxfId="8343" priority="9280" operator="greaterThan">
      <formula>1</formula>
    </cfRule>
    <cfRule type="cellIs" dxfId="8342" priority="9281" operator="between">
      <formula>0.95</formula>
      <formula>1</formula>
    </cfRule>
    <cfRule type="cellIs" dxfId="8341" priority="9282" stopIfTrue="1" operator="between">
      <formula>0</formula>
      <formula>0.5</formula>
    </cfRule>
  </conditionalFormatting>
  <conditionalFormatting sqref="AD266">
    <cfRule type="cellIs" dxfId="8340" priority="9268" operator="between">
      <formula>0.76</formula>
      <formula>0.95</formula>
    </cfRule>
    <cfRule type="cellIs" dxfId="8339" priority="9269" operator="between">
      <formula>0.51</formula>
      <formula>0.75</formula>
    </cfRule>
    <cfRule type="cellIs" dxfId="8338" priority="9270" operator="greaterThan">
      <formula>1</formula>
    </cfRule>
    <cfRule type="cellIs" dxfId="8337" priority="9271" operator="between">
      <formula>0.95</formula>
      <formula>1</formula>
    </cfRule>
    <cfRule type="cellIs" dxfId="8336" priority="9272" stopIfTrue="1" operator="between">
      <formula>0</formula>
      <formula>0.5</formula>
    </cfRule>
  </conditionalFormatting>
  <conditionalFormatting sqref="AF266">
    <cfRule type="cellIs" dxfId="8335" priority="9263" operator="between">
      <formula>0.76</formula>
      <formula>0.95</formula>
    </cfRule>
    <cfRule type="cellIs" dxfId="8334" priority="9264" operator="between">
      <formula>0.51</formula>
      <formula>0.75</formula>
    </cfRule>
    <cfRule type="cellIs" dxfId="8333" priority="9265" operator="greaterThan">
      <formula>1</formula>
    </cfRule>
    <cfRule type="cellIs" dxfId="8332" priority="9266" operator="between">
      <formula>0.95</formula>
      <formula>1</formula>
    </cfRule>
    <cfRule type="cellIs" dxfId="8331" priority="9267" stopIfTrue="1" operator="between">
      <formula>0</formula>
      <formula>0.5</formula>
    </cfRule>
  </conditionalFormatting>
  <conditionalFormatting sqref="R266">
    <cfRule type="cellIs" dxfId="8330" priority="9258" operator="between">
      <formula>0.3751</formula>
      <formula>0.475</formula>
    </cfRule>
    <cfRule type="cellIs" dxfId="8329" priority="9259" operator="between">
      <formula>0.2551</formula>
      <formula>0.375</formula>
    </cfRule>
    <cfRule type="cellIs" dxfId="8328" priority="9260" operator="greaterThan">
      <formula>0.505</formula>
    </cfRule>
    <cfRule type="cellIs" dxfId="8327" priority="9261" operator="between">
      <formula>0.48</formula>
      <formula>0.5</formula>
    </cfRule>
    <cfRule type="cellIs" dxfId="8326" priority="9262" stopIfTrue="1" operator="between">
      <formula>0</formula>
      <formula>0.255</formula>
    </cfRule>
  </conditionalFormatting>
  <conditionalFormatting sqref="X266">
    <cfRule type="cellIs" dxfId="8325" priority="9248" operator="between">
      <formula>0.76</formula>
      <formula>0.95</formula>
    </cfRule>
    <cfRule type="cellIs" dxfId="8324" priority="9249" operator="between">
      <formula>0.51</formula>
      <formula>0.75</formula>
    </cfRule>
    <cfRule type="cellIs" dxfId="8323" priority="9250" operator="greaterThan">
      <formula>1</formula>
    </cfRule>
    <cfRule type="cellIs" dxfId="8322" priority="9251" operator="between">
      <formula>0.95</formula>
      <formula>1</formula>
    </cfRule>
    <cfRule type="cellIs" dxfId="8321" priority="9252" stopIfTrue="1" operator="between">
      <formula>0</formula>
      <formula>0.5</formula>
    </cfRule>
  </conditionalFormatting>
  <conditionalFormatting sqref="AE266">
    <cfRule type="cellIs" dxfId="8320" priority="9238" operator="between">
      <formula>0.76</formula>
      <formula>0.95</formula>
    </cfRule>
    <cfRule type="cellIs" dxfId="8319" priority="9239" operator="between">
      <formula>0.51</formula>
      <formula>0.75</formula>
    </cfRule>
    <cfRule type="cellIs" dxfId="8318" priority="9240" operator="greaterThan">
      <formula>1</formula>
    </cfRule>
    <cfRule type="cellIs" dxfId="8317" priority="9241" operator="between">
      <formula>0.95</formula>
      <formula>1</formula>
    </cfRule>
    <cfRule type="cellIs" dxfId="8316" priority="9242" stopIfTrue="1" operator="between">
      <formula>0</formula>
      <formula>0.5</formula>
    </cfRule>
  </conditionalFormatting>
  <conditionalFormatting sqref="AG266">
    <cfRule type="cellIs" dxfId="8315" priority="9233" operator="between">
      <formula>0.76</formula>
      <formula>0.95</formula>
    </cfRule>
    <cfRule type="cellIs" dxfId="8314" priority="9234" operator="between">
      <formula>0.51</formula>
      <formula>0.75</formula>
    </cfRule>
    <cfRule type="cellIs" dxfId="8313" priority="9235" operator="greaterThan">
      <formula>1</formula>
    </cfRule>
    <cfRule type="cellIs" dxfId="8312" priority="9236" operator="between">
      <formula>0.95</formula>
      <formula>1</formula>
    </cfRule>
    <cfRule type="cellIs" dxfId="8311" priority="9237" stopIfTrue="1" operator="between">
      <formula>0</formula>
      <formula>0.5</formula>
    </cfRule>
  </conditionalFormatting>
  <conditionalFormatting sqref="J266">
    <cfRule type="cellIs" dxfId="8310" priority="9228" operator="between">
      <formula>0.76</formula>
      <formula>0.95</formula>
    </cfRule>
    <cfRule type="cellIs" dxfId="8309" priority="9229" operator="between">
      <formula>0.51</formula>
      <formula>0.75</formula>
    </cfRule>
    <cfRule type="cellIs" dxfId="8308" priority="9230" operator="greaterThan">
      <formula>1</formula>
    </cfRule>
    <cfRule type="cellIs" dxfId="8307" priority="9231" operator="between">
      <formula>0.95</formula>
      <formula>1</formula>
    </cfRule>
    <cfRule type="cellIs" dxfId="8306" priority="9232" stopIfTrue="1" operator="between">
      <formula>0</formula>
      <formula>0.5</formula>
    </cfRule>
  </conditionalFormatting>
  <conditionalFormatting sqref="Q266">
    <cfRule type="cellIs" dxfId="8305" priority="9223" operator="between">
      <formula>0.76</formula>
      <formula>0.95</formula>
    </cfRule>
    <cfRule type="cellIs" dxfId="8304" priority="9224" operator="between">
      <formula>0.51</formula>
      <formula>0.75</formula>
    </cfRule>
    <cfRule type="cellIs" dxfId="8303" priority="9225" operator="greaterThan">
      <formula>1</formula>
    </cfRule>
    <cfRule type="cellIs" dxfId="8302" priority="9226" operator="between">
      <formula>0.95</formula>
      <formula>1</formula>
    </cfRule>
    <cfRule type="cellIs" dxfId="8301" priority="9227" stopIfTrue="1" operator="between">
      <formula>0</formula>
      <formula>0.5</formula>
    </cfRule>
  </conditionalFormatting>
  <conditionalFormatting sqref="J241">
    <cfRule type="cellIs" dxfId="8300" priority="9206" operator="between">
      <formula>0.76</formula>
      <formula>0.95</formula>
    </cfRule>
    <cfRule type="cellIs" dxfId="8299" priority="9207" operator="between">
      <formula>0.51</formula>
      <formula>0.75</formula>
    </cfRule>
    <cfRule type="cellIs" dxfId="8298" priority="9208" operator="greaterThan">
      <formula>1</formula>
    </cfRule>
    <cfRule type="cellIs" dxfId="8297" priority="9209" operator="between">
      <formula>0.95</formula>
      <formula>1</formula>
    </cfRule>
    <cfRule type="cellIs" dxfId="8296" priority="9210" stopIfTrue="1" operator="between">
      <formula>0</formula>
      <formula>0.5</formula>
    </cfRule>
  </conditionalFormatting>
  <conditionalFormatting sqref="I241">
    <cfRule type="cellIs" dxfId="8295" priority="9201" operator="between">
      <formula>0.76</formula>
      <formula>0.95</formula>
    </cfRule>
    <cfRule type="cellIs" dxfId="8294" priority="9202" operator="between">
      <formula>0.51</formula>
      <formula>0.75</formula>
    </cfRule>
    <cfRule type="cellIs" dxfId="8293" priority="9203" operator="greaterThan">
      <formula>1</formula>
    </cfRule>
    <cfRule type="cellIs" dxfId="8292" priority="9204" operator="between">
      <formula>0.95</formula>
      <formula>1</formula>
    </cfRule>
    <cfRule type="cellIs" dxfId="8291" priority="9205" stopIfTrue="1" operator="between">
      <formula>0</formula>
      <formula>0.5</formula>
    </cfRule>
  </conditionalFormatting>
  <conditionalFormatting sqref="Q241">
    <cfRule type="cellIs" dxfId="8290" priority="9196" operator="between">
      <formula>0.76</formula>
      <formula>0.95</formula>
    </cfRule>
    <cfRule type="cellIs" dxfId="8289" priority="9197" operator="between">
      <formula>0.51</formula>
      <formula>0.75</formula>
    </cfRule>
    <cfRule type="cellIs" dxfId="8288" priority="9198" operator="greaterThan">
      <formula>1</formula>
    </cfRule>
    <cfRule type="cellIs" dxfId="8287" priority="9199" operator="between">
      <formula>0.95</formula>
      <formula>1</formula>
    </cfRule>
    <cfRule type="cellIs" dxfId="8286" priority="9200" stopIfTrue="1" operator="between">
      <formula>0</formula>
      <formula>0.5</formula>
    </cfRule>
  </conditionalFormatting>
  <conditionalFormatting sqref="P241">
    <cfRule type="cellIs" dxfId="8285" priority="9191" operator="between">
      <formula>0.76</formula>
      <formula>0.95</formula>
    </cfRule>
    <cfRule type="cellIs" dxfId="8284" priority="9192" operator="between">
      <formula>0.51</formula>
      <formula>0.75</formula>
    </cfRule>
    <cfRule type="cellIs" dxfId="8283" priority="9193" operator="greaterThan">
      <formula>1</formula>
    </cfRule>
    <cfRule type="cellIs" dxfId="8282" priority="9194" operator="between">
      <formula>0.95</formula>
      <formula>1</formula>
    </cfRule>
    <cfRule type="cellIs" dxfId="8281" priority="9195" stopIfTrue="1" operator="between">
      <formula>0</formula>
      <formula>0.5</formula>
    </cfRule>
  </conditionalFormatting>
  <conditionalFormatting sqref="W241">
    <cfRule type="cellIs" dxfId="8280" priority="9186" operator="between">
      <formula>0.76</formula>
      <formula>0.95</formula>
    </cfRule>
    <cfRule type="cellIs" dxfId="8279" priority="9187" operator="between">
      <formula>0.51</formula>
      <formula>0.75</formula>
    </cfRule>
    <cfRule type="cellIs" dxfId="8278" priority="9188" operator="greaterThan">
      <formula>1</formula>
    </cfRule>
    <cfRule type="cellIs" dxfId="8277" priority="9189" operator="between">
      <formula>0.95</formula>
      <formula>1</formula>
    </cfRule>
    <cfRule type="cellIs" dxfId="8276" priority="9190" stopIfTrue="1" operator="between">
      <formula>0</formula>
      <formula>0.5</formula>
    </cfRule>
  </conditionalFormatting>
  <conditionalFormatting sqref="AD241">
    <cfRule type="cellIs" dxfId="8275" priority="9181" operator="between">
      <formula>0.76</formula>
      <formula>0.95</formula>
    </cfRule>
    <cfRule type="cellIs" dxfId="8274" priority="9182" operator="between">
      <formula>0.51</formula>
      <formula>0.75</formula>
    </cfRule>
    <cfRule type="cellIs" dxfId="8273" priority="9183" operator="greaterThan">
      <formula>1</formula>
    </cfRule>
    <cfRule type="cellIs" dxfId="8272" priority="9184" operator="between">
      <formula>0.95</formula>
      <formula>1</formula>
    </cfRule>
    <cfRule type="cellIs" dxfId="8271" priority="9185" stopIfTrue="1" operator="between">
      <formula>0</formula>
      <formula>0.5</formula>
    </cfRule>
  </conditionalFormatting>
  <conditionalFormatting sqref="AF241">
    <cfRule type="cellIs" dxfId="8270" priority="9171" operator="between">
      <formula>0.76</formula>
      <formula>0.95</formula>
    </cfRule>
    <cfRule type="cellIs" dxfId="8269" priority="9172" operator="between">
      <formula>0.51</formula>
      <formula>0.75</formula>
    </cfRule>
    <cfRule type="cellIs" dxfId="8268" priority="9173" operator="greaterThan">
      <formula>1</formula>
    </cfRule>
    <cfRule type="cellIs" dxfId="8267" priority="9174" operator="between">
      <formula>0.95</formula>
      <formula>1</formula>
    </cfRule>
    <cfRule type="cellIs" dxfId="8266" priority="9175" stopIfTrue="1" operator="between">
      <formula>0</formula>
      <formula>0.5</formula>
    </cfRule>
  </conditionalFormatting>
  <conditionalFormatting sqref="K241">
    <cfRule type="cellIs" dxfId="8265" priority="9161" operator="between">
      <formula>0.191</formula>
      <formula>0.24</formula>
    </cfRule>
    <cfRule type="cellIs" dxfId="8264" priority="9162" operator="between">
      <formula>0.1251</formula>
      <formula>0.19</formula>
    </cfRule>
    <cfRule type="cellIs" dxfId="8263" priority="9163" operator="greaterThan">
      <formula>0.2601</formula>
    </cfRule>
    <cfRule type="cellIs" dxfId="8262" priority="9164" operator="between">
      <formula>0.2401</formula>
      <formula>0.26</formula>
    </cfRule>
    <cfRule type="cellIs" dxfId="8261" priority="9165" stopIfTrue="1" operator="between">
      <formula>0</formula>
      <formula>0.125</formula>
    </cfRule>
  </conditionalFormatting>
  <conditionalFormatting sqref="R241">
    <cfRule type="cellIs" dxfId="8260" priority="9156" operator="between">
      <formula>0.3751</formula>
      <formula>0.475</formula>
    </cfRule>
    <cfRule type="cellIs" dxfId="8259" priority="9157" operator="between">
      <formula>0.2551</formula>
      <formula>0.375</formula>
    </cfRule>
    <cfRule type="cellIs" dxfId="8258" priority="9158" operator="greaterThan">
      <formula>0.505</formula>
    </cfRule>
    <cfRule type="cellIs" dxfId="8257" priority="9159" operator="between">
      <formula>0.48</formula>
      <formula>0.5</formula>
    </cfRule>
    <cfRule type="cellIs" dxfId="8256" priority="9160" stopIfTrue="1" operator="between">
      <formula>0</formula>
      <formula>0.255</formula>
    </cfRule>
  </conditionalFormatting>
  <conditionalFormatting sqref="AE242">
    <cfRule type="cellIs" dxfId="8255" priority="9029" operator="between">
      <formula>0.76</formula>
      <formula>0.95</formula>
    </cfRule>
    <cfRule type="cellIs" dxfId="8254" priority="9030" operator="between">
      <formula>0.51</formula>
      <formula>0.75</formula>
    </cfRule>
    <cfRule type="cellIs" dxfId="8253" priority="9031" operator="greaterThan">
      <formula>1</formula>
    </cfRule>
    <cfRule type="cellIs" dxfId="8252" priority="9032" operator="between">
      <formula>0.95</formula>
      <formula>1</formula>
    </cfRule>
    <cfRule type="cellIs" dxfId="8251" priority="9033" stopIfTrue="1" operator="between">
      <formula>0</formula>
      <formula>0.5</formula>
    </cfRule>
  </conditionalFormatting>
  <conditionalFormatting sqref="AE241">
    <cfRule type="cellIs" dxfId="8250" priority="9136" operator="between">
      <formula>0.76</formula>
      <formula>0.95</formula>
    </cfRule>
    <cfRule type="cellIs" dxfId="8249" priority="9137" operator="between">
      <formula>0.51</formula>
      <formula>0.75</formula>
    </cfRule>
    <cfRule type="cellIs" dxfId="8248" priority="9138" operator="greaterThan">
      <formula>1</formula>
    </cfRule>
    <cfRule type="cellIs" dxfId="8247" priority="9139" operator="between">
      <formula>0.95</formula>
      <formula>1</formula>
    </cfRule>
    <cfRule type="cellIs" dxfId="8246" priority="9140" stopIfTrue="1" operator="between">
      <formula>0</formula>
      <formula>0.5</formula>
    </cfRule>
  </conditionalFormatting>
  <conditionalFormatting sqref="AG241">
    <cfRule type="cellIs" dxfId="8245" priority="9131" operator="between">
      <formula>0.76</formula>
      <formula>0.95</formula>
    </cfRule>
    <cfRule type="cellIs" dxfId="8244" priority="9132" operator="between">
      <formula>0.51</formula>
      <formula>0.75</formula>
    </cfRule>
    <cfRule type="cellIs" dxfId="8243" priority="9133" operator="greaterThan">
      <formula>1</formula>
    </cfRule>
    <cfRule type="cellIs" dxfId="8242" priority="9134" operator="between">
      <formula>0.95</formula>
      <formula>1</formula>
    </cfRule>
    <cfRule type="cellIs" dxfId="8241" priority="9135" stopIfTrue="1" operator="between">
      <formula>0</formula>
      <formula>0.5</formula>
    </cfRule>
  </conditionalFormatting>
  <conditionalFormatting sqref="X241">
    <cfRule type="cellIs" dxfId="8240" priority="9116" operator="between">
      <formula>0.76</formula>
      <formula>0.95</formula>
    </cfRule>
    <cfRule type="cellIs" dxfId="8239" priority="9117" operator="between">
      <formula>0.51</formula>
      <formula>0.75</formula>
    </cfRule>
    <cfRule type="cellIs" dxfId="8238" priority="9118" operator="greaterThan">
      <formula>1</formula>
    </cfRule>
    <cfRule type="cellIs" dxfId="8237" priority="9119" operator="between">
      <formula>0.95</formula>
      <formula>1</formula>
    </cfRule>
    <cfRule type="cellIs" dxfId="8236" priority="9120" stopIfTrue="1" operator="between">
      <formula>0</formula>
      <formula>0.5</formula>
    </cfRule>
  </conditionalFormatting>
  <conditionalFormatting sqref="J242">
    <cfRule type="cellIs" dxfId="8235" priority="9094" operator="between">
      <formula>0.76</formula>
      <formula>0.95</formula>
    </cfRule>
    <cfRule type="cellIs" dxfId="8234" priority="9095" operator="between">
      <formula>0.51</formula>
      <formula>0.75</formula>
    </cfRule>
    <cfRule type="cellIs" dxfId="8233" priority="9096" operator="greaterThan">
      <formula>1</formula>
    </cfRule>
    <cfRule type="cellIs" dxfId="8232" priority="9097" operator="between">
      <formula>0.95</formula>
      <formula>1</formula>
    </cfRule>
    <cfRule type="cellIs" dxfId="8231" priority="9098" stopIfTrue="1" operator="between">
      <formula>0</formula>
      <formula>0.5</formula>
    </cfRule>
  </conditionalFormatting>
  <conditionalFormatting sqref="I242">
    <cfRule type="cellIs" dxfId="8230" priority="9089" operator="between">
      <formula>0.76</formula>
      <formula>0.95</formula>
    </cfRule>
    <cfRule type="cellIs" dxfId="8229" priority="9090" operator="between">
      <formula>0.51</formula>
      <formula>0.75</formula>
    </cfRule>
    <cfRule type="cellIs" dxfId="8228" priority="9091" operator="greaterThan">
      <formula>1</formula>
    </cfRule>
    <cfRule type="cellIs" dxfId="8227" priority="9092" operator="between">
      <formula>0.95</formula>
      <formula>1</formula>
    </cfRule>
    <cfRule type="cellIs" dxfId="8226" priority="9093" stopIfTrue="1" operator="between">
      <formula>0</formula>
      <formula>0.5</formula>
    </cfRule>
  </conditionalFormatting>
  <conditionalFormatting sqref="Q242">
    <cfRule type="cellIs" dxfId="8225" priority="9084" operator="between">
      <formula>0.76</formula>
      <formula>0.95</formula>
    </cfRule>
    <cfRule type="cellIs" dxfId="8224" priority="9085" operator="between">
      <formula>0.51</formula>
      <formula>0.75</formula>
    </cfRule>
    <cfRule type="cellIs" dxfId="8223" priority="9086" operator="greaterThan">
      <formula>1</formula>
    </cfRule>
    <cfRule type="cellIs" dxfId="8222" priority="9087" operator="between">
      <formula>0.95</formula>
      <formula>1</formula>
    </cfRule>
    <cfRule type="cellIs" dxfId="8221" priority="9088" stopIfTrue="1" operator="between">
      <formula>0</formula>
      <formula>0.5</formula>
    </cfRule>
  </conditionalFormatting>
  <conditionalFormatting sqref="P242">
    <cfRule type="cellIs" dxfId="8220" priority="9079" operator="between">
      <formula>0.76</formula>
      <formula>0.95</formula>
    </cfRule>
    <cfRule type="cellIs" dxfId="8219" priority="9080" operator="between">
      <formula>0.51</formula>
      <formula>0.75</formula>
    </cfRule>
    <cfRule type="cellIs" dxfId="8218" priority="9081" operator="greaterThan">
      <formula>1</formula>
    </cfRule>
    <cfRule type="cellIs" dxfId="8217" priority="9082" operator="between">
      <formula>0.95</formula>
      <formula>1</formula>
    </cfRule>
    <cfRule type="cellIs" dxfId="8216" priority="9083" stopIfTrue="1" operator="between">
      <formula>0</formula>
      <formula>0.5</formula>
    </cfRule>
  </conditionalFormatting>
  <conditionalFormatting sqref="W242">
    <cfRule type="cellIs" dxfId="8215" priority="9074" operator="between">
      <formula>0.76</formula>
      <formula>0.95</formula>
    </cfRule>
    <cfRule type="cellIs" dxfId="8214" priority="9075" operator="between">
      <formula>0.51</formula>
      <formula>0.75</formula>
    </cfRule>
    <cfRule type="cellIs" dxfId="8213" priority="9076" operator="greaterThan">
      <formula>1</formula>
    </cfRule>
    <cfRule type="cellIs" dxfId="8212" priority="9077" operator="between">
      <formula>0.95</formula>
      <formula>1</formula>
    </cfRule>
    <cfRule type="cellIs" dxfId="8211" priority="9078" stopIfTrue="1" operator="between">
      <formula>0</formula>
      <formula>0.5</formula>
    </cfRule>
  </conditionalFormatting>
  <conditionalFormatting sqref="AD242">
    <cfRule type="cellIs" dxfId="8210" priority="9069" operator="between">
      <formula>0.76</formula>
      <formula>0.95</formula>
    </cfRule>
    <cfRule type="cellIs" dxfId="8209" priority="9070" operator="between">
      <formula>0.51</formula>
      <formula>0.75</formula>
    </cfRule>
    <cfRule type="cellIs" dxfId="8208" priority="9071" operator="greaterThan">
      <formula>1</formula>
    </cfRule>
    <cfRule type="cellIs" dxfId="8207" priority="9072" operator="between">
      <formula>0.95</formula>
      <formula>1</formula>
    </cfRule>
    <cfRule type="cellIs" dxfId="8206" priority="9073" stopIfTrue="1" operator="between">
      <formula>0</formula>
      <formula>0.5</formula>
    </cfRule>
  </conditionalFormatting>
  <conditionalFormatting sqref="AF242">
    <cfRule type="cellIs" dxfId="8205" priority="9059" operator="between">
      <formula>0.76</formula>
      <formula>0.95</formula>
    </cfRule>
    <cfRule type="cellIs" dxfId="8204" priority="9060" operator="between">
      <formula>0.51</formula>
      <formula>0.75</formula>
    </cfRule>
    <cfRule type="cellIs" dxfId="8203" priority="9061" operator="greaterThan">
      <formula>1</formula>
    </cfRule>
    <cfRule type="cellIs" dxfId="8202" priority="9062" operator="between">
      <formula>0.95</formula>
      <formula>1</formula>
    </cfRule>
    <cfRule type="cellIs" dxfId="8201" priority="9063" stopIfTrue="1" operator="between">
      <formula>0</formula>
      <formula>0.5</formula>
    </cfRule>
  </conditionalFormatting>
  <conditionalFormatting sqref="K242">
    <cfRule type="cellIs" dxfId="8200" priority="9049" operator="between">
      <formula>0.191</formula>
      <formula>0.24</formula>
    </cfRule>
    <cfRule type="cellIs" dxfId="8199" priority="9050" operator="between">
      <formula>0.1251</formula>
      <formula>0.19</formula>
    </cfRule>
    <cfRule type="cellIs" dxfId="8198" priority="9051" operator="greaterThan">
      <formula>0.2601</formula>
    </cfRule>
    <cfRule type="cellIs" dxfId="8197" priority="9052" operator="between">
      <formula>0.2401</formula>
      <formula>0.26</formula>
    </cfRule>
    <cfRule type="cellIs" dxfId="8196" priority="9053" stopIfTrue="1" operator="between">
      <formula>0</formula>
      <formula>0.125</formula>
    </cfRule>
  </conditionalFormatting>
  <conditionalFormatting sqref="R242">
    <cfRule type="cellIs" dxfId="8195" priority="9044" operator="between">
      <formula>0.3751</formula>
      <formula>0.475</formula>
    </cfRule>
    <cfRule type="cellIs" dxfId="8194" priority="9045" operator="between">
      <formula>0.2551</formula>
      <formula>0.375</formula>
    </cfRule>
    <cfRule type="cellIs" dxfId="8193" priority="9046" operator="greaterThan">
      <formula>0.505</formula>
    </cfRule>
    <cfRule type="cellIs" dxfId="8192" priority="9047" operator="between">
      <formula>0.48</formula>
      <formula>0.5</formula>
    </cfRule>
    <cfRule type="cellIs" dxfId="8191" priority="9048" stopIfTrue="1" operator="between">
      <formula>0</formula>
      <formula>0.255</formula>
    </cfRule>
  </conditionalFormatting>
  <conditionalFormatting sqref="AG242">
    <cfRule type="cellIs" dxfId="8190" priority="9024" operator="between">
      <formula>0.76</formula>
      <formula>0.95</formula>
    </cfRule>
    <cfRule type="cellIs" dxfId="8189" priority="9025" operator="between">
      <formula>0.51</formula>
      <formula>0.75</formula>
    </cfRule>
    <cfRule type="cellIs" dxfId="8188" priority="9026" operator="greaterThan">
      <formula>1</formula>
    </cfRule>
    <cfRule type="cellIs" dxfId="8187" priority="9027" operator="between">
      <formula>0.95</formula>
      <formula>1</formula>
    </cfRule>
    <cfRule type="cellIs" dxfId="8186" priority="9028" stopIfTrue="1" operator="between">
      <formula>0</formula>
      <formula>0.5</formula>
    </cfRule>
  </conditionalFormatting>
  <conditionalFormatting sqref="X242">
    <cfRule type="cellIs" dxfId="8185" priority="9009" operator="between">
      <formula>0.76</formula>
      <formula>0.95</formula>
    </cfRule>
    <cfRule type="cellIs" dxfId="8184" priority="9010" operator="between">
      <formula>0.51</formula>
      <formula>0.75</formula>
    </cfRule>
    <cfRule type="cellIs" dxfId="8183" priority="9011" operator="greaterThan">
      <formula>1</formula>
    </cfRule>
    <cfRule type="cellIs" dxfId="8182" priority="9012" operator="between">
      <formula>0.95</formula>
      <formula>1</formula>
    </cfRule>
    <cfRule type="cellIs" dxfId="8181" priority="9013" stopIfTrue="1" operator="between">
      <formula>0</formula>
      <formula>0.5</formula>
    </cfRule>
  </conditionalFormatting>
  <conditionalFormatting sqref="J245">
    <cfRule type="cellIs" dxfId="8180" priority="8987" operator="between">
      <formula>0.76</formula>
      <formula>0.95</formula>
    </cfRule>
    <cfRule type="cellIs" dxfId="8179" priority="8988" operator="between">
      <formula>0.51</formula>
      <formula>0.75</formula>
    </cfRule>
    <cfRule type="cellIs" dxfId="8178" priority="8989" operator="greaterThan">
      <formula>1</formula>
    </cfRule>
    <cfRule type="cellIs" dxfId="8177" priority="8990" operator="between">
      <formula>0.95</formula>
      <formula>1</formula>
    </cfRule>
    <cfRule type="cellIs" dxfId="8176" priority="8991" stopIfTrue="1" operator="between">
      <formula>0</formula>
      <formula>0.5</formula>
    </cfRule>
  </conditionalFormatting>
  <conditionalFormatting sqref="I245">
    <cfRule type="cellIs" dxfId="8175" priority="8982" operator="between">
      <formula>0.76</formula>
      <formula>0.95</formula>
    </cfRule>
    <cfRule type="cellIs" dxfId="8174" priority="8983" operator="between">
      <formula>0.51</formula>
      <formula>0.75</formula>
    </cfRule>
    <cfRule type="cellIs" dxfId="8173" priority="8984" operator="greaterThan">
      <formula>1</formula>
    </cfRule>
    <cfRule type="cellIs" dxfId="8172" priority="8985" operator="between">
      <formula>0.95</formula>
      <formula>1</formula>
    </cfRule>
    <cfRule type="cellIs" dxfId="8171" priority="8986" stopIfTrue="1" operator="between">
      <formula>0</formula>
      <formula>0.5</formula>
    </cfRule>
  </conditionalFormatting>
  <conditionalFormatting sqref="Q245">
    <cfRule type="cellIs" dxfId="8170" priority="8977" operator="between">
      <formula>0.76</formula>
      <formula>0.95</formula>
    </cfRule>
    <cfRule type="cellIs" dxfId="8169" priority="8978" operator="between">
      <formula>0.51</formula>
      <formula>0.75</formula>
    </cfRule>
    <cfRule type="cellIs" dxfId="8168" priority="8979" operator="greaterThan">
      <formula>1</formula>
    </cfRule>
    <cfRule type="cellIs" dxfId="8167" priority="8980" operator="between">
      <formula>0.95</formula>
      <formula>1</formula>
    </cfRule>
    <cfRule type="cellIs" dxfId="8166" priority="8981" stopIfTrue="1" operator="between">
      <formula>0</formula>
      <formula>0.5</formula>
    </cfRule>
  </conditionalFormatting>
  <conditionalFormatting sqref="P245">
    <cfRule type="cellIs" dxfId="8165" priority="8972" operator="between">
      <formula>0.76</formula>
      <formula>0.95</formula>
    </cfRule>
    <cfRule type="cellIs" dxfId="8164" priority="8973" operator="between">
      <formula>0.51</formula>
      <formula>0.75</formula>
    </cfRule>
    <cfRule type="cellIs" dxfId="8163" priority="8974" operator="greaterThan">
      <formula>1</formula>
    </cfRule>
    <cfRule type="cellIs" dxfId="8162" priority="8975" operator="between">
      <formula>0.95</formula>
      <formula>1</formula>
    </cfRule>
    <cfRule type="cellIs" dxfId="8161" priority="8976" stopIfTrue="1" operator="between">
      <formula>0</formula>
      <formula>0.5</formula>
    </cfRule>
  </conditionalFormatting>
  <conditionalFormatting sqref="W245">
    <cfRule type="cellIs" dxfId="8160" priority="8967" operator="between">
      <formula>0.76</formula>
      <formula>0.95</formula>
    </cfRule>
    <cfRule type="cellIs" dxfId="8159" priority="8968" operator="between">
      <formula>0.51</formula>
      <formula>0.75</formula>
    </cfRule>
    <cfRule type="cellIs" dxfId="8158" priority="8969" operator="greaterThan">
      <formula>1</formula>
    </cfRule>
    <cfRule type="cellIs" dxfId="8157" priority="8970" operator="between">
      <formula>0.95</formula>
      <formula>1</formula>
    </cfRule>
    <cfRule type="cellIs" dxfId="8156" priority="8971" stopIfTrue="1" operator="between">
      <formula>0</formula>
      <formula>0.5</formula>
    </cfRule>
  </conditionalFormatting>
  <conditionalFormatting sqref="AD245">
    <cfRule type="cellIs" dxfId="8155" priority="8962" operator="between">
      <formula>0.76</formula>
      <formula>0.95</formula>
    </cfRule>
    <cfRule type="cellIs" dxfId="8154" priority="8963" operator="between">
      <formula>0.51</formula>
      <formula>0.75</formula>
    </cfRule>
    <cfRule type="cellIs" dxfId="8153" priority="8964" operator="greaterThan">
      <formula>1</formula>
    </cfRule>
    <cfRule type="cellIs" dxfId="8152" priority="8965" operator="between">
      <formula>0.95</formula>
      <formula>1</formula>
    </cfRule>
    <cfRule type="cellIs" dxfId="8151" priority="8966" stopIfTrue="1" operator="between">
      <formula>0</formula>
      <formula>0.5</formula>
    </cfRule>
  </conditionalFormatting>
  <conditionalFormatting sqref="AF245">
    <cfRule type="cellIs" dxfId="8150" priority="8952" operator="between">
      <formula>0.76</formula>
      <formula>0.95</formula>
    </cfRule>
    <cfRule type="cellIs" dxfId="8149" priority="8953" operator="between">
      <formula>0.51</formula>
      <formula>0.75</formula>
    </cfRule>
    <cfRule type="cellIs" dxfId="8148" priority="8954" operator="greaterThan">
      <formula>1</formula>
    </cfRule>
    <cfRule type="cellIs" dxfId="8147" priority="8955" operator="between">
      <formula>0.95</formula>
      <formula>1</formula>
    </cfRule>
    <cfRule type="cellIs" dxfId="8146" priority="8956" stopIfTrue="1" operator="between">
      <formula>0</formula>
      <formula>0.5</formula>
    </cfRule>
  </conditionalFormatting>
  <conditionalFormatting sqref="K245">
    <cfRule type="cellIs" dxfId="8145" priority="8942" operator="between">
      <formula>0.191</formula>
      <formula>0.24</formula>
    </cfRule>
    <cfRule type="cellIs" dxfId="8144" priority="8943" operator="between">
      <formula>0.1251</formula>
      <formula>0.19</formula>
    </cfRule>
    <cfRule type="cellIs" dxfId="8143" priority="8944" operator="greaterThan">
      <formula>0.2601</formula>
    </cfRule>
    <cfRule type="cellIs" dxfId="8142" priority="8945" operator="between">
      <formula>0.2401</formula>
      <formula>0.26</formula>
    </cfRule>
    <cfRule type="cellIs" dxfId="8141" priority="8946" stopIfTrue="1" operator="between">
      <formula>0</formula>
      <formula>0.125</formula>
    </cfRule>
  </conditionalFormatting>
  <conditionalFormatting sqref="R245">
    <cfRule type="cellIs" dxfId="8140" priority="8937" operator="between">
      <formula>0.3751</formula>
      <formula>0.475</formula>
    </cfRule>
    <cfRule type="cellIs" dxfId="8139" priority="8938" operator="between">
      <formula>0.2551</formula>
      <formula>0.375</formula>
    </cfRule>
    <cfRule type="cellIs" dxfId="8138" priority="8939" operator="greaterThan">
      <formula>0.505</formula>
    </cfRule>
    <cfRule type="cellIs" dxfId="8137" priority="8940" operator="between">
      <formula>0.48</formula>
      <formula>0.5</formula>
    </cfRule>
    <cfRule type="cellIs" dxfId="8136" priority="8941" stopIfTrue="1" operator="between">
      <formula>0</formula>
      <formula>0.255</formula>
    </cfRule>
  </conditionalFormatting>
  <conditionalFormatting sqref="AE246">
    <cfRule type="cellIs" dxfId="8135" priority="8810" operator="between">
      <formula>0.76</formula>
      <formula>0.95</formula>
    </cfRule>
    <cfRule type="cellIs" dxfId="8134" priority="8811" operator="between">
      <formula>0.51</formula>
      <formula>0.75</formula>
    </cfRule>
    <cfRule type="cellIs" dxfId="8133" priority="8812" operator="greaterThan">
      <formula>1</formula>
    </cfRule>
    <cfRule type="cellIs" dxfId="8132" priority="8813" operator="between">
      <formula>0.95</formula>
      <formula>1</formula>
    </cfRule>
    <cfRule type="cellIs" dxfId="8131" priority="8814" stopIfTrue="1" operator="between">
      <formula>0</formula>
      <formula>0.5</formula>
    </cfRule>
  </conditionalFormatting>
  <conditionalFormatting sqref="AE245">
    <cfRule type="cellIs" dxfId="8130" priority="8917" operator="between">
      <formula>0.76</formula>
      <formula>0.95</formula>
    </cfRule>
    <cfRule type="cellIs" dxfId="8129" priority="8918" operator="between">
      <formula>0.51</formula>
      <formula>0.75</formula>
    </cfRule>
    <cfRule type="cellIs" dxfId="8128" priority="8919" operator="greaterThan">
      <formula>1</formula>
    </cfRule>
    <cfRule type="cellIs" dxfId="8127" priority="8920" operator="between">
      <formula>0.95</formula>
      <formula>1</formula>
    </cfRule>
    <cfRule type="cellIs" dxfId="8126" priority="8921" stopIfTrue="1" operator="between">
      <formula>0</formula>
      <formula>0.5</formula>
    </cfRule>
  </conditionalFormatting>
  <conditionalFormatting sqref="AG245">
    <cfRule type="cellIs" dxfId="8125" priority="8912" operator="between">
      <formula>0.76</formula>
      <formula>0.95</formula>
    </cfRule>
    <cfRule type="cellIs" dxfId="8124" priority="8913" operator="between">
      <formula>0.51</formula>
      <formula>0.75</formula>
    </cfRule>
    <cfRule type="cellIs" dxfId="8123" priority="8914" operator="greaterThan">
      <formula>1</formula>
    </cfRule>
    <cfRule type="cellIs" dxfId="8122" priority="8915" operator="between">
      <formula>0.95</formula>
      <formula>1</formula>
    </cfRule>
    <cfRule type="cellIs" dxfId="8121" priority="8916" stopIfTrue="1" operator="between">
      <formula>0</formula>
      <formula>0.5</formula>
    </cfRule>
  </conditionalFormatting>
  <conditionalFormatting sqref="X245">
    <cfRule type="cellIs" dxfId="8120" priority="8897" operator="between">
      <formula>0.76</formula>
      <formula>0.95</formula>
    </cfRule>
    <cfRule type="cellIs" dxfId="8119" priority="8898" operator="between">
      <formula>0.51</formula>
      <formula>0.75</formula>
    </cfRule>
    <cfRule type="cellIs" dxfId="8118" priority="8899" operator="greaterThan">
      <formula>1</formula>
    </cfRule>
    <cfRule type="cellIs" dxfId="8117" priority="8900" operator="between">
      <formula>0.95</formula>
      <formula>1</formula>
    </cfRule>
    <cfRule type="cellIs" dxfId="8116" priority="8901" stopIfTrue="1" operator="between">
      <formula>0</formula>
      <formula>0.5</formula>
    </cfRule>
  </conditionalFormatting>
  <conditionalFormatting sqref="J246">
    <cfRule type="cellIs" dxfId="8115" priority="8875" operator="between">
      <formula>0.76</formula>
      <formula>0.95</formula>
    </cfRule>
    <cfRule type="cellIs" dxfId="8114" priority="8876" operator="between">
      <formula>0.51</formula>
      <formula>0.75</formula>
    </cfRule>
    <cfRule type="cellIs" dxfId="8113" priority="8877" operator="greaterThan">
      <formula>1</formula>
    </cfRule>
    <cfRule type="cellIs" dxfId="8112" priority="8878" operator="between">
      <formula>0.95</formula>
      <formula>1</formula>
    </cfRule>
    <cfRule type="cellIs" dxfId="8111" priority="8879" stopIfTrue="1" operator="between">
      <formula>0</formula>
      <formula>0.5</formula>
    </cfRule>
  </conditionalFormatting>
  <conditionalFormatting sqref="I246">
    <cfRule type="cellIs" dxfId="8110" priority="8870" operator="between">
      <formula>0.76</formula>
      <formula>0.95</formula>
    </cfRule>
    <cfRule type="cellIs" dxfId="8109" priority="8871" operator="between">
      <formula>0.51</formula>
      <formula>0.75</formula>
    </cfRule>
    <cfRule type="cellIs" dxfId="8108" priority="8872" operator="greaterThan">
      <formula>1</formula>
    </cfRule>
    <cfRule type="cellIs" dxfId="8107" priority="8873" operator="between">
      <formula>0.95</formula>
      <formula>1</formula>
    </cfRule>
    <cfRule type="cellIs" dxfId="8106" priority="8874" stopIfTrue="1" operator="between">
      <formula>0</formula>
      <formula>0.5</formula>
    </cfRule>
  </conditionalFormatting>
  <conditionalFormatting sqref="Q246">
    <cfRule type="cellIs" dxfId="8105" priority="8865" operator="between">
      <formula>0.76</formula>
      <formula>0.95</formula>
    </cfRule>
    <cfRule type="cellIs" dxfId="8104" priority="8866" operator="between">
      <formula>0.51</formula>
      <formula>0.75</formula>
    </cfRule>
    <cfRule type="cellIs" dxfId="8103" priority="8867" operator="greaterThan">
      <formula>1</formula>
    </cfRule>
    <cfRule type="cellIs" dxfId="8102" priority="8868" operator="between">
      <formula>0.95</formula>
      <formula>1</formula>
    </cfRule>
    <cfRule type="cellIs" dxfId="8101" priority="8869" stopIfTrue="1" operator="between">
      <formula>0</formula>
      <formula>0.5</formula>
    </cfRule>
  </conditionalFormatting>
  <conditionalFormatting sqref="P246">
    <cfRule type="cellIs" dxfId="8100" priority="8860" operator="between">
      <formula>0.76</formula>
      <formula>0.95</formula>
    </cfRule>
    <cfRule type="cellIs" dxfId="8099" priority="8861" operator="between">
      <formula>0.51</formula>
      <formula>0.75</formula>
    </cfRule>
    <cfRule type="cellIs" dxfId="8098" priority="8862" operator="greaterThan">
      <formula>1</formula>
    </cfRule>
    <cfRule type="cellIs" dxfId="8097" priority="8863" operator="between">
      <formula>0.95</formula>
      <formula>1</formula>
    </cfRule>
    <cfRule type="cellIs" dxfId="8096" priority="8864" stopIfTrue="1" operator="between">
      <formula>0</formula>
      <formula>0.5</formula>
    </cfRule>
  </conditionalFormatting>
  <conditionalFormatting sqref="AD246">
    <cfRule type="cellIs" dxfId="8095" priority="8850" operator="between">
      <formula>0.76</formula>
      <formula>0.95</formula>
    </cfRule>
    <cfRule type="cellIs" dxfId="8094" priority="8851" operator="between">
      <formula>0.51</formula>
      <formula>0.75</formula>
    </cfRule>
    <cfRule type="cellIs" dxfId="8093" priority="8852" operator="greaterThan">
      <formula>1</formula>
    </cfRule>
    <cfRule type="cellIs" dxfId="8092" priority="8853" operator="between">
      <formula>0.95</formula>
      <formula>1</formula>
    </cfRule>
    <cfRule type="cellIs" dxfId="8091" priority="8854" stopIfTrue="1" operator="between">
      <formula>0</formula>
      <formula>0.5</formula>
    </cfRule>
  </conditionalFormatting>
  <conditionalFormatting sqref="AF246">
    <cfRule type="cellIs" dxfId="8090" priority="8840" operator="between">
      <formula>0.76</formula>
      <formula>0.95</formula>
    </cfRule>
    <cfRule type="cellIs" dxfId="8089" priority="8841" operator="between">
      <formula>0.51</formula>
      <formula>0.75</formula>
    </cfRule>
    <cfRule type="cellIs" dxfId="8088" priority="8842" operator="greaterThan">
      <formula>1</formula>
    </cfRule>
    <cfRule type="cellIs" dxfId="8087" priority="8843" operator="between">
      <formula>0.95</formula>
      <formula>1</formula>
    </cfRule>
    <cfRule type="cellIs" dxfId="8086" priority="8844" stopIfTrue="1" operator="between">
      <formula>0</formula>
      <formula>0.5</formula>
    </cfRule>
  </conditionalFormatting>
  <conditionalFormatting sqref="K246">
    <cfRule type="cellIs" dxfId="8085" priority="8830" operator="between">
      <formula>0.191</formula>
      <formula>0.24</formula>
    </cfRule>
    <cfRule type="cellIs" dxfId="8084" priority="8831" operator="between">
      <formula>0.1251</formula>
      <formula>0.19</formula>
    </cfRule>
    <cfRule type="cellIs" dxfId="8083" priority="8832" operator="greaterThan">
      <formula>0.2601</formula>
    </cfRule>
    <cfRule type="cellIs" dxfId="8082" priority="8833" operator="between">
      <formula>0.2401</formula>
      <formula>0.26</formula>
    </cfRule>
    <cfRule type="cellIs" dxfId="8081" priority="8834" stopIfTrue="1" operator="between">
      <formula>0</formula>
      <formula>0.125</formula>
    </cfRule>
  </conditionalFormatting>
  <conditionalFormatting sqref="R246">
    <cfRule type="cellIs" dxfId="8080" priority="8825" operator="between">
      <formula>0.3751</formula>
      <formula>0.475</formula>
    </cfRule>
    <cfRule type="cellIs" dxfId="8079" priority="8826" operator="between">
      <formula>0.2551</formula>
      <formula>0.375</formula>
    </cfRule>
    <cfRule type="cellIs" dxfId="8078" priority="8827" operator="greaterThan">
      <formula>0.505</formula>
    </cfRule>
    <cfRule type="cellIs" dxfId="8077" priority="8828" operator="between">
      <formula>0.48</formula>
      <formula>0.5</formula>
    </cfRule>
    <cfRule type="cellIs" dxfId="8076" priority="8829" stopIfTrue="1" operator="between">
      <formula>0</formula>
      <formula>0.255</formula>
    </cfRule>
  </conditionalFormatting>
  <conditionalFormatting sqref="AG246">
    <cfRule type="cellIs" dxfId="8075" priority="8805" operator="between">
      <formula>0.76</formula>
      <formula>0.95</formula>
    </cfRule>
    <cfRule type="cellIs" dxfId="8074" priority="8806" operator="between">
      <formula>0.51</formula>
      <formula>0.75</formula>
    </cfRule>
    <cfRule type="cellIs" dxfId="8073" priority="8807" operator="greaterThan">
      <formula>1</formula>
    </cfRule>
    <cfRule type="cellIs" dxfId="8072" priority="8808" operator="between">
      <formula>0.95</formula>
      <formula>1</formula>
    </cfRule>
    <cfRule type="cellIs" dxfId="8071" priority="8809" stopIfTrue="1" operator="between">
      <formula>0</formula>
      <formula>0.5</formula>
    </cfRule>
  </conditionalFormatting>
  <conditionalFormatting sqref="X246">
    <cfRule type="cellIs" dxfId="8070" priority="8790" operator="between">
      <formula>0.76</formula>
      <formula>0.95</formula>
    </cfRule>
    <cfRule type="cellIs" dxfId="8069" priority="8791" operator="between">
      <formula>0.51</formula>
      <formula>0.75</formula>
    </cfRule>
    <cfRule type="cellIs" dxfId="8068" priority="8792" operator="greaterThan">
      <formula>1</formula>
    </cfRule>
    <cfRule type="cellIs" dxfId="8067" priority="8793" operator="between">
      <formula>0.95</formula>
      <formula>1</formula>
    </cfRule>
    <cfRule type="cellIs" dxfId="8066" priority="8794" stopIfTrue="1" operator="between">
      <formula>0</formula>
      <formula>0.5</formula>
    </cfRule>
  </conditionalFormatting>
  <conditionalFormatting sqref="J249">
    <cfRule type="cellIs" dxfId="8065" priority="8768" operator="between">
      <formula>0.76</formula>
      <formula>0.95</formula>
    </cfRule>
    <cfRule type="cellIs" dxfId="8064" priority="8769" operator="between">
      <formula>0.51</formula>
      <formula>0.75</formula>
    </cfRule>
    <cfRule type="cellIs" dxfId="8063" priority="8770" operator="greaterThan">
      <formula>1</formula>
    </cfRule>
    <cfRule type="cellIs" dxfId="8062" priority="8771" operator="between">
      <formula>0.95</formula>
      <formula>1</formula>
    </cfRule>
    <cfRule type="cellIs" dxfId="8061" priority="8772" stopIfTrue="1" operator="between">
      <formula>0</formula>
      <formula>0.5</formula>
    </cfRule>
  </conditionalFormatting>
  <conditionalFormatting sqref="I249">
    <cfRule type="cellIs" dxfId="8060" priority="8763" operator="between">
      <formula>0.76</formula>
      <formula>0.95</formula>
    </cfRule>
    <cfRule type="cellIs" dxfId="8059" priority="8764" operator="between">
      <formula>0.51</formula>
      <formula>0.75</formula>
    </cfRule>
    <cfRule type="cellIs" dxfId="8058" priority="8765" operator="greaterThan">
      <formula>1</formula>
    </cfRule>
    <cfRule type="cellIs" dxfId="8057" priority="8766" operator="between">
      <formula>0.95</formula>
      <formula>1</formula>
    </cfRule>
    <cfRule type="cellIs" dxfId="8056" priority="8767" stopIfTrue="1" operator="between">
      <formula>0</formula>
      <formula>0.5</formula>
    </cfRule>
  </conditionalFormatting>
  <conditionalFormatting sqref="Q249">
    <cfRule type="cellIs" dxfId="8055" priority="8758" operator="between">
      <formula>0.76</formula>
      <formula>0.95</formula>
    </cfRule>
    <cfRule type="cellIs" dxfId="8054" priority="8759" operator="between">
      <formula>0.51</formula>
      <formula>0.75</formula>
    </cfRule>
    <cfRule type="cellIs" dxfId="8053" priority="8760" operator="greaterThan">
      <formula>1</formula>
    </cfRule>
    <cfRule type="cellIs" dxfId="8052" priority="8761" operator="between">
      <formula>0.95</formula>
      <formula>1</formula>
    </cfRule>
    <cfRule type="cellIs" dxfId="8051" priority="8762" stopIfTrue="1" operator="between">
      <formula>0</formula>
      <formula>0.5</formula>
    </cfRule>
  </conditionalFormatting>
  <conditionalFormatting sqref="P249">
    <cfRule type="cellIs" dxfId="8050" priority="8753" operator="between">
      <formula>0.76</formula>
      <formula>0.95</formula>
    </cfRule>
    <cfRule type="cellIs" dxfId="8049" priority="8754" operator="between">
      <formula>0.51</formula>
      <formula>0.75</formula>
    </cfRule>
    <cfRule type="cellIs" dxfId="8048" priority="8755" operator="greaterThan">
      <formula>1</formula>
    </cfRule>
    <cfRule type="cellIs" dxfId="8047" priority="8756" operator="between">
      <formula>0.95</formula>
      <formula>1</formula>
    </cfRule>
    <cfRule type="cellIs" dxfId="8046" priority="8757" stopIfTrue="1" operator="between">
      <formula>0</formula>
      <formula>0.5</formula>
    </cfRule>
  </conditionalFormatting>
  <conditionalFormatting sqref="W249">
    <cfRule type="cellIs" dxfId="8045" priority="8748" operator="between">
      <formula>0.76</formula>
      <formula>0.95</formula>
    </cfRule>
    <cfRule type="cellIs" dxfId="8044" priority="8749" operator="between">
      <formula>0.51</formula>
      <formula>0.75</formula>
    </cfRule>
    <cfRule type="cellIs" dxfId="8043" priority="8750" operator="greaterThan">
      <formula>1</formula>
    </cfRule>
    <cfRule type="cellIs" dxfId="8042" priority="8751" operator="between">
      <formula>0.95</formula>
      <formula>1</formula>
    </cfRule>
    <cfRule type="cellIs" dxfId="8041" priority="8752" stopIfTrue="1" operator="between">
      <formula>0</formula>
      <formula>0.5</formula>
    </cfRule>
  </conditionalFormatting>
  <conditionalFormatting sqref="AD249">
    <cfRule type="cellIs" dxfId="8040" priority="8743" operator="between">
      <formula>0.76</formula>
      <formula>0.95</formula>
    </cfRule>
    <cfRule type="cellIs" dxfId="8039" priority="8744" operator="between">
      <formula>0.51</formula>
      <formula>0.75</formula>
    </cfRule>
    <cfRule type="cellIs" dxfId="8038" priority="8745" operator="greaterThan">
      <formula>1</formula>
    </cfRule>
    <cfRule type="cellIs" dxfId="8037" priority="8746" operator="between">
      <formula>0.95</formula>
      <formula>1</formula>
    </cfRule>
    <cfRule type="cellIs" dxfId="8036" priority="8747" stopIfTrue="1" operator="between">
      <formula>0</formula>
      <formula>0.5</formula>
    </cfRule>
  </conditionalFormatting>
  <conditionalFormatting sqref="AF249">
    <cfRule type="cellIs" dxfId="8035" priority="8733" operator="between">
      <formula>0.76</formula>
      <formula>0.95</formula>
    </cfRule>
    <cfRule type="cellIs" dxfId="8034" priority="8734" operator="between">
      <formula>0.51</formula>
      <formula>0.75</formula>
    </cfRule>
    <cfRule type="cellIs" dxfId="8033" priority="8735" operator="greaterThan">
      <formula>1</formula>
    </cfRule>
    <cfRule type="cellIs" dxfId="8032" priority="8736" operator="between">
      <formula>0.95</formula>
      <formula>1</formula>
    </cfRule>
    <cfRule type="cellIs" dxfId="8031" priority="8737" stopIfTrue="1" operator="between">
      <formula>0</formula>
      <formula>0.5</formula>
    </cfRule>
  </conditionalFormatting>
  <conditionalFormatting sqref="K249">
    <cfRule type="cellIs" dxfId="8030" priority="8723" operator="between">
      <formula>0.191</formula>
      <formula>0.24</formula>
    </cfRule>
    <cfRule type="cellIs" dxfId="8029" priority="8724" operator="between">
      <formula>0.1251</formula>
      <formula>0.19</formula>
    </cfRule>
    <cfRule type="cellIs" dxfId="8028" priority="8725" operator="greaterThan">
      <formula>0.2601</formula>
    </cfRule>
    <cfRule type="cellIs" dxfId="8027" priority="8726" operator="between">
      <formula>0.2401</formula>
      <formula>0.26</formula>
    </cfRule>
    <cfRule type="cellIs" dxfId="8026" priority="8727" stopIfTrue="1" operator="between">
      <formula>0</formula>
      <formula>0.125</formula>
    </cfRule>
  </conditionalFormatting>
  <conditionalFormatting sqref="R249">
    <cfRule type="cellIs" dxfId="8025" priority="8718" operator="between">
      <formula>0.3751</formula>
      <formula>0.475</formula>
    </cfRule>
    <cfRule type="cellIs" dxfId="8024" priority="8719" operator="between">
      <formula>0.2551</formula>
      <formula>0.375</formula>
    </cfRule>
    <cfRule type="cellIs" dxfId="8023" priority="8720" operator="greaterThan">
      <formula>0.505</formula>
    </cfRule>
    <cfRule type="cellIs" dxfId="8022" priority="8721" operator="between">
      <formula>0.48</formula>
      <formula>0.5</formula>
    </cfRule>
    <cfRule type="cellIs" dxfId="8021" priority="8722" stopIfTrue="1" operator="between">
      <formula>0</formula>
      <formula>0.255</formula>
    </cfRule>
  </conditionalFormatting>
  <conditionalFormatting sqref="AE250">
    <cfRule type="cellIs" dxfId="8020" priority="8591" operator="between">
      <formula>0.76</formula>
      <formula>0.95</formula>
    </cfRule>
    <cfRule type="cellIs" dxfId="8019" priority="8592" operator="between">
      <formula>0.51</formula>
      <formula>0.75</formula>
    </cfRule>
    <cfRule type="cellIs" dxfId="8018" priority="8593" operator="greaterThan">
      <formula>1</formula>
    </cfRule>
    <cfRule type="cellIs" dxfId="8017" priority="8594" operator="between">
      <formula>0.95</formula>
      <formula>1</formula>
    </cfRule>
    <cfRule type="cellIs" dxfId="8016" priority="8595" stopIfTrue="1" operator="between">
      <formula>0</formula>
      <formula>0.5</formula>
    </cfRule>
  </conditionalFormatting>
  <conditionalFormatting sqref="AE249">
    <cfRule type="cellIs" dxfId="8015" priority="8698" operator="between">
      <formula>0.76</formula>
      <formula>0.95</formula>
    </cfRule>
    <cfRule type="cellIs" dxfId="8014" priority="8699" operator="between">
      <formula>0.51</formula>
      <formula>0.75</formula>
    </cfRule>
    <cfRule type="cellIs" dxfId="8013" priority="8700" operator="greaterThan">
      <formula>1</formula>
    </cfRule>
    <cfRule type="cellIs" dxfId="8012" priority="8701" operator="between">
      <formula>0.95</formula>
      <formula>1</formula>
    </cfRule>
    <cfRule type="cellIs" dxfId="8011" priority="8702" stopIfTrue="1" operator="between">
      <formula>0</formula>
      <formula>0.5</formula>
    </cfRule>
  </conditionalFormatting>
  <conditionalFormatting sqref="AG249">
    <cfRule type="cellIs" dxfId="8010" priority="8693" operator="between">
      <formula>0.76</formula>
      <formula>0.95</formula>
    </cfRule>
    <cfRule type="cellIs" dxfId="8009" priority="8694" operator="between">
      <formula>0.51</formula>
      <formula>0.75</formula>
    </cfRule>
    <cfRule type="cellIs" dxfId="8008" priority="8695" operator="greaterThan">
      <formula>1</formula>
    </cfRule>
    <cfRule type="cellIs" dxfId="8007" priority="8696" operator="between">
      <formula>0.95</formula>
      <formula>1</formula>
    </cfRule>
    <cfRule type="cellIs" dxfId="8006" priority="8697" stopIfTrue="1" operator="between">
      <formula>0</formula>
      <formula>0.5</formula>
    </cfRule>
  </conditionalFormatting>
  <conditionalFormatting sqref="X249">
    <cfRule type="cellIs" dxfId="8005" priority="8678" operator="between">
      <formula>0.76</formula>
      <formula>0.95</formula>
    </cfRule>
    <cfRule type="cellIs" dxfId="8004" priority="8679" operator="between">
      <formula>0.51</formula>
      <formula>0.75</formula>
    </cfRule>
    <cfRule type="cellIs" dxfId="8003" priority="8680" operator="greaterThan">
      <formula>1</formula>
    </cfRule>
    <cfRule type="cellIs" dxfId="8002" priority="8681" operator="between">
      <formula>0.95</formula>
      <formula>1</formula>
    </cfRule>
    <cfRule type="cellIs" dxfId="8001" priority="8682" stopIfTrue="1" operator="between">
      <formula>0</formula>
      <formula>0.5</formula>
    </cfRule>
  </conditionalFormatting>
  <conditionalFormatting sqref="J250">
    <cfRule type="cellIs" dxfId="8000" priority="8656" operator="between">
      <formula>0.76</formula>
      <formula>0.95</formula>
    </cfRule>
    <cfRule type="cellIs" dxfId="7999" priority="8657" operator="between">
      <formula>0.51</formula>
      <formula>0.75</formula>
    </cfRule>
    <cfRule type="cellIs" dxfId="7998" priority="8658" operator="greaterThan">
      <formula>1</formula>
    </cfRule>
    <cfRule type="cellIs" dxfId="7997" priority="8659" operator="between">
      <formula>0.95</formula>
      <formula>1</formula>
    </cfRule>
    <cfRule type="cellIs" dxfId="7996" priority="8660" stopIfTrue="1" operator="between">
      <formula>0</formula>
      <formula>0.5</formula>
    </cfRule>
  </conditionalFormatting>
  <conditionalFormatting sqref="I250">
    <cfRule type="cellIs" dxfId="7995" priority="8651" operator="between">
      <formula>0.76</formula>
      <formula>0.95</formula>
    </cfRule>
    <cfRule type="cellIs" dxfId="7994" priority="8652" operator="between">
      <formula>0.51</formula>
      <formula>0.75</formula>
    </cfRule>
    <cfRule type="cellIs" dxfId="7993" priority="8653" operator="greaterThan">
      <formula>1</formula>
    </cfRule>
    <cfRule type="cellIs" dxfId="7992" priority="8654" operator="between">
      <formula>0.95</formula>
      <formula>1</formula>
    </cfRule>
    <cfRule type="cellIs" dxfId="7991" priority="8655" stopIfTrue="1" operator="between">
      <formula>0</formula>
      <formula>0.5</formula>
    </cfRule>
  </conditionalFormatting>
  <conditionalFormatting sqref="Q250">
    <cfRule type="cellIs" dxfId="7990" priority="8646" operator="between">
      <formula>0.76</formula>
      <formula>0.95</formula>
    </cfRule>
    <cfRule type="cellIs" dxfId="7989" priority="8647" operator="between">
      <formula>0.51</formula>
      <formula>0.75</formula>
    </cfRule>
    <cfRule type="cellIs" dxfId="7988" priority="8648" operator="greaterThan">
      <formula>1</formula>
    </cfRule>
    <cfRule type="cellIs" dxfId="7987" priority="8649" operator="between">
      <formula>0.95</formula>
      <formula>1</formula>
    </cfRule>
    <cfRule type="cellIs" dxfId="7986" priority="8650" stopIfTrue="1" operator="between">
      <formula>0</formula>
      <formula>0.5</formula>
    </cfRule>
  </conditionalFormatting>
  <conditionalFormatting sqref="P250">
    <cfRule type="cellIs" dxfId="7985" priority="8641" operator="between">
      <formula>0.76</formula>
      <formula>0.95</formula>
    </cfRule>
    <cfRule type="cellIs" dxfId="7984" priority="8642" operator="between">
      <formula>0.51</formula>
      <formula>0.75</formula>
    </cfRule>
    <cfRule type="cellIs" dxfId="7983" priority="8643" operator="greaterThan">
      <formula>1</formula>
    </cfRule>
    <cfRule type="cellIs" dxfId="7982" priority="8644" operator="between">
      <formula>0.95</formula>
      <formula>1</formula>
    </cfRule>
    <cfRule type="cellIs" dxfId="7981" priority="8645" stopIfTrue="1" operator="between">
      <formula>0</formula>
      <formula>0.5</formula>
    </cfRule>
  </conditionalFormatting>
  <conditionalFormatting sqref="AD250">
    <cfRule type="cellIs" dxfId="7980" priority="8631" operator="between">
      <formula>0.76</formula>
      <formula>0.95</formula>
    </cfRule>
    <cfRule type="cellIs" dxfId="7979" priority="8632" operator="between">
      <formula>0.51</formula>
      <formula>0.75</formula>
    </cfRule>
    <cfRule type="cellIs" dxfId="7978" priority="8633" operator="greaterThan">
      <formula>1</formula>
    </cfRule>
    <cfRule type="cellIs" dxfId="7977" priority="8634" operator="between">
      <formula>0.95</formula>
      <formula>1</formula>
    </cfRule>
    <cfRule type="cellIs" dxfId="7976" priority="8635" stopIfTrue="1" operator="between">
      <formula>0</formula>
      <formula>0.5</formula>
    </cfRule>
  </conditionalFormatting>
  <conditionalFormatting sqref="AF250">
    <cfRule type="cellIs" dxfId="7975" priority="8621" operator="between">
      <formula>0.76</formula>
      <formula>0.95</formula>
    </cfRule>
    <cfRule type="cellIs" dxfId="7974" priority="8622" operator="between">
      <formula>0.51</formula>
      <formula>0.75</formula>
    </cfRule>
    <cfRule type="cellIs" dxfId="7973" priority="8623" operator="greaterThan">
      <formula>1</formula>
    </cfRule>
    <cfRule type="cellIs" dxfId="7972" priority="8624" operator="between">
      <formula>0.95</formula>
      <formula>1</formula>
    </cfRule>
    <cfRule type="cellIs" dxfId="7971" priority="8625" stopIfTrue="1" operator="between">
      <formula>0</formula>
      <formula>0.5</formula>
    </cfRule>
  </conditionalFormatting>
  <conditionalFormatting sqref="K250">
    <cfRule type="cellIs" dxfId="7970" priority="8611" operator="between">
      <formula>0.191</formula>
      <formula>0.24</formula>
    </cfRule>
    <cfRule type="cellIs" dxfId="7969" priority="8612" operator="between">
      <formula>0.1251</formula>
      <formula>0.19</formula>
    </cfRule>
    <cfRule type="cellIs" dxfId="7968" priority="8613" operator="greaterThan">
      <formula>0.2601</formula>
    </cfRule>
    <cfRule type="cellIs" dxfId="7967" priority="8614" operator="between">
      <formula>0.2401</formula>
      <formula>0.26</formula>
    </cfRule>
    <cfRule type="cellIs" dxfId="7966" priority="8615" stopIfTrue="1" operator="between">
      <formula>0</formula>
      <formula>0.125</formula>
    </cfRule>
  </conditionalFormatting>
  <conditionalFormatting sqref="R250">
    <cfRule type="cellIs" dxfId="7965" priority="8606" operator="between">
      <formula>0.3751</formula>
      <formula>0.475</formula>
    </cfRule>
    <cfRule type="cellIs" dxfId="7964" priority="8607" operator="between">
      <formula>0.2551</formula>
      <formula>0.375</formula>
    </cfRule>
    <cfRule type="cellIs" dxfId="7963" priority="8608" operator="greaterThan">
      <formula>0.505</formula>
    </cfRule>
    <cfRule type="cellIs" dxfId="7962" priority="8609" operator="between">
      <formula>0.48</formula>
      <formula>0.5</formula>
    </cfRule>
    <cfRule type="cellIs" dxfId="7961" priority="8610" stopIfTrue="1" operator="between">
      <formula>0</formula>
      <formula>0.255</formula>
    </cfRule>
  </conditionalFormatting>
  <conditionalFormatting sqref="AG250">
    <cfRule type="cellIs" dxfId="7960" priority="8586" operator="between">
      <formula>0.76</formula>
      <formula>0.95</formula>
    </cfRule>
    <cfRule type="cellIs" dxfId="7959" priority="8587" operator="between">
      <formula>0.51</formula>
      <formula>0.75</formula>
    </cfRule>
    <cfRule type="cellIs" dxfId="7958" priority="8588" operator="greaterThan">
      <formula>1</formula>
    </cfRule>
    <cfRule type="cellIs" dxfId="7957" priority="8589" operator="between">
      <formula>0.95</formula>
      <formula>1</formula>
    </cfRule>
    <cfRule type="cellIs" dxfId="7956" priority="8590" stopIfTrue="1" operator="between">
      <formula>0</formula>
      <formula>0.5</formula>
    </cfRule>
  </conditionalFormatting>
  <conditionalFormatting sqref="M249:M250">
    <cfRule type="cellIs" dxfId="7955" priority="8449" operator="between">
      <formula>0.191</formula>
      <formula>0.24</formula>
    </cfRule>
    <cfRule type="cellIs" dxfId="7954" priority="8450" operator="between">
      <formula>0.1251</formula>
      <formula>0.19</formula>
    </cfRule>
    <cfRule type="cellIs" dxfId="7953" priority="8451" operator="greaterThan">
      <formula>0.2601</formula>
    </cfRule>
    <cfRule type="cellIs" dxfId="7952" priority="8452" operator="between">
      <formula>0.2401</formula>
      <formula>0.26</formula>
    </cfRule>
    <cfRule type="cellIs" dxfId="7951" priority="8453" stopIfTrue="1" operator="between">
      <formula>0</formula>
      <formula>0.125</formula>
    </cfRule>
  </conditionalFormatting>
  <conditionalFormatting sqref="J253">
    <cfRule type="cellIs" dxfId="7950" priority="8549" operator="between">
      <formula>0.76</formula>
      <formula>0.95</formula>
    </cfRule>
    <cfRule type="cellIs" dxfId="7949" priority="8550" operator="between">
      <formula>0.51</formula>
      <formula>0.75</formula>
    </cfRule>
    <cfRule type="cellIs" dxfId="7948" priority="8551" operator="greaterThan">
      <formula>1</formula>
    </cfRule>
    <cfRule type="cellIs" dxfId="7947" priority="8552" operator="between">
      <formula>0.95</formula>
      <formula>1</formula>
    </cfRule>
    <cfRule type="cellIs" dxfId="7946" priority="8553" stopIfTrue="1" operator="between">
      <formula>0</formula>
      <formula>0.5</formula>
    </cfRule>
  </conditionalFormatting>
  <conditionalFormatting sqref="I253">
    <cfRule type="cellIs" dxfId="7945" priority="8544" operator="between">
      <formula>0.76</formula>
      <formula>0.95</formula>
    </cfRule>
    <cfRule type="cellIs" dxfId="7944" priority="8545" operator="between">
      <formula>0.51</formula>
      <formula>0.75</formula>
    </cfRule>
    <cfRule type="cellIs" dxfId="7943" priority="8546" operator="greaterThan">
      <formula>1</formula>
    </cfRule>
    <cfRule type="cellIs" dxfId="7942" priority="8547" operator="between">
      <formula>0.95</formula>
      <formula>1</formula>
    </cfRule>
    <cfRule type="cellIs" dxfId="7941" priority="8548" stopIfTrue="1" operator="between">
      <formula>0</formula>
      <formula>0.5</formula>
    </cfRule>
  </conditionalFormatting>
  <conditionalFormatting sqref="Q253">
    <cfRule type="cellIs" dxfId="7940" priority="8539" operator="between">
      <formula>0.76</formula>
      <formula>0.95</formula>
    </cfRule>
    <cfRule type="cellIs" dxfId="7939" priority="8540" operator="between">
      <formula>0.51</formula>
      <formula>0.75</formula>
    </cfRule>
    <cfRule type="cellIs" dxfId="7938" priority="8541" operator="greaterThan">
      <formula>1</formula>
    </cfRule>
    <cfRule type="cellIs" dxfId="7937" priority="8542" operator="between">
      <formula>0.95</formula>
      <formula>1</formula>
    </cfRule>
    <cfRule type="cellIs" dxfId="7936" priority="8543" stopIfTrue="1" operator="between">
      <formula>0</formula>
      <formula>0.5</formula>
    </cfRule>
  </conditionalFormatting>
  <conditionalFormatting sqref="P253">
    <cfRule type="cellIs" dxfId="7935" priority="8534" operator="between">
      <formula>0.76</formula>
      <formula>0.95</formula>
    </cfRule>
    <cfRule type="cellIs" dxfId="7934" priority="8535" operator="between">
      <formula>0.51</formula>
      <formula>0.75</formula>
    </cfRule>
    <cfRule type="cellIs" dxfId="7933" priority="8536" operator="greaterThan">
      <formula>1</formula>
    </cfRule>
    <cfRule type="cellIs" dxfId="7932" priority="8537" operator="between">
      <formula>0.95</formula>
      <formula>1</formula>
    </cfRule>
    <cfRule type="cellIs" dxfId="7931" priority="8538" stopIfTrue="1" operator="between">
      <formula>0</formula>
      <formula>0.5</formula>
    </cfRule>
  </conditionalFormatting>
  <conditionalFormatting sqref="W253">
    <cfRule type="cellIs" dxfId="7930" priority="8529" operator="between">
      <formula>0.76</formula>
      <formula>0.95</formula>
    </cfRule>
    <cfRule type="cellIs" dxfId="7929" priority="8530" operator="between">
      <formula>0.51</formula>
      <formula>0.75</formula>
    </cfRule>
    <cfRule type="cellIs" dxfId="7928" priority="8531" operator="greaterThan">
      <formula>1</formula>
    </cfRule>
    <cfRule type="cellIs" dxfId="7927" priority="8532" operator="between">
      <formula>0.95</formula>
      <formula>1</formula>
    </cfRule>
    <cfRule type="cellIs" dxfId="7926" priority="8533" stopIfTrue="1" operator="between">
      <formula>0</formula>
      <formula>0.5</formula>
    </cfRule>
  </conditionalFormatting>
  <conditionalFormatting sqref="AD253">
    <cfRule type="cellIs" dxfId="7925" priority="8524" operator="between">
      <formula>0.76</formula>
      <formula>0.95</formula>
    </cfRule>
    <cfRule type="cellIs" dxfId="7924" priority="8525" operator="between">
      <formula>0.51</formula>
      <formula>0.75</formula>
    </cfRule>
    <cfRule type="cellIs" dxfId="7923" priority="8526" operator="greaterThan">
      <formula>1</formula>
    </cfRule>
    <cfRule type="cellIs" dxfId="7922" priority="8527" operator="between">
      <formula>0.95</formula>
      <formula>1</formula>
    </cfRule>
    <cfRule type="cellIs" dxfId="7921" priority="8528" stopIfTrue="1" operator="between">
      <formula>0</formula>
      <formula>0.5</formula>
    </cfRule>
  </conditionalFormatting>
  <conditionalFormatting sqref="AF253">
    <cfRule type="cellIs" dxfId="7920" priority="8514" operator="between">
      <formula>0.76</formula>
      <formula>0.95</formula>
    </cfRule>
    <cfRule type="cellIs" dxfId="7919" priority="8515" operator="between">
      <formula>0.51</formula>
      <formula>0.75</formula>
    </cfRule>
    <cfRule type="cellIs" dxfId="7918" priority="8516" operator="greaterThan">
      <formula>1</formula>
    </cfRule>
    <cfRule type="cellIs" dxfId="7917" priority="8517" operator="between">
      <formula>0.95</formula>
      <formula>1</formula>
    </cfRule>
    <cfRule type="cellIs" dxfId="7916" priority="8518" stopIfTrue="1" operator="between">
      <formula>0</formula>
      <formula>0.5</formula>
    </cfRule>
  </conditionalFormatting>
  <conditionalFormatting sqref="K253">
    <cfRule type="cellIs" dxfId="7915" priority="8504" operator="between">
      <formula>0.191</formula>
      <formula>0.24</formula>
    </cfRule>
    <cfRule type="cellIs" dxfId="7914" priority="8505" operator="between">
      <formula>0.1251</formula>
      <formula>0.19</formula>
    </cfRule>
    <cfRule type="cellIs" dxfId="7913" priority="8506" operator="greaterThan">
      <formula>0.2601</formula>
    </cfRule>
    <cfRule type="cellIs" dxfId="7912" priority="8507" operator="between">
      <formula>0.2401</formula>
      <formula>0.26</formula>
    </cfRule>
    <cfRule type="cellIs" dxfId="7911" priority="8508" stopIfTrue="1" operator="between">
      <formula>0</formula>
      <formula>0.125</formula>
    </cfRule>
  </conditionalFormatting>
  <conditionalFormatting sqref="R253">
    <cfRule type="cellIs" dxfId="7910" priority="8499" operator="between">
      <formula>0.3751</formula>
      <formula>0.475</formula>
    </cfRule>
    <cfRule type="cellIs" dxfId="7909" priority="8500" operator="between">
      <formula>0.2551</formula>
      <formula>0.375</formula>
    </cfRule>
    <cfRule type="cellIs" dxfId="7908" priority="8501" operator="greaterThan">
      <formula>0.505</formula>
    </cfRule>
    <cfRule type="cellIs" dxfId="7907" priority="8502" operator="between">
      <formula>0.48</formula>
      <formula>0.5</formula>
    </cfRule>
    <cfRule type="cellIs" dxfId="7906" priority="8503" stopIfTrue="1" operator="between">
      <formula>0</formula>
      <formula>0.255</formula>
    </cfRule>
  </conditionalFormatting>
  <conditionalFormatting sqref="T253">
    <cfRule type="cellIs" dxfId="7905" priority="8494" operator="between">
      <formula>0.376</formula>
      <formula>0.475</formula>
    </cfRule>
    <cfRule type="cellIs" dxfId="7904" priority="8495" operator="between">
      <formula>0.2551</formula>
      <formula>0.3751</formula>
    </cfRule>
    <cfRule type="cellIs" dxfId="7903" priority="8496" operator="greaterThan">
      <formula>0.505</formula>
    </cfRule>
    <cfRule type="cellIs" dxfId="7902" priority="8497" operator="between">
      <formula>0.48</formula>
      <formula>0.5</formula>
    </cfRule>
    <cfRule type="cellIs" dxfId="7901" priority="8498" stopIfTrue="1" operator="between">
      <formula>0</formula>
      <formula>0.255</formula>
    </cfRule>
  </conditionalFormatting>
  <conditionalFormatting sqref="AE253">
    <cfRule type="cellIs" dxfId="7900" priority="8479" operator="between">
      <formula>0.76</formula>
      <formula>0.95</formula>
    </cfRule>
    <cfRule type="cellIs" dxfId="7899" priority="8480" operator="between">
      <formula>0.51</formula>
      <formula>0.75</formula>
    </cfRule>
    <cfRule type="cellIs" dxfId="7898" priority="8481" operator="greaterThan">
      <formula>1</formula>
    </cfRule>
    <cfRule type="cellIs" dxfId="7897" priority="8482" operator="between">
      <formula>0.95</formula>
      <formula>1</formula>
    </cfRule>
    <cfRule type="cellIs" dxfId="7896" priority="8483" stopIfTrue="1" operator="between">
      <formula>0</formula>
      <formula>0.5</formula>
    </cfRule>
  </conditionalFormatting>
  <conditionalFormatting sqref="AG253">
    <cfRule type="cellIs" dxfId="7895" priority="8474" operator="between">
      <formula>0.76</formula>
      <formula>0.95</formula>
    </cfRule>
    <cfRule type="cellIs" dxfId="7894" priority="8475" operator="between">
      <formula>0.51</formula>
      <formula>0.75</formula>
    </cfRule>
    <cfRule type="cellIs" dxfId="7893" priority="8476" operator="greaterThan">
      <formula>1</formula>
    </cfRule>
    <cfRule type="cellIs" dxfId="7892" priority="8477" operator="between">
      <formula>0.95</formula>
      <formula>1</formula>
    </cfRule>
    <cfRule type="cellIs" dxfId="7891" priority="8478" stopIfTrue="1" operator="between">
      <formula>0</formula>
      <formula>0.5</formula>
    </cfRule>
  </conditionalFormatting>
  <conditionalFormatting sqref="M253">
    <cfRule type="cellIs" dxfId="7890" priority="8464" operator="between">
      <formula>0.191</formula>
      <formula>0.24</formula>
    </cfRule>
    <cfRule type="cellIs" dxfId="7889" priority="8465" operator="between">
      <formula>0.1251</formula>
      <formula>0.19</formula>
    </cfRule>
    <cfRule type="cellIs" dxfId="7888" priority="8466" operator="greaterThan">
      <formula>0.2601</formula>
    </cfRule>
    <cfRule type="cellIs" dxfId="7887" priority="8467" operator="between">
      <formula>0.2401</formula>
      <formula>0.26</formula>
    </cfRule>
    <cfRule type="cellIs" dxfId="7886" priority="8468" stopIfTrue="1" operator="between">
      <formula>0</formula>
      <formula>0.125</formula>
    </cfRule>
  </conditionalFormatting>
  <conditionalFormatting sqref="M241:M242">
    <cfRule type="cellIs" dxfId="7885" priority="8459" operator="between">
      <formula>0.191</formula>
      <formula>0.24</formula>
    </cfRule>
    <cfRule type="cellIs" dxfId="7884" priority="8460" operator="between">
      <formula>0.1251</formula>
      <formula>0.19</formula>
    </cfRule>
    <cfRule type="cellIs" dxfId="7883" priority="8461" operator="greaterThan">
      <formula>0.2601</formula>
    </cfRule>
    <cfRule type="cellIs" dxfId="7882" priority="8462" operator="between">
      <formula>0.2401</formula>
      <formula>0.26</formula>
    </cfRule>
    <cfRule type="cellIs" dxfId="7881" priority="8463" stopIfTrue="1" operator="between">
      <formula>0</formula>
      <formula>0.125</formula>
    </cfRule>
  </conditionalFormatting>
  <conditionalFormatting sqref="M245:M246">
    <cfRule type="cellIs" dxfId="7880" priority="8454" operator="between">
      <formula>0.191</formula>
      <formula>0.24</formula>
    </cfRule>
    <cfRule type="cellIs" dxfId="7879" priority="8455" operator="between">
      <formula>0.1251</formula>
      <formula>0.19</formula>
    </cfRule>
    <cfRule type="cellIs" dxfId="7878" priority="8456" operator="greaterThan">
      <formula>0.2601</formula>
    </cfRule>
    <cfRule type="cellIs" dxfId="7877" priority="8457" operator="between">
      <formula>0.2401</formula>
      <formula>0.26</formula>
    </cfRule>
    <cfRule type="cellIs" dxfId="7876" priority="8458" stopIfTrue="1" operator="between">
      <formula>0</formula>
      <formula>0.125</formula>
    </cfRule>
  </conditionalFormatting>
  <conditionalFormatting sqref="T241:T242">
    <cfRule type="cellIs" dxfId="7875" priority="8444" operator="between">
      <formula>0.191</formula>
      <formula>0.24</formula>
    </cfRule>
    <cfRule type="cellIs" dxfId="7874" priority="8445" operator="between">
      <formula>0.1251</formula>
      <formula>0.19</formula>
    </cfRule>
    <cfRule type="cellIs" dxfId="7873" priority="8446" operator="greaterThan">
      <formula>0.2601</formula>
    </cfRule>
    <cfRule type="cellIs" dxfId="7872" priority="8447" operator="between">
      <formula>0.2401</formula>
      <formula>0.26</formula>
    </cfRule>
    <cfRule type="cellIs" dxfId="7871" priority="8448" stopIfTrue="1" operator="between">
      <formula>0</formula>
      <formula>0.125</formula>
    </cfRule>
  </conditionalFormatting>
  <conditionalFormatting sqref="T245:T246">
    <cfRule type="cellIs" dxfId="7870" priority="8439" operator="between">
      <formula>0.191</formula>
      <formula>0.24</formula>
    </cfRule>
    <cfRule type="cellIs" dxfId="7869" priority="8440" operator="between">
      <formula>0.1251</formula>
      <formula>0.19</formula>
    </cfRule>
    <cfRule type="cellIs" dxfId="7868" priority="8441" operator="greaterThan">
      <formula>0.2601</formula>
    </cfRule>
    <cfRule type="cellIs" dxfId="7867" priority="8442" operator="between">
      <formula>0.2401</formula>
      <formula>0.26</formula>
    </cfRule>
    <cfRule type="cellIs" dxfId="7866" priority="8443" stopIfTrue="1" operator="between">
      <formula>0</formula>
      <formula>0.125</formula>
    </cfRule>
  </conditionalFormatting>
  <conditionalFormatting sqref="T249:T250">
    <cfRule type="cellIs" dxfId="7865" priority="8434" operator="between">
      <formula>0.191</formula>
      <formula>0.24</formula>
    </cfRule>
    <cfRule type="cellIs" dxfId="7864" priority="8435" operator="between">
      <formula>0.1251</formula>
      <formula>0.19</formula>
    </cfRule>
    <cfRule type="cellIs" dxfId="7863" priority="8436" operator="greaterThan">
      <formula>0.2601</formula>
    </cfRule>
    <cfRule type="cellIs" dxfId="7862" priority="8437" operator="between">
      <formula>0.2401</formula>
      <formula>0.26</formula>
    </cfRule>
    <cfRule type="cellIs" dxfId="7861" priority="8438" stopIfTrue="1" operator="between">
      <formula>0</formula>
      <formula>0.125</formula>
    </cfRule>
  </conditionalFormatting>
  <conditionalFormatting sqref="X253">
    <cfRule type="cellIs" dxfId="7860" priority="8429" operator="between">
      <formula>0.76</formula>
      <formula>0.95</formula>
    </cfRule>
    <cfRule type="cellIs" dxfId="7859" priority="8430" operator="between">
      <formula>0.51</formula>
      <formula>0.75</formula>
    </cfRule>
    <cfRule type="cellIs" dxfId="7858" priority="8431" operator="greaterThan">
      <formula>1</formula>
    </cfRule>
    <cfRule type="cellIs" dxfId="7857" priority="8432" operator="between">
      <formula>0.95</formula>
      <formula>1</formula>
    </cfRule>
    <cfRule type="cellIs" dxfId="7856" priority="8433" stopIfTrue="1" operator="between">
      <formula>0</formula>
      <formula>0.5</formula>
    </cfRule>
  </conditionalFormatting>
  <conditionalFormatting sqref="J254:J255">
    <cfRule type="cellIs" dxfId="7855" priority="8407" operator="between">
      <formula>0.76</formula>
      <formula>0.95</formula>
    </cfRule>
    <cfRule type="cellIs" dxfId="7854" priority="8408" operator="between">
      <formula>0.51</formula>
      <formula>0.75</formula>
    </cfRule>
    <cfRule type="cellIs" dxfId="7853" priority="8409" operator="greaterThan">
      <formula>1</formula>
    </cfRule>
    <cfRule type="cellIs" dxfId="7852" priority="8410" operator="between">
      <formula>0.95</formula>
      <formula>1</formula>
    </cfRule>
    <cfRule type="cellIs" dxfId="7851" priority="8411" stopIfTrue="1" operator="between">
      <formula>0</formula>
      <formula>0.5</formula>
    </cfRule>
  </conditionalFormatting>
  <conditionalFormatting sqref="I254:I255">
    <cfRule type="cellIs" dxfId="7850" priority="8402" operator="between">
      <formula>0.76</formula>
      <formula>0.95</formula>
    </cfRule>
    <cfRule type="cellIs" dxfId="7849" priority="8403" operator="between">
      <formula>0.51</formula>
      <formula>0.75</formula>
    </cfRule>
    <cfRule type="cellIs" dxfId="7848" priority="8404" operator="greaterThan">
      <formula>1</formula>
    </cfRule>
    <cfRule type="cellIs" dxfId="7847" priority="8405" operator="between">
      <formula>0.95</formula>
      <formula>1</formula>
    </cfRule>
    <cfRule type="cellIs" dxfId="7846" priority="8406" stopIfTrue="1" operator="between">
      <formula>0</formula>
      <formula>0.5</formula>
    </cfRule>
  </conditionalFormatting>
  <conditionalFormatting sqref="Q254:Q255">
    <cfRule type="cellIs" dxfId="7845" priority="8397" operator="between">
      <formula>0.76</formula>
      <formula>0.95</formula>
    </cfRule>
    <cfRule type="cellIs" dxfId="7844" priority="8398" operator="between">
      <formula>0.51</formula>
      <formula>0.75</formula>
    </cfRule>
    <cfRule type="cellIs" dxfId="7843" priority="8399" operator="greaterThan">
      <formula>1</formula>
    </cfRule>
    <cfRule type="cellIs" dxfId="7842" priority="8400" operator="between">
      <formula>0.95</formula>
      <formula>1</formula>
    </cfRule>
    <cfRule type="cellIs" dxfId="7841" priority="8401" stopIfTrue="1" operator="between">
      <formula>0</formula>
      <formula>0.5</formula>
    </cfRule>
  </conditionalFormatting>
  <conditionalFormatting sqref="P254:P255">
    <cfRule type="cellIs" dxfId="7840" priority="8392" operator="between">
      <formula>0.76</formula>
      <formula>0.95</formula>
    </cfRule>
    <cfRule type="cellIs" dxfId="7839" priority="8393" operator="between">
      <formula>0.51</formula>
      <formula>0.75</formula>
    </cfRule>
    <cfRule type="cellIs" dxfId="7838" priority="8394" operator="greaterThan">
      <formula>1</formula>
    </cfRule>
    <cfRule type="cellIs" dxfId="7837" priority="8395" operator="between">
      <formula>0.95</formula>
      <formula>1</formula>
    </cfRule>
    <cfRule type="cellIs" dxfId="7836" priority="8396" stopIfTrue="1" operator="between">
      <formula>0</formula>
      <formula>0.5</formula>
    </cfRule>
  </conditionalFormatting>
  <conditionalFormatting sqref="W254:W255">
    <cfRule type="cellIs" dxfId="7835" priority="8387" operator="between">
      <formula>0.76</formula>
      <formula>0.95</formula>
    </cfRule>
    <cfRule type="cellIs" dxfId="7834" priority="8388" operator="between">
      <formula>0.51</formula>
      <formula>0.75</formula>
    </cfRule>
    <cfRule type="cellIs" dxfId="7833" priority="8389" operator="greaterThan">
      <formula>1</formula>
    </cfRule>
    <cfRule type="cellIs" dxfId="7832" priority="8390" operator="between">
      <formula>0.95</formula>
      <formula>1</formula>
    </cfRule>
    <cfRule type="cellIs" dxfId="7831" priority="8391" stopIfTrue="1" operator="between">
      <formula>0</formula>
      <formula>0.5</formula>
    </cfRule>
  </conditionalFormatting>
  <conditionalFormatting sqref="AD254:AD255">
    <cfRule type="cellIs" dxfId="7830" priority="8382" operator="between">
      <formula>0.76</formula>
      <formula>0.95</formula>
    </cfRule>
    <cfRule type="cellIs" dxfId="7829" priority="8383" operator="between">
      <formula>0.51</formula>
      <formula>0.75</formula>
    </cfRule>
    <cfRule type="cellIs" dxfId="7828" priority="8384" operator="greaterThan">
      <formula>1</formula>
    </cfRule>
    <cfRule type="cellIs" dxfId="7827" priority="8385" operator="between">
      <formula>0.95</formula>
      <formula>1</formula>
    </cfRule>
    <cfRule type="cellIs" dxfId="7826" priority="8386" stopIfTrue="1" operator="between">
      <formula>0</formula>
      <formula>0.5</formula>
    </cfRule>
  </conditionalFormatting>
  <conditionalFormatting sqref="AF254:AF255">
    <cfRule type="cellIs" dxfId="7825" priority="8372" operator="between">
      <formula>0.76</formula>
      <formula>0.95</formula>
    </cfRule>
    <cfRule type="cellIs" dxfId="7824" priority="8373" operator="between">
      <formula>0.51</formula>
      <formula>0.75</formula>
    </cfRule>
    <cfRule type="cellIs" dxfId="7823" priority="8374" operator="greaterThan">
      <formula>1</formula>
    </cfRule>
    <cfRule type="cellIs" dxfId="7822" priority="8375" operator="between">
      <formula>0.95</formula>
      <formula>1</formula>
    </cfRule>
    <cfRule type="cellIs" dxfId="7821" priority="8376" stopIfTrue="1" operator="between">
      <formula>0</formula>
      <formula>0.5</formula>
    </cfRule>
  </conditionalFormatting>
  <conditionalFormatting sqref="K254:K255">
    <cfRule type="cellIs" dxfId="7820" priority="8362" operator="between">
      <formula>0.191</formula>
      <formula>0.24</formula>
    </cfRule>
    <cfRule type="cellIs" dxfId="7819" priority="8363" operator="between">
      <formula>0.1251</formula>
      <formula>0.19</formula>
    </cfRule>
    <cfRule type="cellIs" dxfId="7818" priority="8364" operator="greaterThan">
      <formula>0.2601</formula>
    </cfRule>
    <cfRule type="cellIs" dxfId="7817" priority="8365" operator="between">
      <formula>0.2401</formula>
      <formula>0.26</formula>
    </cfRule>
    <cfRule type="cellIs" dxfId="7816" priority="8366" stopIfTrue="1" operator="between">
      <formula>0</formula>
      <formula>0.125</formula>
    </cfRule>
  </conditionalFormatting>
  <conditionalFormatting sqref="R254:R255">
    <cfRule type="cellIs" dxfId="7815" priority="8357" operator="between">
      <formula>0.3751</formula>
      <formula>0.475</formula>
    </cfRule>
    <cfRule type="cellIs" dxfId="7814" priority="8358" operator="between">
      <formula>0.2551</formula>
      <formula>0.375</formula>
    </cfRule>
    <cfRule type="cellIs" dxfId="7813" priority="8359" operator="greaterThan">
      <formula>0.505</formula>
    </cfRule>
    <cfRule type="cellIs" dxfId="7812" priority="8360" operator="between">
      <formula>0.48</formula>
      <formula>0.5</formula>
    </cfRule>
    <cfRule type="cellIs" dxfId="7811" priority="8361" stopIfTrue="1" operator="between">
      <formula>0</formula>
      <formula>0.255</formula>
    </cfRule>
  </conditionalFormatting>
  <conditionalFormatting sqref="T254:T255">
    <cfRule type="cellIs" dxfId="7810" priority="8352" operator="between">
      <formula>0.376</formula>
      <formula>0.475</formula>
    </cfRule>
    <cfRule type="cellIs" dxfId="7809" priority="8353" operator="between">
      <formula>0.2551</formula>
      <formula>0.3751</formula>
    </cfRule>
    <cfRule type="cellIs" dxfId="7808" priority="8354" operator="greaterThan">
      <formula>0.505</formula>
    </cfRule>
    <cfRule type="cellIs" dxfId="7807" priority="8355" operator="between">
      <formula>0.48</formula>
      <formula>0.5</formula>
    </cfRule>
    <cfRule type="cellIs" dxfId="7806" priority="8356" stopIfTrue="1" operator="between">
      <formula>0</formula>
      <formula>0.255</formula>
    </cfRule>
  </conditionalFormatting>
  <conditionalFormatting sqref="AE254">
    <cfRule type="cellIs" dxfId="7805" priority="8342" operator="between">
      <formula>0.76</formula>
      <formula>0.95</formula>
    </cfRule>
    <cfRule type="cellIs" dxfId="7804" priority="8343" operator="between">
      <formula>0.51</formula>
      <formula>0.75</formula>
    </cfRule>
    <cfRule type="cellIs" dxfId="7803" priority="8344" operator="greaterThan">
      <formula>1</formula>
    </cfRule>
    <cfRule type="cellIs" dxfId="7802" priority="8345" operator="between">
      <formula>0.95</formula>
      <formula>1</formula>
    </cfRule>
    <cfRule type="cellIs" dxfId="7801" priority="8346" stopIfTrue="1" operator="between">
      <formula>0</formula>
      <formula>0.5</formula>
    </cfRule>
  </conditionalFormatting>
  <conditionalFormatting sqref="AG254:AG255">
    <cfRule type="cellIs" dxfId="7800" priority="8337" operator="between">
      <formula>0.76</formula>
      <formula>0.95</formula>
    </cfRule>
    <cfRule type="cellIs" dxfId="7799" priority="8338" operator="between">
      <formula>0.51</formula>
      <formula>0.75</formula>
    </cfRule>
    <cfRule type="cellIs" dxfId="7798" priority="8339" operator="greaterThan">
      <formula>1</formula>
    </cfRule>
    <cfRule type="cellIs" dxfId="7797" priority="8340" operator="between">
      <formula>0.95</formula>
      <formula>1</formula>
    </cfRule>
    <cfRule type="cellIs" dxfId="7796" priority="8341" stopIfTrue="1" operator="between">
      <formula>0</formula>
      <formula>0.5</formula>
    </cfRule>
  </conditionalFormatting>
  <conditionalFormatting sqref="M254:M255">
    <cfRule type="cellIs" dxfId="7795" priority="8332" operator="between">
      <formula>0.191</formula>
      <formula>0.24</formula>
    </cfRule>
    <cfRule type="cellIs" dxfId="7794" priority="8333" operator="between">
      <formula>0.1251</formula>
      <formula>0.19</formula>
    </cfRule>
    <cfRule type="cellIs" dxfId="7793" priority="8334" operator="greaterThan">
      <formula>0.2601</formula>
    </cfRule>
    <cfRule type="cellIs" dxfId="7792" priority="8335" operator="between">
      <formula>0.2401</formula>
      <formula>0.26</formula>
    </cfRule>
    <cfRule type="cellIs" dxfId="7791" priority="8336" stopIfTrue="1" operator="between">
      <formula>0</formula>
      <formula>0.125</formula>
    </cfRule>
  </conditionalFormatting>
  <conditionalFormatting sqref="X254:X255">
    <cfRule type="cellIs" dxfId="7790" priority="8327" operator="between">
      <formula>0.76</formula>
      <formula>0.95</formula>
    </cfRule>
    <cfRule type="cellIs" dxfId="7789" priority="8328" operator="between">
      <formula>0.51</formula>
      <formula>0.75</formula>
    </cfRule>
    <cfRule type="cellIs" dxfId="7788" priority="8329" operator="greaterThan">
      <formula>1</formula>
    </cfRule>
    <cfRule type="cellIs" dxfId="7787" priority="8330" operator="between">
      <formula>0.95</formula>
      <formula>1</formula>
    </cfRule>
    <cfRule type="cellIs" dxfId="7786" priority="8331" stopIfTrue="1" operator="between">
      <formula>0</formula>
      <formula>0.5</formula>
    </cfRule>
  </conditionalFormatting>
  <conditionalFormatting sqref="I288:J288 P288:Q288 AD288:AG288 W288">
    <cfRule type="cellIs" dxfId="7785" priority="8305" operator="between">
      <formula>0.76</formula>
      <formula>0.95</formula>
    </cfRule>
    <cfRule type="cellIs" dxfId="7784" priority="8306" operator="between">
      <formula>0.51</formula>
      <formula>0.75</formula>
    </cfRule>
    <cfRule type="cellIs" dxfId="7783" priority="8307" operator="greaterThan">
      <formula>1</formula>
    </cfRule>
    <cfRule type="cellIs" dxfId="7782" priority="8308" operator="between">
      <formula>0.95</formula>
      <formula>1</formula>
    </cfRule>
    <cfRule type="cellIs" dxfId="7781" priority="8309" stopIfTrue="1" operator="between">
      <formula>0</formula>
      <formula>0.5</formula>
    </cfRule>
  </conditionalFormatting>
  <conditionalFormatting sqref="R288">
    <cfRule type="cellIs" dxfId="7780" priority="8300" operator="between">
      <formula>0.3751</formula>
      <formula>0.475</formula>
    </cfRule>
    <cfRule type="cellIs" dxfId="7779" priority="8301" operator="between">
      <formula>0.2551</formula>
      <formula>0.375</formula>
    </cfRule>
    <cfRule type="cellIs" dxfId="7778" priority="8302" operator="greaterThan">
      <formula>0.505</formula>
    </cfRule>
    <cfRule type="cellIs" dxfId="7777" priority="8303" operator="between">
      <formula>0.48</formula>
      <formula>0.5</formula>
    </cfRule>
    <cfRule type="cellIs" dxfId="7776" priority="8304" stopIfTrue="1" operator="between">
      <formula>0</formula>
      <formula>0.255</formula>
    </cfRule>
  </conditionalFormatting>
  <conditionalFormatting sqref="K288 M288">
    <cfRule type="cellIs" dxfId="7775" priority="8295" operator="between">
      <formula>0.191</formula>
      <formula>0.24</formula>
    </cfRule>
    <cfRule type="cellIs" dxfId="7774" priority="8296" operator="between">
      <formula>0.1251</formula>
      <formula>0.19</formula>
    </cfRule>
    <cfRule type="cellIs" dxfId="7773" priority="8297" operator="greaterThan">
      <formula>0.2601</formula>
    </cfRule>
    <cfRule type="cellIs" dxfId="7772" priority="8298" operator="between">
      <formula>0.2401</formula>
      <formula>0.26</formula>
    </cfRule>
    <cfRule type="cellIs" dxfId="7771" priority="8299" stopIfTrue="1" operator="between">
      <formula>0</formula>
      <formula>0.125</formula>
    </cfRule>
  </conditionalFormatting>
  <conditionalFormatting sqref="T288">
    <cfRule type="cellIs" dxfId="7770" priority="8285" operator="between">
      <formula>0.376</formula>
      <formula>0.475</formula>
    </cfRule>
    <cfRule type="cellIs" dxfId="7769" priority="8286" operator="between">
      <formula>0.2551</formula>
      <formula>0.3751</formula>
    </cfRule>
    <cfRule type="cellIs" dxfId="7768" priority="8287" operator="greaterThan">
      <formula>0.505</formula>
    </cfRule>
    <cfRule type="cellIs" dxfId="7767" priority="8288" operator="between">
      <formula>0.48</formula>
      <formula>0.5</formula>
    </cfRule>
    <cfRule type="cellIs" dxfId="7766" priority="8289" stopIfTrue="1" operator="between">
      <formula>0</formula>
      <formula>0.255</formula>
    </cfRule>
  </conditionalFormatting>
  <conditionalFormatting sqref="X288">
    <cfRule type="cellIs" dxfId="7765" priority="8275" operator="between">
      <formula>0.76</formula>
      <formula>0.95</formula>
    </cfRule>
    <cfRule type="cellIs" dxfId="7764" priority="8276" operator="between">
      <formula>0.51</formula>
      <formula>0.75</formula>
    </cfRule>
    <cfRule type="cellIs" dxfId="7763" priority="8277" operator="greaterThan">
      <formula>1</formula>
    </cfRule>
    <cfRule type="cellIs" dxfId="7762" priority="8278" operator="between">
      <formula>0.95</formula>
      <formula>1</formula>
    </cfRule>
    <cfRule type="cellIs" dxfId="7761" priority="8279" stopIfTrue="1" operator="between">
      <formula>0</formula>
      <formula>0.5</formula>
    </cfRule>
  </conditionalFormatting>
  <conditionalFormatting sqref="I290:J290 P290:Q290 AD290:AG290 W290">
    <cfRule type="cellIs" dxfId="7760" priority="8258" operator="between">
      <formula>0.76</formula>
      <formula>0.95</formula>
    </cfRule>
    <cfRule type="cellIs" dxfId="7759" priority="8259" operator="between">
      <formula>0.51</formula>
      <formula>0.75</formula>
    </cfRule>
    <cfRule type="cellIs" dxfId="7758" priority="8260" operator="greaterThan">
      <formula>1</formula>
    </cfRule>
    <cfRule type="cellIs" dxfId="7757" priority="8261" operator="between">
      <formula>0.95</formula>
      <formula>1</formula>
    </cfRule>
    <cfRule type="cellIs" dxfId="7756" priority="8262" stopIfTrue="1" operator="between">
      <formula>0</formula>
      <formula>0.5</formula>
    </cfRule>
  </conditionalFormatting>
  <conditionalFormatting sqref="R290">
    <cfRule type="cellIs" dxfId="7755" priority="8253" operator="between">
      <formula>0.3751</formula>
      <formula>0.475</formula>
    </cfRule>
    <cfRule type="cellIs" dxfId="7754" priority="8254" operator="between">
      <formula>0.2551</formula>
      <formula>0.375</formula>
    </cfRule>
    <cfRule type="cellIs" dxfId="7753" priority="8255" operator="greaterThan">
      <formula>0.505</formula>
    </cfRule>
    <cfRule type="cellIs" dxfId="7752" priority="8256" operator="between">
      <formula>0.48</formula>
      <formula>0.5</formula>
    </cfRule>
    <cfRule type="cellIs" dxfId="7751" priority="8257" stopIfTrue="1" operator="between">
      <formula>0</formula>
      <formula>0.255</formula>
    </cfRule>
  </conditionalFormatting>
  <conditionalFormatting sqref="K290 M290">
    <cfRule type="cellIs" dxfId="7750" priority="8248" operator="between">
      <formula>0.191</formula>
      <formula>0.24</formula>
    </cfRule>
    <cfRule type="cellIs" dxfId="7749" priority="8249" operator="between">
      <formula>0.1251</formula>
      <formula>0.19</formula>
    </cfRule>
    <cfRule type="cellIs" dxfId="7748" priority="8250" operator="greaterThan">
      <formula>0.2601</formula>
    </cfRule>
    <cfRule type="cellIs" dxfId="7747" priority="8251" operator="between">
      <formula>0.2401</formula>
      <formula>0.26</formula>
    </cfRule>
    <cfRule type="cellIs" dxfId="7746" priority="8252" stopIfTrue="1" operator="between">
      <formula>0</formula>
      <formula>0.125</formula>
    </cfRule>
  </conditionalFormatting>
  <conditionalFormatting sqref="T290">
    <cfRule type="cellIs" dxfId="7745" priority="8238" operator="between">
      <formula>0.376</formula>
      <formula>0.475</formula>
    </cfRule>
    <cfRule type="cellIs" dxfId="7744" priority="8239" operator="between">
      <formula>0.2551</formula>
      <formula>0.3751</formula>
    </cfRule>
    <cfRule type="cellIs" dxfId="7743" priority="8240" operator="greaterThan">
      <formula>0.505</formula>
    </cfRule>
    <cfRule type="cellIs" dxfId="7742" priority="8241" operator="between">
      <formula>0.48</formula>
      <formula>0.5</formula>
    </cfRule>
    <cfRule type="cellIs" dxfId="7741" priority="8242" stopIfTrue="1" operator="between">
      <formula>0</formula>
      <formula>0.255</formula>
    </cfRule>
  </conditionalFormatting>
  <conditionalFormatting sqref="X290">
    <cfRule type="cellIs" dxfId="7740" priority="8228" operator="between">
      <formula>0.76</formula>
      <formula>0.95</formula>
    </cfRule>
    <cfRule type="cellIs" dxfId="7739" priority="8229" operator="between">
      <formula>0.51</formula>
      <formula>0.75</formula>
    </cfRule>
    <cfRule type="cellIs" dxfId="7738" priority="8230" operator="greaterThan">
      <formula>1</formula>
    </cfRule>
    <cfRule type="cellIs" dxfId="7737" priority="8231" operator="between">
      <formula>0.95</formula>
      <formula>1</formula>
    </cfRule>
    <cfRule type="cellIs" dxfId="7736" priority="8232" stopIfTrue="1" operator="between">
      <formula>0</formula>
      <formula>0.5</formula>
    </cfRule>
  </conditionalFormatting>
  <conditionalFormatting sqref="Q283 X283 AG283">
    <cfRule type="cellIs" dxfId="7735" priority="8211" operator="between">
      <formula>0.76</formula>
      <formula>0.95</formula>
    </cfRule>
    <cfRule type="cellIs" dxfId="7734" priority="8212" operator="between">
      <formula>0.51</formula>
      <formula>0.75</formula>
    </cfRule>
    <cfRule type="cellIs" dxfId="7733" priority="8213" operator="greaterThan">
      <formula>1</formula>
    </cfRule>
    <cfRule type="cellIs" dxfId="7732" priority="8214" operator="between">
      <formula>0.95</formula>
      <formula>1</formula>
    </cfRule>
    <cfRule type="cellIs" dxfId="7731" priority="8215" stopIfTrue="1" operator="between">
      <formula>0</formula>
      <formula>0.5</formula>
    </cfRule>
  </conditionalFormatting>
  <conditionalFormatting sqref="I283">
    <cfRule type="cellIs" dxfId="7730" priority="8206" operator="between">
      <formula>0.76</formula>
      <formula>0.95</formula>
    </cfRule>
    <cfRule type="cellIs" dxfId="7729" priority="8207" operator="between">
      <formula>0.51</formula>
      <formula>0.75</formula>
    </cfRule>
    <cfRule type="cellIs" dxfId="7728" priority="8208" operator="greaterThan">
      <formula>1</formula>
    </cfRule>
    <cfRule type="cellIs" dxfId="7727" priority="8209" operator="between">
      <formula>0.95</formula>
      <formula>1</formula>
    </cfRule>
    <cfRule type="cellIs" dxfId="7726" priority="8210" stopIfTrue="1" operator="between">
      <formula>0</formula>
      <formula>0.5</formula>
    </cfRule>
  </conditionalFormatting>
  <conditionalFormatting sqref="P283">
    <cfRule type="cellIs" dxfId="7725" priority="8201" operator="between">
      <formula>0.76</formula>
      <formula>0.95</formula>
    </cfRule>
    <cfRule type="cellIs" dxfId="7724" priority="8202" operator="between">
      <formula>0.51</formula>
      <formula>0.75</formula>
    </cfRule>
    <cfRule type="cellIs" dxfId="7723" priority="8203" operator="greaterThan">
      <formula>1</formula>
    </cfRule>
    <cfRule type="cellIs" dxfId="7722" priority="8204" operator="between">
      <formula>0.95</formula>
      <formula>1</formula>
    </cfRule>
    <cfRule type="cellIs" dxfId="7721" priority="8205" stopIfTrue="1" operator="between">
      <formula>0</formula>
      <formula>0.5</formula>
    </cfRule>
  </conditionalFormatting>
  <conditionalFormatting sqref="W283">
    <cfRule type="cellIs" dxfId="7720" priority="8196" operator="between">
      <formula>0.76</formula>
      <formula>0.95</formula>
    </cfRule>
    <cfRule type="cellIs" dxfId="7719" priority="8197" operator="between">
      <formula>0.51</formula>
      <formula>0.75</formula>
    </cfRule>
    <cfRule type="cellIs" dxfId="7718" priority="8198" operator="greaterThan">
      <formula>1</formula>
    </cfRule>
    <cfRule type="cellIs" dxfId="7717" priority="8199" operator="between">
      <formula>0.95</formula>
      <formula>1</formula>
    </cfRule>
    <cfRule type="cellIs" dxfId="7716" priority="8200" stopIfTrue="1" operator="between">
      <formula>0</formula>
      <formula>0.5</formula>
    </cfRule>
  </conditionalFormatting>
  <conditionalFormatting sqref="AD283">
    <cfRule type="cellIs" dxfId="7715" priority="8191" operator="between">
      <formula>0.76</formula>
      <formula>0.95</formula>
    </cfRule>
    <cfRule type="cellIs" dxfId="7714" priority="8192" operator="between">
      <formula>0.51</formula>
      <formula>0.75</formula>
    </cfRule>
    <cfRule type="cellIs" dxfId="7713" priority="8193" operator="greaterThan">
      <formula>1</formula>
    </cfRule>
    <cfRule type="cellIs" dxfId="7712" priority="8194" operator="between">
      <formula>0.95</formula>
      <formula>1</formula>
    </cfRule>
    <cfRule type="cellIs" dxfId="7711" priority="8195" stopIfTrue="1" operator="between">
      <formula>0</formula>
      <formula>0.5</formula>
    </cfRule>
  </conditionalFormatting>
  <conditionalFormatting sqref="AF283">
    <cfRule type="cellIs" dxfId="7710" priority="8181" operator="between">
      <formula>0.76</formula>
      <formula>0.95</formula>
    </cfRule>
    <cfRule type="cellIs" dxfId="7709" priority="8182" operator="between">
      <formula>0.51</formula>
      <formula>0.75</formula>
    </cfRule>
    <cfRule type="cellIs" dxfId="7708" priority="8183" operator="greaterThan">
      <formula>1</formula>
    </cfRule>
    <cfRule type="cellIs" dxfId="7707" priority="8184" operator="between">
      <formula>0.95</formula>
      <formula>1</formula>
    </cfRule>
    <cfRule type="cellIs" dxfId="7706" priority="8185" stopIfTrue="1" operator="between">
      <formula>0</formula>
      <formula>0.5</formula>
    </cfRule>
  </conditionalFormatting>
  <conditionalFormatting sqref="K283">
    <cfRule type="cellIs" dxfId="7705" priority="8171" operator="between">
      <formula>0.191</formula>
      <formula>0.24</formula>
    </cfRule>
    <cfRule type="cellIs" dxfId="7704" priority="8172" operator="between">
      <formula>0.1251</formula>
      <formula>0.19</formula>
    </cfRule>
    <cfRule type="cellIs" dxfId="7703" priority="8173" operator="greaterThan">
      <formula>0.2601</formula>
    </cfRule>
    <cfRule type="cellIs" dxfId="7702" priority="8174" operator="between">
      <formula>0.2401</formula>
      <formula>0.26</formula>
    </cfRule>
    <cfRule type="cellIs" dxfId="7701" priority="8175" stopIfTrue="1" operator="between">
      <formula>0</formula>
      <formula>0.125</formula>
    </cfRule>
  </conditionalFormatting>
  <conditionalFormatting sqref="R283">
    <cfRule type="cellIs" dxfId="7700" priority="8166" operator="between">
      <formula>0.3751</formula>
      <formula>0.475</formula>
    </cfRule>
    <cfRule type="cellIs" dxfId="7699" priority="8167" operator="between">
      <formula>0.2551</formula>
      <formula>0.375</formula>
    </cfRule>
    <cfRule type="cellIs" dxfId="7698" priority="8168" operator="greaterThan">
      <formula>0.505</formula>
    </cfRule>
    <cfRule type="cellIs" dxfId="7697" priority="8169" operator="between">
      <formula>0.48</formula>
      <formula>0.5</formula>
    </cfRule>
    <cfRule type="cellIs" dxfId="7696" priority="8170" stopIfTrue="1" operator="between">
      <formula>0</formula>
      <formula>0.255</formula>
    </cfRule>
  </conditionalFormatting>
  <conditionalFormatting sqref="J283">
    <cfRule type="cellIs" dxfId="7695" priority="8156" operator="between">
      <formula>0.76</formula>
      <formula>0.95</formula>
    </cfRule>
    <cfRule type="cellIs" dxfId="7694" priority="8157" operator="between">
      <formula>0.51</formula>
      <formula>0.75</formula>
    </cfRule>
    <cfRule type="cellIs" dxfId="7693" priority="8158" operator="greaterThan">
      <formula>1</formula>
    </cfRule>
    <cfRule type="cellIs" dxfId="7692" priority="8159" operator="between">
      <formula>0.95</formula>
      <formula>1</formula>
    </cfRule>
    <cfRule type="cellIs" dxfId="7691" priority="8160" stopIfTrue="1" operator="between">
      <formula>0</formula>
      <formula>0.5</formula>
    </cfRule>
  </conditionalFormatting>
  <conditionalFormatting sqref="M283">
    <cfRule type="cellIs" dxfId="7690" priority="8151" operator="between">
      <formula>0.191</formula>
      <formula>0.24</formula>
    </cfRule>
    <cfRule type="cellIs" dxfId="7689" priority="8152" operator="between">
      <formula>0.1251</formula>
      <formula>0.19</formula>
    </cfRule>
    <cfRule type="cellIs" dxfId="7688" priority="8153" operator="greaterThan">
      <formula>0.2601</formula>
    </cfRule>
    <cfRule type="cellIs" dxfId="7687" priority="8154" operator="between">
      <formula>0.2401</formula>
      <formula>0.26</formula>
    </cfRule>
    <cfRule type="cellIs" dxfId="7686" priority="8155" stopIfTrue="1" operator="between">
      <formula>0</formula>
      <formula>0.125</formula>
    </cfRule>
  </conditionalFormatting>
  <conditionalFormatting sqref="T283">
    <cfRule type="cellIs" dxfId="7685" priority="8146" operator="between">
      <formula>0.76</formula>
      <formula>0.95</formula>
    </cfRule>
    <cfRule type="cellIs" dxfId="7684" priority="8147" operator="between">
      <formula>0.51</formula>
      <formula>0.75</formula>
    </cfRule>
    <cfRule type="cellIs" dxfId="7683" priority="8148" operator="greaterThan">
      <formula>1</formula>
    </cfRule>
    <cfRule type="cellIs" dxfId="7682" priority="8149" operator="between">
      <formula>0.95</formula>
      <formula>1</formula>
    </cfRule>
    <cfRule type="cellIs" dxfId="7681" priority="8150" stopIfTrue="1" operator="between">
      <formula>0</formula>
      <formula>0.5</formula>
    </cfRule>
  </conditionalFormatting>
  <conditionalFormatting sqref="AE283">
    <cfRule type="cellIs" dxfId="7680" priority="8141" operator="between">
      <formula>0.76</formula>
      <formula>0.95</formula>
    </cfRule>
    <cfRule type="cellIs" dxfId="7679" priority="8142" operator="between">
      <formula>0.51</formula>
      <formula>0.75</formula>
    </cfRule>
    <cfRule type="cellIs" dxfId="7678" priority="8143" operator="greaterThan">
      <formula>1</formula>
    </cfRule>
    <cfRule type="cellIs" dxfId="7677" priority="8144" operator="between">
      <formula>0.95</formula>
      <formula>1</formula>
    </cfRule>
    <cfRule type="cellIs" dxfId="7676" priority="8145" stopIfTrue="1" operator="between">
      <formula>0</formula>
      <formula>0.5</formula>
    </cfRule>
  </conditionalFormatting>
  <conditionalFormatting sqref="Q284 X284 AG284">
    <cfRule type="cellIs" dxfId="7675" priority="8124" operator="between">
      <formula>0.76</formula>
      <formula>0.95</formula>
    </cfRule>
    <cfRule type="cellIs" dxfId="7674" priority="8125" operator="between">
      <formula>0.51</formula>
      <formula>0.75</formula>
    </cfRule>
    <cfRule type="cellIs" dxfId="7673" priority="8126" operator="greaterThan">
      <formula>1</formula>
    </cfRule>
    <cfRule type="cellIs" dxfId="7672" priority="8127" operator="between">
      <formula>0.95</formula>
      <formula>1</formula>
    </cfRule>
    <cfRule type="cellIs" dxfId="7671" priority="8128" stopIfTrue="1" operator="between">
      <formula>0</formula>
      <formula>0.5</formula>
    </cfRule>
  </conditionalFormatting>
  <conditionalFormatting sqref="I284">
    <cfRule type="cellIs" dxfId="7670" priority="8119" operator="between">
      <formula>0.76</formula>
      <formula>0.95</formula>
    </cfRule>
    <cfRule type="cellIs" dxfId="7669" priority="8120" operator="between">
      <formula>0.51</formula>
      <formula>0.75</formula>
    </cfRule>
    <cfRule type="cellIs" dxfId="7668" priority="8121" operator="greaterThan">
      <formula>1</formula>
    </cfRule>
    <cfRule type="cellIs" dxfId="7667" priority="8122" operator="between">
      <formula>0.95</formula>
      <formula>1</formula>
    </cfRule>
    <cfRule type="cellIs" dxfId="7666" priority="8123" stopIfTrue="1" operator="between">
      <formula>0</formula>
      <formula>0.5</formula>
    </cfRule>
  </conditionalFormatting>
  <conditionalFormatting sqref="P284">
    <cfRule type="cellIs" dxfId="7665" priority="8114" operator="between">
      <formula>0.76</formula>
      <formula>0.95</formula>
    </cfRule>
    <cfRule type="cellIs" dxfId="7664" priority="8115" operator="between">
      <formula>0.51</formula>
      <formula>0.75</formula>
    </cfRule>
    <cfRule type="cellIs" dxfId="7663" priority="8116" operator="greaterThan">
      <formula>1</formula>
    </cfRule>
    <cfRule type="cellIs" dxfId="7662" priority="8117" operator="between">
      <formula>0.95</formula>
      <formula>1</formula>
    </cfRule>
    <cfRule type="cellIs" dxfId="7661" priority="8118" stopIfTrue="1" operator="between">
      <formula>0</formula>
      <formula>0.5</formula>
    </cfRule>
  </conditionalFormatting>
  <conditionalFormatting sqref="W284">
    <cfRule type="cellIs" dxfId="7660" priority="8109" operator="between">
      <formula>0.76</formula>
      <formula>0.95</formula>
    </cfRule>
    <cfRule type="cellIs" dxfId="7659" priority="8110" operator="between">
      <formula>0.51</formula>
      <formula>0.75</formula>
    </cfRule>
    <cfRule type="cellIs" dxfId="7658" priority="8111" operator="greaterThan">
      <formula>1</formula>
    </cfRule>
    <cfRule type="cellIs" dxfId="7657" priority="8112" operator="between">
      <formula>0.95</formula>
      <formula>1</formula>
    </cfRule>
    <cfRule type="cellIs" dxfId="7656" priority="8113" stopIfTrue="1" operator="between">
      <formula>0</formula>
      <formula>0.5</formula>
    </cfRule>
  </conditionalFormatting>
  <conditionalFormatting sqref="AD284">
    <cfRule type="cellIs" dxfId="7655" priority="8104" operator="between">
      <formula>0.76</formula>
      <formula>0.95</formula>
    </cfRule>
    <cfRule type="cellIs" dxfId="7654" priority="8105" operator="between">
      <formula>0.51</formula>
      <formula>0.75</formula>
    </cfRule>
    <cfRule type="cellIs" dxfId="7653" priority="8106" operator="greaterThan">
      <formula>1</formula>
    </cfRule>
    <cfRule type="cellIs" dxfId="7652" priority="8107" operator="between">
      <formula>0.95</formula>
      <formula>1</formula>
    </cfRule>
    <cfRule type="cellIs" dxfId="7651" priority="8108" stopIfTrue="1" operator="between">
      <formula>0</formula>
      <formula>0.5</formula>
    </cfRule>
  </conditionalFormatting>
  <conditionalFormatting sqref="AF284">
    <cfRule type="cellIs" dxfId="7650" priority="8094" operator="between">
      <formula>0.76</formula>
      <formula>0.95</formula>
    </cfRule>
    <cfRule type="cellIs" dxfId="7649" priority="8095" operator="between">
      <formula>0.51</formula>
      <formula>0.75</formula>
    </cfRule>
    <cfRule type="cellIs" dxfId="7648" priority="8096" operator="greaterThan">
      <formula>1</formula>
    </cfRule>
    <cfRule type="cellIs" dxfId="7647" priority="8097" operator="between">
      <formula>0.95</formula>
      <formula>1</formula>
    </cfRule>
    <cfRule type="cellIs" dxfId="7646" priority="8098" stopIfTrue="1" operator="between">
      <formula>0</formula>
      <formula>0.5</formula>
    </cfRule>
  </conditionalFormatting>
  <conditionalFormatting sqref="K284">
    <cfRule type="cellIs" dxfId="7645" priority="8084" operator="between">
      <formula>0.191</formula>
      <formula>0.24</formula>
    </cfRule>
    <cfRule type="cellIs" dxfId="7644" priority="8085" operator="between">
      <formula>0.1251</formula>
      <formula>0.19</formula>
    </cfRule>
    <cfRule type="cellIs" dxfId="7643" priority="8086" operator="greaterThan">
      <formula>0.2601</formula>
    </cfRule>
    <cfRule type="cellIs" dxfId="7642" priority="8087" operator="between">
      <formula>0.2401</formula>
      <formula>0.26</formula>
    </cfRule>
    <cfRule type="cellIs" dxfId="7641" priority="8088" stopIfTrue="1" operator="between">
      <formula>0</formula>
      <formula>0.125</formula>
    </cfRule>
  </conditionalFormatting>
  <conditionalFormatting sqref="R284">
    <cfRule type="cellIs" dxfId="7640" priority="8079" operator="between">
      <formula>0.3751</formula>
      <formula>0.475</formula>
    </cfRule>
    <cfRule type="cellIs" dxfId="7639" priority="8080" operator="between">
      <formula>0.2551</formula>
      <formula>0.375</formula>
    </cfRule>
    <cfRule type="cellIs" dxfId="7638" priority="8081" operator="greaterThan">
      <formula>0.505</formula>
    </cfRule>
    <cfRule type="cellIs" dxfId="7637" priority="8082" operator="between">
      <formula>0.48</formula>
      <formula>0.5</formula>
    </cfRule>
    <cfRule type="cellIs" dxfId="7636" priority="8083" stopIfTrue="1" operator="between">
      <formula>0</formula>
      <formula>0.255</formula>
    </cfRule>
  </conditionalFormatting>
  <conditionalFormatting sqref="J284">
    <cfRule type="cellIs" dxfId="7635" priority="8069" operator="between">
      <formula>0.76</formula>
      <formula>0.95</formula>
    </cfRule>
    <cfRule type="cellIs" dxfId="7634" priority="8070" operator="between">
      <formula>0.51</formula>
      <formula>0.75</formula>
    </cfRule>
    <cfRule type="cellIs" dxfId="7633" priority="8071" operator="greaterThan">
      <formula>1</formula>
    </cfRule>
    <cfRule type="cellIs" dxfId="7632" priority="8072" operator="between">
      <formula>0.95</formula>
      <formula>1</formula>
    </cfRule>
    <cfRule type="cellIs" dxfId="7631" priority="8073" stopIfTrue="1" operator="between">
      <formula>0</formula>
      <formula>0.5</formula>
    </cfRule>
  </conditionalFormatting>
  <conditionalFormatting sqref="M284">
    <cfRule type="cellIs" dxfId="7630" priority="8064" operator="between">
      <formula>0.191</formula>
      <formula>0.24</formula>
    </cfRule>
    <cfRule type="cellIs" dxfId="7629" priority="8065" operator="between">
      <formula>0.1251</formula>
      <formula>0.19</formula>
    </cfRule>
    <cfRule type="cellIs" dxfId="7628" priority="8066" operator="greaterThan">
      <formula>0.2601</formula>
    </cfRule>
    <cfRule type="cellIs" dxfId="7627" priority="8067" operator="between">
      <formula>0.2401</formula>
      <formula>0.26</formula>
    </cfRule>
    <cfRule type="cellIs" dxfId="7626" priority="8068" stopIfTrue="1" operator="between">
      <formula>0</formula>
      <formula>0.125</formula>
    </cfRule>
  </conditionalFormatting>
  <conditionalFormatting sqref="T284">
    <cfRule type="cellIs" dxfId="7625" priority="8059" operator="between">
      <formula>0.76</formula>
      <formula>0.95</formula>
    </cfRule>
    <cfRule type="cellIs" dxfId="7624" priority="8060" operator="between">
      <formula>0.51</formula>
      <formula>0.75</formula>
    </cfRule>
    <cfRule type="cellIs" dxfId="7623" priority="8061" operator="greaterThan">
      <formula>1</formula>
    </cfRule>
    <cfRule type="cellIs" dxfId="7622" priority="8062" operator="between">
      <formula>0.95</formula>
      <formula>1</formula>
    </cfRule>
    <cfRule type="cellIs" dxfId="7621" priority="8063" stopIfTrue="1" operator="between">
      <formula>0</formula>
      <formula>0.5</formula>
    </cfRule>
  </conditionalFormatting>
  <conditionalFormatting sqref="AE284">
    <cfRule type="cellIs" dxfId="7620" priority="8054" operator="between">
      <formula>0.76</formula>
      <formula>0.95</formula>
    </cfRule>
    <cfRule type="cellIs" dxfId="7619" priority="8055" operator="between">
      <formula>0.51</formula>
      <formula>0.75</formula>
    </cfRule>
    <cfRule type="cellIs" dxfId="7618" priority="8056" operator="greaterThan">
      <formula>1</formula>
    </cfRule>
    <cfRule type="cellIs" dxfId="7617" priority="8057" operator="between">
      <formula>0.95</formula>
      <formula>1</formula>
    </cfRule>
    <cfRule type="cellIs" dxfId="7616" priority="8058" stopIfTrue="1" operator="between">
      <formula>0</formula>
      <formula>0.5</formula>
    </cfRule>
  </conditionalFormatting>
  <conditionalFormatting sqref="X285 AG285">
    <cfRule type="cellIs" dxfId="7615" priority="8037" operator="between">
      <formula>0.76</formula>
      <formula>0.95</formula>
    </cfRule>
    <cfRule type="cellIs" dxfId="7614" priority="8038" operator="between">
      <formula>0.51</formula>
      <formula>0.75</formula>
    </cfRule>
    <cfRule type="cellIs" dxfId="7613" priority="8039" operator="greaterThan">
      <formula>1</formula>
    </cfRule>
    <cfRule type="cellIs" dxfId="7612" priority="8040" operator="between">
      <formula>0.95</formula>
      <formula>1</formula>
    </cfRule>
    <cfRule type="cellIs" dxfId="7611" priority="8041" stopIfTrue="1" operator="between">
      <formula>0</formula>
      <formula>0.5</formula>
    </cfRule>
  </conditionalFormatting>
  <conditionalFormatting sqref="I285">
    <cfRule type="cellIs" dxfId="7610" priority="8032" operator="between">
      <formula>0.76</formula>
      <formula>0.95</formula>
    </cfRule>
    <cfRule type="cellIs" dxfId="7609" priority="8033" operator="between">
      <formula>0.51</formula>
      <formula>0.75</formula>
    </cfRule>
    <cfRule type="cellIs" dxfId="7608" priority="8034" operator="greaterThan">
      <formula>1</formula>
    </cfRule>
    <cfRule type="cellIs" dxfId="7607" priority="8035" operator="between">
      <formula>0.95</formula>
      <formula>1</formula>
    </cfRule>
    <cfRule type="cellIs" dxfId="7606" priority="8036" stopIfTrue="1" operator="between">
      <formula>0</formula>
      <formula>0.5</formula>
    </cfRule>
  </conditionalFormatting>
  <conditionalFormatting sqref="P285">
    <cfRule type="cellIs" dxfId="7605" priority="8027" operator="between">
      <formula>0.76</formula>
      <formula>0.95</formula>
    </cfRule>
    <cfRule type="cellIs" dxfId="7604" priority="8028" operator="between">
      <formula>0.51</formula>
      <formula>0.75</formula>
    </cfRule>
    <cfRule type="cellIs" dxfId="7603" priority="8029" operator="greaterThan">
      <formula>1</formula>
    </cfRule>
    <cfRule type="cellIs" dxfId="7602" priority="8030" operator="between">
      <formula>0.95</formula>
      <formula>1</formula>
    </cfRule>
    <cfRule type="cellIs" dxfId="7601" priority="8031" stopIfTrue="1" operator="between">
      <formula>0</formula>
      <formula>0.5</formula>
    </cfRule>
  </conditionalFormatting>
  <conditionalFormatting sqref="W285">
    <cfRule type="cellIs" dxfId="7600" priority="8022" operator="between">
      <formula>0.76</formula>
      <formula>0.95</formula>
    </cfRule>
    <cfRule type="cellIs" dxfId="7599" priority="8023" operator="between">
      <formula>0.51</formula>
      <formula>0.75</formula>
    </cfRule>
    <cfRule type="cellIs" dxfId="7598" priority="8024" operator="greaterThan">
      <formula>1</formula>
    </cfRule>
    <cfRule type="cellIs" dxfId="7597" priority="8025" operator="between">
      <formula>0.95</formula>
      <formula>1</formula>
    </cfRule>
    <cfRule type="cellIs" dxfId="7596" priority="8026" stopIfTrue="1" operator="between">
      <formula>0</formula>
      <formula>0.5</formula>
    </cfRule>
  </conditionalFormatting>
  <conditionalFormatting sqref="AD285">
    <cfRule type="cellIs" dxfId="7595" priority="8017" operator="between">
      <formula>0.76</formula>
      <formula>0.95</formula>
    </cfRule>
    <cfRule type="cellIs" dxfId="7594" priority="8018" operator="between">
      <formula>0.51</formula>
      <formula>0.75</formula>
    </cfRule>
    <cfRule type="cellIs" dxfId="7593" priority="8019" operator="greaterThan">
      <formula>1</formula>
    </cfRule>
    <cfRule type="cellIs" dxfId="7592" priority="8020" operator="between">
      <formula>0.95</formula>
      <formula>1</formula>
    </cfRule>
    <cfRule type="cellIs" dxfId="7591" priority="8021" stopIfTrue="1" operator="between">
      <formula>0</formula>
      <formula>0.5</formula>
    </cfRule>
  </conditionalFormatting>
  <conditionalFormatting sqref="AF285">
    <cfRule type="cellIs" dxfId="7590" priority="8007" operator="between">
      <formula>0.76</formula>
      <formula>0.95</formula>
    </cfRule>
    <cfRule type="cellIs" dxfId="7589" priority="8008" operator="between">
      <formula>0.51</formula>
      <formula>0.75</formula>
    </cfRule>
    <cfRule type="cellIs" dxfId="7588" priority="8009" operator="greaterThan">
      <formula>1</formula>
    </cfRule>
    <cfRule type="cellIs" dxfId="7587" priority="8010" operator="between">
      <formula>0.95</formula>
      <formula>1</formula>
    </cfRule>
    <cfRule type="cellIs" dxfId="7586" priority="8011" stopIfTrue="1" operator="between">
      <formula>0</formula>
      <formula>0.5</formula>
    </cfRule>
  </conditionalFormatting>
  <conditionalFormatting sqref="K285">
    <cfRule type="cellIs" dxfId="7585" priority="7997" operator="between">
      <formula>0.191</formula>
      <formula>0.24</formula>
    </cfRule>
    <cfRule type="cellIs" dxfId="7584" priority="7998" operator="between">
      <formula>0.1251</formula>
      <formula>0.19</formula>
    </cfRule>
    <cfRule type="cellIs" dxfId="7583" priority="7999" operator="greaterThan">
      <formula>0.2601</formula>
    </cfRule>
    <cfRule type="cellIs" dxfId="7582" priority="8000" operator="between">
      <formula>0.2401</formula>
      <formula>0.26</formula>
    </cfRule>
    <cfRule type="cellIs" dxfId="7581" priority="8001" stopIfTrue="1" operator="between">
      <formula>0</formula>
      <formula>0.125</formula>
    </cfRule>
  </conditionalFormatting>
  <conditionalFormatting sqref="R285">
    <cfRule type="cellIs" dxfId="7580" priority="7992" operator="between">
      <formula>0.3751</formula>
      <formula>0.475</formula>
    </cfRule>
    <cfRule type="cellIs" dxfId="7579" priority="7993" operator="between">
      <formula>0.2551</formula>
      <formula>0.375</formula>
    </cfRule>
    <cfRule type="cellIs" dxfId="7578" priority="7994" operator="greaterThan">
      <formula>0.505</formula>
    </cfRule>
    <cfRule type="cellIs" dxfId="7577" priority="7995" operator="between">
      <formula>0.48</formula>
      <formula>0.5</formula>
    </cfRule>
    <cfRule type="cellIs" dxfId="7576" priority="7996" stopIfTrue="1" operator="between">
      <formula>0</formula>
      <formula>0.255</formula>
    </cfRule>
  </conditionalFormatting>
  <conditionalFormatting sqref="J285">
    <cfRule type="cellIs" dxfId="7575" priority="7982" operator="between">
      <formula>0.76</formula>
      <formula>0.95</formula>
    </cfRule>
    <cfRule type="cellIs" dxfId="7574" priority="7983" operator="between">
      <formula>0.51</formula>
      <formula>0.75</formula>
    </cfRule>
    <cfRule type="cellIs" dxfId="7573" priority="7984" operator="greaterThan">
      <formula>1</formula>
    </cfRule>
    <cfRule type="cellIs" dxfId="7572" priority="7985" operator="between">
      <formula>0.95</formula>
      <formula>1</formula>
    </cfRule>
    <cfRule type="cellIs" dxfId="7571" priority="7986" stopIfTrue="1" operator="between">
      <formula>0</formula>
      <formula>0.5</formula>
    </cfRule>
  </conditionalFormatting>
  <conditionalFormatting sqref="M285">
    <cfRule type="cellIs" dxfId="7570" priority="7977" operator="between">
      <formula>0.191</formula>
      <formula>0.24</formula>
    </cfRule>
    <cfRule type="cellIs" dxfId="7569" priority="7978" operator="between">
      <formula>0.1251</formula>
      <formula>0.19</formula>
    </cfRule>
    <cfRule type="cellIs" dxfId="7568" priority="7979" operator="greaterThan">
      <formula>0.2601</formula>
    </cfRule>
    <cfRule type="cellIs" dxfId="7567" priority="7980" operator="between">
      <formula>0.2401</formula>
      <formula>0.26</formula>
    </cfRule>
    <cfRule type="cellIs" dxfId="7566" priority="7981" stopIfTrue="1" operator="between">
      <formula>0</formula>
      <formula>0.125</formula>
    </cfRule>
  </conditionalFormatting>
  <conditionalFormatting sqref="J256">
    <cfRule type="cellIs" dxfId="7565" priority="7950" operator="between">
      <formula>0.76</formula>
      <formula>0.95</formula>
    </cfRule>
    <cfRule type="cellIs" dxfId="7564" priority="7951" operator="between">
      <formula>0.51</formula>
      <formula>0.75</formula>
    </cfRule>
    <cfRule type="cellIs" dxfId="7563" priority="7952" operator="greaterThan">
      <formula>1</formula>
    </cfRule>
    <cfRule type="cellIs" dxfId="7562" priority="7953" operator="between">
      <formula>0.95</formula>
      <formula>1</formula>
    </cfRule>
    <cfRule type="cellIs" dxfId="7561" priority="7954" stopIfTrue="1" operator="between">
      <formula>0</formula>
      <formula>0.5</formula>
    </cfRule>
  </conditionalFormatting>
  <conditionalFormatting sqref="I256">
    <cfRule type="cellIs" dxfId="7560" priority="7945" operator="between">
      <formula>0.76</formula>
      <formula>0.95</formula>
    </cfRule>
    <cfRule type="cellIs" dxfId="7559" priority="7946" operator="between">
      <formula>0.51</formula>
      <formula>0.75</formula>
    </cfRule>
    <cfRule type="cellIs" dxfId="7558" priority="7947" operator="greaterThan">
      <formula>1</formula>
    </cfRule>
    <cfRule type="cellIs" dxfId="7557" priority="7948" operator="between">
      <formula>0.95</formula>
      <formula>1</formula>
    </cfRule>
    <cfRule type="cellIs" dxfId="7556" priority="7949" stopIfTrue="1" operator="between">
      <formula>0</formula>
      <formula>0.5</formula>
    </cfRule>
  </conditionalFormatting>
  <conditionalFormatting sqref="Q256">
    <cfRule type="cellIs" dxfId="7555" priority="7940" operator="between">
      <formula>0.76</formula>
      <formula>0.95</formula>
    </cfRule>
    <cfRule type="cellIs" dxfId="7554" priority="7941" operator="between">
      <formula>0.51</formula>
      <formula>0.75</formula>
    </cfRule>
    <cfRule type="cellIs" dxfId="7553" priority="7942" operator="greaterThan">
      <formula>1</formula>
    </cfRule>
    <cfRule type="cellIs" dxfId="7552" priority="7943" operator="between">
      <formula>0.95</formula>
      <formula>1</formula>
    </cfRule>
    <cfRule type="cellIs" dxfId="7551" priority="7944" stopIfTrue="1" operator="between">
      <formula>0</formula>
      <formula>0.5</formula>
    </cfRule>
  </conditionalFormatting>
  <conditionalFormatting sqref="P256">
    <cfRule type="cellIs" dxfId="7550" priority="7935" operator="between">
      <formula>0.76</formula>
      <formula>0.95</formula>
    </cfRule>
    <cfRule type="cellIs" dxfId="7549" priority="7936" operator="between">
      <formula>0.51</formula>
      <formula>0.75</formula>
    </cfRule>
    <cfRule type="cellIs" dxfId="7548" priority="7937" operator="greaterThan">
      <formula>1</formula>
    </cfRule>
    <cfRule type="cellIs" dxfId="7547" priority="7938" operator="between">
      <formula>0.95</formula>
      <formula>1</formula>
    </cfRule>
    <cfRule type="cellIs" dxfId="7546" priority="7939" stopIfTrue="1" operator="between">
      <formula>0</formula>
      <formula>0.5</formula>
    </cfRule>
  </conditionalFormatting>
  <conditionalFormatting sqref="W256">
    <cfRule type="cellIs" dxfId="7545" priority="7930" operator="between">
      <formula>0.76</formula>
      <formula>0.95</formula>
    </cfRule>
    <cfRule type="cellIs" dxfId="7544" priority="7931" operator="between">
      <formula>0.51</formula>
      <formula>0.75</formula>
    </cfRule>
    <cfRule type="cellIs" dxfId="7543" priority="7932" operator="greaterThan">
      <formula>1</formula>
    </cfRule>
    <cfRule type="cellIs" dxfId="7542" priority="7933" operator="between">
      <formula>0.95</formula>
      <formula>1</formula>
    </cfRule>
    <cfRule type="cellIs" dxfId="7541" priority="7934" stopIfTrue="1" operator="between">
      <formula>0</formula>
      <formula>0.5</formula>
    </cfRule>
  </conditionalFormatting>
  <conditionalFormatting sqref="AD256">
    <cfRule type="cellIs" dxfId="7540" priority="7925" operator="between">
      <formula>0.76</formula>
      <formula>0.95</formula>
    </cfRule>
    <cfRule type="cellIs" dxfId="7539" priority="7926" operator="between">
      <formula>0.51</formula>
      <formula>0.75</formula>
    </cfRule>
    <cfRule type="cellIs" dxfId="7538" priority="7927" operator="greaterThan">
      <formula>1</formula>
    </cfRule>
    <cfRule type="cellIs" dxfId="7537" priority="7928" operator="between">
      <formula>0.95</formula>
      <formula>1</formula>
    </cfRule>
    <cfRule type="cellIs" dxfId="7536" priority="7929" stopIfTrue="1" operator="between">
      <formula>0</formula>
      <formula>0.5</formula>
    </cfRule>
  </conditionalFormatting>
  <conditionalFormatting sqref="AF256">
    <cfRule type="cellIs" dxfId="7535" priority="7915" operator="between">
      <formula>0.76</formula>
      <formula>0.95</formula>
    </cfRule>
    <cfRule type="cellIs" dxfId="7534" priority="7916" operator="between">
      <formula>0.51</formula>
      <formula>0.75</formula>
    </cfRule>
    <cfRule type="cellIs" dxfId="7533" priority="7917" operator="greaterThan">
      <formula>1</formula>
    </cfRule>
    <cfRule type="cellIs" dxfId="7532" priority="7918" operator="between">
      <formula>0.95</formula>
      <formula>1</formula>
    </cfRule>
    <cfRule type="cellIs" dxfId="7531" priority="7919" stopIfTrue="1" operator="between">
      <formula>0</formula>
      <formula>0.5</formula>
    </cfRule>
  </conditionalFormatting>
  <conditionalFormatting sqref="K256">
    <cfRule type="cellIs" dxfId="7530" priority="7905" operator="between">
      <formula>0.191</formula>
      <formula>0.24</formula>
    </cfRule>
    <cfRule type="cellIs" dxfId="7529" priority="7906" operator="between">
      <formula>0.1251</formula>
      <formula>0.19</formula>
    </cfRule>
    <cfRule type="cellIs" dxfId="7528" priority="7907" operator="greaterThan">
      <formula>0.2601</formula>
    </cfRule>
    <cfRule type="cellIs" dxfId="7527" priority="7908" operator="between">
      <formula>0.2401</formula>
      <formula>0.26</formula>
    </cfRule>
    <cfRule type="cellIs" dxfId="7526" priority="7909" stopIfTrue="1" operator="between">
      <formula>0</formula>
      <formula>0.125</formula>
    </cfRule>
  </conditionalFormatting>
  <conditionalFormatting sqref="R256">
    <cfRule type="cellIs" dxfId="7525" priority="7900" operator="between">
      <formula>0.3751</formula>
      <formula>0.475</formula>
    </cfRule>
    <cfRule type="cellIs" dxfId="7524" priority="7901" operator="between">
      <formula>0.2551</formula>
      <formula>0.375</formula>
    </cfRule>
    <cfRule type="cellIs" dxfId="7523" priority="7902" operator="greaterThan">
      <formula>0.505</formula>
    </cfRule>
    <cfRule type="cellIs" dxfId="7522" priority="7903" operator="between">
      <formula>0.48</formula>
      <formula>0.5</formula>
    </cfRule>
    <cfRule type="cellIs" dxfId="7521" priority="7904" stopIfTrue="1" operator="between">
      <formula>0</formula>
      <formula>0.255</formula>
    </cfRule>
  </conditionalFormatting>
  <conditionalFormatting sqref="T256">
    <cfRule type="cellIs" dxfId="7520" priority="7895" operator="between">
      <formula>0.376</formula>
      <formula>0.475</formula>
    </cfRule>
    <cfRule type="cellIs" dxfId="7519" priority="7896" operator="between">
      <formula>0.2551</formula>
      <formula>0.3751</formula>
    </cfRule>
    <cfRule type="cellIs" dxfId="7518" priority="7897" operator="greaterThan">
      <formula>0.505</formula>
    </cfRule>
    <cfRule type="cellIs" dxfId="7517" priority="7898" operator="between">
      <formula>0.48</formula>
      <formula>0.5</formula>
    </cfRule>
    <cfRule type="cellIs" dxfId="7516" priority="7899" stopIfTrue="1" operator="between">
      <formula>0</formula>
      <formula>0.255</formula>
    </cfRule>
  </conditionalFormatting>
  <conditionalFormatting sqref="AE256">
    <cfRule type="cellIs" dxfId="7515" priority="7885" operator="between">
      <formula>0.76</formula>
      <formula>0.95</formula>
    </cfRule>
    <cfRule type="cellIs" dxfId="7514" priority="7886" operator="between">
      <formula>0.51</formula>
      <formula>0.75</formula>
    </cfRule>
    <cfRule type="cellIs" dxfId="7513" priority="7887" operator="greaterThan">
      <formula>1</formula>
    </cfRule>
    <cfRule type="cellIs" dxfId="7512" priority="7888" operator="between">
      <formula>0.95</formula>
      <formula>1</formula>
    </cfRule>
    <cfRule type="cellIs" dxfId="7511" priority="7889" stopIfTrue="1" operator="between">
      <formula>0</formula>
      <formula>0.5</formula>
    </cfRule>
  </conditionalFormatting>
  <conditionalFormatting sqref="AG256">
    <cfRule type="cellIs" dxfId="7510" priority="7880" operator="between">
      <formula>0.76</formula>
      <formula>0.95</formula>
    </cfRule>
    <cfRule type="cellIs" dxfId="7509" priority="7881" operator="between">
      <formula>0.51</formula>
      <formula>0.75</formula>
    </cfRule>
    <cfRule type="cellIs" dxfId="7508" priority="7882" operator="greaterThan">
      <formula>1</formula>
    </cfRule>
    <cfRule type="cellIs" dxfId="7507" priority="7883" operator="between">
      <formula>0.95</formula>
      <formula>1</formula>
    </cfRule>
    <cfRule type="cellIs" dxfId="7506" priority="7884" stopIfTrue="1" operator="between">
      <formula>0</formula>
      <formula>0.5</formula>
    </cfRule>
  </conditionalFormatting>
  <conditionalFormatting sqref="M256">
    <cfRule type="cellIs" dxfId="7505" priority="7875" operator="between">
      <formula>0.191</formula>
      <formula>0.24</formula>
    </cfRule>
    <cfRule type="cellIs" dxfId="7504" priority="7876" operator="between">
      <formula>0.1251</formula>
      <formula>0.19</formula>
    </cfRule>
    <cfRule type="cellIs" dxfId="7503" priority="7877" operator="greaterThan">
      <formula>0.2601</formula>
    </cfRule>
    <cfRule type="cellIs" dxfId="7502" priority="7878" operator="between">
      <formula>0.2401</formula>
      <formula>0.26</formula>
    </cfRule>
    <cfRule type="cellIs" dxfId="7501" priority="7879" stopIfTrue="1" operator="between">
      <formula>0</formula>
      <formula>0.125</formula>
    </cfRule>
  </conditionalFormatting>
  <conditionalFormatting sqref="X256">
    <cfRule type="cellIs" dxfId="7500" priority="7860" operator="between">
      <formula>0.76</formula>
      <formula>0.95</formula>
    </cfRule>
    <cfRule type="cellIs" dxfId="7499" priority="7861" operator="between">
      <formula>0.51</formula>
      <formula>0.75</formula>
    </cfRule>
    <cfRule type="cellIs" dxfId="7498" priority="7862" operator="greaterThan">
      <formula>1</formula>
    </cfRule>
    <cfRule type="cellIs" dxfId="7497" priority="7863" operator="between">
      <formula>0.95</formula>
      <formula>1</formula>
    </cfRule>
    <cfRule type="cellIs" dxfId="7496" priority="7864" stopIfTrue="1" operator="between">
      <formula>0</formula>
      <formula>0.5</formula>
    </cfRule>
  </conditionalFormatting>
  <conditionalFormatting sqref="I302:J302 AD302:AG302 P302 W302">
    <cfRule type="cellIs" dxfId="7495" priority="7843" operator="between">
      <formula>0.76</formula>
      <formula>0.95</formula>
    </cfRule>
    <cfRule type="cellIs" dxfId="7494" priority="7844" operator="between">
      <formula>0.51</formula>
      <formula>0.75</formula>
    </cfRule>
    <cfRule type="cellIs" dxfId="7493" priority="7845" operator="greaterThan">
      <formula>1</formula>
    </cfRule>
    <cfRule type="cellIs" dxfId="7492" priority="7846" operator="between">
      <formula>0.95</formula>
      <formula>1</formula>
    </cfRule>
    <cfRule type="cellIs" dxfId="7491" priority="7847" stopIfTrue="1" operator="between">
      <formula>0</formula>
      <formula>0.5</formula>
    </cfRule>
  </conditionalFormatting>
  <conditionalFormatting sqref="R302">
    <cfRule type="cellIs" dxfId="7490" priority="7838" operator="between">
      <formula>0.3751</formula>
      <formula>0.475</formula>
    </cfRule>
    <cfRule type="cellIs" dxfId="7489" priority="7839" operator="between">
      <formula>0.2551</formula>
      <formula>0.375</formula>
    </cfRule>
    <cfRule type="cellIs" dxfId="7488" priority="7840" operator="greaterThan">
      <formula>0.505</formula>
    </cfRule>
    <cfRule type="cellIs" dxfId="7487" priority="7841" operator="between">
      <formula>0.48</formula>
      <formula>0.5</formula>
    </cfRule>
    <cfRule type="cellIs" dxfId="7486" priority="7842" stopIfTrue="1" operator="between">
      <formula>0</formula>
      <formula>0.255</formula>
    </cfRule>
  </conditionalFormatting>
  <conditionalFormatting sqref="K302">
    <cfRule type="cellIs" dxfId="7485" priority="7833" operator="between">
      <formula>0.191</formula>
      <formula>0.24</formula>
    </cfRule>
    <cfRule type="cellIs" dxfId="7484" priority="7834" operator="between">
      <formula>0.1251</formula>
      <formula>0.19</formula>
    </cfRule>
    <cfRule type="cellIs" dxfId="7483" priority="7835" operator="greaterThan">
      <formula>0.2601</formula>
    </cfRule>
    <cfRule type="cellIs" dxfId="7482" priority="7836" operator="between">
      <formula>0.2401</formula>
      <formula>0.26</formula>
    </cfRule>
    <cfRule type="cellIs" dxfId="7481" priority="7837" stopIfTrue="1" operator="between">
      <formula>0</formula>
      <formula>0.125</formula>
    </cfRule>
  </conditionalFormatting>
  <conditionalFormatting sqref="T302">
    <cfRule type="cellIs" dxfId="7480" priority="7823" operator="between">
      <formula>0.376</formula>
      <formula>0.475</formula>
    </cfRule>
    <cfRule type="cellIs" dxfId="7479" priority="7824" operator="between">
      <formula>0.2551</formula>
      <formula>0.3751</formula>
    </cfRule>
    <cfRule type="cellIs" dxfId="7478" priority="7825" operator="greaterThan">
      <formula>0.505</formula>
    </cfRule>
    <cfRule type="cellIs" dxfId="7477" priority="7826" operator="between">
      <formula>0.48</formula>
      <formula>0.5</formula>
    </cfRule>
    <cfRule type="cellIs" dxfId="7476" priority="7827" stopIfTrue="1" operator="between">
      <formula>0</formula>
      <formula>0.255</formula>
    </cfRule>
  </conditionalFormatting>
  <conditionalFormatting sqref="Q302">
    <cfRule type="cellIs" dxfId="7475" priority="7808" operator="between">
      <formula>0.76</formula>
      <formula>0.95</formula>
    </cfRule>
    <cfRule type="cellIs" dxfId="7474" priority="7809" operator="between">
      <formula>0.51</formula>
      <formula>0.75</formula>
    </cfRule>
    <cfRule type="cellIs" dxfId="7473" priority="7810" operator="greaterThan">
      <formula>1</formula>
    </cfRule>
    <cfRule type="cellIs" dxfId="7472" priority="7811" operator="between">
      <formula>0.95</formula>
      <formula>1</formula>
    </cfRule>
    <cfRule type="cellIs" dxfId="7471" priority="7812" stopIfTrue="1" operator="between">
      <formula>0</formula>
      <formula>0.5</formula>
    </cfRule>
  </conditionalFormatting>
  <conditionalFormatting sqref="X302">
    <cfRule type="cellIs" dxfId="7470" priority="7798" operator="between">
      <formula>0.76</formula>
      <formula>0.95</formula>
    </cfRule>
    <cfRule type="cellIs" dxfId="7469" priority="7799" operator="between">
      <formula>0.51</formula>
      <formula>0.75</formula>
    </cfRule>
    <cfRule type="cellIs" dxfId="7468" priority="7800" operator="greaterThan">
      <formula>1</formula>
    </cfRule>
    <cfRule type="cellIs" dxfId="7467" priority="7801" operator="between">
      <formula>0.95</formula>
      <formula>1</formula>
    </cfRule>
    <cfRule type="cellIs" dxfId="7466" priority="7802" stopIfTrue="1" operator="between">
      <formula>0</formula>
      <formula>0.5</formula>
    </cfRule>
  </conditionalFormatting>
  <conditionalFormatting sqref="Q167 AG167 AE167">
    <cfRule type="cellIs" dxfId="7465" priority="7790" operator="between">
      <formula>0.76</formula>
      <formula>0.95</formula>
    </cfRule>
    <cfRule type="cellIs" dxfId="7464" priority="7791" operator="between">
      <formula>0.51</formula>
      <formula>0.75</formula>
    </cfRule>
    <cfRule type="cellIs" dxfId="7463" priority="7792" operator="greaterThan">
      <formula>1</formula>
    </cfRule>
    <cfRule type="cellIs" dxfId="7462" priority="7793" operator="between">
      <formula>0.95</formula>
      <formula>1</formula>
    </cfRule>
    <cfRule type="cellIs" dxfId="7461" priority="7794" stopIfTrue="1" operator="between">
      <formula>0</formula>
      <formula>0.5</formula>
    </cfRule>
  </conditionalFormatting>
  <conditionalFormatting sqref="I167">
    <cfRule type="cellIs" dxfId="7460" priority="7785" operator="between">
      <formula>0.76</formula>
      <formula>0.95</formula>
    </cfRule>
    <cfRule type="cellIs" dxfId="7459" priority="7786" operator="between">
      <formula>0.51</formula>
      <formula>0.75</formula>
    </cfRule>
    <cfRule type="cellIs" dxfId="7458" priority="7787" operator="greaterThan">
      <formula>1</formula>
    </cfRule>
    <cfRule type="cellIs" dxfId="7457" priority="7788" operator="between">
      <formula>0.95</formula>
      <formula>1</formula>
    </cfRule>
    <cfRule type="cellIs" dxfId="7456" priority="7789" stopIfTrue="1" operator="between">
      <formula>0</formula>
      <formula>0.5</formula>
    </cfRule>
  </conditionalFormatting>
  <conditionalFormatting sqref="P167">
    <cfRule type="cellIs" dxfId="7455" priority="7780" operator="between">
      <formula>0.76</formula>
      <formula>0.95</formula>
    </cfRule>
    <cfRule type="cellIs" dxfId="7454" priority="7781" operator="between">
      <formula>0.51</formula>
      <formula>0.75</formula>
    </cfRule>
    <cfRule type="cellIs" dxfId="7453" priority="7782" operator="greaterThan">
      <formula>1</formula>
    </cfRule>
    <cfRule type="cellIs" dxfId="7452" priority="7783" operator="between">
      <formula>0.95</formula>
      <formula>1</formula>
    </cfRule>
    <cfRule type="cellIs" dxfId="7451" priority="7784" stopIfTrue="1" operator="between">
      <formula>0</formula>
      <formula>0.5</formula>
    </cfRule>
  </conditionalFormatting>
  <conditionalFormatting sqref="W167">
    <cfRule type="cellIs" dxfId="7450" priority="7775" operator="between">
      <formula>0.76</formula>
      <formula>0.95</formula>
    </cfRule>
    <cfRule type="cellIs" dxfId="7449" priority="7776" operator="between">
      <formula>0.51</formula>
      <formula>0.75</formula>
    </cfRule>
    <cfRule type="cellIs" dxfId="7448" priority="7777" operator="greaterThan">
      <formula>1</formula>
    </cfRule>
    <cfRule type="cellIs" dxfId="7447" priority="7778" operator="between">
      <formula>0.95</formula>
      <formula>1</formula>
    </cfRule>
    <cfRule type="cellIs" dxfId="7446" priority="7779" stopIfTrue="1" operator="between">
      <formula>0</formula>
      <formula>0.5</formula>
    </cfRule>
  </conditionalFormatting>
  <conditionalFormatting sqref="AD167">
    <cfRule type="cellIs" dxfId="7445" priority="7770" operator="between">
      <formula>0.76</formula>
      <formula>0.95</formula>
    </cfRule>
    <cfRule type="cellIs" dxfId="7444" priority="7771" operator="between">
      <formula>0.51</formula>
      <formula>0.75</formula>
    </cfRule>
    <cfRule type="cellIs" dxfId="7443" priority="7772" operator="greaterThan">
      <formula>1</formula>
    </cfRule>
    <cfRule type="cellIs" dxfId="7442" priority="7773" operator="between">
      <formula>0.95</formula>
      <formula>1</formula>
    </cfRule>
    <cfRule type="cellIs" dxfId="7441" priority="7774" stopIfTrue="1" operator="between">
      <formula>0</formula>
      <formula>0.5</formula>
    </cfRule>
  </conditionalFormatting>
  <conditionalFormatting sqref="AF167">
    <cfRule type="cellIs" dxfId="7440" priority="7760" operator="between">
      <formula>0.76</formula>
      <formula>0.95</formula>
    </cfRule>
    <cfRule type="cellIs" dxfId="7439" priority="7761" operator="between">
      <formula>0.51</formula>
      <formula>0.75</formula>
    </cfRule>
    <cfRule type="cellIs" dxfId="7438" priority="7762" operator="greaterThan">
      <formula>1</formula>
    </cfRule>
    <cfRule type="cellIs" dxfId="7437" priority="7763" operator="between">
      <formula>0.95</formula>
      <formula>1</formula>
    </cfRule>
    <cfRule type="cellIs" dxfId="7436" priority="7764" stopIfTrue="1" operator="between">
      <formula>0</formula>
      <formula>0.5</formula>
    </cfRule>
  </conditionalFormatting>
  <conditionalFormatting sqref="K167">
    <cfRule type="cellIs" dxfId="7435" priority="7741" operator="between">
      <formula>0.191</formula>
      <formula>0.24</formula>
    </cfRule>
    <cfRule type="cellIs" dxfId="7434" priority="7742" operator="between">
      <formula>0.1251</formula>
      <formula>0.19</formula>
    </cfRule>
    <cfRule type="cellIs" dxfId="7433" priority="7743" operator="greaterThan">
      <formula>0.2601</formula>
    </cfRule>
    <cfRule type="cellIs" dxfId="7432" priority="7744" operator="between">
      <formula>0.2401</formula>
      <formula>0.26</formula>
    </cfRule>
    <cfRule type="cellIs" dxfId="7431" priority="7745" stopIfTrue="1" operator="between">
      <formula>0</formula>
      <formula>0.125</formula>
    </cfRule>
  </conditionalFormatting>
  <conditionalFormatting sqref="R167">
    <cfRule type="cellIs" dxfId="7430" priority="7736" operator="between">
      <formula>0.3751</formula>
      <formula>0.475</formula>
    </cfRule>
    <cfRule type="cellIs" dxfId="7429" priority="7737" operator="between">
      <formula>0.2551</formula>
      <formula>0.375</formula>
    </cfRule>
    <cfRule type="cellIs" dxfId="7428" priority="7738" operator="greaterThan">
      <formula>0.505</formula>
    </cfRule>
    <cfRule type="cellIs" dxfId="7427" priority="7739" operator="between">
      <formula>0.48</formula>
      <formula>0.5</formula>
    </cfRule>
    <cfRule type="cellIs" dxfId="7426" priority="7740" stopIfTrue="1" operator="between">
      <formula>0</formula>
      <formula>0.255</formula>
    </cfRule>
  </conditionalFormatting>
  <conditionalFormatting sqref="T167">
    <cfRule type="cellIs" dxfId="7425" priority="7731" operator="between">
      <formula>0.376</formula>
      <formula>0.475</formula>
    </cfRule>
    <cfRule type="cellIs" dxfId="7424" priority="7732" operator="between">
      <formula>0.2551</formula>
      <formula>0.3751</formula>
    </cfRule>
    <cfRule type="cellIs" dxfId="7423" priority="7733" operator="greaterThan">
      <formula>0.505</formula>
    </cfRule>
    <cfRule type="cellIs" dxfId="7422" priority="7734" operator="between">
      <formula>0.48</formula>
      <formula>0.5</formula>
    </cfRule>
    <cfRule type="cellIs" dxfId="7421" priority="7735" stopIfTrue="1" operator="between">
      <formula>0</formula>
      <formula>0.255</formula>
    </cfRule>
  </conditionalFormatting>
  <conditionalFormatting sqref="J167">
    <cfRule type="cellIs" dxfId="7420" priority="7726" operator="between">
      <formula>0.76</formula>
      <formula>0.95</formula>
    </cfRule>
    <cfRule type="cellIs" dxfId="7419" priority="7727" operator="between">
      <formula>0.51</formula>
      <formula>0.75</formula>
    </cfRule>
    <cfRule type="cellIs" dxfId="7418" priority="7728" operator="greaterThan">
      <formula>1</formula>
    </cfRule>
    <cfRule type="cellIs" dxfId="7417" priority="7729" operator="between">
      <formula>0.95</formula>
      <formula>1</formula>
    </cfRule>
    <cfRule type="cellIs" dxfId="7416" priority="7730" stopIfTrue="1" operator="between">
      <formula>0</formula>
      <formula>0.5</formula>
    </cfRule>
  </conditionalFormatting>
  <conditionalFormatting sqref="M167">
    <cfRule type="cellIs" dxfId="7415" priority="7721" operator="between">
      <formula>0.76</formula>
      <formula>0.95</formula>
    </cfRule>
    <cfRule type="cellIs" dxfId="7414" priority="7722" operator="between">
      <formula>0.51</formula>
      <formula>0.75</formula>
    </cfRule>
    <cfRule type="cellIs" dxfId="7413" priority="7723" operator="greaterThan">
      <formula>1</formula>
    </cfRule>
    <cfRule type="cellIs" dxfId="7412" priority="7724" operator="between">
      <formula>0.95</formula>
      <formula>1</formula>
    </cfRule>
    <cfRule type="cellIs" dxfId="7411" priority="7725" stopIfTrue="1" operator="between">
      <formula>0</formula>
      <formula>0.5</formula>
    </cfRule>
  </conditionalFormatting>
  <conditionalFormatting sqref="X167">
    <cfRule type="cellIs" dxfId="7410" priority="7716" operator="between">
      <formula>0.76</formula>
      <formula>0.95</formula>
    </cfRule>
    <cfRule type="cellIs" dxfId="7409" priority="7717" operator="between">
      <formula>0.51</formula>
      <formula>0.75</formula>
    </cfRule>
    <cfRule type="cellIs" dxfId="7408" priority="7718" operator="greaterThan">
      <formula>1</formula>
    </cfRule>
    <cfRule type="cellIs" dxfId="7407" priority="7719" operator="between">
      <formula>0.95</formula>
      <formula>1</formula>
    </cfRule>
    <cfRule type="cellIs" dxfId="7406" priority="7720" stopIfTrue="1" operator="between">
      <formula>0</formula>
      <formula>0.5</formula>
    </cfRule>
  </conditionalFormatting>
  <conditionalFormatting sqref="AG168">
    <cfRule type="cellIs" dxfId="7405" priority="7703" operator="between">
      <formula>0.76</formula>
      <formula>0.95</formula>
    </cfRule>
    <cfRule type="cellIs" dxfId="7404" priority="7704" operator="between">
      <formula>0.51</formula>
      <formula>0.75</formula>
    </cfRule>
    <cfRule type="cellIs" dxfId="7403" priority="7705" operator="greaterThan">
      <formula>1</formula>
    </cfRule>
    <cfRule type="cellIs" dxfId="7402" priority="7706" operator="between">
      <formula>0.95</formula>
      <formula>1</formula>
    </cfRule>
    <cfRule type="cellIs" dxfId="7401" priority="7707" stopIfTrue="1" operator="between">
      <formula>0</formula>
      <formula>0.5</formula>
    </cfRule>
  </conditionalFormatting>
  <conditionalFormatting sqref="I168">
    <cfRule type="cellIs" dxfId="7400" priority="7698" operator="between">
      <formula>0.76</formula>
      <formula>0.95</formula>
    </cfRule>
    <cfRule type="cellIs" dxfId="7399" priority="7699" operator="between">
      <formula>0.51</formula>
      <formula>0.75</formula>
    </cfRule>
    <cfRule type="cellIs" dxfId="7398" priority="7700" operator="greaterThan">
      <formula>1</formula>
    </cfRule>
    <cfRule type="cellIs" dxfId="7397" priority="7701" operator="between">
      <formula>0.95</formula>
      <formula>1</formula>
    </cfRule>
    <cfRule type="cellIs" dxfId="7396" priority="7702" stopIfTrue="1" operator="between">
      <formula>0</formula>
      <formula>0.5</formula>
    </cfRule>
  </conditionalFormatting>
  <conditionalFormatting sqref="P168">
    <cfRule type="cellIs" dxfId="7395" priority="7693" operator="between">
      <formula>0.76</formula>
      <formula>0.95</formula>
    </cfRule>
    <cfRule type="cellIs" dxfId="7394" priority="7694" operator="between">
      <formula>0.51</formula>
      <formula>0.75</formula>
    </cfRule>
    <cfRule type="cellIs" dxfId="7393" priority="7695" operator="greaterThan">
      <formula>1</formula>
    </cfRule>
    <cfRule type="cellIs" dxfId="7392" priority="7696" operator="between">
      <formula>0.95</formula>
      <formula>1</formula>
    </cfRule>
    <cfRule type="cellIs" dxfId="7391" priority="7697" stopIfTrue="1" operator="between">
      <formula>0</formula>
      <formula>0.5</formula>
    </cfRule>
  </conditionalFormatting>
  <conditionalFormatting sqref="W168">
    <cfRule type="cellIs" dxfId="7390" priority="7688" operator="between">
      <formula>0.76</formula>
      <formula>0.95</formula>
    </cfRule>
    <cfRule type="cellIs" dxfId="7389" priority="7689" operator="between">
      <formula>0.51</formula>
      <formula>0.75</formula>
    </cfRule>
    <cfRule type="cellIs" dxfId="7388" priority="7690" operator="greaterThan">
      <formula>1</formula>
    </cfRule>
    <cfRule type="cellIs" dxfId="7387" priority="7691" operator="between">
      <formula>0.95</formula>
      <formula>1</formula>
    </cfRule>
    <cfRule type="cellIs" dxfId="7386" priority="7692" stopIfTrue="1" operator="between">
      <formula>0</formula>
      <formula>0.5</formula>
    </cfRule>
  </conditionalFormatting>
  <conditionalFormatting sqref="AD168">
    <cfRule type="cellIs" dxfId="7385" priority="7683" operator="between">
      <formula>0.76</formula>
      <formula>0.95</formula>
    </cfRule>
    <cfRule type="cellIs" dxfId="7384" priority="7684" operator="between">
      <formula>0.51</formula>
      <formula>0.75</formula>
    </cfRule>
    <cfRule type="cellIs" dxfId="7383" priority="7685" operator="greaterThan">
      <formula>1</formula>
    </cfRule>
    <cfRule type="cellIs" dxfId="7382" priority="7686" operator="between">
      <formula>0.95</formula>
      <formula>1</formula>
    </cfRule>
    <cfRule type="cellIs" dxfId="7381" priority="7687" stopIfTrue="1" operator="between">
      <formula>0</formula>
      <formula>0.5</formula>
    </cfRule>
  </conditionalFormatting>
  <conditionalFormatting sqref="AF168">
    <cfRule type="cellIs" dxfId="7380" priority="7673" operator="between">
      <formula>0.76</formula>
      <formula>0.95</formula>
    </cfRule>
    <cfRule type="cellIs" dxfId="7379" priority="7674" operator="between">
      <formula>0.51</formula>
      <formula>0.75</formula>
    </cfRule>
    <cfRule type="cellIs" dxfId="7378" priority="7675" operator="greaterThan">
      <formula>1</formula>
    </cfRule>
    <cfRule type="cellIs" dxfId="7377" priority="7676" operator="between">
      <formula>0.95</formula>
      <formula>1</formula>
    </cfRule>
    <cfRule type="cellIs" dxfId="7376" priority="7677" stopIfTrue="1" operator="between">
      <formula>0</formula>
      <formula>0.5</formula>
    </cfRule>
  </conditionalFormatting>
  <conditionalFormatting sqref="K168">
    <cfRule type="cellIs" dxfId="7375" priority="7654" operator="between">
      <formula>0.191</formula>
      <formula>0.24</formula>
    </cfRule>
    <cfRule type="cellIs" dxfId="7374" priority="7655" operator="between">
      <formula>0.1251</formula>
      <formula>0.19</formula>
    </cfRule>
    <cfRule type="cellIs" dxfId="7373" priority="7656" operator="greaterThan">
      <formula>0.2601</formula>
    </cfRule>
    <cfRule type="cellIs" dxfId="7372" priority="7657" operator="between">
      <formula>0.2401</formula>
      <formula>0.26</formula>
    </cfRule>
    <cfRule type="cellIs" dxfId="7371" priority="7658" stopIfTrue="1" operator="between">
      <formula>0</formula>
      <formula>0.125</formula>
    </cfRule>
  </conditionalFormatting>
  <conditionalFormatting sqref="R168">
    <cfRule type="cellIs" dxfId="7370" priority="7649" operator="between">
      <formula>0.3751</formula>
      <formula>0.475</formula>
    </cfRule>
    <cfRule type="cellIs" dxfId="7369" priority="7650" operator="between">
      <formula>0.2551</formula>
      <formula>0.375</formula>
    </cfRule>
    <cfRule type="cellIs" dxfId="7368" priority="7651" operator="greaterThan">
      <formula>0.505</formula>
    </cfRule>
    <cfRule type="cellIs" dxfId="7367" priority="7652" operator="between">
      <formula>0.48</formula>
      <formula>0.5</formula>
    </cfRule>
    <cfRule type="cellIs" dxfId="7366" priority="7653" stopIfTrue="1" operator="between">
      <formula>0</formula>
      <formula>0.255</formula>
    </cfRule>
  </conditionalFormatting>
  <conditionalFormatting sqref="J168">
    <cfRule type="cellIs" dxfId="7365" priority="7639" operator="between">
      <formula>0.76</formula>
      <formula>0.95</formula>
    </cfRule>
    <cfRule type="cellIs" dxfId="7364" priority="7640" operator="between">
      <formula>0.51</formula>
      <formula>0.75</formula>
    </cfRule>
    <cfRule type="cellIs" dxfId="7363" priority="7641" operator="greaterThan">
      <formula>1</formula>
    </cfRule>
    <cfRule type="cellIs" dxfId="7362" priority="7642" operator="between">
      <formula>0.95</formula>
      <formula>1</formula>
    </cfRule>
    <cfRule type="cellIs" dxfId="7361" priority="7643" stopIfTrue="1" operator="between">
      <formula>0</formula>
      <formula>0.5</formula>
    </cfRule>
  </conditionalFormatting>
  <conditionalFormatting sqref="M168">
    <cfRule type="cellIs" dxfId="7360" priority="7634" operator="between">
      <formula>0.76</formula>
      <formula>0.95</formula>
    </cfRule>
    <cfRule type="cellIs" dxfId="7359" priority="7635" operator="between">
      <formula>0.51</formula>
      <formula>0.75</formula>
    </cfRule>
    <cfRule type="cellIs" dxfId="7358" priority="7636" operator="greaterThan">
      <formula>1</formula>
    </cfRule>
    <cfRule type="cellIs" dxfId="7357" priority="7637" operator="between">
      <formula>0.95</formula>
      <formula>1</formula>
    </cfRule>
    <cfRule type="cellIs" dxfId="7356" priority="7638" stopIfTrue="1" operator="between">
      <formula>0</formula>
      <formula>0.5</formula>
    </cfRule>
  </conditionalFormatting>
  <conditionalFormatting sqref="X168">
    <cfRule type="cellIs" dxfId="7355" priority="7629" operator="between">
      <formula>0.76</formula>
      <formula>0.95</formula>
    </cfRule>
    <cfRule type="cellIs" dxfId="7354" priority="7630" operator="between">
      <formula>0.51</formula>
      <formula>0.75</formula>
    </cfRule>
    <cfRule type="cellIs" dxfId="7353" priority="7631" operator="greaterThan">
      <formula>1</formula>
    </cfRule>
    <cfRule type="cellIs" dxfId="7352" priority="7632" operator="between">
      <formula>0.95</formula>
      <formula>1</formula>
    </cfRule>
    <cfRule type="cellIs" dxfId="7351" priority="7633" stopIfTrue="1" operator="between">
      <formula>0</formula>
      <formula>0.5</formula>
    </cfRule>
  </conditionalFormatting>
  <conditionalFormatting sqref="Q168">
    <cfRule type="cellIs" dxfId="7350" priority="7619" operator="between">
      <formula>0.76</formula>
      <formula>0.95</formula>
    </cfRule>
    <cfRule type="cellIs" dxfId="7349" priority="7620" operator="between">
      <formula>0.51</formula>
      <formula>0.75</formula>
    </cfRule>
    <cfRule type="cellIs" dxfId="7348" priority="7621" operator="greaterThan">
      <formula>1</formula>
    </cfRule>
    <cfRule type="cellIs" dxfId="7347" priority="7622" operator="between">
      <formula>0.95</formula>
      <formula>1</formula>
    </cfRule>
    <cfRule type="cellIs" dxfId="7346" priority="7623" stopIfTrue="1" operator="between">
      <formula>0</formula>
      <formula>0.5</formula>
    </cfRule>
  </conditionalFormatting>
  <conditionalFormatting sqref="AE168">
    <cfRule type="cellIs" dxfId="7345" priority="7614" operator="between">
      <formula>0.76</formula>
      <formula>0.95</formula>
    </cfRule>
    <cfRule type="cellIs" dxfId="7344" priority="7615" operator="between">
      <formula>0.51</formula>
      <formula>0.75</formula>
    </cfRule>
    <cfRule type="cellIs" dxfId="7343" priority="7616" operator="greaterThan">
      <formula>1</formula>
    </cfRule>
    <cfRule type="cellIs" dxfId="7342" priority="7617" operator="between">
      <formula>0.95</formula>
      <formula>1</formula>
    </cfRule>
    <cfRule type="cellIs" dxfId="7341" priority="7618" stopIfTrue="1" operator="between">
      <formula>0</formula>
      <formula>0.5</formula>
    </cfRule>
  </conditionalFormatting>
  <conditionalFormatting sqref="T168">
    <cfRule type="cellIs" dxfId="7340" priority="7512" operator="between">
      <formula>0.76</formula>
      <formula>0.95</formula>
    </cfRule>
    <cfRule type="cellIs" dxfId="7339" priority="7513" operator="between">
      <formula>0.51</formula>
      <formula>0.75</formula>
    </cfRule>
    <cfRule type="cellIs" dxfId="7338" priority="7514" operator="greaterThan">
      <formula>1</formula>
    </cfRule>
    <cfRule type="cellIs" dxfId="7337" priority="7515" operator="between">
      <formula>0.95</formula>
      <formula>1</formula>
    </cfRule>
    <cfRule type="cellIs" dxfId="7336" priority="7516" stopIfTrue="1" operator="between">
      <formula>0</formula>
      <formula>0.5</formula>
    </cfRule>
  </conditionalFormatting>
  <conditionalFormatting sqref="AG169">
    <cfRule type="cellIs" dxfId="7335" priority="7499" operator="between">
      <formula>0.76</formula>
      <formula>0.95</formula>
    </cfRule>
    <cfRule type="cellIs" dxfId="7334" priority="7500" operator="between">
      <formula>0.51</formula>
      <formula>0.75</formula>
    </cfRule>
    <cfRule type="cellIs" dxfId="7333" priority="7501" operator="greaterThan">
      <formula>1</formula>
    </cfRule>
    <cfRule type="cellIs" dxfId="7332" priority="7502" operator="between">
      <formula>0.95</formula>
      <formula>1</formula>
    </cfRule>
    <cfRule type="cellIs" dxfId="7331" priority="7503" stopIfTrue="1" operator="between">
      <formula>0</formula>
      <formula>0.5</formula>
    </cfRule>
  </conditionalFormatting>
  <conditionalFormatting sqref="I169">
    <cfRule type="cellIs" dxfId="7330" priority="7494" operator="between">
      <formula>0.76</formula>
      <formula>0.95</formula>
    </cfRule>
    <cfRule type="cellIs" dxfId="7329" priority="7495" operator="between">
      <formula>0.51</formula>
      <formula>0.75</formula>
    </cfRule>
    <cfRule type="cellIs" dxfId="7328" priority="7496" operator="greaterThan">
      <formula>1</formula>
    </cfRule>
    <cfRule type="cellIs" dxfId="7327" priority="7497" operator="between">
      <formula>0.95</formula>
      <formula>1</formula>
    </cfRule>
    <cfRule type="cellIs" dxfId="7326" priority="7498" stopIfTrue="1" operator="between">
      <formula>0</formula>
      <formula>0.5</formula>
    </cfRule>
  </conditionalFormatting>
  <conditionalFormatting sqref="P169">
    <cfRule type="cellIs" dxfId="7325" priority="7489" operator="between">
      <formula>0.76</formula>
      <formula>0.95</formula>
    </cfRule>
    <cfRule type="cellIs" dxfId="7324" priority="7490" operator="between">
      <formula>0.51</formula>
      <formula>0.75</formula>
    </cfRule>
    <cfRule type="cellIs" dxfId="7323" priority="7491" operator="greaterThan">
      <formula>1</formula>
    </cfRule>
    <cfRule type="cellIs" dxfId="7322" priority="7492" operator="between">
      <formula>0.95</formula>
      <formula>1</formula>
    </cfRule>
    <cfRule type="cellIs" dxfId="7321" priority="7493" stopIfTrue="1" operator="between">
      <formula>0</formula>
      <formula>0.5</formula>
    </cfRule>
  </conditionalFormatting>
  <conditionalFormatting sqref="W169">
    <cfRule type="cellIs" dxfId="7320" priority="7484" operator="between">
      <formula>0.76</formula>
      <formula>0.95</formula>
    </cfRule>
    <cfRule type="cellIs" dxfId="7319" priority="7485" operator="between">
      <formula>0.51</formula>
      <formula>0.75</formula>
    </cfRule>
    <cfRule type="cellIs" dxfId="7318" priority="7486" operator="greaterThan">
      <formula>1</formula>
    </cfRule>
    <cfRule type="cellIs" dxfId="7317" priority="7487" operator="between">
      <formula>0.95</formula>
      <formula>1</formula>
    </cfRule>
    <cfRule type="cellIs" dxfId="7316" priority="7488" stopIfTrue="1" operator="between">
      <formula>0</formula>
      <formula>0.5</formula>
    </cfRule>
  </conditionalFormatting>
  <conditionalFormatting sqref="AD169">
    <cfRule type="cellIs" dxfId="7315" priority="7479" operator="between">
      <formula>0.76</formula>
      <formula>0.95</formula>
    </cfRule>
    <cfRule type="cellIs" dxfId="7314" priority="7480" operator="between">
      <formula>0.51</formula>
      <formula>0.75</formula>
    </cfRule>
    <cfRule type="cellIs" dxfId="7313" priority="7481" operator="greaterThan">
      <formula>1</formula>
    </cfRule>
    <cfRule type="cellIs" dxfId="7312" priority="7482" operator="between">
      <formula>0.95</formula>
      <formula>1</formula>
    </cfRule>
    <cfRule type="cellIs" dxfId="7311" priority="7483" stopIfTrue="1" operator="between">
      <formula>0</formula>
      <formula>0.5</formula>
    </cfRule>
  </conditionalFormatting>
  <conditionalFormatting sqref="AF169">
    <cfRule type="cellIs" dxfId="7310" priority="7469" operator="between">
      <formula>0.76</formula>
      <formula>0.95</formula>
    </cfRule>
    <cfRule type="cellIs" dxfId="7309" priority="7470" operator="between">
      <formula>0.51</formula>
      <formula>0.75</formula>
    </cfRule>
    <cfRule type="cellIs" dxfId="7308" priority="7471" operator="greaterThan">
      <formula>1</formula>
    </cfRule>
    <cfRule type="cellIs" dxfId="7307" priority="7472" operator="between">
      <formula>0.95</formula>
      <formula>1</formula>
    </cfRule>
    <cfRule type="cellIs" dxfId="7306" priority="7473" stopIfTrue="1" operator="between">
      <formula>0</formula>
      <formula>0.5</formula>
    </cfRule>
  </conditionalFormatting>
  <conditionalFormatting sqref="K169">
    <cfRule type="cellIs" dxfId="7305" priority="7450" operator="between">
      <formula>0.191</formula>
      <formula>0.24</formula>
    </cfRule>
    <cfRule type="cellIs" dxfId="7304" priority="7451" operator="between">
      <formula>0.1251</formula>
      <formula>0.19</formula>
    </cfRule>
    <cfRule type="cellIs" dxfId="7303" priority="7452" operator="greaterThan">
      <formula>0.2601</formula>
    </cfRule>
    <cfRule type="cellIs" dxfId="7302" priority="7453" operator="between">
      <formula>0.2401</formula>
      <formula>0.26</formula>
    </cfRule>
    <cfRule type="cellIs" dxfId="7301" priority="7454" stopIfTrue="1" operator="between">
      <formula>0</formula>
      <formula>0.125</formula>
    </cfRule>
  </conditionalFormatting>
  <conditionalFormatting sqref="R169">
    <cfRule type="cellIs" dxfId="7300" priority="7445" operator="between">
      <formula>0.3751</formula>
      <formula>0.475</formula>
    </cfRule>
    <cfRule type="cellIs" dxfId="7299" priority="7446" operator="between">
      <formula>0.2551</formula>
      <formula>0.375</formula>
    </cfRule>
    <cfRule type="cellIs" dxfId="7298" priority="7447" operator="greaterThan">
      <formula>0.505</formula>
    </cfRule>
    <cfRule type="cellIs" dxfId="7297" priority="7448" operator="between">
      <formula>0.48</formula>
      <formula>0.5</formula>
    </cfRule>
    <cfRule type="cellIs" dxfId="7296" priority="7449" stopIfTrue="1" operator="between">
      <formula>0</formula>
      <formula>0.255</formula>
    </cfRule>
  </conditionalFormatting>
  <conditionalFormatting sqref="J169">
    <cfRule type="cellIs" dxfId="7295" priority="7435" operator="between">
      <formula>0.76</formula>
      <formula>0.95</formula>
    </cfRule>
    <cfRule type="cellIs" dxfId="7294" priority="7436" operator="between">
      <formula>0.51</formula>
      <formula>0.75</formula>
    </cfRule>
    <cfRule type="cellIs" dxfId="7293" priority="7437" operator="greaterThan">
      <formula>1</formula>
    </cfRule>
    <cfRule type="cellIs" dxfId="7292" priority="7438" operator="between">
      <formula>0.95</formula>
      <formula>1</formula>
    </cfRule>
    <cfRule type="cellIs" dxfId="7291" priority="7439" stopIfTrue="1" operator="between">
      <formula>0</formula>
      <formula>0.5</formula>
    </cfRule>
  </conditionalFormatting>
  <conditionalFormatting sqref="M169">
    <cfRule type="cellIs" dxfId="7290" priority="7430" operator="between">
      <formula>0.76</formula>
      <formula>0.95</formula>
    </cfRule>
    <cfRule type="cellIs" dxfId="7289" priority="7431" operator="between">
      <formula>0.51</formula>
      <formula>0.75</formula>
    </cfRule>
    <cfRule type="cellIs" dxfId="7288" priority="7432" operator="greaterThan">
      <formula>1</formula>
    </cfRule>
    <cfRule type="cellIs" dxfId="7287" priority="7433" operator="between">
      <formula>0.95</formula>
      <formula>1</formula>
    </cfRule>
    <cfRule type="cellIs" dxfId="7286" priority="7434" stopIfTrue="1" operator="between">
      <formula>0</formula>
      <formula>0.5</formula>
    </cfRule>
  </conditionalFormatting>
  <conditionalFormatting sqref="X169">
    <cfRule type="cellIs" dxfId="7285" priority="7425" operator="between">
      <formula>0.76</formula>
      <formula>0.95</formula>
    </cfRule>
    <cfRule type="cellIs" dxfId="7284" priority="7426" operator="between">
      <formula>0.51</formula>
      <formula>0.75</formula>
    </cfRule>
    <cfRule type="cellIs" dxfId="7283" priority="7427" operator="greaterThan">
      <formula>1</formula>
    </cfRule>
    <cfRule type="cellIs" dxfId="7282" priority="7428" operator="between">
      <formula>0.95</formula>
      <formula>1</formula>
    </cfRule>
    <cfRule type="cellIs" dxfId="7281" priority="7429" stopIfTrue="1" operator="between">
      <formula>0</formula>
      <formula>0.5</formula>
    </cfRule>
  </conditionalFormatting>
  <conditionalFormatting sqref="Q169">
    <cfRule type="cellIs" dxfId="7280" priority="7415" operator="between">
      <formula>0.76</formula>
      <formula>0.95</formula>
    </cfRule>
    <cfRule type="cellIs" dxfId="7279" priority="7416" operator="between">
      <formula>0.51</formula>
      <formula>0.75</formula>
    </cfRule>
    <cfRule type="cellIs" dxfId="7278" priority="7417" operator="greaterThan">
      <formula>1</formula>
    </cfRule>
    <cfRule type="cellIs" dxfId="7277" priority="7418" operator="between">
      <formula>0.95</formula>
      <formula>1</formula>
    </cfRule>
    <cfRule type="cellIs" dxfId="7276" priority="7419" stopIfTrue="1" operator="between">
      <formula>0</formula>
      <formula>0.5</formula>
    </cfRule>
  </conditionalFormatting>
  <conditionalFormatting sqref="AE169">
    <cfRule type="cellIs" dxfId="7275" priority="7410" operator="between">
      <formula>0.76</formula>
      <formula>0.95</formula>
    </cfRule>
    <cfRule type="cellIs" dxfId="7274" priority="7411" operator="between">
      <formula>0.51</formula>
      <formula>0.75</formula>
    </cfRule>
    <cfRule type="cellIs" dxfId="7273" priority="7412" operator="greaterThan">
      <formula>1</formula>
    </cfRule>
    <cfRule type="cellIs" dxfId="7272" priority="7413" operator="between">
      <formula>0.95</formula>
      <formula>1</formula>
    </cfRule>
    <cfRule type="cellIs" dxfId="7271" priority="7414" stopIfTrue="1" operator="between">
      <formula>0</formula>
      <formula>0.5</formula>
    </cfRule>
  </conditionalFormatting>
  <conditionalFormatting sqref="T169">
    <cfRule type="cellIs" dxfId="7270" priority="7405" operator="between">
      <formula>0.76</formula>
      <formula>0.95</formula>
    </cfRule>
    <cfRule type="cellIs" dxfId="7269" priority="7406" operator="between">
      <formula>0.51</formula>
      <formula>0.75</formula>
    </cfRule>
    <cfRule type="cellIs" dxfId="7268" priority="7407" operator="greaterThan">
      <formula>1</formula>
    </cfRule>
    <cfRule type="cellIs" dxfId="7267" priority="7408" operator="between">
      <formula>0.95</formula>
      <formula>1</formula>
    </cfRule>
    <cfRule type="cellIs" dxfId="7266" priority="7409" stopIfTrue="1" operator="between">
      <formula>0</formula>
      <formula>0.5</formula>
    </cfRule>
  </conditionalFormatting>
  <conditionalFormatting sqref="AG170:AG172">
    <cfRule type="cellIs" dxfId="7265" priority="7397" operator="between">
      <formula>0.76</formula>
      <formula>0.95</formula>
    </cfRule>
    <cfRule type="cellIs" dxfId="7264" priority="7398" operator="between">
      <formula>0.51</formula>
      <formula>0.75</formula>
    </cfRule>
    <cfRule type="cellIs" dxfId="7263" priority="7399" operator="greaterThan">
      <formula>1</formula>
    </cfRule>
    <cfRule type="cellIs" dxfId="7262" priority="7400" operator="between">
      <formula>0.95</formula>
      <formula>1</formula>
    </cfRule>
    <cfRule type="cellIs" dxfId="7261" priority="7401" stopIfTrue="1" operator="between">
      <formula>0</formula>
      <formula>0.5</formula>
    </cfRule>
  </conditionalFormatting>
  <conditionalFormatting sqref="I170:I172">
    <cfRule type="cellIs" dxfId="7260" priority="7392" operator="between">
      <formula>0.76</formula>
      <formula>0.95</formula>
    </cfRule>
    <cfRule type="cellIs" dxfId="7259" priority="7393" operator="between">
      <formula>0.51</formula>
      <formula>0.75</formula>
    </cfRule>
    <cfRule type="cellIs" dxfId="7258" priority="7394" operator="greaterThan">
      <formula>1</formula>
    </cfRule>
    <cfRule type="cellIs" dxfId="7257" priority="7395" operator="between">
      <formula>0.95</formula>
      <formula>1</formula>
    </cfRule>
    <cfRule type="cellIs" dxfId="7256" priority="7396" stopIfTrue="1" operator="between">
      <formula>0</formula>
      <formula>0.5</formula>
    </cfRule>
  </conditionalFormatting>
  <conditionalFormatting sqref="P170:P172">
    <cfRule type="cellIs" dxfId="7255" priority="7387" operator="between">
      <formula>0.76</formula>
      <formula>0.95</formula>
    </cfRule>
    <cfRule type="cellIs" dxfId="7254" priority="7388" operator="between">
      <formula>0.51</formula>
      <formula>0.75</formula>
    </cfRule>
    <cfRule type="cellIs" dxfId="7253" priority="7389" operator="greaterThan">
      <formula>1</formula>
    </cfRule>
    <cfRule type="cellIs" dxfId="7252" priority="7390" operator="between">
      <formula>0.95</formula>
      <formula>1</formula>
    </cfRule>
    <cfRule type="cellIs" dxfId="7251" priority="7391" stopIfTrue="1" operator="between">
      <formula>0</formula>
      <formula>0.5</formula>
    </cfRule>
  </conditionalFormatting>
  <conditionalFormatting sqref="W170:W172">
    <cfRule type="cellIs" dxfId="7250" priority="7382" operator="between">
      <formula>0.76</formula>
      <formula>0.95</formula>
    </cfRule>
    <cfRule type="cellIs" dxfId="7249" priority="7383" operator="between">
      <formula>0.51</formula>
      <formula>0.75</formula>
    </cfRule>
    <cfRule type="cellIs" dxfId="7248" priority="7384" operator="greaterThan">
      <formula>1</formula>
    </cfRule>
    <cfRule type="cellIs" dxfId="7247" priority="7385" operator="between">
      <formula>0.95</formula>
      <formula>1</formula>
    </cfRule>
    <cfRule type="cellIs" dxfId="7246" priority="7386" stopIfTrue="1" operator="between">
      <formula>0</formula>
      <formula>0.5</formula>
    </cfRule>
  </conditionalFormatting>
  <conditionalFormatting sqref="AD170:AD172">
    <cfRule type="cellIs" dxfId="7245" priority="7377" operator="between">
      <formula>0.76</formula>
      <formula>0.95</formula>
    </cfRule>
    <cfRule type="cellIs" dxfId="7244" priority="7378" operator="between">
      <formula>0.51</formula>
      <formula>0.75</formula>
    </cfRule>
    <cfRule type="cellIs" dxfId="7243" priority="7379" operator="greaterThan">
      <formula>1</formula>
    </cfRule>
    <cfRule type="cellIs" dxfId="7242" priority="7380" operator="between">
      <formula>0.95</formula>
      <formula>1</formula>
    </cfRule>
    <cfRule type="cellIs" dxfId="7241" priority="7381" stopIfTrue="1" operator="between">
      <formula>0</formula>
      <formula>0.5</formula>
    </cfRule>
  </conditionalFormatting>
  <conditionalFormatting sqref="AF170:AF172">
    <cfRule type="cellIs" dxfId="7240" priority="7367" operator="between">
      <formula>0.76</formula>
      <formula>0.95</formula>
    </cfRule>
    <cfRule type="cellIs" dxfId="7239" priority="7368" operator="between">
      <formula>0.51</formula>
      <formula>0.75</formula>
    </cfRule>
    <cfRule type="cellIs" dxfId="7238" priority="7369" operator="greaterThan">
      <formula>1</formula>
    </cfRule>
    <cfRule type="cellIs" dxfId="7237" priority="7370" operator="between">
      <formula>0.95</formula>
      <formula>1</formula>
    </cfRule>
    <cfRule type="cellIs" dxfId="7236" priority="7371" stopIfTrue="1" operator="between">
      <formula>0</formula>
      <formula>0.5</formula>
    </cfRule>
  </conditionalFormatting>
  <conditionalFormatting sqref="K170:K172">
    <cfRule type="cellIs" dxfId="7235" priority="7348" operator="between">
      <formula>0.191</formula>
      <formula>0.24</formula>
    </cfRule>
    <cfRule type="cellIs" dxfId="7234" priority="7349" operator="between">
      <formula>0.1251</formula>
      <formula>0.19</formula>
    </cfRule>
    <cfRule type="cellIs" dxfId="7233" priority="7350" operator="greaterThan">
      <formula>0.2601</formula>
    </cfRule>
    <cfRule type="cellIs" dxfId="7232" priority="7351" operator="between">
      <formula>0.2401</formula>
      <formula>0.26</formula>
    </cfRule>
    <cfRule type="cellIs" dxfId="7231" priority="7352" stopIfTrue="1" operator="between">
      <formula>0</formula>
      <formula>0.125</formula>
    </cfRule>
  </conditionalFormatting>
  <conditionalFormatting sqref="R170:R172">
    <cfRule type="cellIs" dxfId="7230" priority="7343" operator="between">
      <formula>0.3751</formula>
      <formula>0.475</formula>
    </cfRule>
    <cfRule type="cellIs" dxfId="7229" priority="7344" operator="between">
      <formula>0.2551</formula>
      <formula>0.375</formula>
    </cfRule>
    <cfRule type="cellIs" dxfId="7228" priority="7345" operator="greaterThan">
      <formula>0.505</formula>
    </cfRule>
    <cfRule type="cellIs" dxfId="7227" priority="7346" operator="between">
      <formula>0.48</formula>
      <formula>0.5</formula>
    </cfRule>
    <cfRule type="cellIs" dxfId="7226" priority="7347" stopIfTrue="1" operator="between">
      <formula>0</formula>
      <formula>0.255</formula>
    </cfRule>
  </conditionalFormatting>
  <conditionalFormatting sqref="J170:J172">
    <cfRule type="cellIs" dxfId="7225" priority="7333" operator="between">
      <formula>0.76</formula>
      <formula>0.95</formula>
    </cfRule>
    <cfRule type="cellIs" dxfId="7224" priority="7334" operator="between">
      <formula>0.51</formula>
      <formula>0.75</formula>
    </cfRule>
    <cfRule type="cellIs" dxfId="7223" priority="7335" operator="greaterThan">
      <formula>1</formula>
    </cfRule>
    <cfRule type="cellIs" dxfId="7222" priority="7336" operator="between">
      <formula>0.95</formula>
      <formula>1</formula>
    </cfRule>
    <cfRule type="cellIs" dxfId="7221" priority="7337" stopIfTrue="1" operator="between">
      <formula>0</formula>
      <formula>0.5</formula>
    </cfRule>
  </conditionalFormatting>
  <conditionalFormatting sqref="M170:M172">
    <cfRule type="cellIs" dxfId="7220" priority="7328" operator="between">
      <formula>0.76</formula>
      <formula>0.95</formula>
    </cfRule>
    <cfRule type="cellIs" dxfId="7219" priority="7329" operator="between">
      <formula>0.51</formula>
      <formula>0.75</formula>
    </cfRule>
    <cfRule type="cellIs" dxfId="7218" priority="7330" operator="greaterThan">
      <formula>1</formula>
    </cfRule>
    <cfRule type="cellIs" dxfId="7217" priority="7331" operator="between">
      <formula>0.95</formula>
      <formula>1</formula>
    </cfRule>
    <cfRule type="cellIs" dxfId="7216" priority="7332" stopIfTrue="1" operator="between">
      <formula>0</formula>
      <formula>0.5</formula>
    </cfRule>
  </conditionalFormatting>
  <conditionalFormatting sqref="X170:X172">
    <cfRule type="cellIs" dxfId="7215" priority="7323" operator="between">
      <formula>0.76</formula>
      <formula>0.95</formula>
    </cfRule>
    <cfRule type="cellIs" dxfId="7214" priority="7324" operator="between">
      <formula>0.51</formula>
      <formula>0.75</formula>
    </cfRule>
    <cfRule type="cellIs" dxfId="7213" priority="7325" operator="greaterThan">
      <formula>1</formula>
    </cfRule>
    <cfRule type="cellIs" dxfId="7212" priority="7326" operator="between">
      <formula>0.95</formula>
      <formula>1</formula>
    </cfRule>
    <cfRule type="cellIs" dxfId="7211" priority="7327" stopIfTrue="1" operator="between">
      <formula>0</formula>
      <formula>0.5</formula>
    </cfRule>
  </conditionalFormatting>
  <conditionalFormatting sqref="Q170:Q172">
    <cfRule type="cellIs" dxfId="7210" priority="7313" operator="between">
      <formula>0.76</formula>
      <formula>0.95</formula>
    </cfRule>
    <cfRule type="cellIs" dxfId="7209" priority="7314" operator="between">
      <formula>0.51</formula>
      <formula>0.75</formula>
    </cfRule>
    <cfRule type="cellIs" dxfId="7208" priority="7315" operator="greaterThan">
      <formula>1</formula>
    </cfRule>
    <cfRule type="cellIs" dxfId="7207" priority="7316" operator="between">
      <formula>0.95</formula>
      <formula>1</formula>
    </cfRule>
    <cfRule type="cellIs" dxfId="7206" priority="7317" stopIfTrue="1" operator="between">
      <formula>0</formula>
      <formula>0.5</formula>
    </cfRule>
  </conditionalFormatting>
  <conditionalFormatting sqref="AE170:AE172">
    <cfRule type="cellIs" dxfId="7205" priority="7308" operator="between">
      <formula>0.76</formula>
      <formula>0.95</formula>
    </cfRule>
    <cfRule type="cellIs" dxfId="7204" priority="7309" operator="between">
      <formula>0.51</formula>
      <formula>0.75</formula>
    </cfRule>
    <cfRule type="cellIs" dxfId="7203" priority="7310" operator="greaterThan">
      <formula>1</formula>
    </cfRule>
    <cfRule type="cellIs" dxfId="7202" priority="7311" operator="between">
      <formula>0.95</formula>
      <formula>1</formula>
    </cfRule>
    <cfRule type="cellIs" dxfId="7201" priority="7312" stopIfTrue="1" operator="between">
      <formula>0</formula>
      <formula>0.5</formula>
    </cfRule>
  </conditionalFormatting>
  <conditionalFormatting sqref="T170:T172">
    <cfRule type="cellIs" dxfId="7200" priority="7303" operator="between">
      <formula>0.76</formula>
      <formula>0.95</formula>
    </cfRule>
    <cfRule type="cellIs" dxfId="7199" priority="7304" operator="between">
      <formula>0.51</formula>
      <formula>0.75</formula>
    </cfRule>
    <cfRule type="cellIs" dxfId="7198" priority="7305" operator="greaterThan">
      <formula>1</formula>
    </cfRule>
    <cfRule type="cellIs" dxfId="7197" priority="7306" operator="between">
      <formula>0.95</formula>
      <formula>1</formula>
    </cfRule>
    <cfRule type="cellIs" dxfId="7196" priority="7307" stopIfTrue="1" operator="between">
      <formula>0</formula>
      <formula>0.5</formula>
    </cfRule>
  </conditionalFormatting>
  <conditionalFormatting sqref="J157 Q157 AG157 AE157">
    <cfRule type="cellIs" dxfId="7195" priority="7295" operator="between">
      <formula>0.76</formula>
      <formula>0.95</formula>
    </cfRule>
    <cfRule type="cellIs" dxfId="7194" priority="7296" operator="between">
      <formula>0.51</formula>
      <formula>0.75</formula>
    </cfRule>
    <cfRule type="cellIs" dxfId="7193" priority="7297" operator="greaterThan">
      <formula>1</formula>
    </cfRule>
    <cfRule type="cellIs" dxfId="7192" priority="7298" operator="between">
      <formula>0.95</formula>
      <formula>1</formula>
    </cfRule>
    <cfRule type="cellIs" dxfId="7191" priority="7299" stopIfTrue="1" operator="between">
      <formula>0</formula>
      <formula>0.5</formula>
    </cfRule>
  </conditionalFormatting>
  <conditionalFormatting sqref="M157">
    <cfRule type="cellIs" dxfId="7190" priority="7281" operator="between">
      <formula>0.191</formula>
      <formula>0.24</formula>
    </cfRule>
    <cfRule type="cellIs" dxfId="7189" priority="7282" operator="between">
      <formula>0.1251</formula>
      <formula>0.19</formula>
    </cfRule>
    <cfRule type="cellIs" dxfId="7188" priority="7283" operator="greaterThan">
      <formula>0.2601</formula>
    </cfRule>
    <cfRule type="cellIs" dxfId="7187" priority="7284" operator="between">
      <formula>0.2401</formula>
      <formula>0.26</formula>
    </cfRule>
    <cfRule type="cellIs" dxfId="7186" priority="7285" stopIfTrue="1" operator="between">
      <formula>0</formula>
      <formula>0.125</formula>
    </cfRule>
  </conditionalFormatting>
  <conditionalFormatting sqref="I157">
    <cfRule type="cellIs" dxfId="7185" priority="7276" operator="between">
      <formula>0.76</formula>
      <formula>0.95</formula>
    </cfRule>
    <cfRule type="cellIs" dxfId="7184" priority="7277" operator="between">
      <formula>0.51</formula>
      <formula>0.75</formula>
    </cfRule>
    <cfRule type="cellIs" dxfId="7183" priority="7278" operator="greaterThan">
      <formula>1</formula>
    </cfRule>
    <cfRule type="cellIs" dxfId="7182" priority="7279" operator="between">
      <formula>0.95</formula>
      <formula>1</formula>
    </cfRule>
    <cfRule type="cellIs" dxfId="7181" priority="7280" stopIfTrue="1" operator="between">
      <formula>0</formula>
      <formula>0.5</formula>
    </cfRule>
  </conditionalFormatting>
  <conditionalFormatting sqref="K157">
    <cfRule type="cellIs" dxfId="7180" priority="7271" operator="between">
      <formula>0.191</formula>
      <formula>0.24</formula>
    </cfRule>
    <cfRule type="cellIs" dxfId="7179" priority="7272" operator="between">
      <formula>0.1251</formula>
      <formula>0.19</formula>
    </cfRule>
    <cfRule type="cellIs" dxfId="7178" priority="7273" operator="greaterThan">
      <formula>0.2601</formula>
    </cfRule>
    <cfRule type="cellIs" dxfId="7177" priority="7274" operator="between">
      <formula>0.2401</formula>
      <formula>0.26</formula>
    </cfRule>
    <cfRule type="cellIs" dxfId="7176" priority="7275" stopIfTrue="1" operator="between">
      <formula>0</formula>
      <formula>0.125</formula>
    </cfRule>
  </conditionalFormatting>
  <conditionalFormatting sqref="P157">
    <cfRule type="cellIs" dxfId="7175" priority="7266" operator="between">
      <formula>0.76</formula>
      <formula>0.95</formula>
    </cfRule>
    <cfRule type="cellIs" dxfId="7174" priority="7267" operator="between">
      <formula>0.51</formula>
      <formula>0.75</formula>
    </cfRule>
    <cfRule type="cellIs" dxfId="7173" priority="7268" operator="greaterThan">
      <formula>1</formula>
    </cfRule>
    <cfRule type="cellIs" dxfId="7172" priority="7269" operator="between">
      <formula>0.95</formula>
      <formula>1</formula>
    </cfRule>
    <cfRule type="cellIs" dxfId="7171" priority="7270" stopIfTrue="1" operator="between">
      <formula>0</formula>
      <formula>0.5</formula>
    </cfRule>
  </conditionalFormatting>
  <conditionalFormatting sqref="W157">
    <cfRule type="cellIs" dxfId="7170" priority="7261" operator="between">
      <formula>0.76</formula>
      <formula>0.95</formula>
    </cfRule>
    <cfRule type="cellIs" dxfId="7169" priority="7262" operator="between">
      <formula>0.51</formula>
      <formula>0.75</formula>
    </cfRule>
    <cfRule type="cellIs" dxfId="7168" priority="7263" operator="greaterThan">
      <formula>1</formula>
    </cfRule>
    <cfRule type="cellIs" dxfId="7167" priority="7264" operator="between">
      <formula>0.95</formula>
      <formula>1</formula>
    </cfRule>
    <cfRule type="cellIs" dxfId="7166" priority="7265" stopIfTrue="1" operator="between">
      <formula>0</formula>
      <formula>0.5</formula>
    </cfRule>
  </conditionalFormatting>
  <conditionalFormatting sqref="AD157">
    <cfRule type="cellIs" dxfId="7165" priority="7251" operator="between">
      <formula>0.76</formula>
      <formula>0.95</formula>
    </cfRule>
    <cfRule type="cellIs" dxfId="7164" priority="7252" operator="between">
      <formula>0.51</formula>
      <formula>0.75</formula>
    </cfRule>
    <cfRule type="cellIs" dxfId="7163" priority="7253" operator="greaterThan">
      <formula>1</formula>
    </cfRule>
    <cfRule type="cellIs" dxfId="7162" priority="7254" operator="between">
      <formula>0.95</formula>
      <formula>1</formula>
    </cfRule>
    <cfRule type="cellIs" dxfId="7161" priority="7255" stopIfTrue="1" operator="between">
      <formula>0</formula>
      <formula>0.5</formula>
    </cfRule>
  </conditionalFormatting>
  <conditionalFormatting sqref="AF157">
    <cfRule type="cellIs" dxfId="7160" priority="7246" operator="between">
      <formula>0.76</formula>
      <formula>0.95</formula>
    </cfRule>
    <cfRule type="cellIs" dxfId="7159" priority="7247" operator="between">
      <formula>0.51</formula>
      <formula>0.75</formula>
    </cfRule>
    <cfRule type="cellIs" dxfId="7158" priority="7248" operator="greaterThan">
      <formula>1</formula>
    </cfRule>
    <cfRule type="cellIs" dxfId="7157" priority="7249" operator="between">
      <formula>0.95</formula>
      <formula>1</formula>
    </cfRule>
    <cfRule type="cellIs" dxfId="7156" priority="7250" stopIfTrue="1" operator="between">
      <formula>0</formula>
      <formula>0.5</formula>
    </cfRule>
  </conditionalFormatting>
  <conditionalFormatting sqref="R157">
    <cfRule type="cellIs" dxfId="7155" priority="7241" operator="between">
      <formula>0.3751</formula>
      <formula>0.475</formula>
    </cfRule>
    <cfRule type="cellIs" dxfId="7154" priority="7242" operator="between">
      <formula>0.2551</formula>
      <formula>0.375</formula>
    </cfRule>
    <cfRule type="cellIs" dxfId="7153" priority="7243" operator="greaterThan">
      <formula>0.505</formula>
    </cfRule>
    <cfRule type="cellIs" dxfId="7152" priority="7244" operator="between">
      <formula>0.48</formula>
      <formula>0.5</formula>
    </cfRule>
    <cfRule type="cellIs" dxfId="7151" priority="7245" stopIfTrue="1" operator="between">
      <formula>0</formula>
      <formula>0.255</formula>
    </cfRule>
  </conditionalFormatting>
  <conditionalFormatting sqref="T157">
    <cfRule type="cellIs" dxfId="7150" priority="7236" operator="between">
      <formula>0.376</formula>
      <formula>0.475</formula>
    </cfRule>
    <cfRule type="cellIs" dxfId="7149" priority="7237" operator="between">
      <formula>0.2551</formula>
      <formula>0.3751</formula>
    </cfRule>
    <cfRule type="cellIs" dxfId="7148" priority="7238" operator="greaterThan">
      <formula>0.505</formula>
    </cfRule>
    <cfRule type="cellIs" dxfId="7147" priority="7239" operator="between">
      <formula>0.48</formula>
      <formula>0.5</formula>
    </cfRule>
    <cfRule type="cellIs" dxfId="7146" priority="7240" stopIfTrue="1" operator="between">
      <formula>0</formula>
      <formula>0.255</formula>
    </cfRule>
  </conditionalFormatting>
  <conditionalFormatting sqref="X157">
    <cfRule type="cellIs" dxfId="7145" priority="7231" operator="between">
      <formula>0.76</formula>
      <formula>0.95</formula>
    </cfRule>
    <cfRule type="cellIs" dxfId="7144" priority="7232" operator="between">
      <formula>0.51</formula>
      <formula>0.75</formula>
    </cfRule>
    <cfRule type="cellIs" dxfId="7143" priority="7233" operator="greaterThan">
      <formula>1</formula>
    </cfRule>
    <cfRule type="cellIs" dxfId="7142" priority="7234" operator="between">
      <formula>0.95</formula>
      <formula>1</formula>
    </cfRule>
    <cfRule type="cellIs" dxfId="7141" priority="7235" stopIfTrue="1" operator="between">
      <formula>0</formula>
      <formula>0.5</formula>
    </cfRule>
  </conditionalFormatting>
  <conditionalFormatting sqref="I158">
    <cfRule type="cellIs" dxfId="7140" priority="7204" operator="between">
      <formula>0.76</formula>
      <formula>0.95</formula>
    </cfRule>
    <cfRule type="cellIs" dxfId="7139" priority="7205" operator="between">
      <formula>0.51</formula>
      <formula>0.75</formula>
    </cfRule>
    <cfRule type="cellIs" dxfId="7138" priority="7206" operator="greaterThan">
      <formula>1</formula>
    </cfRule>
    <cfRule type="cellIs" dxfId="7137" priority="7207" operator="between">
      <formula>0.95</formula>
      <formula>1</formula>
    </cfRule>
    <cfRule type="cellIs" dxfId="7136" priority="7208" stopIfTrue="1" operator="between">
      <formula>0</formula>
      <formula>0.5</formula>
    </cfRule>
  </conditionalFormatting>
  <conditionalFormatting sqref="K158">
    <cfRule type="cellIs" dxfId="7135" priority="7199" operator="between">
      <formula>0.191</formula>
      <formula>0.24</formula>
    </cfRule>
    <cfRule type="cellIs" dxfId="7134" priority="7200" operator="between">
      <formula>0.1251</formula>
      <formula>0.19</formula>
    </cfRule>
    <cfRule type="cellIs" dxfId="7133" priority="7201" operator="greaterThan">
      <formula>0.2601</formula>
    </cfRule>
    <cfRule type="cellIs" dxfId="7132" priority="7202" operator="between">
      <formula>0.2401</formula>
      <formula>0.26</formula>
    </cfRule>
    <cfRule type="cellIs" dxfId="7131" priority="7203" stopIfTrue="1" operator="between">
      <formula>0</formula>
      <formula>0.125</formula>
    </cfRule>
  </conditionalFormatting>
  <conditionalFormatting sqref="P158">
    <cfRule type="cellIs" dxfId="7130" priority="7194" operator="between">
      <formula>0.76</formula>
      <formula>0.95</formula>
    </cfRule>
    <cfRule type="cellIs" dxfId="7129" priority="7195" operator="between">
      <formula>0.51</formula>
      <formula>0.75</formula>
    </cfRule>
    <cfRule type="cellIs" dxfId="7128" priority="7196" operator="greaterThan">
      <formula>1</formula>
    </cfRule>
    <cfRule type="cellIs" dxfId="7127" priority="7197" operator="between">
      <formula>0.95</formula>
      <formula>1</formula>
    </cfRule>
    <cfRule type="cellIs" dxfId="7126" priority="7198" stopIfTrue="1" operator="between">
      <formula>0</formula>
      <formula>0.5</formula>
    </cfRule>
  </conditionalFormatting>
  <conditionalFormatting sqref="W158">
    <cfRule type="cellIs" dxfId="7125" priority="7189" operator="between">
      <formula>0.76</formula>
      <formula>0.95</formula>
    </cfRule>
    <cfRule type="cellIs" dxfId="7124" priority="7190" operator="between">
      <formula>0.51</formula>
      <formula>0.75</formula>
    </cfRule>
    <cfRule type="cellIs" dxfId="7123" priority="7191" operator="greaterThan">
      <formula>1</formula>
    </cfRule>
    <cfRule type="cellIs" dxfId="7122" priority="7192" operator="between">
      <formula>0.95</formula>
      <formula>1</formula>
    </cfRule>
    <cfRule type="cellIs" dxfId="7121" priority="7193" stopIfTrue="1" operator="between">
      <formula>0</formula>
      <formula>0.5</formula>
    </cfRule>
  </conditionalFormatting>
  <conditionalFormatting sqref="AD158">
    <cfRule type="cellIs" dxfId="7120" priority="7179" operator="between">
      <formula>0.76</formula>
      <formula>0.95</formula>
    </cfRule>
    <cfRule type="cellIs" dxfId="7119" priority="7180" operator="between">
      <formula>0.51</formula>
      <formula>0.75</formula>
    </cfRule>
    <cfRule type="cellIs" dxfId="7118" priority="7181" operator="greaterThan">
      <formula>1</formula>
    </cfRule>
    <cfRule type="cellIs" dxfId="7117" priority="7182" operator="between">
      <formula>0.95</formula>
      <formula>1</formula>
    </cfRule>
    <cfRule type="cellIs" dxfId="7116" priority="7183" stopIfTrue="1" operator="between">
      <formula>0</formula>
      <formula>0.5</formula>
    </cfRule>
  </conditionalFormatting>
  <conditionalFormatting sqref="AF158">
    <cfRule type="cellIs" dxfId="7115" priority="7174" operator="between">
      <formula>0.76</formula>
      <formula>0.95</formula>
    </cfRule>
    <cfRule type="cellIs" dxfId="7114" priority="7175" operator="between">
      <formula>0.51</formula>
      <formula>0.75</formula>
    </cfRule>
    <cfRule type="cellIs" dxfId="7113" priority="7176" operator="greaterThan">
      <formula>1</formula>
    </cfRule>
    <cfRule type="cellIs" dxfId="7112" priority="7177" operator="between">
      <formula>0.95</formula>
      <formula>1</formula>
    </cfRule>
    <cfRule type="cellIs" dxfId="7111" priority="7178" stopIfTrue="1" operator="between">
      <formula>0</formula>
      <formula>0.5</formula>
    </cfRule>
  </conditionalFormatting>
  <conditionalFormatting sqref="R158">
    <cfRule type="cellIs" dxfId="7110" priority="7169" operator="between">
      <formula>0.3751</formula>
      <formula>0.475</formula>
    </cfRule>
    <cfRule type="cellIs" dxfId="7109" priority="7170" operator="between">
      <formula>0.2551</formula>
      <formula>0.375</formula>
    </cfRule>
    <cfRule type="cellIs" dxfId="7108" priority="7171" operator="greaterThan">
      <formula>0.505</formula>
    </cfRule>
    <cfRule type="cellIs" dxfId="7107" priority="7172" operator="between">
      <formula>0.48</formula>
      <formula>0.5</formula>
    </cfRule>
    <cfRule type="cellIs" dxfId="7106" priority="7173" stopIfTrue="1" operator="between">
      <formula>0</formula>
      <formula>0.255</formula>
    </cfRule>
  </conditionalFormatting>
  <conditionalFormatting sqref="M159 M163">
    <cfRule type="cellIs" dxfId="7105" priority="7022" operator="between">
      <formula>0.76</formula>
      <formula>0.95</formula>
    </cfRule>
    <cfRule type="cellIs" dxfId="7104" priority="7023" operator="between">
      <formula>0.51</formula>
      <formula>0.75</formula>
    </cfRule>
    <cfRule type="cellIs" dxfId="7103" priority="7024" operator="greaterThan">
      <formula>1</formula>
    </cfRule>
    <cfRule type="cellIs" dxfId="7102" priority="7025" operator="between">
      <formula>0.95</formula>
      <formula>1</formula>
    </cfRule>
    <cfRule type="cellIs" dxfId="7101" priority="7026" stopIfTrue="1" operator="between">
      <formula>0</formula>
      <formula>0.5</formula>
    </cfRule>
  </conditionalFormatting>
  <conditionalFormatting sqref="X158">
    <cfRule type="cellIs" dxfId="7100" priority="7134" operator="between">
      <formula>0.76</formula>
      <formula>0.95</formula>
    </cfRule>
    <cfRule type="cellIs" dxfId="7099" priority="7135" operator="between">
      <formula>0.51</formula>
      <formula>0.75</formula>
    </cfRule>
    <cfRule type="cellIs" dxfId="7098" priority="7136" operator="greaterThan">
      <formula>1</formula>
    </cfRule>
    <cfRule type="cellIs" dxfId="7097" priority="7137" operator="between">
      <formula>0.95</formula>
      <formula>1</formula>
    </cfRule>
    <cfRule type="cellIs" dxfId="7096" priority="7138" stopIfTrue="1" operator="between">
      <formula>0</formula>
      <formula>0.5</formula>
    </cfRule>
  </conditionalFormatting>
  <conditionalFormatting sqref="J158">
    <cfRule type="cellIs" dxfId="7095" priority="7129" operator="between">
      <formula>0.76</formula>
      <formula>0.95</formula>
    </cfRule>
    <cfRule type="cellIs" dxfId="7094" priority="7130" operator="between">
      <formula>0.51</formula>
      <formula>0.75</formula>
    </cfRule>
    <cfRule type="cellIs" dxfId="7093" priority="7131" operator="greaterThan">
      <formula>1</formula>
    </cfRule>
    <cfRule type="cellIs" dxfId="7092" priority="7132" operator="between">
      <formula>0.95</formula>
      <formula>1</formula>
    </cfRule>
    <cfRule type="cellIs" dxfId="7091" priority="7133" stopIfTrue="1" operator="between">
      <formula>0</formula>
      <formula>0.5</formula>
    </cfRule>
  </conditionalFormatting>
  <conditionalFormatting sqref="M158">
    <cfRule type="cellIs" dxfId="7090" priority="7124" operator="between">
      <formula>0.76</formula>
      <formula>0.95</formula>
    </cfRule>
    <cfRule type="cellIs" dxfId="7089" priority="7125" operator="between">
      <formula>0.51</formula>
      <formula>0.75</formula>
    </cfRule>
    <cfRule type="cellIs" dxfId="7088" priority="7126" operator="greaterThan">
      <formula>1</formula>
    </cfRule>
    <cfRule type="cellIs" dxfId="7087" priority="7127" operator="between">
      <formula>0.95</formula>
      <formula>1</formula>
    </cfRule>
    <cfRule type="cellIs" dxfId="7086" priority="7128" stopIfTrue="1" operator="between">
      <formula>0</formula>
      <formula>0.5</formula>
    </cfRule>
  </conditionalFormatting>
  <conditionalFormatting sqref="Q158">
    <cfRule type="cellIs" dxfId="7085" priority="7119" operator="between">
      <formula>0.76</formula>
      <formula>0.95</formula>
    </cfRule>
    <cfRule type="cellIs" dxfId="7084" priority="7120" operator="between">
      <formula>0.51</formula>
      <formula>0.75</formula>
    </cfRule>
    <cfRule type="cellIs" dxfId="7083" priority="7121" operator="greaterThan">
      <formula>1</formula>
    </cfRule>
    <cfRule type="cellIs" dxfId="7082" priority="7122" operator="between">
      <formula>0.95</formula>
      <formula>1</formula>
    </cfRule>
    <cfRule type="cellIs" dxfId="7081" priority="7123" stopIfTrue="1" operator="between">
      <formula>0</formula>
      <formula>0.5</formula>
    </cfRule>
  </conditionalFormatting>
  <conditionalFormatting sqref="T158">
    <cfRule type="cellIs" dxfId="7080" priority="7114" operator="between">
      <formula>0.76</formula>
      <formula>0.95</formula>
    </cfRule>
    <cfRule type="cellIs" dxfId="7079" priority="7115" operator="between">
      <formula>0.51</formula>
      <formula>0.75</formula>
    </cfRule>
    <cfRule type="cellIs" dxfId="7078" priority="7116" operator="greaterThan">
      <formula>1</formula>
    </cfRule>
    <cfRule type="cellIs" dxfId="7077" priority="7117" operator="between">
      <formula>0.95</formula>
      <formula>1</formula>
    </cfRule>
    <cfRule type="cellIs" dxfId="7076" priority="7118" stopIfTrue="1" operator="between">
      <formula>0</formula>
      <formula>0.5</formula>
    </cfRule>
  </conditionalFormatting>
  <conditionalFormatting sqref="AE158">
    <cfRule type="cellIs" dxfId="7075" priority="7109" operator="between">
      <formula>0.76</formula>
      <formula>0.95</formula>
    </cfRule>
    <cfRule type="cellIs" dxfId="7074" priority="7110" operator="between">
      <formula>0.51</formula>
      <formula>0.75</formula>
    </cfRule>
    <cfRule type="cellIs" dxfId="7073" priority="7111" operator="greaterThan">
      <formula>1</formula>
    </cfRule>
    <cfRule type="cellIs" dxfId="7072" priority="7112" operator="between">
      <formula>0.95</formula>
      <formula>1</formula>
    </cfRule>
    <cfRule type="cellIs" dxfId="7071" priority="7113" stopIfTrue="1" operator="between">
      <formula>0</formula>
      <formula>0.5</formula>
    </cfRule>
  </conditionalFormatting>
  <conditionalFormatting sqref="I159 I163">
    <cfRule type="cellIs" dxfId="7070" priority="7077" operator="between">
      <formula>0.76</formula>
      <formula>0.95</formula>
    </cfRule>
    <cfRule type="cellIs" dxfId="7069" priority="7078" operator="between">
      <formula>0.51</formula>
      <formula>0.75</formula>
    </cfRule>
    <cfRule type="cellIs" dxfId="7068" priority="7079" operator="greaterThan">
      <formula>1</formula>
    </cfRule>
    <cfRule type="cellIs" dxfId="7067" priority="7080" operator="between">
      <formula>0.95</formula>
      <formula>1</formula>
    </cfRule>
    <cfRule type="cellIs" dxfId="7066" priority="7081" stopIfTrue="1" operator="between">
      <formula>0</formula>
      <formula>0.5</formula>
    </cfRule>
  </conditionalFormatting>
  <conditionalFormatting sqref="K159 K163">
    <cfRule type="cellIs" dxfId="7065" priority="7072" operator="between">
      <formula>0.191</formula>
      <formula>0.24</formula>
    </cfRule>
    <cfRule type="cellIs" dxfId="7064" priority="7073" operator="between">
      <formula>0.1251</formula>
      <formula>0.19</formula>
    </cfRule>
    <cfRule type="cellIs" dxfId="7063" priority="7074" operator="greaterThan">
      <formula>0.2601</formula>
    </cfRule>
    <cfRule type="cellIs" dxfId="7062" priority="7075" operator="between">
      <formula>0.2401</formula>
      <formula>0.26</formula>
    </cfRule>
    <cfRule type="cellIs" dxfId="7061" priority="7076" stopIfTrue="1" operator="between">
      <formula>0</formula>
      <formula>0.125</formula>
    </cfRule>
  </conditionalFormatting>
  <conditionalFormatting sqref="P159 P163">
    <cfRule type="cellIs" dxfId="7060" priority="7067" operator="between">
      <formula>0.76</formula>
      <formula>0.95</formula>
    </cfRule>
    <cfRule type="cellIs" dxfId="7059" priority="7068" operator="between">
      <formula>0.51</formula>
      <formula>0.75</formula>
    </cfRule>
    <cfRule type="cellIs" dxfId="7058" priority="7069" operator="greaterThan">
      <formula>1</formula>
    </cfRule>
    <cfRule type="cellIs" dxfId="7057" priority="7070" operator="between">
      <formula>0.95</formula>
      <formula>1</formula>
    </cfRule>
    <cfRule type="cellIs" dxfId="7056" priority="7071" stopIfTrue="1" operator="between">
      <formula>0</formula>
      <formula>0.5</formula>
    </cfRule>
  </conditionalFormatting>
  <conditionalFormatting sqref="W159 W163">
    <cfRule type="cellIs" dxfId="7055" priority="7062" operator="between">
      <formula>0.76</formula>
      <formula>0.95</formula>
    </cfRule>
    <cfRule type="cellIs" dxfId="7054" priority="7063" operator="between">
      <formula>0.51</formula>
      <formula>0.75</formula>
    </cfRule>
    <cfRule type="cellIs" dxfId="7053" priority="7064" operator="greaterThan">
      <formula>1</formula>
    </cfRule>
    <cfRule type="cellIs" dxfId="7052" priority="7065" operator="between">
      <formula>0.95</formula>
      <formula>1</formula>
    </cfRule>
    <cfRule type="cellIs" dxfId="7051" priority="7066" stopIfTrue="1" operator="between">
      <formula>0</formula>
      <formula>0.5</formula>
    </cfRule>
  </conditionalFormatting>
  <conditionalFormatting sqref="AD159 AD163">
    <cfRule type="cellIs" dxfId="7050" priority="7052" operator="between">
      <formula>0.76</formula>
      <formula>0.95</formula>
    </cfRule>
    <cfRule type="cellIs" dxfId="7049" priority="7053" operator="between">
      <formula>0.51</formula>
      <formula>0.75</formula>
    </cfRule>
    <cfRule type="cellIs" dxfId="7048" priority="7054" operator="greaterThan">
      <formula>1</formula>
    </cfRule>
    <cfRule type="cellIs" dxfId="7047" priority="7055" operator="between">
      <formula>0.95</formula>
      <formula>1</formula>
    </cfRule>
    <cfRule type="cellIs" dxfId="7046" priority="7056" stopIfTrue="1" operator="between">
      <formula>0</formula>
      <formula>0.5</formula>
    </cfRule>
  </conditionalFormatting>
  <conditionalFormatting sqref="AF159 AF163">
    <cfRule type="cellIs" dxfId="7045" priority="7047" operator="between">
      <formula>0.76</formula>
      <formula>0.95</formula>
    </cfRule>
    <cfRule type="cellIs" dxfId="7044" priority="7048" operator="between">
      <formula>0.51</formula>
      <formula>0.75</formula>
    </cfRule>
    <cfRule type="cellIs" dxfId="7043" priority="7049" operator="greaterThan">
      <formula>1</formula>
    </cfRule>
    <cfRule type="cellIs" dxfId="7042" priority="7050" operator="between">
      <formula>0.95</formula>
      <formula>1</formula>
    </cfRule>
    <cfRule type="cellIs" dxfId="7041" priority="7051" stopIfTrue="1" operator="between">
      <formula>0</formula>
      <formula>0.5</formula>
    </cfRule>
  </conditionalFormatting>
  <conditionalFormatting sqref="R159 R163">
    <cfRule type="cellIs" dxfId="7040" priority="7042" operator="between">
      <formula>0.3751</formula>
      <formula>0.475</formula>
    </cfRule>
    <cfRule type="cellIs" dxfId="7039" priority="7043" operator="between">
      <formula>0.2551</formula>
      <formula>0.375</formula>
    </cfRule>
    <cfRule type="cellIs" dxfId="7038" priority="7044" operator="greaterThan">
      <formula>0.505</formula>
    </cfRule>
    <cfRule type="cellIs" dxfId="7037" priority="7045" operator="between">
      <formula>0.48</formula>
      <formula>0.5</formula>
    </cfRule>
    <cfRule type="cellIs" dxfId="7036" priority="7046" stopIfTrue="1" operator="between">
      <formula>0</formula>
      <formula>0.255</formula>
    </cfRule>
  </conditionalFormatting>
  <conditionalFormatting sqref="X159 X163">
    <cfRule type="cellIs" dxfId="7035" priority="7032" operator="between">
      <formula>0.76</formula>
      <formula>0.95</formula>
    </cfRule>
    <cfRule type="cellIs" dxfId="7034" priority="7033" operator="between">
      <formula>0.51</formula>
      <formula>0.75</formula>
    </cfRule>
    <cfRule type="cellIs" dxfId="7033" priority="7034" operator="greaterThan">
      <formula>1</formula>
    </cfRule>
    <cfRule type="cellIs" dxfId="7032" priority="7035" operator="between">
      <formula>0.95</formula>
      <formula>1</formula>
    </cfRule>
    <cfRule type="cellIs" dxfId="7031" priority="7036" stopIfTrue="1" operator="between">
      <formula>0</formula>
      <formula>0.5</formula>
    </cfRule>
  </conditionalFormatting>
  <conditionalFormatting sqref="J159 J163">
    <cfRule type="cellIs" dxfId="7030" priority="7027" operator="between">
      <formula>0.76</formula>
      <formula>0.95</formula>
    </cfRule>
    <cfRule type="cellIs" dxfId="7029" priority="7028" operator="between">
      <formula>0.51</formula>
      <formula>0.75</formula>
    </cfRule>
    <cfRule type="cellIs" dxfId="7028" priority="7029" operator="greaterThan">
      <formula>1</formula>
    </cfRule>
    <cfRule type="cellIs" dxfId="7027" priority="7030" operator="between">
      <formula>0.95</formula>
      <formula>1</formula>
    </cfRule>
    <cfRule type="cellIs" dxfId="7026" priority="7031" stopIfTrue="1" operator="between">
      <formula>0</formula>
      <formula>0.5</formula>
    </cfRule>
  </conditionalFormatting>
  <conditionalFormatting sqref="Q159 Q163">
    <cfRule type="cellIs" dxfId="7025" priority="7017" operator="between">
      <formula>0.76</formula>
      <formula>0.95</formula>
    </cfRule>
    <cfRule type="cellIs" dxfId="7024" priority="7018" operator="between">
      <formula>0.51</formula>
      <formula>0.75</formula>
    </cfRule>
    <cfRule type="cellIs" dxfId="7023" priority="7019" operator="greaterThan">
      <formula>1</formula>
    </cfRule>
    <cfRule type="cellIs" dxfId="7022" priority="7020" operator="between">
      <formula>0.95</formula>
      <formula>1</formula>
    </cfRule>
    <cfRule type="cellIs" dxfId="7021" priority="7021" stopIfTrue="1" operator="between">
      <formula>0</formula>
      <formula>0.5</formula>
    </cfRule>
  </conditionalFormatting>
  <conditionalFormatting sqref="T159 T163">
    <cfRule type="cellIs" dxfId="7020" priority="7012" operator="between">
      <formula>0.76</formula>
      <formula>0.95</formula>
    </cfRule>
    <cfRule type="cellIs" dxfId="7019" priority="7013" operator="between">
      <formula>0.51</formula>
      <formula>0.75</formula>
    </cfRule>
    <cfRule type="cellIs" dxfId="7018" priority="7014" operator="greaterThan">
      <formula>1</formula>
    </cfRule>
    <cfRule type="cellIs" dxfId="7017" priority="7015" operator="between">
      <formula>0.95</formula>
      <formula>1</formula>
    </cfRule>
    <cfRule type="cellIs" dxfId="7016" priority="7016" stopIfTrue="1" operator="between">
      <formula>0</formula>
      <formula>0.5</formula>
    </cfRule>
  </conditionalFormatting>
  <conditionalFormatting sqref="AE159 AE163">
    <cfRule type="cellIs" dxfId="7015" priority="7007" operator="between">
      <formula>0.76</formula>
      <formula>0.95</formula>
    </cfRule>
    <cfRule type="cellIs" dxfId="7014" priority="7008" operator="between">
      <formula>0.51</formula>
      <formula>0.75</formula>
    </cfRule>
    <cfRule type="cellIs" dxfId="7013" priority="7009" operator="greaterThan">
      <formula>1</formula>
    </cfRule>
    <cfRule type="cellIs" dxfId="7012" priority="7010" operator="between">
      <formula>0.95</formula>
      <formula>1</formula>
    </cfRule>
    <cfRule type="cellIs" dxfId="7011" priority="7011" stopIfTrue="1" operator="between">
      <formula>0</formula>
      <formula>0.5</formula>
    </cfRule>
  </conditionalFormatting>
  <conditionalFormatting sqref="AG163">
    <cfRule type="cellIs" dxfId="7010" priority="7002" operator="between">
      <formula>0.76</formula>
      <formula>0.95</formula>
    </cfRule>
    <cfRule type="cellIs" dxfId="7009" priority="7003" operator="between">
      <formula>0.51</formula>
      <formula>0.75</formula>
    </cfRule>
    <cfRule type="cellIs" dxfId="7008" priority="7004" operator="greaterThan">
      <formula>1</formula>
    </cfRule>
    <cfRule type="cellIs" dxfId="7007" priority="7005" operator="between">
      <formula>0.95</formula>
      <formula>1</formula>
    </cfRule>
    <cfRule type="cellIs" dxfId="7006" priority="7006" stopIfTrue="1" operator="between">
      <formula>0</formula>
      <formula>0.5</formula>
    </cfRule>
  </conditionalFormatting>
  <conditionalFormatting sqref="AG178 J178:J179">
    <cfRule type="cellIs" dxfId="7005" priority="6994" operator="between">
      <formula>0.76</formula>
      <formula>0.95</formula>
    </cfRule>
    <cfRule type="cellIs" dxfId="7004" priority="6995" operator="between">
      <formula>0.51</formula>
      <formula>0.75</formula>
    </cfRule>
    <cfRule type="cellIs" dxfId="7003" priority="6996" operator="greaterThan">
      <formula>1</formula>
    </cfRule>
    <cfRule type="cellIs" dxfId="7002" priority="6997" operator="between">
      <formula>0.95</formula>
      <formula>1</formula>
    </cfRule>
    <cfRule type="cellIs" dxfId="7001" priority="6998" stopIfTrue="1" operator="between">
      <formula>0</formula>
      <formula>0.5</formula>
    </cfRule>
  </conditionalFormatting>
  <conditionalFormatting sqref="I178:I179">
    <cfRule type="cellIs" dxfId="7000" priority="6989" operator="between">
      <formula>0.76</formula>
      <formula>0.95</formula>
    </cfRule>
    <cfRule type="cellIs" dxfId="6999" priority="6990" operator="between">
      <formula>0.51</formula>
      <formula>0.75</formula>
    </cfRule>
    <cfRule type="cellIs" dxfId="6998" priority="6991" operator="greaterThan">
      <formula>1</formula>
    </cfRule>
    <cfRule type="cellIs" dxfId="6997" priority="6992" operator="between">
      <formula>0.95</formula>
      <formula>1</formula>
    </cfRule>
    <cfRule type="cellIs" dxfId="6996" priority="6993" stopIfTrue="1" operator="between">
      <formula>0</formula>
      <formula>0.5</formula>
    </cfRule>
  </conditionalFormatting>
  <conditionalFormatting sqref="P178:P179">
    <cfRule type="cellIs" dxfId="6995" priority="6984" operator="between">
      <formula>0.76</formula>
      <formula>0.95</formula>
    </cfRule>
    <cfRule type="cellIs" dxfId="6994" priority="6985" operator="between">
      <formula>0.51</formula>
      <formula>0.75</formula>
    </cfRule>
    <cfRule type="cellIs" dxfId="6993" priority="6986" operator="greaterThan">
      <formula>1</formula>
    </cfRule>
    <cfRule type="cellIs" dxfId="6992" priority="6987" operator="between">
      <formula>0.95</formula>
      <formula>1</formula>
    </cfRule>
    <cfRule type="cellIs" dxfId="6991" priority="6988" stopIfTrue="1" operator="between">
      <formula>0</formula>
      <formula>0.5</formula>
    </cfRule>
  </conditionalFormatting>
  <conditionalFormatting sqref="W178:W179">
    <cfRule type="cellIs" dxfId="6990" priority="6979" operator="between">
      <formula>0.76</formula>
      <formula>0.95</formula>
    </cfRule>
    <cfRule type="cellIs" dxfId="6989" priority="6980" operator="between">
      <formula>0.51</formula>
      <formula>0.75</formula>
    </cfRule>
    <cfRule type="cellIs" dxfId="6988" priority="6981" operator="greaterThan">
      <formula>1</formula>
    </cfRule>
    <cfRule type="cellIs" dxfId="6987" priority="6982" operator="between">
      <formula>0.95</formula>
      <formula>1</formula>
    </cfRule>
    <cfRule type="cellIs" dxfId="6986" priority="6983" stopIfTrue="1" operator="between">
      <formula>0</formula>
      <formula>0.5</formula>
    </cfRule>
  </conditionalFormatting>
  <conditionalFormatting sqref="AD178:AD179">
    <cfRule type="cellIs" dxfId="6985" priority="6974" operator="between">
      <formula>0.76</formula>
      <formula>0.95</formula>
    </cfRule>
    <cfRule type="cellIs" dxfId="6984" priority="6975" operator="between">
      <formula>0.51</formula>
      <formula>0.75</formula>
    </cfRule>
    <cfRule type="cellIs" dxfId="6983" priority="6976" operator="greaterThan">
      <formula>1</formula>
    </cfRule>
    <cfRule type="cellIs" dxfId="6982" priority="6977" operator="between">
      <formula>0.95</formula>
      <formula>1</formula>
    </cfRule>
    <cfRule type="cellIs" dxfId="6981" priority="6978" stopIfTrue="1" operator="between">
      <formula>0</formula>
      <formula>0.5</formula>
    </cfRule>
  </conditionalFormatting>
  <conditionalFormatting sqref="AF178:AF179">
    <cfRule type="cellIs" dxfId="6980" priority="6964" operator="between">
      <formula>0.76</formula>
      <formula>0.95</formula>
    </cfRule>
    <cfRule type="cellIs" dxfId="6979" priority="6965" operator="between">
      <formula>0.51</formula>
      <formula>0.75</formula>
    </cfRule>
    <cfRule type="cellIs" dxfId="6978" priority="6966" operator="greaterThan">
      <formula>1</formula>
    </cfRule>
    <cfRule type="cellIs" dxfId="6977" priority="6967" operator="between">
      <formula>0.95</formula>
      <formula>1</formula>
    </cfRule>
    <cfRule type="cellIs" dxfId="6976" priority="6968" stopIfTrue="1" operator="between">
      <formula>0</formula>
      <formula>0.5</formula>
    </cfRule>
  </conditionalFormatting>
  <conditionalFormatting sqref="M178:M179">
    <cfRule type="cellIs" dxfId="6975" priority="6950" operator="between">
      <formula>0.191</formula>
      <formula>0.24</formula>
    </cfRule>
    <cfRule type="cellIs" dxfId="6974" priority="6951" operator="between">
      <formula>0.1251</formula>
      <formula>0.19</formula>
    </cfRule>
    <cfRule type="cellIs" dxfId="6973" priority="6952" operator="greaterThan">
      <formula>0.2601</formula>
    </cfRule>
    <cfRule type="cellIs" dxfId="6972" priority="6953" operator="between">
      <formula>0.2401</formula>
      <formula>0.26</formula>
    </cfRule>
    <cfRule type="cellIs" dxfId="6971" priority="6954" stopIfTrue="1" operator="between">
      <formula>0</formula>
      <formula>0.125</formula>
    </cfRule>
  </conditionalFormatting>
  <conditionalFormatting sqref="K178:K179">
    <cfRule type="cellIs" dxfId="6970" priority="6945" operator="between">
      <formula>0.191</formula>
      <formula>0.24</formula>
    </cfRule>
    <cfRule type="cellIs" dxfId="6969" priority="6946" operator="between">
      <formula>0.1251</formula>
      <formula>0.19</formula>
    </cfRule>
    <cfRule type="cellIs" dxfId="6968" priority="6947" operator="greaterThan">
      <formula>0.2601</formula>
    </cfRule>
    <cfRule type="cellIs" dxfId="6967" priority="6948" operator="between">
      <formula>0.2401</formula>
      <formula>0.26</formula>
    </cfRule>
    <cfRule type="cellIs" dxfId="6966" priority="6949" stopIfTrue="1" operator="between">
      <formula>0</formula>
      <formula>0.125</formula>
    </cfRule>
  </conditionalFormatting>
  <conditionalFormatting sqref="R178:R179">
    <cfRule type="cellIs" dxfId="6965" priority="6940" operator="between">
      <formula>0.3751</formula>
      <formula>0.475</formula>
    </cfRule>
    <cfRule type="cellIs" dxfId="6964" priority="6941" operator="between">
      <formula>0.2551</formula>
      <formula>0.375</formula>
    </cfRule>
    <cfRule type="cellIs" dxfId="6963" priority="6942" operator="greaterThan">
      <formula>0.505</formula>
    </cfRule>
    <cfRule type="cellIs" dxfId="6962" priority="6943" operator="between">
      <formula>0.48</formula>
      <formula>0.5</formula>
    </cfRule>
    <cfRule type="cellIs" dxfId="6961" priority="6944" stopIfTrue="1" operator="between">
      <formula>0</formula>
      <formula>0.255</formula>
    </cfRule>
  </conditionalFormatting>
  <conditionalFormatting sqref="T179">
    <cfRule type="cellIs" dxfId="6960" priority="6935" operator="between">
      <formula>0.376</formula>
      <formula>0.475</formula>
    </cfRule>
    <cfRule type="cellIs" dxfId="6959" priority="6936" operator="between">
      <formula>0.2551</formula>
      <formula>0.3751</formula>
    </cfRule>
    <cfRule type="cellIs" dxfId="6958" priority="6937" operator="greaterThan">
      <formula>0.505</formula>
    </cfRule>
    <cfRule type="cellIs" dxfId="6957" priority="6938" operator="between">
      <formula>0.48</formula>
      <formula>0.5</formula>
    </cfRule>
    <cfRule type="cellIs" dxfId="6956" priority="6939" stopIfTrue="1" operator="between">
      <formula>0</formula>
      <formula>0.255</formula>
    </cfRule>
  </conditionalFormatting>
  <conditionalFormatting sqref="Q178:Q179">
    <cfRule type="cellIs" dxfId="6955" priority="6930" operator="between">
      <formula>0.76</formula>
      <formula>0.95</formula>
    </cfRule>
    <cfRule type="cellIs" dxfId="6954" priority="6931" operator="between">
      <formula>0.51</formula>
      <formula>0.75</formula>
    </cfRule>
    <cfRule type="cellIs" dxfId="6953" priority="6932" operator="greaterThan">
      <formula>1</formula>
    </cfRule>
    <cfRule type="cellIs" dxfId="6952" priority="6933" operator="between">
      <formula>0.95</formula>
      <formula>1</formula>
    </cfRule>
    <cfRule type="cellIs" dxfId="6951" priority="6934" stopIfTrue="1" operator="between">
      <formula>0</formula>
      <formula>0.5</formula>
    </cfRule>
  </conditionalFormatting>
  <conditionalFormatting sqref="X178:X179">
    <cfRule type="cellIs" dxfId="6950" priority="6925" operator="between">
      <formula>0.76</formula>
      <formula>0.95</formula>
    </cfRule>
    <cfRule type="cellIs" dxfId="6949" priority="6926" operator="between">
      <formula>0.51</formula>
      <formula>0.75</formula>
    </cfRule>
    <cfRule type="cellIs" dxfId="6948" priority="6927" operator="greaterThan">
      <formula>1</formula>
    </cfRule>
    <cfRule type="cellIs" dxfId="6947" priority="6928" operator="between">
      <formula>0.95</formula>
      <formula>1</formula>
    </cfRule>
    <cfRule type="cellIs" dxfId="6946" priority="6929" stopIfTrue="1" operator="between">
      <formula>0</formula>
      <formula>0.5</formula>
    </cfRule>
  </conditionalFormatting>
  <conditionalFormatting sqref="AE178:AE179">
    <cfRule type="cellIs" dxfId="6945" priority="6920" operator="between">
      <formula>0.76</formula>
      <formula>0.95</formula>
    </cfRule>
    <cfRule type="cellIs" dxfId="6944" priority="6921" operator="between">
      <formula>0.51</formula>
      <formula>0.75</formula>
    </cfRule>
    <cfRule type="cellIs" dxfId="6943" priority="6922" operator="greaterThan">
      <formula>1</formula>
    </cfRule>
    <cfRule type="cellIs" dxfId="6942" priority="6923" operator="between">
      <formula>0.95</formula>
      <formula>1</formula>
    </cfRule>
    <cfRule type="cellIs" dxfId="6941" priority="6924" stopIfTrue="1" operator="between">
      <formula>0</formula>
      <formula>0.5</formula>
    </cfRule>
  </conditionalFormatting>
  <conditionalFormatting sqref="AG180 J180">
    <cfRule type="cellIs" dxfId="6940" priority="6912" operator="between">
      <formula>0.76</formula>
      <formula>0.95</formula>
    </cfRule>
    <cfRule type="cellIs" dxfId="6939" priority="6913" operator="between">
      <formula>0.51</formula>
      <formula>0.75</formula>
    </cfRule>
    <cfRule type="cellIs" dxfId="6938" priority="6914" operator="greaterThan">
      <formula>1</formula>
    </cfRule>
    <cfRule type="cellIs" dxfId="6937" priority="6915" operator="between">
      <formula>0.95</formula>
      <formula>1</formula>
    </cfRule>
    <cfRule type="cellIs" dxfId="6936" priority="6916" stopIfTrue="1" operator="between">
      <formula>0</formula>
      <formula>0.5</formula>
    </cfRule>
  </conditionalFormatting>
  <conditionalFormatting sqref="I180">
    <cfRule type="cellIs" dxfId="6935" priority="6907" operator="between">
      <formula>0.76</formula>
      <formula>0.95</formula>
    </cfRule>
    <cfRule type="cellIs" dxfId="6934" priority="6908" operator="between">
      <formula>0.51</formula>
      <formula>0.75</formula>
    </cfRule>
    <cfRule type="cellIs" dxfId="6933" priority="6909" operator="greaterThan">
      <formula>1</formula>
    </cfRule>
    <cfRule type="cellIs" dxfId="6932" priority="6910" operator="between">
      <formula>0.95</formula>
      <formula>1</formula>
    </cfRule>
    <cfRule type="cellIs" dxfId="6931" priority="6911" stopIfTrue="1" operator="between">
      <formula>0</formula>
      <formula>0.5</formula>
    </cfRule>
  </conditionalFormatting>
  <conditionalFormatting sqref="P180">
    <cfRule type="cellIs" dxfId="6930" priority="6902" operator="between">
      <formula>0.76</formula>
      <formula>0.95</formula>
    </cfRule>
    <cfRule type="cellIs" dxfId="6929" priority="6903" operator="between">
      <formula>0.51</formula>
      <formula>0.75</formula>
    </cfRule>
    <cfRule type="cellIs" dxfId="6928" priority="6904" operator="greaterThan">
      <formula>1</formula>
    </cfRule>
    <cfRule type="cellIs" dxfId="6927" priority="6905" operator="between">
      <formula>0.95</formula>
      <formula>1</formula>
    </cfRule>
    <cfRule type="cellIs" dxfId="6926" priority="6906" stopIfTrue="1" operator="between">
      <formula>0</formula>
      <formula>0.5</formula>
    </cfRule>
  </conditionalFormatting>
  <conditionalFormatting sqref="W180">
    <cfRule type="cellIs" dxfId="6925" priority="6897" operator="between">
      <formula>0.76</formula>
      <formula>0.95</formula>
    </cfRule>
    <cfRule type="cellIs" dxfId="6924" priority="6898" operator="between">
      <formula>0.51</formula>
      <formula>0.75</formula>
    </cfRule>
    <cfRule type="cellIs" dxfId="6923" priority="6899" operator="greaterThan">
      <formula>1</formula>
    </cfRule>
    <cfRule type="cellIs" dxfId="6922" priority="6900" operator="between">
      <formula>0.95</formula>
      <formula>1</formula>
    </cfRule>
    <cfRule type="cellIs" dxfId="6921" priority="6901" stopIfTrue="1" operator="between">
      <formula>0</formula>
      <formula>0.5</formula>
    </cfRule>
  </conditionalFormatting>
  <conditionalFormatting sqref="AD180">
    <cfRule type="cellIs" dxfId="6920" priority="6892" operator="between">
      <formula>0.76</formula>
      <formula>0.95</formula>
    </cfRule>
    <cfRule type="cellIs" dxfId="6919" priority="6893" operator="between">
      <formula>0.51</formula>
      <formula>0.75</formula>
    </cfRule>
    <cfRule type="cellIs" dxfId="6918" priority="6894" operator="greaterThan">
      <formula>1</formula>
    </cfRule>
    <cfRule type="cellIs" dxfId="6917" priority="6895" operator="between">
      <formula>0.95</formula>
      <formula>1</formula>
    </cfRule>
    <cfRule type="cellIs" dxfId="6916" priority="6896" stopIfTrue="1" operator="between">
      <formula>0</formula>
      <formula>0.5</formula>
    </cfRule>
  </conditionalFormatting>
  <conditionalFormatting sqref="AF180">
    <cfRule type="cellIs" dxfId="6915" priority="6882" operator="between">
      <formula>0.76</formula>
      <formula>0.95</formula>
    </cfRule>
    <cfRule type="cellIs" dxfId="6914" priority="6883" operator="between">
      <formula>0.51</formula>
      <formula>0.75</formula>
    </cfRule>
    <cfRule type="cellIs" dxfId="6913" priority="6884" operator="greaterThan">
      <formula>1</formula>
    </cfRule>
    <cfRule type="cellIs" dxfId="6912" priority="6885" operator="between">
      <formula>0.95</formula>
      <formula>1</formula>
    </cfRule>
    <cfRule type="cellIs" dxfId="6911" priority="6886" stopIfTrue="1" operator="between">
      <formula>0</formula>
      <formula>0.5</formula>
    </cfRule>
  </conditionalFormatting>
  <conditionalFormatting sqref="M180">
    <cfRule type="cellIs" dxfId="6910" priority="6868" operator="between">
      <formula>0.191</formula>
      <formula>0.24</formula>
    </cfRule>
    <cfRule type="cellIs" dxfId="6909" priority="6869" operator="between">
      <formula>0.1251</formula>
      <formula>0.19</formula>
    </cfRule>
    <cfRule type="cellIs" dxfId="6908" priority="6870" operator="greaterThan">
      <formula>0.2601</formula>
    </cfRule>
    <cfRule type="cellIs" dxfId="6907" priority="6871" operator="between">
      <formula>0.2401</formula>
      <formula>0.26</formula>
    </cfRule>
    <cfRule type="cellIs" dxfId="6906" priority="6872" stopIfTrue="1" operator="between">
      <formula>0</formula>
      <formula>0.125</formula>
    </cfRule>
  </conditionalFormatting>
  <conditionalFormatting sqref="K180">
    <cfRule type="cellIs" dxfId="6905" priority="6863" operator="between">
      <formula>0.191</formula>
      <formula>0.24</formula>
    </cfRule>
    <cfRule type="cellIs" dxfId="6904" priority="6864" operator="between">
      <formula>0.1251</formula>
      <formula>0.19</formula>
    </cfRule>
    <cfRule type="cellIs" dxfId="6903" priority="6865" operator="greaterThan">
      <formula>0.2601</formula>
    </cfRule>
    <cfRule type="cellIs" dxfId="6902" priority="6866" operator="between">
      <formula>0.2401</formula>
      <formula>0.26</formula>
    </cfRule>
    <cfRule type="cellIs" dxfId="6901" priority="6867" stopIfTrue="1" operator="between">
      <formula>0</formula>
      <formula>0.125</formula>
    </cfRule>
  </conditionalFormatting>
  <conditionalFormatting sqref="R180">
    <cfRule type="cellIs" dxfId="6900" priority="6858" operator="between">
      <formula>0.3751</formula>
      <formula>0.475</formula>
    </cfRule>
    <cfRule type="cellIs" dxfId="6899" priority="6859" operator="between">
      <formula>0.2551</formula>
      <formula>0.375</formula>
    </cfRule>
    <cfRule type="cellIs" dxfId="6898" priority="6860" operator="greaterThan">
      <formula>0.505</formula>
    </cfRule>
    <cfRule type="cellIs" dxfId="6897" priority="6861" operator="between">
      <formula>0.48</formula>
      <formula>0.5</formula>
    </cfRule>
    <cfRule type="cellIs" dxfId="6896" priority="6862" stopIfTrue="1" operator="between">
      <formula>0</formula>
      <formula>0.255</formula>
    </cfRule>
  </conditionalFormatting>
  <conditionalFormatting sqref="T180">
    <cfRule type="cellIs" dxfId="6895" priority="6853" operator="between">
      <formula>0.376</formula>
      <formula>0.475</formula>
    </cfRule>
    <cfRule type="cellIs" dxfId="6894" priority="6854" operator="between">
      <formula>0.2551</formula>
      <formula>0.3751</formula>
    </cfRule>
    <cfRule type="cellIs" dxfId="6893" priority="6855" operator="greaterThan">
      <formula>0.505</formula>
    </cfRule>
    <cfRule type="cellIs" dxfId="6892" priority="6856" operator="between">
      <formula>0.48</formula>
      <formula>0.5</formula>
    </cfRule>
    <cfRule type="cellIs" dxfId="6891" priority="6857" stopIfTrue="1" operator="between">
      <formula>0</formula>
      <formula>0.255</formula>
    </cfRule>
  </conditionalFormatting>
  <conditionalFormatting sqref="X180">
    <cfRule type="cellIs" dxfId="6890" priority="6843" operator="between">
      <formula>0.76</formula>
      <formula>0.95</formula>
    </cfRule>
    <cfRule type="cellIs" dxfId="6889" priority="6844" operator="between">
      <formula>0.51</formula>
      <formula>0.75</formula>
    </cfRule>
    <cfRule type="cellIs" dxfId="6888" priority="6845" operator="greaterThan">
      <formula>1</formula>
    </cfRule>
    <cfRule type="cellIs" dxfId="6887" priority="6846" operator="between">
      <formula>0.95</formula>
      <formula>1</formula>
    </cfRule>
    <cfRule type="cellIs" dxfId="6886" priority="6847" stopIfTrue="1" operator="between">
      <formula>0</formula>
      <formula>0.5</formula>
    </cfRule>
  </conditionalFormatting>
  <conditionalFormatting sqref="Q180">
    <cfRule type="cellIs" dxfId="6885" priority="6833" operator="between">
      <formula>0.76</formula>
      <formula>0.95</formula>
    </cfRule>
    <cfRule type="cellIs" dxfId="6884" priority="6834" operator="between">
      <formula>0.51</formula>
      <formula>0.75</formula>
    </cfRule>
    <cfRule type="cellIs" dxfId="6883" priority="6835" operator="greaterThan">
      <formula>1</formula>
    </cfRule>
    <cfRule type="cellIs" dxfId="6882" priority="6836" operator="between">
      <formula>0.95</formula>
      <formula>1</formula>
    </cfRule>
    <cfRule type="cellIs" dxfId="6881" priority="6837" stopIfTrue="1" operator="between">
      <formula>0</formula>
      <formula>0.5</formula>
    </cfRule>
  </conditionalFormatting>
  <conditionalFormatting sqref="AE180">
    <cfRule type="cellIs" dxfId="6880" priority="6828" operator="between">
      <formula>0.76</formula>
      <formula>0.95</formula>
    </cfRule>
    <cfRule type="cellIs" dxfId="6879" priority="6829" operator="between">
      <formula>0.51</formula>
      <formula>0.75</formula>
    </cfRule>
    <cfRule type="cellIs" dxfId="6878" priority="6830" operator="greaterThan">
      <formula>1</formula>
    </cfRule>
    <cfRule type="cellIs" dxfId="6877" priority="6831" operator="between">
      <formula>0.95</formula>
      <formula>1</formula>
    </cfRule>
    <cfRule type="cellIs" dxfId="6876" priority="6832" stopIfTrue="1" operator="between">
      <formula>0</formula>
      <formula>0.5</formula>
    </cfRule>
  </conditionalFormatting>
  <conditionalFormatting sqref="I381">
    <cfRule type="cellIs" dxfId="6875" priority="6806" operator="between">
      <formula>0.76</formula>
      <formula>0.95</formula>
    </cfRule>
    <cfRule type="cellIs" dxfId="6874" priority="6807" operator="between">
      <formula>0.51</formula>
      <formula>0.75</formula>
    </cfRule>
    <cfRule type="cellIs" dxfId="6873" priority="6808" operator="greaterThan">
      <formula>1</formula>
    </cfRule>
    <cfRule type="cellIs" dxfId="6872" priority="6809" operator="between">
      <formula>0.95</formula>
      <formula>1</formula>
    </cfRule>
    <cfRule type="cellIs" dxfId="6871" priority="6810" stopIfTrue="1" operator="between">
      <formula>0</formula>
      <formula>0.5</formula>
    </cfRule>
  </conditionalFormatting>
  <conditionalFormatting sqref="P381">
    <cfRule type="cellIs" dxfId="6870" priority="6801" operator="between">
      <formula>0.76</formula>
      <formula>0.95</formula>
    </cfRule>
    <cfRule type="cellIs" dxfId="6869" priority="6802" operator="between">
      <formula>0.51</formula>
      <formula>0.75</formula>
    </cfRule>
    <cfRule type="cellIs" dxfId="6868" priority="6803" operator="greaterThan">
      <formula>1</formula>
    </cfRule>
    <cfRule type="cellIs" dxfId="6867" priority="6804" operator="between">
      <formula>0.95</formula>
      <formula>1</formula>
    </cfRule>
    <cfRule type="cellIs" dxfId="6866" priority="6805" stopIfTrue="1" operator="between">
      <formula>0</formula>
      <formula>0.5</formula>
    </cfRule>
  </conditionalFormatting>
  <conditionalFormatting sqref="W381">
    <cfRule type="cellIs" dxfId="6865" priority="6796" operator="between">
      <formula>0.76</formula>
      <formula>0.95</formula>
    </cfRule>
    <cfRule type="cellIs" dxfId="6864" priority="6797" operator="between">
      <formula>0.51</formula>
      <formula>0.75</formula>
    </cfRule>
    <cfRule type="cellIs" dxfId="6863" priority="6798" operator="greaterThan">
      <formula>1</formula>
    </cfRule>
    <cfRule type="cellIs" dxfId="6862" priority="6799" operator="between">
      <formula>0.95</formula>
      <formula>1</formula>
    </cfRule>
    <cfRule type="cellIs" dxfId="6861" priority="6800" stopIfTrue="1" operator="between">
      <formula>0</formula>
      <formula>0.5</formula>
    </cfRule>
  </conditionalFormatting>
  <conditionalFormatting sqref="AD381">
    <cfRule type="cellIs" dxfId="6860" priority="6791" operator="between">
      <formula>0.76</formula>
      <formula>0.95</formula>
    </cfRule>
    <cfRule type="cellIs" dxfId="6859" priority="6792" operator="between">
      <formula>0.51</formula>
      <formula>0.75</formula>
    </cfRule>
    <cfRule type="cellIs" dxfId="6858" priority="6793" operator="greaterThan">
      <formula>1</formula>
    </cfRule>
    <cfRule type="cellIs" dxfId="6857" priority="6794" operator="between">
      <formula>0.95</formula>
      <formula>1</formula>
    </cfRule>
    <cfRule type="cellIs" dxfId="6856" priority="6795" stopIfTrue="1" operator="between">
      <formula>0</formula>
      <formula>0.5</formula>
    </cfRule>
  </conditionalFormatting>
  <conditionalFormatting sqref="AF381">
    <cfRule type="cellIs" dxfId="6855" priority="6781" operator="between">
      <formula>0.76</formula>
      <formula>0.95</formula>
    </cfRule>
    <cfRule type="cellIs" dxfId="6854" priority="6782" operator="between">
      <formula>0.51</formula>
      <formula>0.75</formula>
    </cfRule>
    <cfRule type="cellIs" dxfId="6853" priority="6783" operator="greaterThan">
      <formula>1</formula>
    </cfRule>
    <cfRule type="cellIs" dxfId="6852" priority="6784" operator="between">
      <formula>0.95</formula>
      <formula>1</formula>
    </cfRule>
    <cfRule type="cellIs" dxfId="6851" priority="6785" stopIfTrue="1" operator="between">
      <formula>0</formula>
      <formula>0.5</formula>
    </cfRule>
  </conditionalFormatting>
  <conditionalFormatting sqref="K381">
    <cfRule type="cellIs" dxfId="6850" priority="6771" operator="between">
      <formula>0.191</formula>
      <formula>0.24</formula>
    </cfRule>
    <cfRule type="cellIs" dxfId="6849" priority="6772" operator="between">
      <formula>0.1251</formula>
      <formula>0.19</formula>
    </cfRule>
    <cfRule type="cellIs" dxfId="6848" priority="6773" operator="greaterThan">
      <formula>0.2601</formula>
    </cfRule>
    <cfRule type="cellIs" dxfId="6847" priority="6774" operator="between">
      <formula>0.2401</formula>
      <formula>0.26</formula>
    </cfRule>
    <cfRule type="cellIs" dxfId="6846" priority="6775" stopIfTrue="1" operator="between">
      <formula>0</formula>
      <formula>0.125</formula>
    </cfRule>
  </conditionalFormatting>
  <conditionalFormatting sqref="R381">
    <cfRule type="cellIs" dxfId="6845" priority="6766" operator="between">
      <formula>0.3751</formula>
      <formula>0.475</formula>
    </cfRule>
    <cfRule type="cellIs" dxfId="6844" priority="6767" operator="between">
      <formula>0.2551</formula>
      <formula>0.375</formula>
    </cfRule>
    <cfRule type="cellIs" dxfId="6843" priority="6768" operator="greaterThan">
      <formula>0.505</formula>
    </cfRule>
    <cfRule type="cellIs" dxfId="6842" priority="6769" operator="between">
      <formula>0.48</formula>
      <formula>0.5</formula>
    </cfRule>
    <cfRule type="cellIs" dxfId="6841" priority="6770" stopIfTrue="1" operator="between">
      <formula>0</formula>
      <formula>0.255</formula>
    </cfRule>
  </conditionalFormatting>
  <conditionalFormatting sqref="AE381">
    <cfRule type="cellIs" dxfId="6840" priority="6746" operator="between">
      <formula>0.76</formula>
      <formula>0.95</formula>
    </cfRule>
    <cfRule type="cellIs" dxfId="6839" priority="6747" operator="between">
      <formula>0.51</formula>
      <formula>0.75</formula>
    </cfRule>
    <cfRule type="cellIs" dxfId="6838" priority="6748" operator="greaterThan">
      <formula>1</formula>
    </cfRule>
    <cfRule type="cellIs" dxfId="6837" priority="6749" operator="between">
      <formula>0.95</formula>
      <formula>1</formula>
    </cfRule>
    <cfRule type="cellIs" dxfId="6836" priority="6750" stopIfTrue="1" operator="between">
      <formula>0</formula>
      <formula>0.5</formula>
    </cfRule>
  </conditionalFormatting>
  <conditionalFormatting sqref="AG381">
    <cfRule type="cellIs" dxfId="6835" priority="6741" operator="between">
      <formula>0.76</formula>
      <formula>0.95</formula>
    </cfRule>
    <cfRule type="cellIs" dxfId="6834" priority="6742" operator="between">
      <formula>0.51</formula>
      <formula>0.75</formula>
    </cfRule>
    <cfRule type="cellIs" dxfId="6833" priority="6743" operator="greaterThan">
      <formula>1</formula>
    </cfRule>
    <cfRule type="cellIs" dxfId="6832" priority="6744" operator="between">
      <formula>0.95</formula>
      <formula>1</formula>
    </cfRule>
    <cfRule type="cellIs" dxfId="6831" priority="6745" stopIfTrue="1" operator="between">
      <formula>0</formula>
      <formula>0.5</formula>
    </cfRule>
  </conditionalFormatting>
  <conditionalFormatting sqref="J381">
    <cfRule type="cellIs" dxfId="6830" priority="6736" operator="between">
      <formula>0.76</formula>
      <formula>0.95</formula>
    </cfRule>
    <cfRule type="cellIs" dxfId="6829" priority="6737" operator="between">
      <formula>0.51</formula>
      <formula>0.75</formula>
    </cfRule>
    <cfRule type="cellIs" dxfId="6828" priority="6738" operator="greaterThan">
      <formula>1</formula>
    </cfRule>
    <cfRule type="cellIs" dxfId="6827" priority="6739" operator="between">
      <formula>0.95</formula>
      <formula>1</formula>
    </cfRule>
    <cfRule type="cellIs" dxfId="6826" priority="6740" stopIfTrue="1" operator="between">
      <formula>0</formula>
      <formula>0.5</formula>
    </cfRule>
  </conditionalFormatting>
  <conditionalFormatting sqref="Q381">
    <cfRule type="cellIs" dxfId="6825" priority="6731" operator="between">
      <formula>0.76</formula>
      <formula>0.95</formula>
    </cfRule>
    <cfRule type="cellIs" dxfId="6824" priority="6732" operator="between">
      <formula>0.51</formula>
      <formula>0.75</formula>
    </cfRule>
    <cfRule type="cellIs" dxfId="6823" priority="6733" operator="greaterThan">
      <formula>1</formula>
    </cfRule>
    <cfRule type="cellIs" dxfId="6822" priority="6734" operator="between">
      <formula>0.95</formula>
      <formula>1</formula>
    </cfRule>
    <cfRule type="cellIs" dxfId="6821" priority="6735" stopIfTrue="1" operator="between">
      <formula>0</formula>
      <formula>0.5</formula>
    </cfRule>
  </conditionalFormatting>
  <conditionalFormatting sqref="X381">
    <cfRule type="cellIs" dxfId="6820" priority="6726" operator="between">
      <formula>0.76</formula>
      <formula>0.95</formula>
    </cfRule>
    <cfRule type="cellIs" dxfId="6819" priority="6727" operator="between">
      <formula>0.51</formula>
      <formula>0.75</formula>
    </cfRule>
    <cfRule type="cellIs" dxfId="6818" priority="6728" operator="greaterThan">
      <formula>1</formula>
    </cfRule>
    <cfRule type="cellIs" dxfId="6817" priority="6729" operator="between">
      <formula>0.95</formula>
      <formula>1</formula>
    </cfRule>
    <cfRule type="cellIs" dxfId="6816" priority="6730" stopIfTrue="1" operator="between">
      <formula>0</formula>
      <formula>0.5</formula>
    </cfRule>
  </conditionalFormatting>
  <conditionalFormatting sqref="T381">
    <cfRule type="cellIs" dxfId="6815" priority="6721" operator="between">
      <formula>0.76</formula>
      <formula>0.95</formula>
    </cfRule>
    <cfRule type="cellIs" dxfId="6814" priority="6722" operator="between">
      <formula>0.51</formula>
      <formula>0.75</formula>
    </cfRule>
    <cfRule type="cellIs" dxfId="6813" priority="6723" operator="greaterThan">
      <formula>1</formula>
    </cfRule>
    <cfRule type="cellIs" dxfId="6812" priority="6724" operator="between">
      <formula>0.95</formula>
      <formula>1</formula>
    </cfRule>
    <cfRule type="cellIs" dxfId="6811" priority="6725" stopIfTrue="1" operator="between">
      <formula>0</formula>
      <formula>0.5</formula>
    </cfRule>
  </conditionalFormatting>
  <conditionalFormatting sqref="I267">
    <cfRule type="cellIs" dxfId="6810" priority="6689" operator="between">
      <formula>0.76</formula>
      <formula>0.95</formula>
    </cfRule>
    <cfRule type="cellIs" dxfId="6809" priority="6690" operator="between">
      <formula>0.51</formula>
      <formula>0.75</formula>
    </cfRule>
    <cfRule type="cellIs" dxfId="6808" priority="6691" operator="greaterThan">
      <formula>1</formula>
    </cfRule>
    <cfRule type="cellIs" dxfId="6807" priority="6692" operator="between">
      <formula>0.95</formula>
      <formula>1</formula>
    </cfRule>
    <cfRule type="cellIs" dxfId="6806" priority="6693" stopIfTrue="1" operator="between">
      <formula>0</formula>
      <formula>0.5</formula>
    </cfRule>
  </conditionalFormatting>
  <conditionalFormatting sqref="K267">
    <cfRule type="cellIs" dxfId="6805" priority="6684" operator="between">
      <formula>0.191</formula>
      <formula>0.24</formula>
    </cfRule>
    <cfRule type="cellIs" dxfId="6804" priority="6685" operator="between">
      <formula>0.1251</formula>
      <formula>0.19</formula>
    </cfRule>
    <cfRule type="cellIs" dxfId="6803" priority="6686" operator="greaterThan">
      <formula>0.2601</formula>
    </cfRule>
    <cfRule type="cellIs" dxfId="6802" priority="6687" operator="between">
      <formula>0.2401</formula>
      <formula>0.26</formula>
    </cfRule>
    <cfRule type="cellIs" dxfId="6801" priority="6688" stopIfTrue="1" operator="between">
      <formula>0</formula>
      <formula>0.125</formula>
    </cfRule>
  </conditionalFormatting>
  <conditionalFormatting sqref="P267">
    <cfRule type="cellIs" dxfId="6800" priority="6679" operator="between">
      <formula>0.76</formula>
      <formula>0.95</formula>
    </cfRule>
    <cfRule type="cellIs" dxfId="6799" priority="6680" operator="between">
      <formula>0.51</formula>
      <formula>0.75</formula>
    </cfRule>
    <cfRule type="cellIs" dxfId="6798" priority="6681" operator="greaterThan">
      <formula>1</formula>
    </cfRule>
    <cfRule type="cellIs" dxfId="6797" priority="6682" operator="between">
      <formula>0.95</formula>
      <formula>1</formula>
    </cfRule>
    <cfRule type="cellIs" dxfId="6796" priority="6683" stopIfTrue="1" operator="between">
      <formula>0</formula>
      <formula>0.5</formula>
    </cfRule>
  </conditionalFormatting>
  <conditionalFormatting sqref="W267">
    <cfRule type="cellIs" dxfId="6795" priority="6674" operator="between">
      <formula>0.76</formula>
      <formula>0.95</formula>
    </cfRule>
    <cfRule type="cellIs" dxfId="6794" priority="6675" operator="between">
      <formula>0.51</formula>
      <formula>0.75</formula>
    </cfRule>
    <cfRule type="cellIs" dxfId="6793" priority="6676" operator="greaterThan">
      <formula>1</formula>
    </cfRule>
    <cfRule type="cellIs" dxfId="6792" priority="6677" operator="between">
      <formula>0.95</formula>
      <formula>1</formula>
    </cfRule>
    <cfRule type="cellIs" dxfId="6791" priority="6678" stopIfTrue="1" operator="between">
      <formula>0</formula>
      <formula>0.5</formula>
    </cfRule>
  </conditionalFormatting>
  <conditionalFormatting sqref="AD267">
    <cfRule type="cellIs" dxfId="6790" priority="6664" operator="between">
      <formula>0.76</formula>
      <formula>0.95</formula>
    </cfRule>
    <cfRule type="cellIs" dxfId="6789" priority="6665" operator="between">
      <formula>0.51</formula>
      <formula>0.75</formula>
    </cfRule>
    <cfRule type="cellIs" dxfId="6788" priority="6666" operator="greaterThan">
      <formula>1</formula>
    </cfRule>
    <cfRule type="cellIs" dxfId="6787" priority="6667" operator="between">
      <formula>0.95</formula>
      <formula>1</formula>
    </cfRule>
    <cfRule type="cellIs" dxfId="6786" priority="6668" stopIfTrue="1" operator="between">
      <formula>0</formula>
      <formula>0.5</formula>
    </cfRule>
  </conditionalFormatting>
  <conditionalFormatting sqref="AF267">
    <cfRule type="cellIs" dxfId="6785" priority="6659" operator="between">
      <formula>0.76</formula>
      <formula>0.95</formula>
    </cfRule>
    <cfRule type="cellIs" dxfId="6784" priority="6660" operator="between">
      <formula>0.51</formula>
      <formula>0.75</formula>
    </cfRule>
    <cfRule type="cellIs" dxfId="6783" priority="6661" operator="greaterThan">
      <formula>1</formula>
    </cfRule>
    <cfRule type="cellIs" dxfId="6782" priority="6662" operator="between">
      <formula>0.95</formula>
      <formula>1</formula>
    </cfRule>
    <cfRule type="cellIs" dxfId="6781" priority="6663" stopIfTrue="1" operator="between">
      <formula>0</formula>
      <formula>0.5</formula>
    </cfRule>
  </conditionalFormatting>
  <conditionalFormatting sqref="R267">
    <cfRule type="cellIs" dxfId="6780" priority="6654" operator="between">
      <formula>0.3751</formula>
      <formula>0.475</formula>
    </cfRule>
    <cfRule type="cellIs" dxfId="6779" priority="6655" operator="between">
      <formula>0.2551</formula>
      <formula>0.375</formula>
    </cfRule>
    <cfRule type="cellIs" dxfId="6778" priority="6656" operator="greaterThan">
      <formula>0.505</formula>
    </cfRule>
    <cfRule type="cellIs" dxfId="6777" priority="6657" operator="between">
      <formula>0.48</formula>
      <formula>0.5</formula>
    </cfRule>
    <cfRule type="cellIs" dxfId="6776" priority="6658" stopIfTrue="1" operator="between">
      <formula>0</formula>
      <formula>0.255</formula>
    </cfRule>
  </conditionalFormatting>
  <conditionalFormatting sqref="AE267">
    <cfRule type="cellIs" dxfId="6775" priority="6634" operator="between">
      <formula>0.76</formula>
      <formula>0.95</formula>
    </cfRule>
    <cfRule type="cellIs" dxfId="6774" priority="6635" operator="between">
      <formula>0.51</formula>
      <formula>0.75</formula>
    </cfRule>
    <cfRule type="cellIs" dxfId="6773" priority="6636" operator="greaterThan">
      <formula>1</formula>
    </cfRule>
    <cfRule type="cellIs" dxfId="6772" priority="6637" operator="between">
      <formula>0.95</formula>
      <formula>1</formula>
    </cfRule>
    <cfRule type="cellIs" dxfId="6771" priority="6638" stopIfTrue="1" operator="between">
      <formula>0</formula>
      <formula>0.5</formula>
    </cfRule>
  </conditionalFormatting>
  <conditionalFormatting sqref="AG267">
    <cfRule type="cellIs" dxfId="6770" priority="6629" operator="between">
      <formula>0.76</formula>
      <formula>0.95</formula>
    </cfRule>
    <cfRule type="cellIs" dxfId="6769" priority="6630" operator="between">
      <formula>0.51</formula>
      <formula>0.75</formula>
    </cfRule>
    <cfRule type="cellIs" dxfId="6768" priority="6631" operator="greaterThan">
      <formula>1</formula>
    </cfRule>
    <cfRule type="cellIs" dxfId="6767" priority="6632" operator="between">
      <formula>0.95</formula>
      <formula>1</formula>
    </cfRule>
    <cfRule type="cellIs" dxfId="6766" priority="6633" stopIfTrue="1" operator="between">
      <formula>0</formula>
      <formula>0.5</formula>
    </cfRule>
  </conditionalFormatting>
  <conditionalFormatting sqref="J267">
    <cfRule type="cellIs" dxfId="6765" priority="6624" operator="between">
      <formula>0.76</formula>
      <formula>0.95</formula>
    </cfRule>
    <cfRule type="cellIs" dxfId="6764" priority="6625" operator="between">
      <formula>0.51</formula>
      <formula>0.75</formula>
    </cfRule>
    <cfRule type="cellIs" dxfId="6763" priority="6626" operator="greaterThan">
      <formula>1</formula>
    </cfRule>
    <cfRule type="cellIs" dxfId="6762" priority="6627" operator="between">
      <formula>0.95</formula>
      <formula>1</formula>
    </cfRule>
    <cfRule type="cellIs" dxfId="6761" priority="6628" stopIfTrue="1" operator="between">
      <formula>0</formula>
      <formula>0.5</formula>
    </cfRule>
  </conditionalFormatting>
  <conditionalFormatting sqref="Q267">
    <cfRule type="cellIs" dxfId="6760" priority="6619" operator="between">
      <formula>0.76</formula>
      <formula>0.95</formula>
    </cfRule>
    <cfRule type="cellIs" dxfId="6759" priority="6620" operator="between">
      <formula>0.51</formula>
      <formula>0.75</formula>
    </cfRule>
    <cfRule type="cellIs" dxfId="6758" priority="6621" operator="greaterThan">
      <formula>1</formula>
    </cfRule>
    <cfRule type="cellIs" dxfId="6757" priority="6622" operator="between">
      <formula>0.95</formula>
      <formula>1</formula>
    </cfRule>
    <cfRule type="cellIs" dxfId="6756" priority="6623" stopIfTrue="1" operator="between">
      <formula>0</formula>
      <formula>0.5</formula>
    </cfRule>
  </conditionalFormatting>
  <conditionalFormatting sqref="AE127">
    <cfRule type="cellIs" dxfId="6755" priority="6365" operator="between">
      <formula>0.76</formula>
      <formula>0.95</formula>
    </cfRule>
    <cfRule type="cellIs" dxfId="6754" priority="6366" operator="between">
      <formula>0.51</formula>
      <formula>0.75</formula>
    </cfRule>
    <cfRule type="cellIs" dxfId="6753" priority="6367" operator="greaterThan">
      <formula>1</formula>
    </cfRule>
    <cfRule type="cellIs" dxfId="6752" priority="6368" operator="between">
      <formula>0.95</formula>
      <formula>1</formula>
    </cfRule>
    <cfRule type="cellIs" dxfId="6751" priority="6369" stopIfTrue="1" operator="between">
      <formula>0</formula>
      <formula>0.5</formula>
    </cfRule>
  </conditionalFormatting>
  <conditionalFormatting sqref="X267">
    <cfRule type="cellIs" dxfId="6750" priority="6604" operator="between">
      <formula>0.76</formula>
      <formula>0.95</formula>
    </cfRule>
    <cfRule type="cellIs" dxfId="6749" priority="6605" operator="between">
      <formula>0.51</formula>
      <formula>0.75</formula>
    </cfRule>
    <cfRule type="cellIs" dxfId="6748" priority="6606" operator="greaterThan">
      <formula>1</formula>
    </cfRule>
    <cfRule type="cellIs" dxfId="6747" priority="6607" operator="between">
      <formula>0.95</formula>
      <formula>1</formula>
    </cfRule>
    <cfRule type="cellIs" dxfId="6746" priority="6608" stopIfTrue="1" operator="between">
      <formula>0</formula>
      <formula>0.5</formula>
    </cfRule>
  </conditionalFormatting>
  <conditionalFormatting sqref="AE126 AG126">
    <cfRule type="cellIs" dxfId="6745" priority="6591" operator="between">
      <formula>0.76</formula>
      <formula>0.95</formula>
    </cfRule>
    <cfRule type="cellIs" dxfId="6744" priority="6592" operator="between">
      <formula>0.51</formula>
      <formula>0.75</formula>
    </cfRule>
    <cfRule type="cellIs" dxfId="6743" priority="6593" operator="greaterThan">
      <formula>1</formula>
    </cfRule>
    <cfRule type="cellIs" dxfId="6742" priority="6594" operator="between">
      <formula>0.95</formula>
      <formula>1</formula>
    </cfRule>
    <cfRule type="cellIs" dxfId="6741" priority="6595" stopIfTrue="1" operator="between">
      <formula>0</formula>
      <formula>0.5</formula>
    </cfRule>
  </conditionalFormatting>
  <conditionalFormatting sqref="I126">
    <cfRule type="cellIs" dxfId="6740" priority="6572" operator="between">
      <formula>0.76</formula>
      <formula>0.95</formula>
    </cfRule>
    <cfRule type="cellIs" dxfId="6739" priority="6573" operator="between">
      <formula>0.51</formula>
      <formula>0.75</formula>
    </cfRule>
    <cfRule type="cellIs" dxfId="6738" priority="6574" operator="greaterThan">
      <formula>1</formula>
    </cfRule>
    <cfRule type="cellIs" dxfId="6737" priority="6575" operator="between">
      <formula>0.95</formula>
      <formula>1</formula>
    </cfRule>
    <cfRule type="cellIs" dxfId="6736" priority="6576" stopIfTrue="1" operator="between">
      <formula>0</formula>
      <formula>0.5</formula>
    </cfRule>
  </conditionalFormatting>
  <conditionalFormatting sqref="K126">
    <cfRule type="cellIs" dxfId="6735" priority="6567" operator="between">
      <formula>0.191</formula>
      <formula>0.24</formula>
    </cfRule>
    <cfRule type="cellIs" dxfId="6734" priority="6568" operator="between">
      <formula>0.1251</formula>
      <formula>0.19</formula>
    </cfRule>
    <cfRule type="cellIs" dxfId="6733" priority="6569" operator="greaterThan">
      <formula>0.2601</formula>
    </cfRule>
    <cfRule type="cellIs" dxfId="6732" priority="6570" operator="between">
      <formula>0.2401</formula>
      <formula>0.26</formula>
    </cfRule>
    <cfRule type="cellIs" dxfId="6731" priority="6571" stopIfTrue="1" operator="between">
      <formula>0</formula>
      <formula>0.125</formula>
    </cfRule>
  </conditionalFormatting>
  <conditionalFormatting sqref="P126">
    <cfRule type="cellIs" dxfId="6730" priority="6562" operator="between">
      <formula>0.76</formula>
      <formula>0.95</formula>
    </cfRule>
    <cfRule type="cellIs" dxfId="6729" priority="6563" operator="between">
      <formula>0.51</formula>
      <formula>0.75</formula>
    </cfRule>
    <cfRule type="cellIs" dxfId="6728" priority="6564" operator="greaterThan">
      <formula>1</formula>
    </cfRule>
    <cfRule type="cellIs" dxfId="6727" priority="6565" operator="between">
      <formula>0.95</formula>
      <formula>1</formula>
    </cfRule>
    <cfRule type="cellIs" dxfId="6726" priority="6566" stopIfTrue="1" operator="between">
      <formula>0</formula>
      <formula>0.5</formula>
    </cfRule>
  </conditionalFormatting>
  <conditionalFormatting sqref="W126">
    <cfRule type="cellIs" dxfId="6725" priority="6557" operator="between">
      <formula>0.76</formula>
      <formula>0.95</formula>
    </cfRule>
    <cfRule type="cellIs" dxfId="6724" priority="6558" operator="between">
      <formula>0.51</formula>
      <formula>0.75</formula>
    </cfRule>
    <cfRule type="cellIs" dxfId="6723" priority="6559" operator="greaterThan">
      <formula>1</formula>
    </cfRule>
    <cfRule type="cellIs" dxfId="6722" priority="6560" operator="between">
      <formula>0.95</formula>
      <formula>1</formula>
    </cfRule>
    <cfRule type="cellIs" dxfId="6721" priority="6561" stopIfTrue="1" operator="between">
      <formula>0</formula>
      <formula>0.5</formula>
    </cfRule>
  </conditionalFormatting>
  <conditionalFormatting sqref="AD126">
    <cfRule type="cellIs" dxfId="6720" priority="6547" operator="between">
      <formula>0.76</formula>
      <formula>0.95</formula>
    </cfRule>
    <cfRule type="cellIs" dxfId="6719" priority="6548" operator="between">
      <formula>0.51</formula>
      <formula>0.75</formula>
    </cfRule>
    <cfRule type="cellIs" dxfId="6718" priority="6549" operator="greaterThan">
      <formula>1</formula>
    </cfRule>
    <cfRule type="cellIs" dxfId="6717" priority="6550" operator="between">
      <formula>0.95</formula>
      <formula>1</formula>
    </cfRule>
    <cfRule type="cellIs" dxfId="6716" priority="6551" stopIfTrue="1" operator="between">
      <formula>0</formula>
      <formula>0.5</formula>
    </cfRule>
  </conditionalFormatting>
  <conditionalFormatting sqref="AF126">
    <cfRule type="cellIs" dxfId="6715" priority="6542" operator="between">
      <formula>0.76</formula>
      <formula>0.95</formula>
    </cfRule>
    <cfRule type="cellIs" dxfId="6714" priority="6543" operator="between">
      <formula>0.51</formula>
      <formula>0.75</formula>
    </cfRule>
    <cfRule type="cellIs" dxfId="6713" priority="6544" operator="greaterThan">
      <formula>1</formula>
    </cfRule>
    <cfRule type="cellIs" dxfId="6712" priority="6545" operator="between">
      <formula>0.95</formula>
      <formula>1</formula>
    </cfRule>
    <cfRule type="cellIs" dxfId="6711" priority="6546" stopIfTrue="1" operator="between">
      <formula>0</formula>
      <formula>0.5</formula>
    </cfRule>
  </conditionalFormatting>
  <conditionalFormatting sqref="R126">
    <cfRule type="cellIs" dxfId="6710" priority="6537" operator="between">
      <formula>0.3751</formula>
      <formula>0.475</formula>
    </cfRule>
    <cfRule type="cellIs" dxfId="6709" priority="6538" operator="between">
      <formula>0.2551</formula>
      <formula>0.375</formula>
    </cfRule>
    <cfRule type="cellIs" dxfId="6708" priority="6539" operator="greaterThan">
      <formula>0.505</formula>
    </cfRule>
    <cfRule type="cellIs" dxfId="6707" priority="6540" operator="between">
      <formula>0.48</formula>
      <formula>0.5</formula>
    </cfRule>
    <cfRule type="cellIs" dxfId="6706" priority="6541" stopIfTrue="1" operator="between">
      <formula>0</formula>
      <formula>0.255</formula>
    </cfRule>
  </conditionalFormatting>
  <conditionalFormatting sqref="J126">
    <cfRule type="cellIs" dxfId="6705" priority="6527" operator="between">
      <formula>0.76</formula>
      <formula>0.95</formula>
    </cfRule>
    <cfRule type="cellIs" dxfId="6704" priority="6528" operator="between">
      <formula>0.51</formula>
      <formula>0.75</formula>
    </cfRule>
    <cfRule type="cellIs" dxfId="6703" priority="6529" operator="greaterThan">
      <formula>1</formula>
    </cfRule>
    <cfRule type="cellIs" dxfId="6702" priority="6530" operator="between">
      <formula>0.95</formula>
      <formula>1</formula>
    </cfRule>
    <cfRule type="cellIs" dxfId="6701" priority="6531" stopIfTrue="1" operator="between">
      <formula>0</formula>
      <formula>0.5</formula>
    </cfRule>
  </conditionalFormatting>
  <conditionalFormatting sqref="Q126">
    <cfRule type="cellIs" dxfId="6700" priority="6522" operator="between">
      <formula>0.76</formula>
      <formula>0.95</formula>
    </cfRule>
    <cfRule type="cellIs" dxfId="6699" priority="6523" operator="between">
      <formula>0.51</formula>
      <formula>0.75</formula>
    </cfRule>
    <cfRule type="cellIs" dxfId="6698" priority="6524" operator="greaterThan">
      <formula>1</formula>
    </cfRule>
    <cfRule type="cellIs" dxfId="6697" priority="6525" operator="between">
      <formula>0.95</formula>
      <formula>1</formula>
    </cfRule>
    <cfRule type="cellIs" dxfId="6696" priority="6526" stopIfTrue="1" operator="between">
      <formula>0</formula>
      <formula>0.5</formula>
    </cfRule>
  </conditionalFormatting>
  <conditionalFormatting sqref="X126">
    <cfRule type="cellIs" dxfId="6695" priority="6497" operator="between">
      <formula>0.76</formula>
      <formula>0.95</formula>
    </cfRule>
    <cfRule type="cellIs" dxfId="6694" priority="6498" operator="between">
      <formula>0.51</formula>
      <formula>0.75</formula>
    </cfRule>
    <cfRule type="cellIs" dxfId="6693" priority="6499" operator="greaterThan">
      <formula>1</formula>
    </cfRule>
    <cfRule type="cellIs" dxfId="6692" priority="6500" operator="between">
      <formula>0.95</formula>
      <formula>1</formula>
    </cfRule>
    <cfRule type="cellIs" dxfId="6691" priority="6501" stopIfTrue="1" operator="between">
      <formula>0</formula>
      <formula>0.5</formula>
    </cfRule>
  </conditionalFormatting>
  <conditionalFormatting sqref="T126">
    <cfRule type="cellIs" dxfId="6690" priority="6482" operator="between">
      <formula>0.191</formula>
      <formula>0.24</formula>
    </cfRule>
    <cfRule type="cellIs" dxfId="6689" priority="6483" operator="between">
      <formula>0.1251</formula>
      <formula>0.19</formula>
    </cfRule>
    <cfRule type="cellIs" dxfId="6688" priority="6484" operator="greaterThan">
      <formula>0.2601</formula>
    </cfRule>
    <cfRule type="cellIs" dxfId="6687" priority="6485" operator="between">
      <formula>0.2401</formula>
      <formula>0.26</formula>
    </cfRule>
    <cfRule type="cellIs" dxfId="6686" priority="6486" stopIfTrue="1" operator="between">
      <formula>0</formula>
      <formula>0.125</formula>
    </cfRule>
  </conditionalFormatting>
  <conditionalFormatting sqref="I127">
    <cfRule type="cellIs" dxfId="6685" priority="6450" operator="between">
      <formula>0.76</formula>
      <formula>0.95</formula>
    </cfRule>
    <cfRule type="cellIs" dxfId="6684" priority="6451" operator="between">
      <formula>0.51</formula>
      <formula>0.75</formula>
    </cfRule>
    <cfRule type="cellIs" dxfId="6683" priority="6452" operator="greaterThan">
      <formula>1</formula>
    </cfRule>
    <cfRule type="cellIs" dxfId="6682" priority="6453" operator="between">
      <formula>0.95</formula>
      <formula>1</formula>
    </cfRule>
    <cfRule type="cellIs" dxfId="6681" priority="6454" stopIfTrue="1" operator="between">
      <formula>0</formula>
      <formula>0.5</formula>
    </cfRule>
  </conditionalFormatting>
  <conditionalFormatting sqref="K127">
    <cfRule type="cellIs" dxfId="6680" priority="6445" operator="between">
      <formula>0.191</formula>
      <formula>0.24</formula>
    </cfRule>
    <cfRule type="cellIs" dxfId="6679" priority="6446" operator="between">
      <formula>0.1251</formula>
      <formula>0.19</formula>
    </cfRule>
    <cfRule type="cellIs" dxfId="6678" priority="6447" operator="greaterThan">
      <formula>0.2601</formula>
    </cfRule>
    <cfRule type="cellIs" dxfId="6677" priority="6448" operator="between">
      <formula>0.2401</formula>
      <formula>0.26</formula>
    </cfRule>
    <cfRule type="cellIs" dxfId="6676" priority="6449" stopIfTrue="1" operator="between">
      <formula>0</formula>
      <formula>0.125</formula>
    </cfRule>
  </conditionalFormatting>
  <conditionalFormatting sqref="P127">
    <cfRule type="cellIs" dxfId="6675" priority="6440" operator="between">
      <formula>0.76</formula>
      <formula>0.95</formula>
    </cfRule>
    <cfRule type="cellIs" dxfId="6674" priority="6441" operator="between">
      <formula>0.51</formula>
      <formula>0.75</formula>
    </cfRule>
    <cfRule type="cellIs" dxfId="6673" priority="6442" operator="greaterThan">
      <formula>1</formula>
    </cfRule>
    <cfRule type="cellIs" dxfId="6672" priority="6443" operator="between">
      <formula>0.95</formula>
      <formula>1</formula>
    </cfRule>
    <cfRule type="cellIs" dxfId="6671" priority="6444" stopIfTrue="1" operator="between">
      <formula>0</formula>
      <formula>0.5</formula>
    </cfRule>
  </conditionalFormatting>
  <conditionalFormatting sqref="W127">
    <cfRule type="cellIs" dxfId="6670" priority="6435" operator="between">
      <formula>0.76</formula>
      <formula>0.95</formula>
    </cfRule>
    <cfRule type="cellIs" dxfId="6669" priority="6436" operator="between">
      <formula>0.51</formula>
      <formula>0.75</formula>
    </cfRule>
    <cfRule type="cellIs" dxfId="6668" priority="6437" operator="greaterThan">
      <formula>1</formula>
    </cfRule>
    <cfRule type="cellIs" dxfId="6667" priority="6438" operator="between">
      <formula>0.95</formula>
      <formula>1</formula>
    </cfRule>
    <cfRule type="cellIs" dxfId="6666" priority="6439" stopIfTrue="1" operator="between">
      <formula>0</formula>
      <formula>0.5</formula>
    </cfRule>
  </conditionalFormatting>
  <conditionalFormatting sqref="AD127">
    <cfRule type="cellIs" dxfId="6665" priority="6425" operator="between">
      <formula>0.76</formula>
      <formula>0.95</formula>
    </cfRule>
    <cfRule type="cellIs" dxfId="6664" priority="6426" operator="between">
      <formula>0.51</formula>
      <formula>0.75</formula>
    </cfRule>
    <cfRule type="cellIs" dxfId="6663" priority="6427" operator="greaterThan">
      <formula>1</formula>
    </cfRule>
    <cfRule type="cellIs" dxfId="6662" priority="6428" operator="between">
      <formula>0.95</formula>
      <formula>1</formula>
    </cfRule>
    <cfRule type="cellIs" dxfId="6661" priority="6429" stopIfTrue="1" operator="between">
      <formula>0</formula>
      <formula>0.5</formula>
    </cfRule>
  </conditionalFormatting>
  <conditionalFormatting sqref="AF127">
    <cfRule type="cellIs" dxfId="6660" priority="6420" operator="between">
      <formula>0.76</formula>
      <formula>0.95</formula>
    </cfRule>
    <cfRule type="cellIs" dxfId="6659" priority="6421" operator="between">
      <formula>0.51</formula>
      <formula>0.75</formula>
    </cfRule>
    <cfRule type="cellIs" dxfId="6658" priority="6422" operator="greaterThan">
      <formula>1</formula>
    </cfRule>
    <cfRule type="cellIs" dxfId="6657" priority="6423" operator="between">
      <formula>0.95</formula>
      <formula>1</formula>
    </cfRule>
    <cfRule type="cellIs" dxfId="6656" priority="6424" stopIfTrue="1" operator="between">
      <formula>0</formula>
      <formula>0.5</formula>
    </cfRule>
  </conditionalFormatting>
  <conditionalFormatting sqref="R127">
    <cfRule type="cellIs" dxfId="6655" priority="6415" operator="between">
      <formula>0.3751</formula>
      <formula>0.475</formula>
    </cfRule>
    <cfRule type="cellIs" dxfId="6654" priority="6416" operator="between">
      <formula>0.2551</formula>
      <formula>0.375</formula>
    </cfRule>
    <cfRule type="cellIs" dxfId="6653" priority="6417" operator="greaterThan">
      <formula>0.505</formula>
    </cfRule>
    <cfRule type="cellIs" dxfId="6652" priority="6418" operator="between">
      <formula>0.48</formula>
      <formula>0.5</formula>
    </cfRule>
    <cfRule type="cellIs" dxfId="6651" priority="6419" stopIfTrue="1" operator="between">
      <formula>0</formula>
      <formula>0.255</formula>
    </cfRule>
  </conditionalFormatting>
  <conditionalFormatting sqref="J127">
    <cfRule type="cellIs" dxfId="6650" priority="6405" operator="between">
      <formula>0.76</formula>
      <formula>0.95</formula>
    </cfRule>
    <cfRule type="cellIs" dxfId="6649" priority="6406" operator="between">
      <formula>0.51</formula>
      <formula>0.75</formula>
    </cfRule>
    <cfRule type="cellIs" dxfId="6648" priority="6407" operator="greaterThan">
      <formula>1</formula>
    </cfRule>
    <cfRule type="cellIs" dxfId="6647" priority="6408" operator="between">
      <formula>0.95</formula>
      <formula>1</formula>
    </cfRule>
    <cfRule type="cellIs" dxfId="6646" priority="6409" stopIfTrue="1" operator="between">
      <formula>0</formula>
      <formula>0.5</formula>
    </cfRule>
  </conditionalFormatting>
  <conditionalFormatting sqref="X127">
    <cfRule type="cellIs" dxfId="6645" priority="6395" operator="between">
      <formula>0.76</formula>
      <formula>0.95</formula>
    </cfRule>
    <cfRule type="cellIs" dxfId="6644" priority="6396" operator="between">
      <formula>0.51</formula>
      <formula>0.75</formula>
    </cfRule>
    <cfRule type="cellIs" dxfId="6643" priority="6397" operator="greaterThan">
      <formula>1</formula>
    </cfRule>
    <cfRule type="cellIs" dxfId="6642" priority="6398" operator="between">
      <formula>0.95</formula>
      <formula>1</formula>
    </cfRule>
    <cfRule type="cellIs" dxfId="6641" priority="6399" stopIfTrue="1" operator="between">
      <formula>0</formula>
      <formula>0.5</formula>
    </cfRule>
  </conditionalFormatting>
  <conditionalFormatting sqref="Q127">
    <cfRule type="cellIs" dxfId="6640" priority="6375" operator="between">
      <formula>0.76</formula>
      <formula>0.95</formula>
    </cfRule>
    <cfRule type="cellIs" dxfId="6639" priority="6376" operator="between">
      <formula>0.51</formula>
      <formula>0.75</formula>
    </cfRule>
    <cfRule type="cellIs" dxfId="6638" priority="6377" operator="greaterThan">
      <formula>1</formula>
    </cfRule>
    <cfRule type="cellIs" dxfId="6637" priority="6378" operator="between">
      <formula>0.95</formula>
      <formula>1</formula>
    </cfRule>
    <cfRule type="cellIs" dxfId="6636" priority="6379" stopIfTrue="1" operator="between">
      <formula>0</formula>
      <formula>0.5</formula>
    </cfRule>
  </conditionalFormatting>
  <conditionalFormatting sqref="T127">
    <cfRule type="cellIs" dxfId="6635" priority="6370" operator="between">
      <formula>0.376</formula>
      <formula>0.475</formula>
    </cfRule>
    <cfRule type="cellIs" dxfId="6634" priority="6371" operator="between">
      <formula>0.2551</formula>
      <formula>0.3751</formula>
    </cfRule>
    <cfRule type="cellIs" dxfId="6633" priority="6372" operator="greaterThan">
      <formula>0.505</formula>
    </cfRule>
    <cfRule type="cellIs" dxfId="6632" priority="6373" operator="between">
      <formula>0.48</formula>
      <formula>0.5</formula>
    </cfRule>
    <cfRule type="cellIs" dxfId="6631" priority="6374" stopIfTrue="1" operator="between">
      <formula>0</formula>
      <formula>0.255</formula>
    </cfRule>
  </conditionalFormatting>
  <conditionalFormatting sqref="I128:I132">
    <cfRule type="cellIs" dxfId="6630" priority="6333" operator="between">
      <formula>0.76</formula>
      <formula>0.95</formula>
    </cfRule>
    <cfRule type="cellIs" dxfId="6629" priority="6334" operator="between">
      <formula>0.51</formula>
      <formula>0.75</formula>
    </cfRule>
    <cfRule type="cellIs" dxfId="6628" priority="6335" operator="greaterThan">
      <formula>1</formula>
    </cfRule>
    <cfRule type="cellIs" dxfId="6627" priority="6336" operator="between">
      <formula>0.95</formula>
      <formula>1</formula>
    </cfRule>
    <cfRule type="cellIs" dxfId="6626" priority="6337" stopIfTrue="1" operator="between">
      <formula>0</formula>
      <formula>0.5</formula>
    </cfRule>
  </conditionalFormatting>
  <conditionalFormatting sqref="K128:K132">
    <cfRule type="cellIs" dxfId="6625" priority="6328" operator="between">
      <formula>0.191</formula>
      <formula>0.24</formula>
    </cfRule>
    <cfRule type="cellIs" dxfId="6624" priority="6329" operator="between">
      <formula>0.1251</formula>
      <formula>0.19</formula>
    </cfRule>
    <cfRule type="cellIs" dxfId="6623" priority="6330" operator="greaterThan">
      <formula>0.2601</formula>
    </cfRule>
    <cfRule type="cellIs" dxfId="6622" priority="6331" operator="between">
      <formula>0.2401</formula>
      <formula>0.26</formula>
    </cfRule>
    <cfRule type="cellIs" dxfId="6621" priority="6332" stopIfTrue="1" operator="between">
      <formula>0</formula>
      <formula>0.125</formula>
    </cfRule>
  </conditionalFormatting>
  <conditionalFormatting sqref="P128:P132">
    <cfRule type="cellIs" dxfId="6620" priority="6323" operator="between">
      <formula>0.76</formula>
      <formula>0.95</formula>
    </cfRule>
    <cfRule type="cellIs" dxfId="6619" priority="6324" operator="between">
      <formula>0.51</formula>
      <formula>0.75</formula>
    </cfRule>
    <cfRule type="cellIs" dxfId="6618" priority="6325" operator="greaterThan">
      <formula>1</formula>
    </cfRule>
    <cfRule type="cellIs" dxfId="6617" priority="6326" operator="between">
      <formula>0.95</formula>
      <formula>1</formula>
    </cfRule>
    <cfRule type="cellIs" dxfId="6616" priority="6327" stopIfTrue="1" operator="between">
      <formula>0</formula>
      <formula>0.5</formula>
    </cfRule>
  </conditionalFormatting>
  <conditionalFormatting sqref="W128:W132">
    <cfRule type="cellIs" dxfId="6615" priority="6318" operator="between">
      <formula>0.76</formula>
      <formula>0.95</formula>
    </cfRule>
    <cfRule type="cellIs" dxfId="6614" priority="6319" operator="between">
      <formula>0.51</formula>
      <formula>0.75</formula>
    </cfRule>
    <cfRule type="cellIs" dxfId="6613" priority="6320" operator="greaterThan">
      <formula>1</formula>
    </cfRule>
    <cfRule type="cellIs" dxfId="6612" priority="6321" operator="between">
      <formula>0.95</formula>
      <formula>1</formula>
    </cfRule>
    <cfRule type="cellIs" dxfId="6611" priority="6322" stopIfTrue="1" operator="between">
      <formula>0</formula>
      <formula>0.5</formula>
    </cfRule>
  </conditionalFormatting>
  <conditionalFormatting sqref="AD128:AD132">
    <cfRule type="cellIs" dxfId="6610" priority="6308" operator="between">
      <formula>0.76</formula>
      <formula>0.95</formula>
    </cfRule>
    <cfRule type="cellIs" dxfId="6609" priority="6309" operator="between">
      <formula>0.51</formula>
      <formula>0.75</formula>
    </cfRule>
    <cfRule type="cellIs" dxfId="6608" priority="6310" operator="greaterThan">
      <formula>1</formula>
    </cfRule>
    <cfRule type="cellIs" dxfId="6607" priority="6311" operator="between">
      <formula>0.95</formula>
      <formula>1</formula>
    </cfRule>
    <cfRule type="cellIs" dxfId="6606" priority="6312" stopIfTrue="1" operator="between">
      <formula>0</formula>
      <formula>0.5</formula>
    </cfRule>
  </conditionalFormatting>
  <conditionalFormatting sqref="AF128:AF132">
    <cfRule type="cellIs" dxfId="6605" priority="6303" operator="between">
      <formula>0.76</formula>
      <formula>0.95</formula>
    </cfRule>
    <cfRule type="cellIs" dxfId="6604" priority="6304" operator="between">
      <formula>0.51</formula>
      <formula>0.75</formula>
    </cfRule>
    <cfRule type="cellIs" dxfId="6603" priority="6305" operator="greaterThan">
      <formula>1</formula>
    </cfRule>
    <cfRule type="cellIs" dxfId="6602" priority="6306" operator="between">
      <formula>0.95</formula>
      <formula>1</formula>
    </cfRule>
    <cfRule type="cellIs" dxfId="6601" priority="6307" stopIfTrue="1" operator="between">
      <formula>0</formula>
      <formula>0.5</formula>
    </cfRule>
  </conditionalFormatting>
  <conditionalFormatting sqref="R128:R132">
    <cfRule type="cellIs" dxfId="6600" priority="6298" operator="between">
      <formula>0.3751</formula>
      <formula>0.475</formula>
    </cfRule>
    <cfRule type="cellIs" dxfId="6599" priority="6299" operator="between">
      <formula>0.2551</formula>
      <formula>0.375</formula>
    </cfRule>
    <cfRule type="cellIs" dxfId="6598" priority="6300" operator="greaterThan">
      <formula>0.505</formula>
    </cfRule>
    <cfRule type="cellIs" dxfId="6597" priority="6301" operator="between">
      <formula>0.48</formula>
      <formula>0.5</formula>
    </cfRule>
    <cfRule type="cellIs" dxfId="6596" priority="6302" stopIfTrue="1" operator="between">
      <formula>0</formula>
      <formula>0.255</formula>
    </cfRule>
  </conditionalFormatting>
  <conditionalFormatting sqref="J128:J130 J132">
    <cfRule type="cellIs" dxfId="6595" priority="6288" operator="between">
      <formula>0.76</formula>
      <formula>0.95</formula>
    </cfRule>
    <cfRule type="cellIs" dxfId="6594" priority="6289" operator="between">
      <formula>0.51</formula>
      <formula>0.75</formula>
    </cfRule>
    <cfRule type="cellIs" dxfId="6593" priority="6290" operator="greaterThan">
      <formula>1</formula>
    </cfRule>
    <cfRule type="cellIs" dxfId="6592" priority="6291" operator="between">
      <formula>0.95</formula>
      <formula>1</formula>
    </cfRule>
    <cfRule type="cellIs" dxfId="6591" priority="6292" stopIfTrue="1" operator="between">
      <formula>0</formula>
      <formula>0.5</formula>
    </cfRule>
  </conditionalFormatting>
  <conditionalFormatting sqref="X128 X131">
    <cfRule type="cellIs" dxfId="6590" priority="6283" operator="between">
      <formula>0.76</formula>
      <formula>0.95</formula>
    </cfRule>
    <cfRule type="cellIs" dxfId="6589" priority="6284" operator="between">
      <formula>0.51</formula>
      <formula>0.75</formula>
    </cfRule>
    <cfRule type="cellIs" dxfId="6588" priority="6285" operator="greaterThan">
      <formula>1</formula>
    </cfRule>
    <cfRule type="cellIs" dxfId="6587" priority="6286" operator="between">
      <formula>0.95</formula>
      <formula>1</formula>
    </cfRule>
    <cfRule type="cellIs" dxfId="6586" priority="6287" stopIfTrue="1" operator="between">
      <formula>0</formula>
      <formula>0.5</formula>
    </cfRule>
  </conditionalFormatting>
  <conditionalFormatting sqref="M129:M130 M132">
    <cfRule type="cellIs" dxfId="6585" priority="6278" operator="between">
      <formula>0.191</formula>
      <formula>0.24</formula>
    </cfRule>
    <cfRule type="cellIs" dxfId="6584" priority="6279" operator="between">
      <formula>0.1251</formula>
      <formula>0.19</formula>
    </cfRule>
    <cfRule type="cellIs" dxfId="6583" priority="6280" operator="greaterThan">
      <formula>0.2601</formula>
    </cfRule>
    <cfRule type="cellIs" dxfId="6582" priority="6281" operator="between">
      <formula>0.2401</formula>
      <formula>0.26</formula>
    </cfRule>
    <cfRule type="cellIs" dxfId="6581" priority="6282" stopIfTrue="1" operator="between">
      <formula>0</formula>
      <formula>0.125</formula>
    </cfRule>
  </conditionalFormatting>
  <conditionalFormatting sqref="Q128 Q130">
    <cfRule type="cellIs" dxfId="6580" priority="6268" operator="between">
      <formula>0.76</formula>
      <formula>0.95</formula>
    </cfRule>
    <cfRule type="cellIs" dxfId="6579" priority="6269" operator="between">
      <formula>0.51</formula>
      <formula>0.75</formula>
    </cfRule>
    <cfRule type="cellIs" dxfId="6578" priority="6270" operator="greaterThan">
      <formula>1</formula>
    </cfRule>
    <cfRule type="cellIs" dxfId="6577" priority="6271" operator="between">
      <formula>0.95</formula>
      <formula>1</formula>
    </cfRule>
    <cfRule type="cellIs" dxfId="6576" priority="6272" stopIfTrue="1" operator="between">
      <formula>0</formula>
      <formula>0.5</formula>
    </cfRule>
  </conditionalFormatting>
  <conditionalFormatting sqref="T128 T130">
    <cfRule type="cellIs" dxfId="6575" priority="6263" operator="between">
      <formula>0.376</formula>
      <formula>0.475</formula>
    </cfRule>
    <cfRule type="cellIs" dxfId="6574" priority="6264" operator="between">
      <formula>0.2551</formula>
      <formula>0.3751</formula>
    </cfRule>
    <cfRule type="cellIs" dxfId="6573" priority="6265" operator="greaterThan">
      <formula>0.505</formula>
    </cfRule>
    <cfRule type="cellIs" dxfId="6572" priority="6266" operator="between">
      <formula>0.48</formula>
      <formula>0.5</formula>
    </cfRule>
    <cfRule type="cellIs" dxfId="6571" priority="6267" stopIfTrue="1" operator="between">
      <formula>0</formula>
      <formula>0.255</formula>
    </cfRule>
  </conditionalFormatting>
  <conditionalFormatting sqref="AE128 AE131:AE132">
    <cfRule type="cellIs" dxfId="6570" priority="6258" operator="between">
      <formula>0.76</formula>
      <formula>0.95</formula>
    </cfRule>
    <cfRule type="cellIs" dxfId="6569" priority="6259" operator="between">
      <formula>0.51</formula>
      <formula>0.75</formula>
    </cfRule>
    <cfRule type="cellIs" dxfId="6568" priority="6260" operator="greaterThan">
      <formula>1</formula>
    </cfRule>
    <cfRule type="cellIs" dxfId="6567" priority="6261" operator="between">
      <formula>0.95</formula>
      <formula>1</formula>
    </cfRule>
    <cfRule type="cellIs" dxfId="6566" priority="6262" stopIfTrue="1" operator="between">
      <formula>0</formula>
      <formula>0.5</formula>
    </cfRule>
  </conditionalFormatting>
  <conditionalFormatting sqref="J131">
    <cfRule type="cellIs" dxfId="6565" priority="6248" operator="between">
      <formula>0.76</formula>
      <formula>0.95</formula>
    </cfRule>
    <cfRule type="cellIs" dxfId="6564" priority="6249" operator="between">
      <formula>0.51</formula>
      <formula>0.75</formula>
    </cfRule>
    <cfRule type="cellIs" dxfId="6563" priority="6250" operator="greaterThan">
      <formula>1</formula>
    </cfRule>
    <cfRule type="cellIs" dxfId="6562" priority="6251" operator="between">
      <formula>0.95</formula>
      <formula>1</formula>
    </cfRule>
    <cfRule type="cellIs" dxfId="6561" priority="6252" stopIfTrue="1" operator="between">
      <formula>0</formula>
      <formula>0.5</formula>
    </cfRule>
  </conditionalFormatting>
  <conditionalFormatting sqref="Q131">
    <cfRule type="cellIs" dxfId="6560" priority="6238" operator="between">
      <formula>0.76</formula>
      <formula>0.95</formula>
    </cfRule>
    <cfRule type="cellIs" dxfId="6559" priority="6239" operator="between">
      <formula>0.51</formula>
      <formula>0.75</formula>
    </cfRule>
    <cfRule type="cellIs" dxfId="6558" priority="6240" operator="greaterThan">
      <formula>1</formula>
    </cfRule>
    <cfRule type="cellIs" dxfId="6557" priority="6241" operator="between">
      <formula>0.95</formula>
      <formula>1</formula>
    </cfRule>
    <cfRule type="cellIs" dxfId="6556" priority="6242" stopIfTrue="1" operator="between">
      <formula>0</formula>
      <formula>0.5</formula>
    </cfRule>
  </conditionalFormatting>
  <conditionalFormatting sqref="Q132">
    <cfRule type="cellIs" dxfId="6555" priority="6233" operator="between">
      <formula>0.76</formula>
      <formula>0.95</formula>
    </cfRule>
    <cfRule type="cellIs" dxfId="6554" priority="6234" operator="between">
      <formula>0.51</formula>
      <formula>0.75</formula>
    </cfRule>
    <cfRule type="cellIs" dxfId="6553" priority="6235" operator="greaterThan">
      <formula>1</formula>
    </cfRule>
    <cfRule type="cellIs" dxfId="6552" priority="6236" operator="between">
      <formula>0.95</formula>
      <formula>1</formula>
    </cfRule>
    <cfRule type="cellIs" dxfId="6551" priority="6237" stopIfTrue="1" operator="between">
      <formula>0</formula>
      <formula>0.5</formula>
    </cfRule>
  </conditionalFormatting>
  <conditionalFormatting sqref="X129:X130">
    <cfRule type="cellIs" dxfId="6550" priority="6228" operator="between">
      <formula>0.76</formula>
      <formula>0.95</formula>
    </cfRule>
    <cfRule type="cellIs" dxfId="6549" priority="6229" operator="between">
      <formula>0.51</formula>
      <formula>0.75</formula>
    </cfRule>
    <cfRule type="cellIs" dxfId="6548" priority="6230" operator="greaterThan">
      <formula>1</formula>
    </cfRule>
    <cfRule type="cellIs" dxfId="6547" priority="6231" operator="between">
      <formula>0.95</formula>
      <formula>1</formula>
    </cfRule>
    <cfRule type="cellIs" dxfId="6546" priority="6232" stopIfTrue="1" operator="between">
      <formula>0</formula>
      <formula>0.5</formula>
    </cfRule>
  </conditionalFormatting>
  <conditionalFormatting sqref="X132">
    <cfRule type="cellIs" dxfId="6545" priority="6223" operator="between">
      <formula>0.76</formula>
      <formula>0.95</formula>
    </cfRule>
    <cfRule type="cellIs" dxfId="6544" priority="6224" operator="between">
      <formula>0.51</formula>
      <formula>0.75</formula>
    </cfRule>
    <cfRule type="cellIs" dxfId="6543" priority="6225" operator="greaterThan">
      <formula>1</formula>
    </cfRule>
    <cfRule type="cellIs" dxfId="6542" priority="6226" operator="between">
      <formula>0.95</formula>
      <formula>1</formula>
    </cfRule>
    <cfRule type="cellIs" dxfId="6541" priority="6227" stopIfTrue="1" operator="between">
      <formula>0</formula>
      <formula>0.5</formula>
    </cfRule>
  </conditionalFormatting>
  <conditionalFormatting sqref="AE129:AE130">
    <cfRule type="cellIs" dxfId="6540" priority="6218" operator="between">
      <formula>0.76</formula>
      <formula>0.95</formula>
    </cfRule>
    <cfRule type="cellIs" dxfId="6539" priority="6219" operator="between">
      <formula>0.51</formula>
      <formula>0.75</formula>
    </cfRule>
    <cfRule type="cellIs" dxfId="6538" priority="6220" operator="greaterThan">
      <formula>1</formula>
    </cfRule>
    <cfRule type="cellIs" dxfId="6537" priority="6221" operator="between">
      <formula>0.95</formula>
      <formula>1</formula>
    </cfRule>
    <cfRule type="cellIs" dxfId="6536" priority="6222" stopIfTrue="1" operator="between">
      <formula>0</formula>
      <formula>0.5</formula>
    </cfRule>
  </conditionalFormatting>
  <conditionalFormatting sqref="M131">
    <cfRule type="cellIs" dxfId="6535" priority="6208" operator="between">
      <formula>0.191</formula>
      <formula>0.24</formula>
    </cfRule>
    <cfRule type="cellIs" dxfId="6534" priority="6209" operator="between">
      <formula>0.1251</formula>
      <formula>0.19</formula>
    </cfRule>
    <cfRule type="cellIs" dxfId="6533" priority="6210" operator="greaterThan">
      <formula>0.2601</formula>
    </cfRule>
    <cfRule type="cellIs" dxfId="6532" priority="6211" operator="between">
      <formula>0.2401</formula>
      <formula>0.26</formula>
    </cfRule>
    <cfRule type="cellIs" dxfId="6531" priority="6212" stopIfTrue="1" operator="between">
      <formula>0</formula>
      <formula>0.125</formula>
    </cfRule>
  </conditionalFormatting>
  <conditionalFormatting sqref="AG129:AG130">
    <cfRule type="cellIs" dxfId="6530" priority="6198" operator="between">
      <formula>0.76</formula>
      <formula>0.95</formula>
    </cfRule>
    <cfRule type="cellIs" dxfId="6529" priority="6199" operator="between">
      <formula>0.51</formula>
      <formula>0.75</formula>
    </cfRule>
    <cfRule type="cellIs" dxfId="6528" priority="6200" operator="greaterThan">
      <formula>1</formula>
    </cfRule>
    <cfRule type="cellIs" dxfId="6527" priority="6201" operator="between">
      <formula>0.95</formula>
      <formula>1</formula>
    </cfRule>
    <cfRule type="cellIs" dxfId="6526" priority="6202" stopIfTrue="1" operator="between">
      <formula>0</formula>
      <formula>0.5</formula>
    </cfRule>
  </conditionalFormatting>
  <conditionalFormatting sqref="P345">
    <cfRule type="cellIs" dxfId="6525" priority="6171" operator="between">
      <formula>0.76</formula>
      <formula>0.95</formula>
    </cfRule>
    <cfRule type="cellIs" dxfId="6524" priority="6172" operator="between">
      <formula>0.51</formula>
      <formula>0.75</formula>
    </cfRule>
    <cfRule type="cellIs" dxfId="6523" priority="6173" operator="greaterThan">
      <formula>1</formula>
    </cfRule>
    <cfRule type="cellIs" dxfId="6522" priority="6174" operator="between">
      <formula>0.95</formula>
      <formula>1</formula>
    </cfRule>
    <cfRule type="cellIs" dxfId="6521" priority="6175" stopIfTrue="1" operator="between">
      <formula>0</formula>
      <formula>0.5</formula>
    </cfRule>
  </conditionalFormatting>
  <conditionalFormatting sqref="W345">
    <cfRule type="cellIs" dxfId="6520" priority="6166" operator="between">
      <formula>0.76</formula>
      <formula>0.95</formula>
    </cfRule>
    <cfRule type="cellIs" dxfId="6519" priority="6167" operator="between">
      <formula>0.51</formula>
      <formula>0.75</formula>
    </cfRule>
    <cfRule type="cellIs" dxfId="6518" priority="6168" operator="greaterThan">
      <formula>1</formula>
    </cfRule>
    <cfRule type="cellIs" dxfId="6517" priority="6169" operator="between">
      <formula>0.95</formula>
      <formula>1</formula>
    </cfRule>
    <cfRule type="cellIs" dxfId="6516" priority="6170" stopIfTrue="1" operator="between">
      <formula>0</formula>
      <formula>0.5</formula>
    </cfRule>
  </conditionalFormatting>
  <conditionalFormatting sqref="AD345">
    <cfRule type="cellIs" dxfId="6515" priority="6161" operator="between">
      <formula>0.76</formula>
      <formula>0.95</formula>
    </cfRule>
    <cfRule type="cellIs" dxfId="6514" priority="6162" operator="between">
      <formula>0.51</formula>
      <formula>0.75</formula>
    </cfRule>
    <cfRule type="cellIs" dxfId="6513" priority="6163" operator="greaterThan">
      <formula>1</formula>
    </cfRule>
    <cfRule type="cellIs" dxfId="6512" priority="6164" operator="between">
      <formula>0.95</formula>
      <formula>1</formula>
    </cfRule>
    <cfRule type="cellIs" dxfId="6511" priority="6165" stopIfTrue="1" operator="between">
      <formula>0</formula>
      <formula>0.5</formula>
    </cfRule>
  </conditionalFormatting>
  <conditionalFormatting sqref="AF345">
    <cfRule type="cellIs" dxfId="6510" priority="6151" operator="between">
      <formula>0.76</formula>
      <formula>0.95</formula>
    </cfRule>
    <cfRule type="cellIs" dxfId="6509" priority="6152" operator="between">
      <formula>0.51</formula>
      <formula>0.75</formula>
    </cfRule>
    <cfRule type="cellIs" dxfId="6508" priority="6153" operator="greaterThan">
      <formula>1</formula>
    </cfRule>
    <cfRule type="cellIs" dxfId="6507" priority="6154" operator="between">
      <formula>0.95</formula>
      <formula>1</formula>
    </cfRule>
    <cfRule type="cellIs" dxfId="6506" priority="6155" stopIfTrue="1" operator="between">
      <formula>0</formula>
      <formula>0.5</formula>
    </cfRule>
  </conditionalFormatting>
  <conditionalFormatting sqref="AG345">
    <cfRule type="cellIs" dxfId="6505" priority="6116" operator="between">
      <formula>0.76</formula>
      <formula>0.95</formula>
    </cfRule>
    <cfRule type="cellIs" dxfId="6504" priority="6117" operator="between">
      <formula>0.51</formula>
      <formula>0.75</formula>
    </cfRule>
    <cfRule type="cellIs" dxfId="6503" priority="6118" operator="greaterThan">
      <formula>1</formula>
    </cfRule>
    <cfRule type="cellIs" dxfId="6502" priority="6119" operator="between">
      <formula>0.95</formula>
      <formula>1</formula>
    </cfRule>
    <cfRule type="cellIs" dxfId="6501" priority="6120" stopIfTrue="1" operator="between">
      <formula>0</formula>
      <formula>0.5</formula>
    </cfRule>
  </conditionalFormatting>
  <conditionalFormatting sqref="J345">
    <cfRule type="cellIs" dxfId="6500" priority="6111" operator="between">
      <formula>0.76</formula>
      <formula>0.95</formula>
    </cfRule>
    <cfRule type="cellIs" dxfId="6499" priority="6112" operator="between">
      <formula>0.51</formula>
      <formula>0.75</formula>
    </cfRule>
    <cfRule type="cellIs" dxfId="6498" priority="6113" operator="greaterThan">
      <formula>1</formula>
    </cfRule>
    <cfRule type="cellIs" dxfId="6497" priority="6114" operator="between">
      <formula>0.95</formula>
      <formula>1</formula>
    </cfRule>
    <cfRule type="cellIs" dxfId="6496" priority="6115" stopIfTrue="1" operator="between">
      <formula>0</formula>
      <formula>0.5</formula>
    </cfRule>
  </conditionalFormatting>
  <conditionalFormatting sqref="Q345">
    <cfRule type="cellIs" dxfId="6495" priority="6106" operator="between">
      <formula>0.76</formula>
      <formula>0.95</formula>
    </cfRule>
    <cfRule type="cellIs" dxfId="6494" priority="6107" operator="between">
      <formula>0.51</formula>
      <formula>0.75</formula>
    </cfRule>
    <cfRule type="cellIs" dxfId="6493" priority="6108" operator="greaterThan">
      <formula>1</formula>
    </cfRule>
    <cfRule type="cellIs" dxfId="6492" priority="6109" operator="between">
      <formula>0.95</formula>
      <formula>1</formula>
    </cfRule>
    <cfRule type="cellIs" dxfId="6491" priority="6110" stopIfTrue="1" operator="between">
      <formula>0</formula>
      <formula>0.5</formula>
    </cfRule>
  </conditionalFormatting>
  <conditionalFormatting sqref="X345">
    <cfRule type="cellIs" dxfId="6490" priority="6096" operator="between">
      <formula>0.76</formula>
      <formula>0.95</formula>
    </cfRule>
    <cfRule type="cellIs" dxfId="6489" priority="6097" operator="between">
      <formula>0.51</formula>
      <formula>0.75</formula>
    </cfRule>
    <cfRule type="cellIs" dxfId="6488" priority="6098" operator="greaterThan">
      <formula>1</formula>
    </cfRule>
    <cfRule type="cellIs" dxfId="6487" priority="6099" operator="between">
      <formula>0.95</formula>
      <formula>1</formula>
    </cfRule>
    <cfRule type="cellIs" dxfId="6486" priority="6100" stopIfTrue="1" operator="between">
      <formula>0</formula>
      <formula>0.5</formula>
    </cfRule>
  </conditionalFormatting>
  <conditionalFormatting sqref="I345">
    <cfRule type="cellIs" dxfId="6485" priority="6176" operator="between">
      <formula>0.76</formula>
      <formula>0.95</formula>
    </cfRule>
    <cfRule type="cellIs" dxfId="6484" priority="6177" operator="between">
      <formula>0.51</formula>
      <formula>0.75</formula>
    </cfRule>
    <cfRule type="cellIs" dxfId="6483" priority="6178" operator="greaterThan">
      <formula>1</formula>
    </cfRule>
    <cfRule type="cellIs" dxfId="6482" priority="6179" operator="between">
      <formula>0.95</formula>
      <formula>1</formula>
    </cfRule>
    <cfRule type="cellIs" dxfId="6481" priority="6180" stopIfTrue="1" operator="between">
      <formula>0</formula>
      <formula>0.5</formula>
    </cfRule>
  </conditionalFormatting>
  <conditionalFormatting sqref="K345">
    <cfRule type="cellIs" dxfId="6480" priority="6141" operator="between">
      <formula>0.191</formula>
      <formula>0.24</formula>
    </cfRule>
    <cfRule type="cellIs" dxfId="6479" priority="6142" operator="between">
      <formula>0.1251</formula>
      <formula>0.19</formula>
    </cfRule>
    <cfRule type="cellIs" dxfId="6478" priority="6143" operator="greaterThan">
      <formula>0.2601</formula>
    </cfRule>
    <cfRule type="cellIs" dxfId="6477" priority="6144" operator="between">
      <formula>0.2401</formula>
      <formula>0.26</formula>
    </cfRule>
    <cfRule type="cellIs" dxfId="6476" priority="6145" stopIfTrue="1" operator="between">
      <formula>0</formula>
      <formula>0.125</formula>
    </cfRule>
  </conditionalFormatting>
  <conditionalFormatting sqref="R345">
    <cfRule type="cellIs" dxfId="6475" priority="6136" operator="between">
      <formula>0.3751</formula>
      <formula>0.475</formula>
    </cfRule>
    <cfRule type="cellIs" dxfId="6474" priority="6137" operator="between">
      <formula>0.2551</formula>
      <formula>0.375</formula>
    </cfRule>
    <cfRule type="cellIs" dxfId="6473" priority="6138" operator="greaterThan">
      <formula>0.505</formula>
    </cfRule>
    <cfRule type="cellIs" dxfId="6472" priority="6139" operator="between">
      <formula>0.48</formula>
      <formula>0.5</formula>
    </cfRule>
    <cfRule type="cellIs" dxfId="6471" priority="6140" stopIfTrue="1" operator="between">
      <formula>0</formula>
      <formula>0.255</formula>
    </cfRule>
  </conditionalFormatting>
  <conditionalFormatting sqref="T345">
    <cfRule type="cellIs" dxfId="6470" priority="6131" operator="between">
      <formula>0.376</formula>
      <formula>0.475</formula>
    </cfRule>
    <cfRule type="cellIs" dxfId="6469" priority="6132" operator="between">
      <formula>0.2551</formula>
      <formula>0.3751</formula>
    </cfRule>
    <cfRule type="cellIs" dxfId="6468" priority="6133" operator="greaterThan">
      <formula>0.505</formula>
    </cfRule>
    <cfRule type="cellIs" dxfId="6467" priority="6134" operator="between">
      <formula>0.48</formula>
      <formula>0.5</formula>
    </cfRule>
    <cfRule type="cellIs" dxfId="6466" priority="6135" stopIfTrue="1" operator="between">
      <formula>0</formula>
      <formula>0.255</formula>
    </cfRule>
  </conditionalFormatting>
  <conditionalFormatting sqref="AE345">
    <cfRule type="cellIs" dxfId="6465" priority="6121" operator="between">
      <formula>0.76</formula>
      <formula>0.95</formula>
    </cfRule>
    <cfRule type="cellIs" dxfId="6464" priority="6122" operator="between">
      <formula>0.51</formula>
      <formula>0.75</formula>
    </cfRule>
    <cfRule type="cellIs" dxfId="6463" priority="6123" operator="greaterThan">
      <formula>1</formula>
    </cfRule>
    <cfRule type="cellIs" dxfId="6462" priority="6124" operator="between">
      <formula>0.95</formula>
      <formula>1</formula>
    </cfRule>
    <cfRule type="cellIs" dxfId="6461" priority="6125" stopIfTrue="1" operator="between">
      <formula>0</formula>
      <formula>0.5</formula>
    </cfRule>
  </conditionalFormatting>
  <conditionalFormatting sqref="P346">
    <cfRule type="cellIs" dxfId="6460" priority="6069" operator="between">
      <formula>0.76</formula>
      <formula>0.95</formula>
    </cfRule>
    <cfRule type="cellIs" dxfId="6459" priority="6070" operator="between">
      <formula>0.51</formula>
      <formula>0.75</formula>
    </cfRule>
    <cfRule type="cellIs" dxfId="6458" priority="6071" operator="greaterThan">
      <formula>1</formula>
    </cfRule>
    <cfRule type="cellIs" dxfId="6457" priority="6072" operator="between">
      <formula>0.95</formula>
      <formula>1</formula>
    </cfRule>
    <cfRule type="cellIs" dxfId="6456" priority="6073" stopIfTrue="1" operator="between">
      <formula>0</formula>
      <formula>0.5</formula>
    </cfRule>
  </conditionalFormatting>
  <conditionalFormatting sqref="W346">
    <cfRule type="cellIs" dxfId="6455" priority="6064" operator="between">
      <formula>0.76</formula>
      <formula>0.95</formula>
    </cfRule>
    <cfRule type="cellIs" dxfId="6454" priority="6065" operator="between">
      <formula>0.51</formula>
      <formula>0.75</formula>
    </cfRule>
    <cfRule type="cellIs" dxfId="6453" priority="6066" operator="greaterThan">
      <formula>1</formula>
    </cfRule>
    <cfRule type="cellIs" dxfId="6452" priority="6067" operator="between">
      <formula>0.95</formula>
      <formula>1</formula>
    </cfRule>
    <cfRule type="cellIs" dxfId="6451" priority="6068" stopIfTrue="1" operator="between">
      <formula>0</formula>
      <formula>0.5</formula>
    </cfRule>
  </conditionalFormatting>
  <conditionalFormatting sqref="AD346">
    <cfRule type="cellIs" dxfId="6450" priority="6059" operator="between">
      <formula>0.76</formula>
      <formula>0.95</formula>
    </cfRule>
    <cfRule type="cellIs" dxfId="6449" priority="6060" operator="between">
      <formula>0.51</formula>
      <formula>0.75</formula>
    </cfRule>
    <cfRule type="cellIs" dxfId="6448" priority="6061" operator="greaterThan">
      <formula>1</formula>
    </cfRule>
    <cfRule type="cellIs" dxfId="6447" priority="6062" operator="between">
      <formula>0.95</formula>
      <formula>1</formula>
    </cfRule>
    <cfRule type="cellIs" dxfId="6446" priority="6063" stopIfTrue="1" operator="between">
      <formula>0</formula>
      <formula>0.5</formula>
    </cfRule>
  </conditionalFormatting>
  <conditionalFormatting sqref="AF346">
    <cfRule type="cellIs" dxfId="6445" priority="6049" operator="between">
      <formula>0.76</formula>
      <formula>0.95</formula>
    </cfRule>
    <cfRule type="cellIs" dxfId="6444" priority="6050" operator="between">
      <formula>0.51</formula>
      <formula>0.75</formula>
    </cfRule>
    <cfRule type="cellIs" dxfId="6443" priority="6051" operator="greaterThan">
      <formula>1</formula>
    </cfRule>
    <cfRule type="cellIs" dxfId="6442" priority="6052" operator="between">
      <formula>0.95</formula>
      <formula>1</formula>
    </cfRule>
    <cfRule type="cellIs" dxfId="6441" priority="6053" stopIfTrue="1" operator="between">
      <formula>0</formula>
      <formula>0.5</formula>
    </cfRule>
  </conditionalFormatting>
  <conditionalFormatting sqref="AG346">
    <cfRule type="cellIs" dxfId="6440" priority="6014" operator="between">
      <formula>0.76</formula>
      <formula>0.95</formula>
    </cfRule>
    <cfRule type="cellIs" dxfId="6439" priority="6015" operator="between">
      <formula>0.51</formula>
      <formula>0.75</formula>
    </cfRule>
    <cfRule type="cellIs" dxfId="6438" priority="6016" operator="greaterThan">
      <formula>1</formula>
    </cfRule>
    <cfRule type="cellIs" dxfId="6437" priority="6017" operator="between">
      <formula>0.95</formula>
      <formula>1</formula>
    </cfRule>
    <cfRule type="cellIs" dxfId="6436" priority="6018" stopIfTrue="1" operator="between">
      <formula>0</formula>
      <formula>0.5</formula>
    </cfRule>
  </conditionalFormatting>
  <conditionalFormatting sqref="J346">
    <cfRule type="cellIs" dxfId="6435" priority="6009" operator="between">
      <formula>0.76</formula>
      <formula>0.95</formula>
    </cfRule>
    <cfRule type="cellIs" dxfId="6434" priority="6010" operator="between">
      <formula>0.51</formula>
      <formula>0.75</formula>
    </cfRule>
    <cfRule type="cellIs" dxfId="6433" priority="6011" operator="greaterThan">
      <formula>1</formula>
    </cfRule>
    <cfRule type="cellIs" dxfId="6432" priority="6012" operator="between">
      <formula>0.95</formula>
      <formula>1</formula>
    </cfRule>
    <cfRule type="cellIs" dxfId="6431" priority="6013" stopIfTrue="1" operator="between">
      <formula>0</formula>
      <formula>0.5</formula>
    </cfRule>
  </conditionalFormatting>
  <conditionalFormatting sqref="Q346">
    <cfRule type="cellIs" dxfId="6430" priority="6004" operator="between">
      <formula>0.76</formula>
      <formula>0.95</formula>
    </cfRule>
    <cfRule type="cellIs" dxfId="6429" priority="6005" operator="between">
      <formula>0.51</formula>
      <formula>0.75</formula>
    </cfRule>
    <cfRule type="cellIs" dxfId="6428" priority="6006" operator="greaterThan">
      <formula>1</formula>
    </cfRule>
    <cfRule type="cellIs" dxfId="6427" priority="6007" operator="between">
      <formula>0.95</formula>
      <formula>1</formula>
    </cfRule>
    <cfRule type="cellIs" dxfId="6426" priority="6008" stopIfTrue="1" operator="between">
      <formula>0</formula>
      <formula>0.5</formula>
    </cfRule>
  </conditionalFormatting>
  <conditionalFormatting sqref="X346">
    <cfRule type="cellIs" dxfId="6425" priority="5999" operator="between">
      <formula>0.76</formula>
      <formula>0.95</formula>
    </cfRule>
    <cfRule type="cellIs" dxfId="6424" priority="6000" operator="between">
      <formula>0.51</formula>
      <formula>0.75</formula>
    </cfRule>
    <cfRule type="cellIs" dxfId="6423" priority="6001" operator="greaterThan">
      <formula>1</formula>
    </cfRule>
    <cfRule type="cellIs" dxfId="6422" priority="6002" operator="between">
      <formula>0.95</formula>
      <formula>1</formula>
    </cfRule>
    <cfRule type="cellIs" dxfId="6421" priority="6003" stopIfTrue="1" operator="between">
      <formula>0</formula>
      <formula>0.5</formula>
    </cfRule>
  </conditionalFormatting>
  <conditionalFormatting sqref="I346">
    <cfRule type="cellIs" dxfId="6420" priority="6074" operator="between">
      <formula>0.76</formula>
      <formula>0.95</formula>
    </cfRule>
    <cfRule type="cellIs" dxfId="6419" priority="6075" operator="between">
      <formula>0.51</formula>
      <formula>0.75</formula>
    </cfRule>
    <cfRule type="cellIs" dxfId="6418" priority="6076" operator="greaterThan">
      <formula>1</formula>
    </cfRule>
    <cfRule type="cellIs" dxfId="6417" priority="6077" operator="between">
      <formula>0.95</formula>
      <formula>1</formula>
    </cfRule>
    <cfRule type="cellIs" dxfId="6416" priority="6078" stopIfTrue="1" operator="between">
      <formula>0</formula>
      <formula>0.5</formula>
    </cfRule>
  </conditionalFormatting>
  <conditionalFormatting sqref="K346">
    <cfRule type="cellIs" dxfId="6415" priority="6039" operator="between">
      <formula>0.191</formula>
      <formula>0.24</formula>
    </cfRule>
    <cfRule type="cellIs" dxfId="6414" priority="6040" operator="between">
      <formula>0.1251</formula>
      <formula>0.19</formula>
    </cfRule>
    <cfRule type="cellIs" dxfId="6413" priority="6041" operator="greaterThan">
      <formula>0.2601</formula>
    </cfRule>
    <cfRule type="cellIs" dxfId="6412" priority="6042" operator="between">
      <formula>0.2401</formula>
      <formula>0.26</formula>
    </cfRule>
    <cfRule type="cellIs" dxfId="6411" priority="6043" stopIfTrue="1" operator="between">
      <formula>0</formula>
      <formula>0.125</formula>
    </cfRule>
  </conditionalFormatting>
  <conditionalFormatting sqref="R346">
    <cfRule type="cellIs" dxfId="6410" priority="6034" operator="between">
      <formula>0.3751</formula>
      <formula>0.475</formula>
    </cfRule>
    <cfRule type="cellIs" dxfId="6409" priority="6035" operator="between">
      <formula>0.2551</formula>
      <formula>0.375</formula>
    </cfRule>
    <cfRule type="cellIs" dxfId="6408" priority="6036" operator="greaterThan">
      <formula>0.505</formula>
    </cfRule>
    <cfRule type="cellIs" dxfId="6407" priority="6037" operator="between">
      <formula>0.48</formula>
      <formula>0.5</formula>
    </cfRule>
    <cfRule type="cellIs" dxfId="6406" priority="6038" stopIfTrue="1" operator="between">
      <formula>0</formula>
      <formula>0.255</formula>
    </cfRule>
  </conditionalFormatting>
  <conditionalFormatting sqref="T346">
    <cfRule type="cellIs" dxfId="6405" priority="6029" operator="between">
      <formula>0.376</formula>
      <formula>0.475</formula>
    </cfRule>
    <cfRule type="cellIs" dxfId="6404" priority="6030" operator="between">
      <formula>0.2551</formula>
      <formula>0.3751</formula>
    </cfRule>
    <cfRule type="cellIs" dxfId="6403" priority="6031" operator="greaterThan">
      <formula>0.505</formula>
    </cfRule>
    <cfRule type="cellIs" dxfId="6402" priority="6032" operator="between">
      <formula>0.48</formula>
      <formula>0.5</formula>
    </cfRule>
    <cfRule type="cellIs" dxfId="6401" priority="6033" stopIfTrue="1" operator="between">
      <formula>0</formula>
      <formula>0.255</formula>
    </cfRule>
  </conditionalFormatting>
  <conditionalFormatting sqref="AE346">
    <cfRule type="cellIs" dxfId="6400" priority="6019" operator="between">
      <formula>0.76</formula>
      <formula>0.95</formula>
    </cfRule>
    <cfRule type="cellIs" dxfId="6399" priority="6020" operator="between">
      <formula>0.51</formula>
      <formula>0.75</formula>
    </cfRule>
    <cfRule type="cellIs" dxfId="6398" priority="6021" operator="greaterThan">
      <formula>1</formula>
    </cfRule>
    <cfRule type="cellIs" dxfId="6397" priority="6022" operator="between">
      <formula>0.95</formula>
      <formula>1</formula>
    </cfRule>
    <cfRule type="cellIs" dxfId="6396" priority="6023" stopIfTrue="1" operator="between">
      <formula>0</formula>
      <formula>0.5</formula>
    </cfRule>
  </conditionalFormatting>
  <conditionalFormatting sqref="M267">
    <cfRule type="cellIs" dxfId="6395" priority="5994" operator="between">
      <formula>0.191</formula>
      <formula>0.24</formula>
    </cfRule>
    <cfRule type="cellIs" dxfId="6394" priority="5995" operator="between">
      <formula>0.1251</formula>
      <formula>0.19</formula>
    </cfRule>
    <cfRule type="cellIs" dxfId="6393" priority="5996" operator="greaterThan">
      <formula>0.2601</formula>
    </cfRule>
    <cfRule type="cellIs" dxfId="6392" priority="5997" operator="between">
      <formula>0.2401</formula>
      <formula>0.26</formula>
    </cfRule>
    <cfRule type="cellIs" dxfId="6391" priority="5998" stopIfTrue="1" operator="between">
      <formula>0</formula>
      <formula>0.125</formula>
    </cfRule>
  </conditionalFormatting>
  <conditionalFormatting sqref="T267">
    <cfRule type="cellIs" dxfId="6390" priority="5989" operator="between">
      <formula>0.376</formula>
      <formula>0.475</formula>
    </cfRule>
    <cfRule type="cellIs" dxfId="6389" priority="5990" operator="between">
      <formula>0.2551</formula>
      <formula>0.3751</formula>
    </cfRule>
    <cfRule type="cellIs" dxfId="6388" priority="5991" operator="greaterThan">
      <formula>0.505</formula>
    </cfRule>
    <cfRule type="cellIs" dxfId="6387" priority="5992" operator="between">
      <formula>0.48</formula>
      <formula>0.5</formula>
    </cfRule>
    <cfRule type="cellIs" dxfId="6386" priority="5993" stopIfTrue="1" operator="between">
      <formula>0</formula>
      <formula>0.255</formula>
    </cfRule>
  </conditionalFormatting>
  <conditionalFormatting sqref="I268">
    <cfRule type="cellIs" dxfId="6385" priority="5962" operator="between">
      <formula>0.76</formula>
      <formula>0.95</formula>
    </cfRule>
    <cfRule type="cellIs" dxfId="6384" priority="5963" operator="between">
      <formula>0.51</formula>
      <formula>0.75</formula>
    </cfRule>
    <cfRule type="cellIs" dxfId="6383" priority="5964" operator="greaterThan">
      <formula>1</formula>
    </cfRule>
    <cfRule type="cellIs" dxfId="6382" priority="5965" operator="between">
      <formula>0.95</formula>
      <formula>1</formula>
    </cfRule>
    <cfRule type="cellIs" dxfId="6381" priority="5966" stopIfTrue="1" operator="between">
      <formula>0</formula>
      <formula>0.5</formula>
    </cfRule>
  </conditionalFormatting>
  <conditionalFormatting sqref="K268">
    <cfRule type="cellIs" dxfId="6380" priority="5957" operator="between">
      <formula>0.191</formula>
      <formula>0.24</formula>
    </cfRule>
    <cfRule type="cellIs" dxfId="6379" priority="5958" operator="between">
      <formula>0.1251</formula>
      <formula>0.19</formula>
    </cfRule>
    <cfRule type="cellIs" dxfId="6378" priority="5959" operator="greaterThan">
      <formula>0.2601</formula>
    </cfRule>
    <cfRule type="cellIs" dxfId="6377" priority="5960" operator="between">
      <formula>0.2401</formula>
      <formula>0.26</formula>
    </cfRule>
    <cfRule type="cellIs" dxfId="6376" priority="5961" stopIfTrue="1" operator="between">
      <formula>0</formula>
      <formula>0.125</formula>
    </cfRule>
  </conditionalFormatting>
  <conditionalFormatting sqref="P268">
    <cfRule type="cellIs" dxfId="6375" priority="5952" operator="between">
      <formula>0.76</formula>
      <formula>0.95</formula>
    </cfRule>
    <cfRule type="cellIs" dxfId="6374" priority="5953" operator="between">
      <formula>0.51</formula>
      <formula>0.75</formula>
    </cfRule>
    <cfRule type="cellIs" dxfId="6373" priority="5954" operator="greaterThan">
      <formula>1</formula>
    </cfRule>
    <cfRule type="cellIs" dxfId="6372" priority="5955" operator="between">
      <formula>0.95</formula>
      <formula>1</formula>
    </cfRule>
    <cfRule type="cellIs" dxfId="6371" priority="5956" stopIfTrue="1" operator="between">
      <formula>0</formula>
      <formula>0.5</formula>
    </cfRule>
  </conditionalFormatting>
  <conditionalFormatting sqref="W268">
    <cfRule type="cellIs" dxfId="6370" priority="5947" operator="between">
      <formula>0.76</formula>
      <formula>0.95</formula>
    </cfRule>
    <cfRule type="cellIs" dxfId="6369" priority="5948" operator="between">
      <formula>0.51</formula>
      <formula>0.75</formula>
    </cfRule>
    <cfRule type="cellIs" dxfId="6368" priority="5949" operator="greaterThan">
      <formula>1</formula>
    </cfRule>
    <cfRule type="cellIs" dxfId="6367" priority="5950" operator="between">
      <formula>0.95</formula>
      <formula>1</formula>
    </cfRule>
    <cfRule type="cellIs" dxfId="6366" priority="5951" stopIfTrue="1" operator="between">
      <formula>0</formula>
      <formula>0.5</formula>
    </cfRule>
  </conditionalFormatting>
  <conditionalFormatting sqref="AD268">
    <cfRule type="cellIs" dxfId="6365" priority="5937" operator="between">
      <formula>0.76</formula>
      <formula>0.95</formula>
    </cfRule>
    <cfRule type="cellIs" dxfId="6364" priority="5938" operator="between">
      <formula>0.51</formula>
      <formula>0.75</formula>
    </cfRule>
    <cfRule type="cellIs" dxfId="6363" priority="5939" operator="greaterThan">
      <formula>1</formula>
    </cfRule>
    <cfRule type="cellIs" dxfId="6362" priority="5940" operator="between">
      <formula>0.95</formula>
      <formula>1</formula>
    </cfRule>
    <cfRule type="cellIs" dxfId="6361" priority="5941" stopIfTrue="1" operator="between">
      <formula>0</formula>
      <formula>0.5</formula>
    </cfRule>
  </conditionalFormatting>
  <conditionalFormatting sqref="AF268">
    <cfRule type="cellIs" dxfId="6360" priority="5932" operator="between">
      <formula>0.76</formula>
      <formula>0.95</formula>
    </cfRule>
    <cfRule type="cellIs" dxfId="6359" priority="5933" operator="between">
      <formula>0.51</formula>
      <formula>0.75</formula>
    </cfRule>
    <cfRule type="cellIs" dxfId="6358" priority="5934" operator="greaterThan">
      <formula>1</formula>
    </cfRule>
    <cfRule type="cellIs" dxfId="6357" priority="5935" operator="between">
      <formula>0.95</formula>
      <formula>1</formula>
    </cfRule>
    <cfRule type="cellIs" dxfId="6356" priority="5936" stopIfTrue="1" operator="between">
      <formula>0</formula>
      <formula>0.5</formula>
    </cfRule>
  </conditionalFormatting>
  <conditionalFormatting sqref="R268">
    <cfRule type="cellIs" dxfId="6355" priority="5927" operator="between">
      <formula>0.3751</formula>
      <formula>0.475</formula>
    </cfRule>
    <cfRule type="cellIs" dxfId="6354" priority="5928" operator="between">
      <formula>0.2551</formula>
      <formula>0.375</formula>
    </cfRule>
    <cfRule type="cellIs" dxfId="6353" priority="5929" operator="greaterThan">
      <formula>0.505</formula>
    </cfRule>
    <cfRule type="cellIs" dxfId="6352" priority="5930" operator="between">
      <formula>0.48</formula>
      <formula>0.5</formula>
    </cfRule>
    <cfRule type="cellIs" dxfId="6351" priority="5931" stopIfTrue="1" operator="between">
      <formula>0</formula>
      <formula>0.255</formula>
    </cfRule>
  </conditionalFormatting>
  <conditionalFormatting sqref="AF269">
    <cfRule type="cellIs" dxfId="6350" priority="5805" operator="between">
      <formula>0.76</formula>
      <formula>0.95</formula>
    </cfRule>
    <cfRule type="cellIs" dxfId="6349" priority="5806" operator="between">
      <formula>0.51</formula>
      <formula>0.75</formula>
    </cfRule>
    <cfRule type="cellIs" dxfId="6348" priority="5807" operator="greaterThan">
      <formula>1</formula>
    </cfRule>
    <cfRule type="cellIs" dxfId="6347" priority="5808" operator="between">
      <formula>0.95</formula>
      <formula>1</formula>
    </cfRule>
    <cfRule type="cellIs" dxfId="6346" priority="5809" stopIfTrue="1" operator="between">
      <formula>0</formula>
      <formula>0.5</formula>
    </cfRule>
  </conditionalFormatting>
  <conditionalFormatting sqref="J268">
    <cfRule type="cellIs" dxfId="6345" priority="5902" operator="between">
      <formula>0.76</formula>
      <formula>0.95</formula>
    </cfRule>
    <cfRule type="cellIs" dxfId="6344" priority="5903" operator="between">
      <formula>0.51</formula>
      <formula>0.75</formula>
    </cfRule>
    <cfRule type="cellIs" dxfId="6343" priority="5904" operator="greaterThan">
      <formula>1</formula>
    </cfRule>
    <cfRule type="cellIs" dxfId="6342" priority="5905" operator="between">
      <formula>0.95</formula>
      <formula>1</formula>
    </cfRule>
    <cfRule type="cellIs" dxfId="6341" priority="5906" stopIfTrue="1" operator="between">
      <formula>0</formula>
      <formula>0.5</formula>
    </cfRule>
  </conditionalFormatting>
  <conditionalFormatting sqref="X268">
    <cfRule type="cellIs" dxfId="6340" priority="5892" operator="between">
      <formula>0.76</formula>
      <formula>0.95</formula>
    </cfRule>
    <cfRule type="cellIs" dxfId="6339" priority="5893" operator="between">
      <formula>0.51</formula>
      <formula>0.75</formula>
    </cfRule>
    <cfRule type="cellIs" dxfId="6338" priority="5894" operator="greaterThan">
      <formula>1</formula>
    </cfRule>
    <cfRule type="cellIs" dxfId="6337" priority="5895" operator="between">
      <formula>0.95</formula>
      <formula>1</formula>
    </cfRule>
    <cfRule type="cellIs" dxfId="6336" priority="5896" stopIfTrue="1" operator="between">
      <formula>0</formula>
      <formula>0.5</formula>
    </cfRule>
  </conditionalFormatting>
  <conditionalFormatting sqref="M268">
    <cfRule type="cellIs" dxfId="6335" priority="5887" operator="between">
      <formula>0.191</formula>
      <formula>0.24</formula>
    </cfRule>
    <cfRule type="cellIs" dxfId="6334" priority="5888" operator="between">
      <formula>0.1251</formula>
      <formula>0.19</formula>
    </cfRule>
    <cfRule type="cellIs" dxfId="6333" priority="5889" operator="greaterThan">
      <formula>0.2601</formula>
    </cfRule>
    <cfRule type="cellIs" dxfId="6332" priority="5890" operator="between">
      <formula>0.2401</formula>
      <formula>0.26</formula>
    </cfRule>
    <cfRule type="cellIs" dxfId="6331" priority="5891" stopIfTrue="1" operator="between">
      <formula>0</formula>
      <formula>0.125</formula>
    </cfRule>
  </conditionalFormatting>
  <conditionalFormatting sqref="Q268">
    <cfRule type="cellIs" dxfId="6330" priority="5872" operator="between">
      <formula>0.76</formula>
      <formula>0.95</formula>
    </cfRule>
    <cfRule type="cellIs" dxfId="6329" priority="5873" operator="between">
      <formula>0.51</formula>
      <formula>0.75</formula>
    </cfRule>
    <cfRule type="cellIs" dxfId="6328" priority="5874" operator="greaterThan">
      <formula>1</formula>
    </cfRule>
    <cfRule type="cellIs" dxfId="6327" priority="5875" operator="between">
      <formula>0.95</formula>
      <formula>1</formula>
    </cfRule>
    <cfRule type="cellIs" dxfId="6326" priority="5876" stopIfTrue="1" operator="between">
      <formula>0</formula>
      <formula>0.5</formula>
    </cfRule>
  </conditionalFormatting>
  <conditionalFormatting sqref="AE268">
    <cfRule type="cellIs" dxfId="6325" priority="5857" operator="between">
      <formula>0.76</formula>
      <formula>0.95</formula>
    </cfRule>
    <cfRule type="cellIs" dxfId="6324" priority="5858" operator="between">
      <formula>0.51</formula>
      <formula>0.75</formula>
    </cfRule>
    <cfRule type="cellIs" dxfId="6323" priority="5859" operator="greaterThan">
      <formula>1</formula>
    </cfRule>
    <cfRule type="cellIs" dxfId="6322" priority="5860" operator="between">
      <formula>0.95</formula>
      <formula>1</formula>
    </cfRule>
    <cfRule type="cellIs" dxfId="6321" priority="5861" stopIfTrue="1" operator="between">
      <formula>0</formula>
      <formula>0.5</formula>
    </cfRule>
  </conditionalFormatting>
  <conditionalFormatting sqref="I269">
    <cfRule type="cellIs" dxfId="6320" priority="5835" operator="between">
      <formula>0.76</formula>
      <formula>0.95</formula>
    </cfRule>
    <cfRule type="cellIs" dxfId="6319" priority="5836" operator="between">
      <formula>0.51</formula>
      <formula>0.75</formula>
    </cfRule>
    <cfRule type="cellIs" dxfId="6318" priority="5837" operator="greaterThan">
      <formula>1</formula>
    </cfRule>
    <cfRule type="cellIs" dxfId="6317" priority="5838" operator="between">
      <formula>0.95</formula>
      <formula>1</formula>
    </cfRule>
    <cfRule type="cellIs" dxfId="6316" priority="5839" stopIfTrue="1" operator="between">
      <formula>0</formula>
      <formula>0.5</formula>
    </cfRule>
  </conditionalFormatting>
  <conditionalFormatting sqref="K269">
    <cfRule type="cellIs" dxfId="6315" priority="5830" operator="between">
      <formula>0.191</formula>
      <formula>0.24</formula>
    </cfRule>
    <cfRule type="cellIs" dxfId="6314" priority="5831" operator="between">
      <formula>0.1251</formula>
      <formula>0.19</formula>
    </cfRule>
    <cfRule type="cellIs" dxfId="6313" priority="5832" operator="greaterThan">
      <formula>0.2601</formula>
    </cfRule>
    <cfRule type="cellIs" dxfId="6312" priority="5833" operator="between">
      <formula>0.2401</formula>
      <formula>0.26</formula>
    </cfRule>
    <cfRule type="cellIs" dxfId="6311" priority="5834" stopIfTrue="1" operator="between">
      <formula>0</formula>
      <formula>0.125</formula>
    </cfRule>
  </conditionalFormatting>
  <conditionalFormatting sqref="P269">
    <cfRule type="cellIs" dxfId="6310" priority="5825" operator="between">
      <formula>0.76</formula>
      <formula>0.95</formula>
    </cfRule>
    <cfRule type="cellIs" dxfId="6309" priority="5826" operator="between">
      <formula>0.51</formula>
      <formula>0.75</formula>
    </cfRule>
    <cfRule type="cellIs" dxfId="6308" priority="5827" operator="greaterThan">
      <formula>1</formula>
    </cfRule>
    <cfRule type="cellIs" dxfId="6307" priority="5828" operator="between">
      <formula>0.95</formula>
      <formula>1</formula>
    </cfRule>
    <cfRule type="cellIs" dxfId="6306" priority="5829" stopIfTrue="1" operator="between">
      <formula>0</formula>
      <formula>0.5</formula>
    </cfRule>
  </conditionalFormatting>
  <conditionalFormatting sqref="W269">
    <cfRule type="cellIs" dxfId="6305" priority="5820" operator="between">
      <formula>0.76</formula>
      <formula>0.95</formula>
    </cfRule>
    <cfRule type="cellIs" dxfId="6304" priority="5821" operator="between">
      <formula>0.51</formula>
      <formula>0.75</formula>
    </cfRule>
    <cfRule type="cellIs" dxfId="6303" priority="5822" operator="greaterThan">
      <formula>1</formula>
    </cfRule>
    <cfRule type="cellIs" dxfId="6302" priority="5823" operator="between">
      <formula>0.95</formula>
      <formula>1</formula>
    </cfRule>
    <cfRule type="cellIs" dxfId="6301" priority="5824" stopIfTrue="1" operator="between">
      <formula>0</formula>
      <formula>0.5</formula>
    </cfRule>
  </conditionalFormatting>
  <conditionalFormatting sqref="AD269">
    <cfRule type="cellIs" dxfId="6300" priority="5810" operator="between">
      <formula>0.76</formula>
      <formula>0.95</formula>
    </cfRule>
    <cfRule type="cellIs" dxfId="6299" priority="5811" operator="between">
      <formula>0.51</formula>
      <formula>0.75</formula>
    </cfRule>
    <cfRule type="cellIs" dxfId="6298" priority="5812" operator="greaterThan">
      <formula>1</formula>
    </cfRule>
    <cfRule type="cellIs" dxfId="6297" priority="5813" operator="between">
      <formula>0.95</formula>
      <formula>1</formula>
    </cfRule>
    <cfRule type="cellIs" dxfId="6296" priority="5814" stopIfTrue="1" operator="between">
      <formula>0</formula>
      <formula>0.5</formula>
    </cfRule>
  </conditionalFormatting>
  <conditionalFormatting sqref="R269">
    <cfRule type="cellIs" dxfId="6295" priority="5800" operator="between">
      <formula>0.3751</formula>
      <formula>0.475</formula>
    </cfRule>
    <cfRule type="cellIs" dxfId="6294" priority="5801" operator="between">
      <formula>0.2551</formula>
      <formula>0.375</formula>
    </cfRule>
    <cfRule type="cellIs" dxfId="6293" priority="5802" operator="greaterThan">
      <formula>0.505</formula>
    </cfRule>
    <cfRule type="cellIs" dxfId="6292" priority="5803" operator="between">
      <formula>0.48</formula>
      <formula>0.5</formula>
    </cfRule>
    <cfRule type="cellIs" dxfId="6291" priority="5804" stopIfTrue="1" operator="between">
      <formula>0</formula>
      <formula>0.255</formula>
    </cfRule>
  </conditionalFormatting>
  <conditionalFormatting sqref="X269">
    <cfRule type="cellIs" dxfId="6290" priority="5775" operator="between">
      <formula>0.76</formula>
      <formula>0.95</formula>
    </cfRule>
    <cfRule type="cellIs" dxfId="6289" priority="5776" operator="between">
      <formula>0.51</formula>
      <formula>0.75</formula>
    </cfRule>
    <cfRule type="cellIs" dxfId="6288" priority="5777" operator="greaterThan">
      <formula>1</formula>
    </cfRule>
    <cfRule type="cellIs" dxfId="6287" priority="5778" operator="between">
      <formula>0.95</formula>
      <formula>1</formula>
    </cfRule>
    <cfRule type="cellIs" dxfId="6286" priority="5779" stopIfTrue="1" operator="between">
      <formula>0</formula>
      <formula>0.5</formula>
    </cfRule>
  </conditionalFormatting>
  <conditionalFormatting sqref="AE269">
    <cfRule type="cellIs" dxfId="6285" priority="5750" operator="between">
      <formula>0.76</formula>
      <formula>0.95</formula>
    </cfRule>
    <cfRule type="cellIs" dxfId="6284" priority="5751" operator="between">
      <formula>0.51</formula>
      <formula>0.75</formula>
    </cfRule>
    <cfRule type="cellIs" dxfId="6283" priority="5752" operator="greaterThan">
      <formula>1</formula>
    </cfRule>
    <cfRule type="cellIs" dxfId="6282" priority="5753" operator="between">
      <formula>0.95</formula>
      <formula>1</formula>
    </cfRule>
    <cfRule type="cellIs" dxfId="6281" priority="5754" stopIfTrue="1" operator="between">
      <formula>0</formula>
      <formula>0.5</formula>
    </cfRule>
  </conditionalFormatting>
  <conditionalFormatting sqref="I146:I148 I150">
    <cfRule type="cellIs" dxfId="6280" priority="5723" operator="between">
      <formula>0.76</formula>
      <formula>0.95</formula>
    </cfRule>
    <cfRule type="cellIs" dxfId="6279" priority="5724" operator="between">
      <formula>0.51</formula>
      <formula>0.75</formula>
    </cfRule>
    <cfRule type="cellIs" dxfId="6278" priority="5725" operator="greaterThan">
      <formula>1</formula>
    </cfRule>
    <cfRule type="cellIs" dxfId="6277" priority="5726" operator="between">
      <formula>0.95</formula>
      <formula>1</formula>
    </cfRule>
    <cfRule type="cellIs" dxfId="6276" priority="5727" stopIfTrue="1" operator="between">
      <formula>0</formula>
      <formula>0.5</formula>
    </cfRule>
  </conditionalFormatting>
  <conditionalFormatting sqref="K146:K148 K150">
    <cfRule type="cellIs" dxfId="6275" priority="5718" operator="between">
      <formula>0.191</formula>
      <formula>0.24</formula>
    </cfRule>
    <cfRule type="cellIs" dxfId="6274" priority="5719" operator="between">
      <formula>0.1251</formula>
      <formula>0.19</formula>
    </cfRule>
    <cfRule type="cellIs" dxfId="6273" priority="5720" operator="greaterThan">
      <formula>0.2601</formula>
    </cfRule>
    <cfRule type="cellIs" dxfId="6272" priority="5721" operator="between">
      <formula>0.2401</formula>
      <formula>0.26</formula>
    </cfRule>
    <cfRule type="cellIs" dxfId="6271" priority="5722" stopIfTrue="1" operator="between">
      <formula>0</formula>
      <formula>0.125</formula>
    </cfRule>
  </conditionalFormatting>
  <conditionalFormatting sqref="P146:P148 P150">
    <cfRule type="cellIs" dxfId="6270" priority="5713" operator="between">
      <formula>0.76</formula>
      <formula>0.95</formula>
    </cfRule>
    <cfRule type="cellIs" dxfId="6269" priority="5714" operator="between">
      <formula>0.51</formula>
      <formula>0.75</formula>
    </cfRule>
    <cfRule type="cellIs" dxfId="6268" priority="5715" operator="greaterThan">
      <formula>1</formula>
    </cfRule>
    <cfRule type="cellIs" dxfId="6267" priority="5716" operator="between">
      <formula>0.95</formula>
      <formula>1</formula>
    </cfRule>
    <cfRule type="cellIs" dxfId="6266" priority="5717" stopIfTrue="1" operator="between">
      <formula>0</formula>
      <formula>0.5</formula>
    </cfRule>
  </conditionalFormatting>
  <conditionalFormatting sqref="W146:W148 W150">
    <cfRule type="cellIs" dxfId="6265" priority="5708" operator="between">
      <formula>0.76</formula>
      <formula>0.95</formula>
    </cfRule>
    <cfRule type="cellIs" dxfId="6264" priority="5709" operator="between">
      <formula>0.51</formula>
      <formula>0.75</formula>
    </cfRule>
    <cfRule type="cellIs" dxfId="6263" priority="5710" operator="greaterThan">
      <formula>1</formula>
    </cfRule>
    <cfRule type="cellIs" dxfId="6262" priority="5711" operator="between">
      <formula>0.95</formula>
      <formula>1</formula>
    </cfRule>
    <cfRule type="cellIs" dxfId="6261" priority="5712" stopIfTrue="1" operator="between">
      <formula>0</formula>
      <formula>0.5</formula>
    </cfRule>
  </conditionalFormatting>
  <conditionalFormatting sqref="AD146:AD148 AD150">
    <cfRule type="cellIs" dxfId="6260" priority="5698" operator="between">
      <formula>0.76</formula>
      <formula>0.95</formula>
    </cfRule>
    <cfRule type="cellIs" dxfId="6259" priority="5699" operator="between">
      <formula>0.51</formula>
      <formula>0.75</formula>
    </cfRule>
    <cfRule type="cellIs" dxfId="6258" priority="5700" operator="greaterThan">
      <formula>1</formula>
    </cfRule>
    <cfRule type="cellIs" dxfId="6257" priority="5701" operator="between">
      <formula>0.95</formula>
      <formula>1</formula>
    </cfRule>
    <cfRule type="cellIs" dxfId="6256" priority="5702" stopIfTrue="1" operator="between">
      <formula>0</formula>
      <formula>0.5</formula>
    </cfRule>
  </conditionalFormatting>
  <conditionalFormatting sqref="AF146:AF148 AF150">
    <cfRule type="cellIs" dxfId="6255" priority="5693" operator="between">
      <formula>0.76</formula>
      <formula>0.95</formula>
    </cfRule>
    <cfRule type="cellIs" dxfId="6254" priority="5694" operator="between">
      <formula>0.51</formula>
      <formula>0.75</formula>
    </cfRule>
    <cfRule type="cellIs" dxfId="6253" priority="5695" operator="greaterThan">
      <formula>1</formula>
    </cfRule>
    <cfRule type="cellIs" dxfId="6252" priority="5696" operator="between">
      <formula>0.95</formula>
      <formula>1</formula>
    </cfRule>
    <cfRule type="cellIs" dxfId="6251" priority="5697" stopIfTrue="1" operator="between">
      <formula>0</formula>
      <formula>0.5</formula>
    </cfRule>
  </conditionalFormatting>
  <conditionalFormatting sqref="R146:R148 R150">
    <cfRule type="cellIs" dxfId="6250" priority="5688" operator="between">
      <formula>0.3751</formula>
      <formula>0.475</formula>
    </cfRule>
    <cfRule type="cellIs" dxfId="6249" priority="5689" operator="between">
      <formula>0.2551</formula>
      <formula>0.375</formula>
    </cfRule>
    <cfRule type="cellIs" dxfId="6248" priority="5690" operator="greaterThan">
      <formula>0.505</formula>
    </cfRule>
    <cfRule type="cellIs" dxfId="6247" priority="5691" operator="between">
      <formula>0.48</formula>
      <formula>0.5</formula>
    </cfRule>
    <cfRule type="cellIs" dxfId="6246" priority="5692" stopIfTrue="1" operator="between">
      <formula>0</formula>
      <formula>0.255</formula>
    </cfRule>
  </conditionalFormatting>
  <conditionalFormatting sqref="J146:J148 J150">
    <cfRule type="cellIs" dxfId="6245" priority="5678" operator="between">
      <formula>0.76</formula>
      <formula>0.95</formula>
    </cfRule>
    <cfRule type="cellIs" dxfId="6244" priority="5679" operator="between">
      <formula>0.51</formula>
      <formula>0.75</formula>
    </cfRule>
    <cfRule type="cellIs" dxfId="6243" priority="5680" operator="greaterThan">
      <formula>1</formula>
    </cfRule>
    <cfRule type="cellIs" dxfId="6242" priority="5681" operator="between">
      <formula>0.95</formula>
      <formula>1</formula>
    </cfRule>
    <cfRule type="cellIs" dxfId="6241" priority="5682" stopIfTrue="1" operator="between">
      <formula>0</formula>
      <formula>0.5</formula>
    </cfRule>
  </conditionalFormatting>
  <conditionalFormatting sqref="M146:M148 M150">
    <cfRule type="cellIs" dxfId="6240" priority="5673" operator="between">
      <formula>0.191</formula>
      <formula>0.24</formula>
    </cfRule>
    <cfRule type="cellIs" dxfId="6239" priority="5674" operator="between">
      <formula>0.1251</formula>
      <formula>0.19</formula>
    </cfRule>
    <cfRule type="cellIs" dxfId="6238" priority="5675" operator="greaterThan">
      <formula>0.2601</formula>
    </cfRule>
    <cfRule type="cellIs" dxfId="6237" priority="5676" operator="between">
      <formula>0.2401</formula>
      <formula>0.26</formula>
    </cfRule>
    <cfRule type="cellIs" dxfId="6236" priority="5677" stopIfTrue="1" operator="between">
      <formula>0</formula>
      <formula>0.125</formula>
    </cfRule>
  </conditionalFormatting>
  <conditionalFormatting sqref="T146:T148 T150">
    <cfRule type="cellIs" dxfId="6235" priority="5668" operator="between">
      <formula>0.376</formula>
      <formula>0.475</formula>
    </cfRule>
    <cfRule type="cellIs" dxfId="6234" priority="5669" operator="between">
      <formula>0.2551</formula>
      <formula>0.3751</formula>
    </cfRule>
    <cfRule type="cellIs" dxfId="6233" priority="5670" operator="greaterThan">
      <formula>0.505</formula>
    </cfRule>
    <cfRule type="cellIs" dxfId="6232" priority="5671" operator="between">
      <formula>0.48</formula>
      <formula>0.5</formula>
    </cfRule>
    <cfRule type="cellIs" dxfId="6231" priority="5672" stopIfTrue="1" operator="between">
      <formula>0</formula>
      <formula>0.255</formula>
    </cfRule>
  </conditionalFormatting>
  <conditionalFormatting sqref="AE146:AE148 AE150">
    <cfRule type="cellIs" dxfId="6230" priority="5663" operator="between">
      <formula>0.76</formula>
      <formula>0.95</formula>
    </cfRule>
    <cfRule type="cellIs" dxfId="6229" priority="5664" operator="between">
      <formula>0.51</formula>
      <formula>0.75</formula>
    </cfRule>
    <cfRule type="cellIs" dxfId="6228" priority="5665" operator="greaterThan">
      <formula>1</formula>
    </cfRule>
    <cfRule type="cellIs" dxfId="6227" priority="5666" operator="between">
      <formula>0.95</formula>
      <formula>1</formula>
    </cfRule>
    <cfRule type="cellIs" dxfId="6226" priority="5667" stopIfTrue="1" operator="between">
      <formula>0</formula>
      <formula>0.5</formula>
    </cfRule>
  </conditionalFormatting>
  <conditionalFormatting sqref="AG147:AG148 AG150">
    <cfRule type="cellIs" dxfId="6225" priority="5658" operator="between">
      <formula>0.191</formula>
      <formula>0.24</formula>
    </cfRule>
    <cfRule type="cellIs" dxfId="6224" priority="5659" operator="between">
      <formula>0.1251</formula>
      <formula>0.19</formula>
    </cfRule>
    <cfRule type="cellIs" dxfId="6223" priority="5660" operator="greaterThan">
      <formula>0.2601</formula>
    </cfRule>
    <cfRule type="cellIs" dxfId="6222" priority="5661" operator="between">
      <formula>0.2401</formula>
      <formula>0.26</formula>
    </cfRule>
    <cfRule type="cellIs" dxfId="6221" priority="5662" stopIfTrue="1" operator="between">
      <formula>0</formula>
      <formula>0.125</formula>
    </cfRule>
  </conditionalFormatting>
  <conditionalFormatting sqref="Q146:Q148 Q150">
    <cfRule type="cellIs" dxfId="6220" priority="5638" operator="between">
      <formula>0.76</formula>
      <formula>0.95</formula>
    </cfRule>
    <cfRule type="cellIs" dxfId="6219" priority="5639" operator="between">
      <formula>0.51</formula>
      <formula>0.75</formula>
    </cfRule>
    <cfRule type="cellIs" dxfId="6218" priority="5640" operator="greaterThan">
      <formula>1</formula>
    </cfRule>
    <cfRule type="cellIs" dxfId="6217" priority="5641" operator="between">
      <formula>0.95</formula>
      <formula>1</formula>
    </cfRule>
    <cfRule type="cellIs" dxfId="6216" priority="5642" stopIfTrue="1" operator="between">
      <formula>0</formula>
      <formula>0.5</formula>
    </cfRule>
  </conditionalFormatting>
  <conditionalFormatting sqref="AE147:AE148 AE150">
    <cfRule type="cellIs" dxfId="6215" priority="5491" operator="between">
      <formula>0.76</formula>
      <formula>0.95</formula>
    </cfRule>
    <cfRule type="cellIs" dxfId="6214" priority="5492" operator="between">
      <formula>0.51</formula>
      <formula>0.75</formula>
    </cfRule>
    <cfRule type="cellIs" dxfId="6213" priority="5493" operator="greaterThan">
      <formula>1</formula>
    </cfRule>
    <cfRule type="cellIs" dxfId="6212" priority="5494" operator="between">
      <formula>0.95</formula>
      <formula>1</formula>
    </cfRule>
    <cfRule type="cellIs" dxfId="6211" priority="5495" stopIfTrue="1" operator="between">
      <formula>0</formula>
      <formula>0.5</formula>
    </cfRule>
  </conditionalFormatting>
  <conditionalFormatting sqref="X146:X148 X150">
    <cfRule type="cellIs" dxfId="6210" priority="5623" operator="between">
      <formula>0.76</formula>
      <formula>0.95</formula>
    </cfRule>
    <cfRule type="cellIs" dxfId="6209" priority="5624" operator="between">
      <formula>0.51</formula>
      <formula>0.75</formula>
    </cfRule>
    <cfRule type="cellIs" dxfId="6208" priority="5625" operator="greaterThan">
      <formula>1</formula>
    </cfRule>
    <cfRule type="cellIs" dxfId="6207" priority="5626" operator="between">
      <formula>0.95</formula>
      <formula>1</formula>
    </cfRule>
    <cfRule type="cellIs" dxfId="6206" priority="5627" stopIfTrue="1" operator="between">
      <formula>0</formula>
      <formula>0.5</formula>
    </cfRule>
  </conditionalFormatting>
  <conditionalFormatting sqref="T131:T132">
    <cfRule type="cellIs" dxfId="6205" priority="5618" operator="between">
      <formula>0.191</formula>
      <formula>0.24</formula>
    </cfRule>
    <cfRule type="cellIs" dxfId="6204" priority="5619" operator="between">
      <formula>0.1251</formula>
      <formula>0.19</formula>
    </cfRule>
    <cfRule type="cellIs" dxfId="6203" priority="5620" operator="greaterThan">
      <formula>0.2601</formula>
    </cfRule>
    <cfRule type="cellIs" dxfId="6202" priority="5621" operator="between">
      <formula>0.2401</formula>
      <formula>0.26</formula>
    </cfRule>
    <cfRule type="cellIs" dxfId="6201" priority="5622" stopIfTrue="1" operator="between">
      <formula>0</formula>
      <formula>0.125</formula>
    </cfRule>
  </conditionalFormatting>
  <conditionalFormatting sqref="T179">
    <cfRule type="cellIs" dxfId="6200" priority="5531" operator="between">
      <formula>0.376</formula>
      <formula>0.475</formula>
    </cfRule>
    <cfRule type="cellIs" dxfId="6199" priority="5532" operator="between">
      <formula>0.2551</formula>
      <formula>0.3751</formula>
    </cfRule>
    <cfRule type="cellIs" dxfId="6198" priority="5533" operator="greaterThan">
      <formula>0.505</formula>
    </cfRule>
    <cfRule type="cellIs" dxfId="6197" priority="5534" operator="between">
      <formula>0.48</formula>
      <formula>0.5</formula>
    </cfRule>
    <cfRule type="cellIs" dxfId="6196" priority="5535" stopIfTrue="1" operator="between">
      <formula>0</formula>
      <formula>0.255</formula>
    </cfRule>
  </conditionalFormatting>
  <conditionalFormatting sqref="AE179">
    <cfRule type="cellIs" dxfId="6195" priority="5526" operator="between">
      <formula>0.76</formula>
      <formula>0.95</formula>
    </cfRule>
    <cfRule type="cellIs" dxfId="6194" priority="5527" operator="between">
      <formula>0.51</formula>
      <formula>0.75</formula>
    </cfRule>
    <cfRule type="cellIs" dxfId="6193" priority="5528" operator="greaterThan">
      <formula>1</formula>
    </cfRule>
    <cfRule type="cellIs" dxfId="6192" priority="5529" operator="between">
      <formula>0.95</formula>
      <formula>1</formula>
    </cfRule>
    <cfRule type="cellIs" dxfId="6191" priority="5530" stopIfTrue="1" operator="between">
      <formula>0</formula>
      <formula>0.5</formula>
    </cfRule>
  </conditionalFormatting>
  <conditionalFormatting sqref="Q179">
    <cfRule type="cellIs" dxfId="6190" priority="5516" operator="between">
      <formula>0.76</formula>
      <formula>0.95</formula>
    </cfRule>
    <cfRule type="cellIs" dxfId="6189" priority="5517" operator="between">
      <formula>0.51</formula>
      <formula>0.75</formula>
    </cfRule>
    <cfRule type="cellIs" dxfId="6188" priority="5518" operator="greaterThan">
      <formula>1</formula>
    </cfRule>
    <cfRule type="cellIs" dxfId="6187" priority="5519" operator="between">
      <formula>0.95</formula>
      <formula>1</formula>
    </cfRule>
    <cfRule type="cellIs" dxfId="6186" priority="5520" stopIfTrue="1" operator="between">
      <formula>0</formula>
      <formula>0.5</formula>
    </cfRule>
  </conditionalFormatting>
  <conditionalFormatting sqref="Q147:Q148 Q150">
    <cfRule type="cellIs" dxfId="6185" priority="5501" operator="between">
      <formula>0.76</formula>
      <formula>0.95</formula>
    </cfRule>
    <cfRule type="cellIs" dxfId="6184" priority="5502" operator="between">
      <formula>0.51</formula>
      <formula>0.75</formula>
    </cfRule>
    <cfRule type="cellIs" dxfId="6183" priority="5503" operator="greaterThan">
      <formula>1</formula>
    </cfRule>
    <cfRule type="cellIs" dxfId="6182" priority="5504" operator="between">
      <formula>0.95</formula>
      <formula>1</formula>
    </cfRule>
    <cfRule type="cellIs" dxfId="6181" priority="5505" stopIfTrue="1" operator="between">
      <formula>0</formula>
      <formula>0.5</formula>
    </cfRule>
  </conditionalFormatting>
  <conditionalFormatting sqref="T147:T148 T150">
    <cfRule type="cellIs" dxfId="6180" priority="5496" operator="between">
      <formula>0.191</formula>
      <formula>0.24</formula>
    </cfRule>
    <cfRule type="cellIs" dxfId="6179" priority="5497" operator="between">
      <formula>0.1251</formula>
      <formula>0.19</formula>
    </cfRule>
    <cfRule type="cellIs" dxfId="6178" priority="5498" operator="greaterThan">
      <formula>0.2601</formula>
    </cfRule>
    <cfRule type="cellIs" dxfId="6177" priority="5499" operator="between">
      <formula>0.2401</formula>
      <formula>0.26</formula>
    </cfRule>
    <cfRule type="cellIs" dxfId="6176" priority="5500" stopIfTrue="1" operator="between">
      <formula>0</formula>
      <formula>0.125</formula>
    </cfRule>
  </conditionalFormatting>
  <conditionalFormatting sqref="AG147:AG148 AG150">
    <cfRule type="cellIs" dxfId="6175" priority="5486" operator="between">
      <formula>0.76</formula>
      <formula>0.95</formula>
    </cfRule>
    <cfRule type="cellIs" dxfId="6174" priority="5487" operator="between">
      <formula>0.51</formula>
      <formula>0.75</formula>
    </cfRule>
    <cfRule type="cellIs" dxfId="6173" priority="5488" operator="greaterThan">
      <formula>1</formula>
    </cfRule>
    <cfRule type="cellIs" dxfId="6172" priority="5489" operator="between">
      <formula>0.95</formula>
      <formula>1</formula>
    </cfRule>
    <cfRule type="cellIs" dxfId="6171" priority="5490" stopIfTrue="1" operator="between">
      <formula>0</formula>
      <formula>0.5</formula>
    </cfRule>
  </conditionalFormatting>
  <conditionalFormatting sqref="P347">
    <cfRule type="cellIs" dxfId="6170" priority="5459" operator="between">
      <formula>0.76</formula>
      <formula>0.95</formula>
    </cfRule>
    <cfRule type="cellIs" dxfId="6169" priority="5460" operator="between">
      <formula>0.51</formula>
      <formula>0.75</formula>
    </cfRule>
    <cfRule type="cellIs" dxfId="6168" priority="5461" operator="greaterThan">
      <formula>1</formula>
    </cfRule>
    <cfRule type="cellIs" dxfId="6167" priority="5462" operator="between">
      <formula>0.95</formula>
      <formula>1</formula>
    </cfRule>
    <cfRule type="cellIs" dxfId="6166" priority="5463" stopIfTrue="1" operator="between">
      <formula>0</formula>
      <formula>0.5</formula>
    </cfRule>
  </conditionalFormatting>
  <conditionalFormatting sqref="W347">
    <cfRule type="cellIs" dxfId="6165" priority="5454" operator="between">
      <formula>0.76</formula>
      <formula>0.95</formula>
    </cfRule>
    <cfRule type="cellIs" dxfId="6164" priority="5455" operator="between">
      <formula>0.51</formula>
      <formula>0.75</formula>
    </cfRule>
    <cfRule type="cellIs" dxfId="6163" priority="5456" operator="greaterThan">
      <formula>1</formula>
    </cfRule>
    <cfRule type="cellIs" dxfId="6162" priority="5457" operator="between">
      <formula>0.95</formula>
      <formula>1</formula>
    </cfRule>
    <cfRule type="cellIs" dxfId="6161" priority="5458" stopIfTrue="1" operator="between">
      <formula>0</formula>
      <formula>0.5</formula>
    </cfRule>
  </conditionalFormatting>
  <conditionalFormatting sqref="AD347">
    <cfRule type="cellIs" dxfId="6160" priority="5449" operator="between">
      <formula>0.76</formula>
      <formula>0.95</formula>
    </cfRule>
    <cfRule type="cellIs" dxfId="6159" priority="5450" operator="between">
      <formula>0.51</formula>
      <formula>0.75</formula>
    </cfRule>
    <cfRule type="cellIs" dxfId="6158" priority="5451" operator="greaterThan">
      <formula>1</formula>
    </cfRule>
    <cfRule type="cellIs" dxfId="6157" priority="5452" operator="between">
      <formula>0.95</formula>
      <formula>1</formula>
    </cfRule>
    <cfRule type="cellIs" dxfId="6156" priority="5453" stopIfTrue="1" operator="between">
      <formula>0</formula>
      <formula>0.5</formula>
    </cfRule>
  </conditionalFormatting>
  <conditionalFormatting sqref="AF347">
    <cfRule type="cellIs" dxfId="6155" priority="5439" operator="between">
      <formula>0.76</formula>
      <formula>0.95</formula>
    </cfRule>
    <cfRule type="cellIs" dxfId="6154" priority="5440" operator="between">
      <formula>0.51</formula>
      <formula>0.75</formula>
    </cfRule>
    <cfRule type="cellIs" dxfId="6153" priority="5441" operator="greaterThan">
      <formula>1</formula>
    </cfRule>
    <cfRule type="cellIs" dxfId="6152" priority="5442" operator="between">
      <formula>0.95</formula>
      <formula>1</formula>
    </cfRule>
    <cfRule type="cellIs" dxfId="6151" priority="5443" stopIfTrue="1" operator="between">
      <formula>0</formula>
      <formula>0.5</formula>
    </cfRule>
  </conditionalFormatting>
  <conditionalFormatting sqref="AG347">
    <cfRule type="cellIs" dxfId="6150" priority="5404" operator="between">
      <formula>0.76</formula>
      <formula>0.95</formula>
    </cfRule>
    <cfRule type="cellIs" dxfId="6149" priority="5405" operator="between">
      <formula>0.51</formula>
      <formula>0.75</formula>
    </cfRule>
    <cfRule type="cellIs" dxfId="6148" priority="5406" operator="greaterThan">
      <formula>1</formula>
    </cfRule>
    <cfRule type="cellIs" dxfId="6147" priority="5407" operator="between">
      <formula>0.95</formula>
      <formula>1</formula>
    </cfRule>
    <cfRule type="cellIs" dxfId="6146" priority="5408" stopIfTrue="1" operator="between">
      <formula>0</formula>
      <formula>0.5</formula>
    </cfRule>
  </conditionalFormatting>
  <conditionalFormatting sqref="J347">
    <cfRule type="cellIs" dxfId="6145" priority="5399" operator="between">
      <formula>0.76</formula>
      <formula>0.95</formula>
    </cfRule>
    <cfRule type="cellIs" dxfId="6144" priority="5400" operator="between">
      <formula>0.51</formula>
      <formula>0.75</formula>
    </cfRule>
    <cfRule type="cellIs" dxfId="6143" priority="5401" operator="greaterThan">
      <formula>1</formula>
    </cfRule>
    <cfRule type="cellIs" dxfId="6142" priority="5402" operator="between">
      <formula>0.95</formula>
      <formula>1</formula>
    </cfRule>
    <cfRule type="cellIs" dxfId="6141" priority="5403" stopIfTrue="1" operator="between">
      <formula>0</formula>
      <formula>0.5</formula>
    </cfRule>
  </conditionalFormatting>
  <conditionalFormatting sqref="Q347">
    <cfRule type="cellIs" dxfId="6140" priority="5394" operator="between">
      <formula>0.76</formula>
      <formula>0.95</formula>
    </cfRule>
    <cfRule type="cellIs" dxfId="6139" priority="5395" operator="between">
      <formula>0.51</formula>
      <formula>0.75</formula>
    </cfRule>
    <cfRule type="cellIs" dxfId="6138" priority="5396" operator="greaterThan">
      <formula>1</formula>
    </cfRule>
    <cfRule type="cellIs" dxfId="6137" priority="5397" operator="between">
      <formula>0.95</formula>
      <formula>1</formula>
    </cfRule>
    <cfRule type="cellIs" dxfId="6136" priority="5398" stopIfTrue="1" operator="between">
      <formula>0</formula>
      <formula>0.5</formula>
    </cfRule>
  </conditionalFormatting>
  <conditionalFormatting sqref="X347">
    <cfRule type="cellIs" dxfId="6135" priority="5389" operator="between">
      <formula>0.76</formula>
      <formula>0.95</formula>
    </cfRule>
    <cfRule type="cellIs" dxfId="6134" priority="5390" operator="between">
      <formula>0.51</formula>
      <formula>0.75</formula>
    </cfRule>
    <cfRule type="cellIs" dxfId="6133" priority="5391" operator="greaterThan">
      <formula>1</formula>
    </cfRule>
    <cfRule type="cellIs" dxfId="6132" priority="5392" operator="between">
      <formula>0.95</formula>
      <formula>1</formula>
    </cfRule>
    <cfRule type="cellIs" dxfId="6131" priority="5393" stopIfTrue="1" operator="between">
      <formula>0</formula>
      <formula>0.5</formula>
    </cfRule>
  </conditionalFormatting>
  <conditionalFormatting sqref="I347">
    <cfRule type="cellIs" dxfId="6130" priority="5464" operator="between">
      <formula>0.76</formula>
      <formula>0.95</formula>
    </cfRule>
    <cfRule type="cellIs" dxfId="6129" priority="5465" operator="between">
      <formula>0.51</formula>
      <formula>0.75</formula>
    </cfRule>
    <cfRule type="cellIs" dxfId="6128" priority="5466" operator="greaterThan">
      <formula>1</formula>
    </cfRule>
    <cfRule type="cellIs" dxfId="6127" priority="5467" operator="between">
      <formula>0.95</formula>
      <formula>1</formula>
    </cfRule>
    <cfRule type="cellIs" dxfId="6126" priority="5468" stopIfTrue="1" operator="between">
      <formula>0</formula>
      <formula>0.5</formula>
    </cfRule>
  </conditionalFormatting>
  <conditionalFormatting sqref="K347">
    <cfRule type="cellIs" dxfId="6125" priority="5429" operator="between">
      <formula>0.191</formula>
      <formula>0.24</formula>
    </cfRule>
    <cfRule type="cellIs" dxfId="6124" priority="5430" operator="between">
      <formula>0.1251</formula>
      <formula>0.19</formula>
    </cfRule>
    <cfRule type="cellIs" dxfId="6123" priority="5431" operator="greaterThan">
      <formula>0.2601</formula>
    </cfRule>
    <cfRule type="cellIs" dxfId="6122" priority="5432" operator="between">
      <formula>0.2401</formula>
      <formula>0.26</formula>
    </cfRule>
    <cfRule type="cellIs" dxfId="6121" priority="5433" stopIfTrue="1" operator="between">
      <formula>0</formula>
      <formula>0.125</formula>
    </cfRule>
  </conditionalFormatting>
  <conditionalFormatting sqref="R347">
    <cfRule type="cellIs" dxfId="6120" priority="5424" operator="between">
      <formula>0.3751</formula>
      <formula>0.475</formula>
    </cfRule>
    <cfRule type="cellIs" dxfId="6119" priority="5425" operator="between">
      <formula>0.2551</formula>
      <formula>0.375</formula>
    </cfRule>
    <cfRule type="cellIs" dxfId="6118" priority="5426" operator="greaterThan">
      <formula>0.505</formula>
    </cfRule>
    <cfRule type="cellIs" dxfId="6117" priority="5427" operator="between">
      <formula>0.48</formula>
      <formula>0.5</formula>
    </cfRule>
    <cfRule type="cellIs" dxfId="6116" priority="5428" stopIfTrue="1" operator="between">
      <formula>0</formula>
      <formula>0.255</formula>
    </cfRule>
  </conditionalFormatting>
  <conditionalFormatting sqref="T347">
    <cfRule type="cellIs" dxfId="6115" priority="5419" operator="between">
      <formula>0.376</formula>
      <formula>0.475</formula>
    </cfRule>
    <cfRule type="cellIs" dxfId="6114" priority="5420" operator="between">
      <formula>0.2551</formula>
      <formula>0.3751</formula>
    </cfRule>
    <cfRule type="cellIs" dxfId="6113" priority="5421" operator="greaterThan">
      <formula>0.505</formula>
    </cfRule>
    <cfRule type="cellIs" dxfId="6112" priority="5422" operator="between">
      <formula>0.48</formula>
      <formula>0.5</formula>
    </cfRule>
    <cfRule type="cellIs" dxfId="6111" priority="5423" stopIfTrue="1" operator="between">
      <formula>0</formula>
      <formula>0.255</formula>
    </cfRule>
  </conditionalFormatting>
  <conditionalFormatting sqref="AE347">
    <cfRule type="cellIs" dxfId="6110" priority="5409" operator="between">
      <formula>0.76</formula>
      <formula>0.95</formula>
    </cfRule>
    <cfRule type="cellIs" dxfId="6109" priority="5410" operator="between">
      <formula>0.51</formula>
      <formula>0.75</formula>
    </cfRule>
    <cfRule type="cellIs" dxfId="6108" priority="5411" operator="greaterThan">
      <formula>1</formula>
    </cfRule>
    <cfRule type="cellIs" dxfId="6107" priority="5412" operator="between">
      <formula>0.95</formula>
      <formula>1</formula>
    </cfRule>
    <cfRule type="cellIs" dxfId="6106" priority="5413" stopIfTrue="1" operator="between">
      <formula>0</formula>
      <formula>0.5</formula>
    </cfRule>
  </conditionalFormatting>
  <conditionalFormatting sqref="I137">
    <cfRule type="cellIs" dxfId="6105" priority="5362" operator="between">
      <formula>0.76</formula>
      <formula>0.95</formula>
    </cfRule>
    <cfRule type="cellIs" dxfId="6104" priority="5363" operator="between">
      <formula>0.51</formula>
      <formula>0.75</formula>
    </cfRule>
    <cfRule type="cellIs" dxfId="6103" priority="5364" operator="greaterThan">
      <formula>1</formula>
    </cfRule>
    <cfRule type="cellIs" dxfId="6102" priority="5365" operator="between">
      <formula>0.95</formula>
      <formula>1</formula>
    </cfRule>
    <cfRule type="cellIs" dxfId="6101" priority="5366" stopIfTrue="1" operator="between">
      <formula>0</formula>
      <formula>0.5</formula>
    </cfRule>
  </conditionalFormatting>
  <conditionalFormatting sqref="K137">
    <cfRule type="cellIs" dxfId="6100" priority="5357" operator="between">
      <formula>0.191</formula>
      <formula>0.24</formula>
    </cfRule>
    <cfRule type="cellIs" dxfId="6099" priority="5358" operator="between">
      <formula>0.1251</formula>
      <formula>0.19</formula>
    </cfRule>
    <cfRule type="cellIs" dxfId="6098" priority="5359" operator="greaterThan">
      <formula>0.2601</formula>
    </cfRule>
    <cfRule type="cellIs" dxfId="6097" priority="5360" operator="between">
      <formula>0.2401</formula>
      <formula>0.26</formula>
    </cfRule>
    <cfRule type="cellIs" dxfId="6096" priority="5361" stopIfTrue="1" operator="between">
      <formula>0</formula>
      <formula>0.125</formula>
    </cfRule>
  </conditionalFormatting>
  <conditionalFormatting sqref="P137">
    <cfRule type="cellIs" dxfId="6095" priority="5352" operator="between">
      <formula>0.76</formula>
      <formula>0.95</formula>
    </cfRule>
    <cfRule type="cellIs" dxfId="6094" priority="5353" operator="between">
      <formula>0.51</formula>
      <formula>0.75</formula>
    </cfRule>
    <cfRule type="cellIs" dxfId="6093" priority="5354" operator="greaterThan">
      <formula>1</formula>
    </cfRule>
    <cfRule type="cellIs" dxfId="6092" priority="5355" operator="between">
      <formula>0.95</formula>
      <formula>1</formula>
    </cfRule>
    <cfRule type="cellIs" dxfId="6091" priority="5356" stopIfTrue="1" operator="between">
      <formula>0</formula>
      <formula>0.5</formula>
    </cfRule>
  </conditionalFormatting>
  <conditionalFormatting sqref="W137">
    <cfRule type="cellIs" dxfId="6090" priority="5347" operator="between">
      <formula>0.76</formula>
      <formula>0.95</formula>
    </cfRule>
    <cfRule type="cellIs" dxfId="6089" priority="5348" operator="between">
      <formula>0.51</formula>
      <formula>0.75</formula>
    </cfRule>
    <cfRule type="cellIs" dxfId="6088" priority="5349" operator="greaterThan">
      <formula>1</formula>
    </cfRule>
    <cfRule type="cellIs" dxfId="6087" priority="5350" operator="between">
      <formula>0.95</formula>
      <formula>1</formula>
    </cfRule>
    <cfRule type="cellIs" dxfId="6086" priority="5351" stopIfTrue="1" operator="between">
      <formula>0</formula>
      <formula>0.5</formula>
    </cfRule>
  </conditionalFormatting>
  <conditionalFormatting sqref="AD137">
    <cfRule type="cellIs" dxfId="6085" priority="5337" operator="between">
      <formula>0.76</formula>
      <formula>0.95</formula>
    </cfRule>
    <cfRule type="cellIs" dxfId="6084" priority="5338" operator="between">
      <formula>0.51</formula>
      <formula>0.75</formula>
    </cfRule>
    <cfRule type="cellIs" dxfId="6083" priority="5339" operator="greaterThan">
      <formula>1</formula>
    </cfRule>
    <cfRule type="cellIs" dxfId="6082" priority="5340" operator="between">
      <formula>0.95</formula>
      <formula>1</formula>
    </cfRule>
    <cfRule type="cellIs" dxfId="6081" priority="5341" stopIfTrue="1" operator="between">
      <formula>0</formula>
      <formula>0.5</formula>
    </cfRule>
  </conditionalFormatting>
  <conditionalFormatting sqref="AF137">
    <cfRule type="cellIs" dxfId="6080" priority="5332" operator="between">
      <formula>0.76</formula>
      <formula>0.95</formula>
    </cfRule>
    <cfRule type="cellIs" dxfId="6079" priority="5333" operator="between">
      <formula>0.51</formula>
      <formula>0.75</formula>
    </cfRule>
    <cfRule type="cellIs" dxfId="6078" priority="5334" operator="greaterThan">
      <formula>1</formula>
    </cfRule>
    <cfRule type="cellIs" dxfId="6077" priority="5335" operator="between">
      <formula>0.95</formula>
      <formula>1</formula>
    </cfRule>
    <cfRule type="cellIs" dxfId="6076" priority="5336" stopIfTrue="1" operator="between">
      <formula>0</formula>
      <formula>0.5</formula>
    </cfRule>
  </conditionalFormatting>
  <conditionalFormatting sqref="R137">
    <cfRule type="cellIs" dxfId="6075" priority="5327" operator="between">
      <formula>0.3751</formula>
      <formula>0.475</formula>
    </cfRule>
    <cfRule type="cellIs" dxfId="6074" priority="5328" operator="between">
      <formula>0.2551</formula>
      <formula>0.375</formula>
    </cfRule>
    <cfRule type="cellIs" dxfId="6073" priority="5329" operator="greaterThan">
      <formula>0.505</formula>
    </cfRule>
    <cfRule type="cellIs" dxfId="6072" priority="5330" operator="between">
      <formula>0.48</formula>
      <formula>0.5</formula>
    </cfRule>
    <cfRule type="cellIs" dxfId="6071" priority="5331" stopIfTrue="1" operator="between">
      <formula>0</formula>
      <formula>0.255</formula>
    </cfRule>
  </conditionalFormatting>
  <conditionalFormatting sqref="AE137">
    <cfRule type="cellIs" dxfId="6070" priority="5302" operator="between">
      <formula>0.76</formula>
      <formula>0.95</formula>
    </cfRule>
    <cfRule type="cellIs" dxfId="6069" priority="5303" operator="between">
      <formula>0.51</formula>
      <formula>0.75</formula>
    </cfRule>
    <cfRule type="cellIs" dxfId="6068" priority="5304" operator="greaterThan">
      <formula>1</formula>
    </cfRule>
    <cfRule type="cellIs" dxfId="6067" priority="5305" operator="between">
      <formula>0.95</formula>
      <formula>1</formula>
    </cfRule>
    <cfRule type="cellIs" dxfId="6066" priority="5306" stopIfTrue="1" operator="between">
      <formula>0</formula>
      <formula>0.5</formula>
    </cfRule>
  </conditionalFormatting>
  <conditionalFormatting sqref="X137">
    <cfRule type="cellIs" dxfId="6065" priority="5282" operator="between">
      <formula>0.76</formula>
      <formula>0.95</formula>
    </cfRule>
    <cfRule type="cellIs" dxfId="6064" priority="5283" operator="between">
      <formula>0.51</formula>
      <formula>0.75</formula>
    </cfRule>
    <cfRule type="cellIs" dxfId="6063" priority="5284" operator="greaterThan">
      <formula>1</formula>
    </cfRule>
    <cfRule type="cellIs" dxfId="6062" priority="5285" operator="between">
      <formula>0.95</formula>
      <formula>1</formula>
    </cfRule>
    <cfRule type="cellIs" dxfId="6061" priority="5286" stopIfTrue="1" operator="between">
      <formula>0</formula>
      <formula>0.5</formula>
    </cfRule>
  </conditionalFormatting>
  <conditionalFormatting sqref="J137">
    <cfRule type="cellIs" dxfId="6060" priority="5277" operator="between">
      <formula>0.76</formula>
      <formula>0.95</formula>
    </cfRule>
    <cfRule type="cellIs" dxfId="6059" priority="5278" operator="between">
      <formula>0.51</formula>
      <formula>0.75</formula>
    </cfRule>
    <cfRule type="cellIs" dxfId="6058" priority="5279" operator="greaterThan">
      <formula>1</formula>
    </cfRule>
    <cfRule type="cellIs" dxfId="6057" priority="5280" operator="between">
      <formula>0.95</formula>
      <formula>1</formula>
    </cfRule>
    <cfRule type="cellIs" dxfId="6056" priority="5281" stopIfTrue="1" operator="between">
      <formula>0</formula>
      <formula>0.5</formula>
    </cfRule>
  </conditionalFormatting>
  <conditionalFormatting sqref="M137">
    <cfRule type="cellIs" dxfId="6055" priority="5272" operator="between">
      <formula>0.191</formula>
      <formula>0.24</formula>
    </cfRule>
    <cfRule type="cellIs" dxfId="6054" priority="5273" operator="between">
      <formula>0.1251</formula>
      <formula>0.19</formula>
    </cfRule>
    <cfRule type="cellIs" dxfId="6053" priority="5274" operator="greaterThan">
      <formula>0.2601</formula>
    </cfRule>
    <cfRule type="cellIs" dxfId="6052" priority="5275" operator="between">
      <formula>0.2401</formula>
      <formula>0.26</formula>
    </cfRule>
    <cfRule type="cellIs" dxfId="6051" priority="5276" stopIfTrue="1" operator="between">
      <formula>0</formula>
      <formula>0.125</formula>
    </cfRule>
  </conditionalFormatting>
  <conditionalFormatting sqref="Q137">
    <cfRule type="cellIs" dxfId="6050" priority="5267" operator="between">
      <formula>0.76</formula>
      <formula>0.95</formula>
    </cfRule>
    <cfRule type="cellIs" dxfId="6049" priority="5268" operator="between">
      <formula>0.51</formula>
      <formula>0.75</formula>
    </cfRule>
    <cfRule type="cellIs" dxfId="6048" priority="5269" operator="greaterThan">
      <formula>1</formula>
    </cfRule>
    <cfRule type="cellIs" dxfId="6047" priority="5270" operator="between">
      <formula>0.95</formula>
      <formula>1</formula>
    </cfRule>
    <cfRule type="cellIs" dxfId="6046" priority="5271" stopIfTrue="1" operator="between">
      <formula>0</formula>
      <formula>0.5</formula>
    </cfRule>
  </conditionalFormatting>
  <conditionalFormatting sqref="AF270">
    <cfRule type="cellIs" dxfId="6045" priority="5250" operator="between">
      <formula>0.76</formula>
      <formula>0.95</formula>
    </cfRule>
    <cfRule type="cellIs" dxfId="6044" priority="5251" operator="between">
      <formula>0.51</formula>
      <formula>0.75</formula>
    </cfRule>
    <cfRule type="cellIs" dxfId="6043" priority="5252" operator="greaterThan">
      <formula>1</formula>
    </cfRule>
    <cfRule type="cellIs" dxfId="6042" priority="5253" operator="between">
      <formula>0.95</formula>
      <formula>1</formula>
    </cfRule>
    <cfRule type="cellIs" dxfId="6041" priority="5254" stopIfTrue="1" operator="between">
      <formula>0</formula>
      <formula>0.5</formula>
    </cfRule>
  </conditionalFormatting>
  <conditionalFormatting sqref="I270">
    <cfRule type="cellIs" dxfId="6040" priority="5235" operator="between">
      <formula>0.76</formula>
      <formula>0.95</formula>
    </cfRule>
    <cfRule type="cellIs" dxfId="6039" priority="5236" operator="between">
      <formula>0.51</formula>
      <formula>0.75</formula>
    </cfRule>
    <cfRule type="cellIs" dxfId="6038" priority="5237" operator="greaterThan">
      <formula>1</formula>
    </cfRule>
    <cfRule type="cellIs" dxfId="6037" priority="5238" operator="between">
      <formula>0.95</formula>
      <formula>1</formula>
    </cfRule>
    <cfRule type="cellIs" dxfId="6036" priority="5239" stopIfTrue="1" operator="between">
      <formula>0</formula>
      <formula>0.5</formula>
    </cfRule>
  </conditionalFormatting>
  <conditionalFormatting sqref="K270">
    <cfRule type="cellIs" dxfId="6035" priority="5230" operator="between">
      <formula>0.191</formula>
      <formula>0.24</formula>
    </cfRule>
    <cfRule type="cellIs" dxfId="6034" priority="5231" operator="between">
      <formula>0.1251</formula>
      <formula>0.19</formula>
    </cfRule>
    <cfRule type="cellIs" dxfId="6033" priority="5232" operator="greaterThan">
      <formula>0.2601</formula>
    </cfRule>
    <cfRule type="cellIs" dxfId="6032" priority="5233" operator="between">
      <formula>0.2401</formula>
      <formula>0.26</formula>
    </cfRule>
    <cfRule type="cellIs" dxfId="6031" priority="5234" stopIfTrue="1" operator="between">
      <formula>0</formula>
      <formula>0.125</formula>
    </cfRule>
  </conditionalFormatting>
  <conditionalFormatting sqref="P270">
    <cfRule type="cellIs" dxfId="6030" priority="5225" operator="between">
      <formula>0.76</formula>
      <formula>0.95</formula>
    </cfRule>
    <cfRule type="cellIs" dxfId="6029" priority="5226" operator="between">
      <formula>0.51</formula>
      <formula>0.75</formula>
    </cfRule>
    <cfRule type="cellIs" dxfId="6028" priority="5227" operator="greaterThan">
      <formula>1</formula>
    </cfRule>
    <cfRule type="cellIs" dxfId="6027" priority="5228" operator="between">
      <formula>0.95</formula>
      <formula>1</formula>
    </cfRule>
    <cfRule type="cellIs" dxfId="6026" priority="5229" stopIfTrue="1" operator="between">
      <formula>0</formula>
      <formula>0.5</formula>
    </cfRule>
  </conditionalFormatting>
  <conditionalFormatting sqref="W270">
    <cfRule type="cellIs" dxfId="6025" priority="5220" operator="between">
      <formula>0.76</formula>
      <formula>0.95</formula>
    </cfRule>
    <cfRule type="cellIs" dxfId="6024" priority="5221" operator="between">
      <formula>0.51</formula>
      <formula>0.75</formula>
    </cfRule>
    <cfRule type="cellIs" dxfId="6023" priority="5222" operator="greaterThan">
      <formula>1</formula>
    </cfRule>
    <cfRule type="cellIs" dxfId="6022" priority="5223" operator="between">
      <formula>0.95</formula>
      <formula>1</formula>
    </cfRule>
    <cfRule type="cellIs" dxfId="6021" priority="5224" stopIfTrue="1" operator="between">
      <formula>0</formula>
      <formula>0.5</formula>
    </cfRule>
  </conditionalFormatting>
  <conditionalFormatting sqref="AD270">
    <cfRule type="cellIs" dxfId="6020" priority="5210" operator="between">
      <formula>0.76</formula>
      <formula>0.95</formula>
    </cfRule>
    <cfRule type="cellIs" dxfId="6019" priority="5211" operator="between">
      <formula>0.51</formula>
      <formula>0.75</formula>
    </cfRule>
    <cfRule type="cellIs" dxfId="6018" priority="5212" operator="greaterThan">
      <formula>1</formula>
    </cfRule>
    <cfRule type="cellIs" dxfId="6017" priority="5213" operator="between">
      <formula>0.95</formula>
      <formula>1</formula>
    </cfRule>
    <cfRule type="cellIs" dxfId="6016" priority="5214" stopIfTrue="1" operator="between">
      <formula>0</formula>
      <formula>0.5</formula>
    </cfRule>
  </conditionalFormatting>
  <conditionalFormatting sqref="R270">
    <cfRule type="cellIs" dxfId="6015" priority="5205" operator="between">
      <formula>0.3751</formula>
      <formula>0.475</formula>
    </cfRule>
    <cfRule type="cellIs" dxfId="6014" priority="5206" operator="between">
      <formula>0.2551</formula>
      <formula>0.375</formula>
    </cfRule>
    <cfRule type="cellIs" dxfId="6013" priority="5207" operator="greaterThan">
      <formula>0.505</formula>
    </cfRule>
    <cfRule type="cellIs" dxfId="6012" priority="5208" operator="between">
      <formula>0.48</formula>
      <formula>0.5</formula>
    </cfRule>
    <cfRule type="cellIs" dxfId="6011" priority="5209" stopIfTrue="1" operator="between">
      <formula>0</formula>
      <formula>0.255</formula>
    </cfRule>
  </conditionalFormatting>
  <conditionalFormatting sqref="AE270">
    <cfRule type="cellIs" dxfId="6010" priority="5160" operator="between">
      <formula>0.76</formula>
      <formula>0.95</formula>
    </cfRule>
    <cfRule type="cellIs" dxfId="6009" priority="5161" operator="between">
      <formula>0.51</formula>
      <formula>0.75</formula>
    </cfRule>
    <cfRule type="cellIs" dxfId="6008" priority="5162" operator="greaterThan">
      <formula>1</formula>
    </cfRule>
    <cfRule type="cellIs" dxfId="6007" priority="5163" operator="between">
      <formula>0.95</formula>
      <formula>1</formula>
    </cfRule>
    <cfRule type="cellIs" dxfId="6006" priority="5164" stopIfTrue="1" operator="between">
      <formula>0</formula>
      <formula>0.5</formula>
    </cfRule>
  </conditionalFormatting>
  <conditionalFormatting sqref="X270">
    <cfRule type="cellIs" dxfId="6005" priority="5180" operator="between">
      <formula>0.76</formula>
      <formula>0.95</formula>
    </cfRule>
    <cfRule type="cellIs" dxfId="6004" priority="5181" operator="between">
      <formula>0.51</formula>
      <formula>0.75</formula>
    </cfRule>
    <cfRule type="cellIs" dxfId="6003" priority="5182" operator="greaterThan">
      <formula>1</formula>
    </cfRule>
    <cfRule type="cellIs" dxfId="6002" priority="5183" operator="between">
      <formula>0.95</formula>
      <formula>1</formula>
    </cfRule>
    <cfRule type="cellIs" dxfId="6001" priority="5184" stopIfTrue="1" operator="between">
      <formula>0</formula>
      <formula>0.5</formula>
    </cfRule>
  </conditionalFormatting>
  <conditionalFormatting sqref="Q270">
    <cfRule type="cellIs" dxfId="6000" priority="5170" operator="between">
      <formula>0.76</formula>
      <formula>0.95</formula>
    </cfRule>
    <cfRule type="cellIs" dxfId="5999" priority="5171" operator="between">
      <formula>0.51</formula>
      <formula>0.75</formula>
    </cfRule>
    <cfRule type="cellIs" dxfId="5998" priority="5172" operator="greaterThan">
      <formula>1</formula>
    </cfRule>
    <cfRule type="cellIs" dxfId="5997" priority="5173" operator="between">
      <formula>0.95</formula>
      <formula>1</formula>
    </cfRule>
    <cfRule type="cellIs" dxfId="5996" priority="5174" stopIfTrue="1" operator="between">
      <formula>0</formula>
      <formula>0.5</formula>
    </cfRule>
  </conditionalFormatting>
  <conditionalFormatting sqref="I138">
    <cfRule type="cellIs" dxfId="5995" priority="5133" operator="between">
      <formula>0.76</formula>
      <formula>0.95</formula>
    </cfRule>
    <cfRule type="cellIs" dxfId="5994" priority="5134" operator="between">
      <formula>0.51</formula>
      <formula>0.75</formula>
    </cfRule>
    <cfRule type="cellIs" dxfId="5993" priority="5135" operator="greaterThan">
      <formula>1</formula>
    </cfRule>
    <cfRule type="cellIs" dxfId="5992" priority="5136" operator="between">
      <formula>0.95</formula>
      <formula>1</formula>
    </cfRule>
    <cfRule type="cellIs" dxfId="5991" priority="5137" stopIfTrue="1" operator="between">
      <formula>0</formula>
      <formula>0.5</formula>
    </cfRule>
  </conditionalFormatting>
  <conditionalFormatting sqref="K138">
    <cfRule type="cellIs" dxfId="5990" priority="5128" operator="between">
      <formula>0.191</formula>
      <formula>0.24</formula>
    </cfRule>
    <cfRule type="cellIs" dxfId="5989" priority="5129" operator="between">
      <formula>0.1251</formula>
      <formula>0.19</formula>
    </cfRule>
    <cfRule type="cellIs" dxfId="5988" priority="5130" operator="greaterThan">
      <formula>0.2601</formula>
    </cfRule>
    <cfRule type="cellIs" dxfId="5987" priority="5131" operator="between">
      <formula>0.2401</formula>
      <formula>0.26</formula>
    </cfRule>
    <cfRule type="cellIs" dxfId="5986" priority="5132" stopIfTrue="1" operator="between">
      <formula>0</formula>
      <formula>0.125</formula>
    </cfRule>
  </conditionalFormatting>
  <conditionalFormatting sqref="P138">
    <cfRule type="cellIs" dxfId="5985" priority="5123" operator="between">
      <formula>0.76</formula>
      <formula>0.95</formula>
    </cfRule>
    <cfRule type="cellIs" dxfId="5984" priority="5124" operator="between">
      <formula>0.51</formula>
      <formula>0.75</formula>
    </cfRule>
    <cfRule type="cellIs" dxfId="5983" priority="5125" operator="greaterThan">
      <formula>1</formula>
    </cfRule>
    <cfRule type="cellIs" dxfId="5982" priority="5126" operator="between">
      <formula>0.95</formula>
      <formula>1</formula>
    </cfRule>
    <cfRule type="cellIs" dxfId="5981" priority="5127" stopIfTrue="1" operator="between">
      <formula>0</formula>
      <formula>0.5</formula>
    </cfRule>
  </conditionalFormatting>
  <conditionalFormatting sqref="W138">
    <cfRule type="cellIs" dxfId="5980" priority="5118" operator="between">
      <formula>0.76</formula>
      <formula>0.95</formula>
    </cfRule>
    <cfRule type="cellIs" dxfId="5979" priority="5119" operator="between">
      <formula>0.51</formula>
      <formula>0.75</formula>
    </cfRule>
    <cfRule type="cellIs" dxfId="5978" priority="5120" operator="greaterThan">
      <formula>1</formula>
    </cfRule>
    <cfRule type="cellIs" dxfId="5977" priority="5121" operator="between">
      <formula>0.95</formula>
      <formula>1</formula>
    </cfRule>
    <cfRule type="cellIs" dxfId="5976" priority="5122" stopIfTrue="1" operator="between">
      <formula>0</formula>
      <formula>0.5</formula>
    </cfRule>
  </conditionalFormatting>
  <conditionalFormatting sqref="AD138">
    <cfRule type="cellIs" dxfId="5975" priority="5108" operator="between">
      <formula>0.76</formula>
      <formula>0.95</formula>
    </cfRule>
    <cfRule type="cellIs" dxfId="5974" priority="5109" operator="between">
      <formula>0.51</formula>
      <formula>0.75</formula>
    </cfRule>
    <cfRule type="cellIs" dxfId="5973" priority="5110" operator="greaterThan">
      <formula>1</formula>
    </cfRule>
    <cfRule type="cellIs" dxfId="5972" priority="5111" operator="between">
      <formula>0.95</formula>
      <formula>1</formula>
    </cfRule>
    <cfRule type="cellIs" dxfId="5971" priority="5112" stopIfTrue="1" operator="between">
      <formula>0</formula>
      <formula>0.5</formula>
    </cfRule>
  </conditionalFormatting>
  <conditionalFormatting sqref="AF138">
    <cfRule type="cellIs" dxfId="5970" priority="5103" operator="between">
      <formula>0.76</formula>
      <formula>0.95</formula>
    </cfRule>
    <cfRule type="cellIs" dxfId="5969" priority="5104" operator="between">
      <formula>0.51</formula>
      <formula>0.75</formula>
    </cfRule>
    <cfRule type="cellIs" dxfId="5968" priority="5105" operator="greaterThan">
      <formula>1</formula>
    </cfRule>
    <cfRule type="cellIs" dxfId="5967" priority="5106" operator="between">
      <formula>0.95</formula>
      <formula>1</formula>
    </cfRule>
    <cfRule type="cellIs" dxfId="5966" priority="5107" stopIfTrue="1" operator="between">
      <formula>0</formula>
      <formula>0.5</formula>
    </cfRule>
  </conditionalFormatting>
  <conditionalFormatting sqref="R138">
    <cfRule type="cellIs" dxfId="5965" priority="5098" operator="between">
      <formula>0.3751</formula>
      <formula>0.475</formula>
    </cfRule>
    <cfRule type="cellIs" dxfId="5964" priority="5099" operator="between">
      <formula>0.2551</formula>
      <formula>0.375</formula>
    </cfRule>
    <cfRule type="cellIs" dxfId="5963" priority="5100" operator="greaterThan">
      <formula>0.505</formula>
    </cfRule>
    <cfRule type="cellIs" dxfId="5962" priority="5101" operator="between">
      <formula>0.48</formula>
      <formula>0.5</formula>
    </cfRule>
    <cfRule type="cellIs" dxfId="5961" priority="5102" stopIfTrue="1" operator="between">
      <formula>0</formula>
      <formula>0.255</formula>
    </cfRule>
  </conditionalFormatting>
  <conditionalFormatting sqref="T138">
    <cfRule type="cellIs" dxfId="5960" priority="5088" operator="between">
      <formula>0.376</formula>
      <formula>0.475</formula>
    </cfRule>
    <cfRule type="cellIs" dxfId="5959" priority="5089" operator="between">
      <formula>0.2551</formula>
      <formula>0.3751</formula>
    </cfRule>
    <cfRule type="cellIs" dxfId="5958" priority="5090" operator="greaterThan">
      <formula>0.505</formula>
    </cfRule>
    <cfRule type="cellIs" dxfId="5957" priority="5091" operator="between">
      <formula>0.48</formula>
      <formula>0.5</formula>
    </cfRule>
    <cfRule type="cellIs" dxfId="5956" priority="5092" stopIfTrue="1" operator="between">
      <formula>0</formula>
      <formula>0.255</formula>
    </cfRule>
  </conditionalFormatting>
  <conditionalFormatting sqref="M138">
    <cfRule type="cellIs" dxfId="5955" priority="5058" operator="between">
      <formula>0.191</formula>
      <formula>0.24</formula>
    </cfRule>
    <cfRule type="cellIs" dxfId="5954" priority="5059" operator="between">
      <formula>0.1251</formula>
      <formula>0.19</formula>
    </cfRule>
    <cfRule type="cellIs" dxfId="5953" priority="5060" operator="greaterThan">
      <formula>0.2601</formula>
    </cfRule>
    <cfRule type="cellIs" dxfId="5952" priority="5061" operator="between">
      <formula>0.2401</formula>
      <formula>0.26</formula>
    </cfRule>
    <cfRule type="cellIs" dxfId="5951" priority="5062" stopIfTrue="1" operator="between">
      <formula>0</formula>
      <formula>0.125</formula>
    </cfRule>
  </conditionalFormatting>
  <conditionalFormatting sqref="Q138">
    <cfRule type="cellIs" dxfId="5950" priority="5048" operator="between">
      <formula>0.76</formula>
      <formula>0.95</formula>
    </cfRule>
    <cfRule type="cellIs" dxfId="5949" priority="5049" operator="between">
      <formula>0.51</formula>
      <formula>0.75</formula>
    </cfRule>
    <cfRule type="cellIs" dxfId="5948" priority="5050" operator="greaterThan">
      <formula>1</formula>
    </cfRule>
    <cfRule type="cellIs" dxfId="5947" priority="5051" operator="between">
      <formula>0.95</formula>
      <formula>1</formula>
    </cfRule>
    <cfRule type="cellIs" dxfId="5946" priority="5052" stopIfTrue="1" operator="between">
      <formula>0</formula>
      <formula>0.5</formula>
    </cfRule>
  </conditionalFormatting>
  <conditionalFormatting sqref="J138">
    <cfRule type="cellIs" dxfId="5945" priority="5063" operator="between">
      <formula>0.76</formula>
      <formula>0.95</formula>
    </cfRule>
    <cfRule type="cellIs" dxfId="5944" priority="5064" operator="between">
      <formula>0.51</formula>
      <formula>0.75</formula>
    </cfRule>
    <cfRule type="cellIs" dxfId="5943" priority="5065" operator="greaterThan">
      <formula>1</formula>
    </cfRule>
    <cfRule type="cellIs" dxfId="5942" priority="5066" operator="between">
      <formula>0.95</formula>
      <formula>1</formula>
    </cfRule>
    <cfRule type="cellIs" dxfId="5941" priority="5067" stopIfTrue="1" operator="between">
      <formula>0</formula>
      <formula>0.5</formula>
    </cfRule>
  </conditionalFormatting>
  <conditionalFormatting sqref="AG138">
    <cfRule type="cellIs" dxfId="5940" priority="5028" operator="between">
      <formula>0.76</formula>
      <formula>0.95</formula>
    </cfRule>
    <cfRule type="cellIs" dxfId="5939" priority="5029" operator="between">
      <formula>0.51</formula>
      <formula>0.75</formula>
    </cfRule>
    <cfRule type="cellIs" dxfId="5938" priority="5030" operator="greaterThan">
      <formula>1</formula>
    </cfRule>
    <cfRule type="cellIs" dxfId="5937" priority="5031" operator="between">
      <formula>0.95</formula>
      <formula>1</formula>
    </cfRule>
    <cfRule type="cellIs" dxfId="5936" priority="5032" stopIfTrue="1" operator="between">
      <formula>0</formula>
      <formula>0.5</formula>
    </cfRule>
  </conditionalFormatting>
  <conditionalFormatting sqref="X138">
    <cfRule type="cellIs" dxfId="5935" priority="5043" operator="between">
      <formula>0.76</formula>
      <formula>0.95</formula>
    </cfRule>
    <cfRule type="cellIs" dxfId="5934" priority="5044" operator="between">
      <formula>0.51</formula>
      <formula>0.75</formula>
    </cfRule>
    <cfRule type="cellIs" dxfId="5933" priority="5045" operator="greaterThan">
      <formula>1</formula>
    </cfRule>
    <cfRule type="cellIs" dxfId="5932" priority="5046" operator="between">
      <formula>0.95</formula>
      <formula>1</formula>
    </cfRule>
    <cfRule type="cellIs" dxfId="5931" priority="5047" stopIfTrue="1" operator="between">
      <formula>0</formula>
      <formula>0.5</formula>
    </cfRule>
  </conditionalFormatting>
  <conditionalFormatting sqref="AE138">
    <cfRule type="cellIs" dxfId="5930" priority="5033" operator="between">
      <formula>0.76</formula>
      <formula>0.95</formula>
    </cfRule>
    <cfRule type="cellIs" dxfId="5929" priority="5034" operator="between">
      <formula>0.51</formula>
      <formula>0.75</formula>
    </cfRule>
    <cfRule type="cellIs" dxfId="5928" priority="5035" operator="greaterThan">
      <formula>1</formula>
    </cfRule>
    <cfRule type="cellIs" dxfId="5927" priority="5036" operator="between">
      <formula>0.95</formula>
      <formula>1</formula>
    </cfRule>
    <cfRule type="cellIs" dxfId="5926" priority="5037" stopIfTrue="1" operator="between">
      <formula>0</formula>
      <formula>0.5</formula>
    </cfRule>
  </conditionalFormatting>
  <conditionalFormatting sqref="I139">
    <cfRule type="cellIs" dxfId="5925" priority="5001" operator="between">
      <formula>0.76</formula>
      <formula>0.95</formula>
    </cfRule>
    <cfRule type="cellIs" dxfId="5924" priority="5002" operator="between">
      <formula>0.51</formula>
      <formula>0.75</formula>
    </cfRule>
    <cfRule type="cellIs" dxfId="5923" priority="5003" operator="greaterThan">
      <formula>1</formula>
    </cfRule>
    <cfRule type="cellIs" dxfId="5922" priority="5004" operator="between">
      <formula>0.95</formula>
      <formula>1</formula>
    </cfRule>
    <cfRule type="cellIs" dxfId="5921" priority="5005" stopIfTrue="1" operator="between">
      <formula>0</formula>
      <formula>0.5</formula>
    </cfRule>
  </conditionalFormatting>
  <conditionalFormatting sqref="K139">
    <cfRule type="cellIs" dxfId="5920" priority="4996" operator="between">
      <formula>0.191</formula>
      <formula>0.24</formula>
    </cfRule>
    <cfRule type="cellIs" dxfId="5919" priority="4997" operator="between">
      <formula>0.1251</formula>
      <formula>0.19</formula>
    </cfRule>
    <cfRule type="cellIs" dxfId="5918" priority="4998" operator="greaterThan">
      <formula>0.2601</formula>
    </cfRule>
    <cfRule type="cellIs" dxfId="5917" priority="4999" operator="between">
      <formula>0.2401</formula>
      <formula>0.26</formula>
    </cfRule>
    <cfRule type="cellIs" dxfId="5916" priority="5000" stopIfTrue="1" operator="between">
      <formula>0</formula>
      <formula>0.125</formula>
    </cfRule>
  </conditionalFormatting>
  <conditionalFormatting sqref="P139">
    <cfRule type="cellIs" dxfId="5915" priority="4991" operator="between">
      <formula>0.76</formula>
      <formula>0.95</formula>
    </cfRule>
    <cfRule type="cellIs" dxfId="5914" priority="4992" operator="between">
      <formula>0.51</formula>
      <formula>0.75</formula>
    </cfRule>
    <cfRule type="cellIs" dxfId="5913" priority="4993" operator="greaterThan">
      <formula>1</formula>
    </cfRule>
    <cfRule type="cellIs" dxfId="5912" priority="4994" operator="between">
      <formula>0.95</formula>
      <formula>1</formula>
    </cfRule>
    <cfRule type="cellIs" dxfId="5911" priority="4995" stopIfTrue="1" operator="between">
      <formula>0</formula>
      <formula>0.5</formula>
    </cfRule>
  </conditionalFormatting>
  <conditionalFormatting sqref="W139">
    <cfRule type="cellIs" dxfId="5910" priority="4986" operator="between">
      <formula>0.76</formula>
      <formula>0.95</formula>
    </cfRule>
    <cfRule type="cellIs" dxfId="5909" priority="4987" operator="between">
      <formula>0.51</formula>
      <formula>0.75</formula>
    </cfRule>
    <cfRule type="cellIs" dxfId="5908" priority="4988" operator="greaterThan">
      <formula>1</formula>
    </cfRule>
    <cfRule type="cellIs" dxfId="5907" priority="4989" operator="between">
      <formula>0.95</formula>
      <formula>1</formula>
    </cfRule>
    <cfRule type="cellIs" dxfId="5906" priority="4990" stopIfTrue="1" operator="between">
      <formula>0</formula>
      <formula>0.5</formula>
    </cfRule>
  </conditionalFormatting>
  <conditionalFormatting sqref="AD139">
    <cfRule type="cellIs" dxfId="5905" priority="4976" operator="between">
      <formula>0.76</formula>
      <formula>0.95</formula>
    </cfRule>
    <cfRule type="cellIs" dxfId="5904" priority="4977" operator="between">
      <formula>0.51</formula>
      <formula>0.75</formula>
    </cfRule>
    <cfRule type="cellIs" dxfId="5903" priority="4978" operator="greaterThan">
      <formula>1</formula>
    </cfRule>
    <cfRule type="cellIs" dxfId="5902" priority="4979" operator="between">
      <formula>0.95</formula>
      <formula>1</formula>
    </cfRule>
    <cfRule type="cellIs" dxfId="5901" priority="4980" stopIfTrue="1" operator="between">
      <formula>0</formula>
      <formula>0.5</formula>
    </cfRule>
  </conditionalFormatting>
  <conditionalFormatting sqref="AF139">
    <cfRule type="cellIs" dxfId="5900" priority="4971" operator="between">
      <formula>0.76</formula>
      <formula>0.95</formula>
    </cfRule>
    <cfRule type="cellIs" dxfId="5899" priority="4972" operator="between">
      <formula>0.51</formula>
      <formula>0.75</formula>
    </cfRule>
    <cfRule type="cellIs" dxfId="5898" priority="4973" operator="greaterThan">
      <formula>1</formula>
    </cfRule>
    <cfRule type="cellIs" dxfId="5897" priority="4974" operator="between">
      <formula>0.95</formula>
      <formula>1</formula>
    </cfRule>
    <cfRule type="cellIs" dxfId="5896" priority="4975" stopIfTrue="1" operator="between">
      <formula>0</formula>
      <formula>0.5</formula>
    </cfRule>
  </conditionalFormatting>
  <conditionalFormatting sqref="R139">
    <cfRule type="cellIs" dxfId="5895" priority="4966" operator="between">
      <formula>0.3751</formula>
      <formula>0.475</formula>
    </cfRule>
    <cfRule type="cellIs" dxfId="5894" priority="4967" operator="between">
      <formula>0.2551</formula>
      <formula>0.375</formula>
    </cfRule>
    <cfRule type="cellIs" dxfId="5893" priority="4968" operator="greaterThan">
      <formula>0.505</formula>
    </cfRule>
    <cfRule type="cellIs" dxfId="5892" priority="4969" operator="between">
      <formula>0.48</formula>
      <formula>0.5</formula>
    </cfRule>
    <cfRule type="cellIs" dxfId="5891" priority="4970" stopIfTrue="1" operator="between">
      <formula>0</formula>
      <formula>0.255</formula>
    </cfRule>
  </conditionalFormatting>
  <conditionalFormatting sqref="J143">
    <cfRule type="cellIs" dxfId="5890" priority="4769" operator="between">
      <formula>0.76</formula>
      <formula>0.95</formula>
    </cfRule>
    <cfRule type="cellIs" dxfId="5889" priority="4770" operator="between">
      <formula>0.51</formula>
      <formula>0.75</formula>
    </cfRule>
    <cfRule type="cellIs" dxfId="5888" priority="4771" operator="greaterThan">
      <formula>1</formula>
    </cfRule>
    <cfRule type="cellIs" dxfId="5887" priority="4772" operator="between">
      <formula>0.95</formula>
      <formula>1</formula>
    </cfRule>
    <cfRule type="cellIs" dxfId="5886" priority="4773" stopIfTrue="1" operator="between">
      <formula>0</formula>
      <formula>0.5</formula>
    </cfRule>
  </conditionalFormatting>
  <conditionalFormatting sqref="AG139">
    <cfRule type="cellIs" dxfId="5885" priority="4921" operator="between">
      <formula>0.76</formula>
      <formula>0.95</formula>
    </cfRule>
    <cfRule type="cellIs" dxfId="5884" priority="4922" operator="between">
      <formula>0.51</formula>
      <formula>0.75</formula>
    </cfRule>
    <cfRule type="cellIs" dxfId="5883" priority="4923" operator="greaterThan">
      <formula>1</formula>
    </cfRule>
    <cfRule type="cellIs" dxfId="5882" priority="4924" operator="between">
      <formula>0.95</formula>
      <formula>1</formula>
    </cfRule>
    <cfRule type="cellIs" dxfId="5881" priority="4925" stopIfTrue="1" operator="between">
      <formula>0</formula>
      <formula>0.5</formula>
    </cfRule>
  </conditionalFormatting>
  <conditionalFormatting sqref="AE139">
    <cfRule type="cellIs" dxfId="5880" priority="4926" operator="between">
      <formula>0.76</formula>
      <formula>0.95</formula>
    </cfRule>
    <cfRule type="cellIs" dxfId="5879" priority="4927" operator="between">
      <formula>0.51</formula>
      <formula>0.75</formula>
    </cfRule>
    <cfRule type="cellIs" dxfId="5878" priority="4928" operator="greaterThan">
      <formula>1</formula>
    </cfRule>
    <cfRule type="cellIs" dxfId="5877" priority="4929" operator="between">
      <formula>0.95</formula>
      <formula>1</formula>
    </cfRule>
    <cfRule type="cellIs" dxfId="5876" priority="4930" stopIfTrue="1" operator="between">
      <formula>0</formula>
      <formula>0.5</formula>
    </cfRule>
  </conditionalFormatting>
  <conditionalFormatting sqref="J139">
    <cfRule type="cellIs" dxfId="5875" priority="4911" operator="between">
      <formula>0.76</formula>
      <formula>0.95</formula>
    </cfRule>
    <cfRule type="cellIs" dxfId="5874" priority="4912" operator="between">
      <formula>0.51</formula>
      <formula>0.75</formula>
    </cfRule>
    <cfRule type="cellIs" dxfId="5873" priority="4913" operator="greaterThan">
      <formula>1</formula>
    </cfRule>
    <cfRule type="cellIs" dxfId="5872" priority="4914" operator="between">
      <formula>0.95</formula>
      <formula>1</formula>
    </cfRule>
    <cfRule type="cellIs" dxfId="5871" priority="4915" stopIfTrue="1" operator="between">
      <formula>0</formula>
      <formula>0.5</formula>
    </cfRule>
  </conditionalFormatting>
  <conditionalFormatting sqref="Q139">
    <cfRule type="cellIs" dxfId="5870" priority="4906" operator="between">
      <formula>0.76</formula>
      <formula>0.95</formula>
    </cfRule>
    <cfRule type="cellIs" dxfId="5869" priority="4907" operator="between">
      <formula>0.51</formula>
      <formula>0.75</formula>
    </cfRule>
    <cfRule type="cellIs" dxfId="5868" priority="4908" operator="greaterThan">
      <formula>1</formula>
    </cfRule>
    <cfRule type="cellIs" dxfId="5867" priority="4909" operator="between">
      <formula>0.95</formula>
      <formula>1</formula>
    </cfRule>
    <cfRule type="cellIs" dxfId="5866" priority="4910" stopIfTrue="1" operator="between">
      <formula>0</formula>
      <formula>0.5</formula>
    </cfRule>
  </conditionalFormatting>
  <conditionalFormatting sqref="M139">
    <cfRule type="cellIs" dxfId="5865" priority="4901" operator="between">
      <formula>0.191</formula>
      <formula>0.24</formula>
    </cfRule>
    <cfRule type="cellIs" dxfId="5864" priority="4902" operator="between">
      <formula>0.1251</formula>
      <formula>0.19</formula>
    </cfRule>
    <cfRule type="cellIs" dxfId="5863" priority="4903" operator="greaterThan">
      <formula>0.2601</formula>
    </cfRule>
    <cfRule type="cellIs" dxfId="5862" priority="4904" operator="between">
      <formula>0.2401</formula>
      <formula>0.26</formula>
    </cfRule>
    <cfRule type="cellIs" dxfId="5861" priority="4905" stopIfTrue="1" operator="between">
      <formula>0</formula>
      <formula>0.125</formula>
    </cfRule>
  </conditionalFormatting>
  <conditionalFormatting sqref="T137">
    <cfRule type="cellIs" dxfId="5860" priority="4896" operator="between">
      <formula>0.191</formula>
      <formula>0.24</formula>
    </cfRule>
    <cfRule type="cellIs" dxfId="5859" priority="4897" operator="between">
      <formula>0.1251</formula>
      <formula>0.19</formula>
    </cfRule>
    <cfRule type="cellIs" dxfId="5858" priority="4898" operator="greaterThan">
      <formula>0.2601</formula>
    </cfRule>
    <cfRule type="cellIs" dxfId="5857" priority="4899" operator="between">
      <formula>0.2401</formula>
      <formula>0.26</formula>
    </cfRule>
    <cfRule type="cellIs" dxfId="5856" priority="4900" stopIfTrue="1" operator="between">
      <formula>0</formula>
      <formula>0.125</formula>
    </cfRule>
  </conditionalFormatting>
  <conditionalFormatting sqref="T139">
    <cfRule type="cellIs" dxfId="5855" priority="4891" operator="between">
      <formula>0.191</formula>
      <formula>0.24</formula>
    </cfRule>
    <cfRule type="cellIs" dxfId="5854" priority="4892" operator="between">
      <formula>0.1251</formula>
      <formula>0.19</formula>
    </cfRule>
    <cfRule type="cellIs" dxfId="5853" priority="4893" operator="greaterThan">
      <formula>0.2601</formula>
    </cfRule>
    <cfRule type="cellIs" dxfId="5852" priority="4894" operator="between">
      <formula>0.2401</formula>
      <formula>0.26</formula>
    </cfRule>
    <cfRule type="cellIs" dxfId="5851" priority="4895" stopIfTrue="1" operator="between">
      <formula>0</formula>
      <formula>0.125</formula>
    </cfRule>
  </conditionalFormatting>
  <conditionalFormatting sqref="X139">
    <cfRule type="cellIs" dxfId="5850" priority="4886" operator="between">
      <formula>0.76</formula>
      <formula>0.95</formula>
    </cfRule>
    <cfRule type="cellIs" dxfId="5849" priority="4887" operator="between">
      <formula>0.51</formula>
      <formula>0.75</formula>
    </cfRule>
    <cfRule type="cellIs" dxfId="5848" priority="4888" operator="greaterThan">
      <formula>1</formula>
    </cfRule>
    <cfRule type="cellIs" dxfId="5847" priority="4889" operator="between">
      <formula>0.95</formula>
      <formula>1</formula>
    </cfRule>
    <cfRule type="cellIs" dxfId="5846" priority="4890" stopIfTrue="1" operator="between">
      <formula>0</formula>
      <formula>0.5</formula>
    </cfRule>
  </conditionalFormatting>
  <conditionalFormatting sqref="AG148">
    <cfRule type="cellIs" dxfId="5845" priority="4804" operator="between">
      <formula>0.76</formula>
      <formula>0.95</formula>
    </cfRule>
    <cfRule type="cellIs" dxfId="5844" priority="4805" operator="between">
      <formula>0.51</formula>
      <formula>0.75</formula>
    </cfRule>
    <cfRule type="cellIs" dxfId="5843" priority="4806" operator="greaterThan">
      <formula>1</formula>
    </cfRule>
    <cfRule type="cellIs" dxfId="5842" priority="4807" operator="between">
      <formula>0.95</formula>
      <formula>1</formula>
    </cfRule>
    <cfRule type="cellIs" dxfId="5841" priority="4808" stopIfTrue="1" operator="between">
      <formula>0</formula>
      <formula>0.5</formula>
    </cfRule>
  </conditionalFormatting>
  <conditionalFormatting sqref="AE148">
    <cfRule type="cellIs" dxfId="5840" priority="4809" operator="between">
      <formula>0.76</formula>
      <formula>0.95</formula>
    </cfRule>
    <cfRule type="cellIs" dxfId="5839" priority="4810" operator="between">
      <formula>0.51</formula>
      <formula>0.75</formula>
    </cfRule>
    <cfRule type="cellIs" dxfId="5838" priority="4811" operator="greaterThan">
      <formula>1</formula>
    </cfRule>
    <cfRule type="cellIs" dxfId="5837" priority="4812" operator="between">
      <formula>0.95</formula>
      <formula>1</formula>
    </cfRule>
    <cfRule type="cellIs" dxfId="5836" priority="4813" stopIfTrue="1" operator="between">
      <formula>0</formula>
      <formula>0.5</formula>
    </cfRule>
  </conditionalFormatting>
  <conditionalFormatting sqref="J148">
    <cfRule type="cellIs" dxfId="5835" priority="4799" operator="between">
      <formula>0.76</formula>
      <formula>0.95</formula>
    </cfRule>
    <cfRule type="cellIs" dxfId="5834" priority="4800" operator="between">
      <formula>0.51</formula>
      <formula>0.75</formula>
    </cfRule>
    <cfRule type="cellIs" dxfId="5833" priority="4801" operator="greaterThan">
      <formula>1</formula>
    </cfRule>
    <cfRule type="cellIs" dxfId="5832" priority="4802" operator="between">
      <formula>0.95</formula>
      <formula>1</formula>
    </cfRule>
    <cfRule type="cellIs" dxfId="5831" priority="4803" stopIfTrue="1" operator="between">
      <formula>0</formula>
      <formula>0.5</formula>
    </cfRule>
  </conditionalFormatting>
  <conditionalFormatting sqref="Q148">
    <cfRule type="cellIs" dxfId="5830" priority="4794" operator="between">
      <formula>0.76</formula>
      <formula>0.95</formula>
    </cfRule>
    <cfRule type="cellIs" dxfId="5829" priority="4795" operator="between">
      <formula>0.51</formula>
      <formula>0.75</formula>
    </cfRule>
    <cfRule type="cellIs" dxfId="5828" priority="4796" operator="greaterThan">
      <formula>1</formula>
    </cfRule>
    <cfRule type="cellIs" dxfId="5827" priority="4797" operator="between">
      <formula>0.95</formula>
      <formula>1</formula>
    </cfRule>
    <cfRule type="cellIs" dxfId="5826" priority="4798" stopIfTrue="1" operator="between">
      <formula>0</formula>
      <formula>0.5</formula>
    </cfRule>
  </conditionalFormatting>
  <conditionalFormatting sqref="X148">
    <cfRule type="cellIs" dxfId="5825" priority="4779" operator="between">
      <formula>0.76</formula>
      <formula>0.95</formula>
    </cfRule>
    <cfRule type="cellIs" dxfId="5824" priority="4780" operator="between">
      <formula>0.51</formula>
      <formula>0.75</formula>
    </cfRule>
    <cfRule type="cellIs" dxfId="5823" priority="4781" operator="greaterThan">
      <formula>1</formula>
    </cfRule>
    <cfRule type="cellIs" dxfId="5822" priority="4782" operator="between">
      <formula>0.95</formula>
      <formula>1</formula>
    </cfRule>
    <cfRule type="cellIs" dxfId="5821" priority="4783" stopIfTrue="1" operator="between">
      <formula>0</formula>
      <formula>0.5</formula>
    </cfRule>
  </conditionalFormatting>
  <conditionalFormatting sqref="Q143">
    <cfRule type="cellIs" dxfId="5820" priority="4764" operator="between">
      <formula>0.76</formula>
      <formula>0.95</formula>
    </cfRule>
    <cfRule type="cellIs" dxfId="5819" priority="4765" operator="between">
      <formula>0.51</formula>
      <formula>0.75</formula>
    </cfRule>
    <cfRule type="cellIs" dxfId="5818" priority="4766" operator="greaterThan">
      <formula>1</formula>
    </cfRule>
    <cfRule type="cellIs" dxfId="5817" priority="4767" operator="between">
      <formula>0.95</formula>
      <formula>1</formula>
    </cfRule>
    <cfRule type="cellIs" dxfId="5816" priority="4768" stopIfTrue="1" operator="between">
      <formula>0</formula>
      <formula>0.5</formula>
    </cfRule>
  </conditionalFormatting>
  <conditionalFormatting sqref="X143">
    <cfRule type="cellIs" dxfId="5815" priority="4759" operator="between">
      <formula>0.76</formula>
      <formula>0.95</formula>
    </cfRule>
    <cfRule type="cellIs" dxfId="5814" priority="4760" operator="between">
      <formula>0.51</formula>
      <formula>0.75</formula>
    </cfRule>
    <cfRule type="cellIs" dxfId="5813" priority="4761" operator="greaterThan">
      <formula>1</formula>
    </cfRule>
    <cfRule type="cellIs" dxfId="5812" priority="4762" operator="between">
      <formula>0.95</formula>
      <formula>1</formula>
    </cfRule>
    <cfRule type="cellIs" dxfId="5811" priority="4763" stopIfTrue="1" operator="between">
      <formula>0</formula>
      <formula>0.5</formula>
    </cfRule>
  </conditionalFormatting>
  <conditionalFormatting sqref="AE140">
    <cfRule type="cellIs" dxfId="5810" priority="4754" operator="between">
      <formula>0.76</formula>
      <formula>0.95</formula>
    </cfRule>
    <cfRule type="cellIs" dxfId="5809" priority="4755" operator="between">
      <formula>0.51</formula>
      <formula>0.75</formula>
    </cfRule>
    <cfRule type="cellIs" dxfId="5808" priority="4756" operator="greaterThan">
      <formula>1</formula>
    </cfRule>
    <cfRule type="cellIs" dxfId="5807" priority="4757" operator="between">
      <formula>0.95</formula>
      <formula>1</formula>
    </cfRule>
    <cfRule type="cellIs" dxfId="5806" priority="4758" stopIfTrue="1" operator="between">
      <formula>0</formula>
      <formula>0.5</formula>
    </cfRule>
  </conditionalFormatting>
  <conditionalFormatting sqref="AE143">
    <cfRule type="cellIs" dxfId="5805" priority="4749" operator="between">
      <formula>0.76</formula>
      <formula>0.95</formula>
    </cfRule>
    <cfRule type="cellIs" dxfId="5804" priority="4750" operator="between">
      <formula>0.51</formula>
      <formula>0.75</formula>
    </cfRule>
    <cfRule type="cellIs" dxfId="5803" priority="4751" operator="greaterThan">
      <formula>1</formula>
    </cfRule>
    <cfRule type="cellIs" dxfId="5802" priority="4752" operator="between">
      <formula>0.95</formula>
      <formula>1</formula>
    </cfRule>
    <cfRule type="cellIs" dxfId="5801" priority="4753" stopIfTrue="1" operator="between">
      <formula>0</formula>
      <formula>0.5</formula>
    </cfRule>
  </conditionalFormatting>
  <conditionalFormatting sqref="I255:J255 P255 W255:X255 AD255 AF255">
    <cfRule type="cellIs" dxfId="5800" priority="4734" operator="between">
      <formula>0.76</formula>
      <formula>0.95</formula>
    </cfRule>
    <cfRule type="cellIs" dxfId="5799" priority="4735" operator="between">
      <formula>0.51</formula>
      <formula>0.75</formula>
    </cfRule>
    <cfRule type="cellIs" dxfId="5798" priority="4736" operator="greaterThan">
      <formula>1</formula>
    </cfRule>
    <cfRule type="cellIs" dxfId="5797" priority="4737" operator="between">
      <formula>0.95</formula>
      <formula>1</formula>
    </cfRule>
    <cfRule type="cellIs" dxfId="5796" priority="4738" stopIfTrue="1" operator="between">
      <formula>0</formula>
      <formula>0.5</formula>
    </cfRule>
  </conditionalFormatting>
  <conditionalFormatting sqref="R255">
    <cfRule type="cellIs" dxfId="5795" priority="4729" operator="between">
      <formula>0.3751</formula>
      <formula>0.475</formula>
    </cfRule>
    <cfRule type="cellIs" dxfId="5794" priority="4730" operator="between">
      <formula>0.2551</formula>
      <formula>0.375</formula>
    </cfRule>
    <cfRule type="cellIs" dxfId="5793" priority="4731" operator="greaterThan">
      <formula>0.505</formula>
    </cfRule>
    <cfRule type="cellIs" dxfId="5792" priority="4732" operator="between">
      <formula>0.48</formula>
      <formula>0.5</formula>
    </cfRule>
    <cfRule type="cellIs" dxfId="5791" priority="4733" stopIfTrue="1" operator="between">
      <formula>0</formula>
      <formula>0.255</formula>
    </cfRule>
  </conditionalFormatting>
  <conditionalFormatting sqref="K255 T255 M255">
    <cfRule type="cellIs" dxfId="5790" priority="4724" operator="between">
      <formula>0.191</formula>
      <formula>0.24</formula>
    </cfRule>
    <cfRule type="cellIs" dxfId="5789" priority="4725" operator="between">
      <formula>0.1251</formula>
      <formula>0.19</formula>
    </cfRule>
    <cfRule type="cellIs" dxfId="5788" priority="4726" operator="greaterThan">
      <formula>0.2601</formula>
    </cfRule>
    <cfRule type="cellIs" dxfId="5787" priority="4727" operator="between">
      <formula>0.2401</formula>
      <formula>0.26</formula>
    </cfRule>
    <cfRule type="cellIs" dxfId="5786" priority="4728" stopIfTrue="1" operator="between">
      <formula>0</formula>
      <formula>0.125</formula>
    </cfRule>
  </conditionalFormatting>
  <conditionalFormatting sqref="X255 AG255 Q255 J255">
    <cfRule type="cellIs" dxfId="5785" priority="4714" operator="between">
      <formula>0.76</formula>
      <formula>0.95</formula>
    </cfRule>
    <cfRule type="cellIs" dxfId="5784" priority="4715" operator="between">
      <formula>0.51</formula>
      <formula>0.75</formula>
    </cfRule>
    <cfRule type="cellIs" dxfId="5783" priority="4716" operator="greaterThan">
      <formula>1</formula>
    </cfRule>
    <cfRule type="cellIs" dxfId="5782" priority="4717" operator="between">
      <formula>0.95</formula>
      <formula>1</formula>
    </cfRule>
    <cfRule type="cellIs" dxfId="5781" priority="4718" stopIfTrue="1" operator="between">
      <formula>0</formula>
      <formula>0.5</formula>
    </cfRule>
  </conditionalFormatting>
  <conditionalFormatting sqref="I255">
    <cfRule type="cellIs" dxfId="5780" priority="4709" operator="between">
      <formula>0.76</formula>
      <formula>0.95</formula>
    </cfRule>
    <cfRule type="cellIs" dxfId="5779" priority="4710" operator="between">
      <formula>0.51</formula>
      <formula>0.75</formula>
    </cfRule>
    <cfRule type="cellIs" dxfId="5778" priority="4711" operator="greaterThan">
      <formula>1</formula>
    </cfRule>
    <cfRule type="cellIs" dxfId="5777" priority="4712" operator="between">
      <formula>0.95</formula>
      <formula>1</formula>
    </cfRule>
    <cfRule type="cellIs" dxfId="5776" priority="4713" stopIfTrue="1" operator="between">
      <formula>0</formula>
      <formula>0.5</formula>
    </cfRule>
  </conditionalFormatting>
  <conditionalFormatting sqref="P255">
    <cfRule type="cellIs" dxfId="5775" priority="4704" operator="between">
      <formula>0.76</formula>
      <formula>0.95</formula>
    </cfRule>
    <cfRule type="cellIs" dxfId="5774" priority="4705" operator="between">
      <formula>0.51</formula>
      <formula>0.75</formula>
    </cfRule>
    <cfRule type="cellIs" dxfId="5773" priority="4706" operator="greaterThan">
      <formula>1</formula>
    </cfRule>
    <cfRule type="cellIs" dxfId="5772" priority="4707" operator="between">
      <formula>0.95</formula>
      <formula>1</formula>
    </cfRule>
    <cfRule type="cellIs" dxfId="5771" priority="4708" stopIfTrue="1" operator="between">
      <formula>0</formula>
      <formula>0.5</formula>
    </cfRule>
  </conditionalFormatting>
  <conditionalFormatting sqref="W255">
    <cfRule type="cellIs" dxfId="5770" priority="4699" operator="between">
      <formula>0.76</formula>
      <formula>0.95</formula>
    </cfRule>
    <cfRule type="cellIs" dxfId="5769" priority="4700" operator="between">
      <formula>0.51</formula>
      <formula>0.75</formula>
    </cfRule>
    <cfRule type="cellIs" dxfId="5768" priority="4701" operator="greaterThan">
      <formula>1</formula>
    </cfRule>
    <cfRule type="cellIs" dxfId="5767" priority="4702" operator="between">
      <formula>0.95</formula>
      <formula>1</formula>
    </cfRule>
    <cfRule type="cellIs" dxfId="5766" priority="4703" stopIfTrue="1" operator="between">
      <formula>0</formula>
      <formula>0.5</formula>
    </cfRule>
  </conditionalFormatting>
  <conditionalFormatting sqref="AD255">
    <cfRule type="cellIs" dxfId="5765" priority="4694" operator="between">
      <formula>0.76</formula>
      <formula>0.95</formula>
    </cfRule>
    <cfRule type="cellIs" dxfId="5764" priority="4695" operator="between">
      <formula>0.51</formula>
      <formula>0.75</formula>
    </cfRule>
    <cfRule type="cellIs" dxfId="5763" priority="4696" operator="greaterThan">
      <formula>1</formula>
    </cfRule>
    <cfRule type="cellIs" dxfId="5762" priority="4697" operator="between">
      <formula>0.95</formula>
      <formula>1</formula>
    </cfRule>
    <cfRule type="cellIs" dxfId="5761" priority="4698" stopIfTrue="1" operator="between">
      <formula>0</formula>
      <formula>0.5</formula>
    </cfRule>
  </conditionalFormatting>
  <conditionalFormatting sqref="AF255">
    <cfRule type="cellIs" dxfId="5760" priority="4684" operator="between">
      <formula>0.76</formula>
      <formula>0.95</formula>
    </cfRule>
    <cfRule type="cellIs" dxfId="5759" priority="4685" operator="between">
      <formula>0.51</formula>
      <formula>0.75</formula>
    </cfRule>
    <cfRule type="cellIs" dxfId="5758" priority="4686" operator="greaterThan">
      <formula>1</formula>
    </cfRule>
    <cfRule type="cellIs" dxfId="5757" priority="4687" operator="between">
      <formula>0.95</formula>
      <formula>1</formula>
    </cfRule>
    <cfRule type="cellIs" dxfId="5756" priority="4688" stopIfTrue="1" operator="between">
      <formula>0</formula>
      <formula>0.5</formula>
    </cfRule>
  </conditionalFormatting>
  <conditionalFormatting sqref="M255">
    <cfRule type="cellIs" dxfId="5755" priority="4679" operator="between">
      <formula>0.191</formula>
      <formula>0.24</formula>
    </cfRule>
    <cfRule type="cellIs" dxfId="5754" priority="4680" operator="between">
      <formula>0.1251</formula>
      <formula>0.19</formula>
    </cfRule>
    <cfRule type="cellIs" dxfId="5753" priority="4681" operator="greaterThan">
      <formula>0.2601</formula>
    </cfRule>
    <cfRule type="cellIs" dxfId="5752" priority="4682" operator="between">
      <formula>0.2401</formula>
      <formula>0.26</formula>
    </cfRule>
    <cfRule type="cellIs" dxfId="5751" priority="4683" stopIfTrue="1" operator="between">
      <formula>0</formula>
      <formula>0.125</formula>
    </cfRule>
  </conditionalFormatting>
  <conditionalFormatting sqref="K255">
    <cfRule type="cellIs" dxfId="5750" priority="4674" operator="between">
      <formula>0.191</formula>
      <formula>0.24</formula>
    </cfRule>
    <cfRule type="cellIs" dxfId="5749" priority="4675" operator="between">
      <formula>0.1251</formula>
      <formula>0.19</formula>
    </cfRule>
    <cfRule type="cellIs" dxfId="5748" priority="4676" operator="greaterThan">
      <formula>0.2601</formula>
    </cfRule>
    <cfRule type="cellIs" dxfId="5747" priority="4677" operator="between">
      <formula>0.2401</formula>
      <formula>0.26</formula>
    </cfRule>
    <cfRule type="cellIs" dxfId="5746" priority="4678" stopIfTrue="1" operator="between">
      <formula>0</formula>
      <formula>0.125</formula>
    </cfRule>
  </conditionalFormatting>
  <conditionalFormatting sqref="R255">
    <cfRule type="cellIs" dxfId="5745" priority="4669" operator="between">
      <formula>0.3751</formula>
      <formula>0.475</formula>
    </cfRule>
    <cfRule type="cellIs" dxfId="5744" priority="4670" operator="between">
      <formula>0.2551</formula>
      <formula>0.375</formula>
    </cfRule>
    <cfRule type="cellIs" dxfId="5743" priority="4671" operator="greaterThan">
      <formula>0.505</formula>
    </cfRule>
    <cfRule type="cellIs" dxfId="5742" priority="4672" operator="between">
      <formula>0.48</formula>
      <formula>0.5</formula>
    </cfRule>
    <cfRule type="cellIs" dxfId="5741" priority="4673" stopIfTrue="1" operator="between">
      <formula>0</formula>
      <formula>0.255</formula>
    </cfRule>
  </conditionalFormatting>
  <conditionalFormatting sqref="T255">
    <cfRule type="cellIs" dxfId="5740" priority="4664" operator="between">
      <formula>0.376</formula>
      <formula>0.475</formula>
    </cfRule>
    <cfRule type="cellIs" dxfId="5739" priority="4665" operator="between">
      <formula>0.2551</formula>
      <formula>0.3751</formula>
    </cfRule>
    <cfRule type="cellIs" dxfId="5738" priority="4666" operator="greaterThan">
      <formula>0.505</formula>
    </cfRule>
    <cfRule type="cellIs" dxfId="5737" priority="4667" operator="between">
      <formula>0.48</formula>
      <formula>0.5</formula>
    </cfRule>
    <cfRule type="cellIs" dxfId="5736" priority="4668" stopIfTrue="1" operator="between">
      <formula>0</formula>
      <formula>0.255</formula>
    </cfRule>
  </conditionalFormatting>
  <conditionalFormatting sqref="I255">
    <cfRule type="cellIs" dxfId="5735" priority="4649" operator="between">
      <formula>0.76</formula>
      <formula>0.95</formula>
    </cfRule>
    <cfRule type="cellIs" dxfId="5734" priority="4650" operator="between">
      <formula>0.51</formula>
      <formula>0.75</formula>
    </cfRule>
    <cfRule type="cellIs" dxfId="5733" priority="4651" operator="greaterThan">
      <formula>1</formula>
    </cfRule>
    <cfRule type="cellIs" dxfId="5732" priority="4652" operator="between">
      <formula>0.95</formula>
      <formula>1</formula>
    </cfRule>
    <cfRule type="cellIs" dxfId="5731" priority="4653" stopIfTrue="1" operator="between">
      <formula>0</formula>
      <formula>0.5</formula>
    </cfRule>
  </conditionalFormatting>
  <conditionalFormatting sqref="K255">
    <cfRule type="cellIs" dxfId="5730" priority="4644" operator="between">
      <formula>0.191</formula>
      <formula>0.24</formula>
    </cfRule>
    <cfRule type="cellIs" dxfId="5729" priority="4645" operator="between">
      <formula>0.1251</formula>
      <formula>0.19</formula>
    </cfRule>
    <cfRule type="cellIs" dxfId="5728" priority="4646" operator="greaterThan">
      <formula>0.2601</formula>
    </cfRule>
    <cfRule type="cellIs" dxfId="5727" priority="4647" operator="between">
      <formula>0.2401</formula>
      <formula>0.26</formula>
    </cfRule>
    <cfRule type="cellIs" dxfId="5726" priority="4648" stopIfTrue="1" operator="between">
      <formula>0</formula>
      <formula>0.125</formula>
    </cfRule>
  </conditionalFormatting>
  <conditionalFormatting sqref="P255">
    <cfRule type="cellIs" dxfId="5725" priority="4639" operator="between">
      <formula>0.76</formula>
      <formula>0.95</formula>
    </cfRule>
    <cfRule type="cellIs" dxfId="5724" priority="4640" operator="between">
      <formula>0.51</formula>
      <formula>0.75</formula>
    </cfRule>
    <cfRule type="cellIs" dxfId="5723" priority="4641" operator="greaterThan">
      <formula>1</formula>
    </cfRule>
    <cfRule type="cellIs" dxfId="5722" priority="4642" operator="between">
      <formula>0.95</formula>
      <formula>1</formula>
    </cfRule>
    <cfRule type="cellIs" dxfId="5721" priority="4643" stopIfTrue="1" operator="between">
      <formula>0</formula>
      <formula>0.5</formula>
    </cfRule>
  </conditionalFormatting>
  <conditionalFormatting sqref="W255">
    <cfRule type="cellIs" dxfId="5720" priority="4634" operator="between">
      <formula>0.76</formula>
      <formula>0.95</formula>
    </cfRule>
    <cfRule type="cellIs" dxfId="5719" priority="4635" operator="between">
      <formula>0.51</formula>
      <formula>0.75</formula>
    </cfRule>
    <cfRule type="cellIs" dxfId="5718" priority="4636" operator="greaterThan">
      <formula>1</formula>
    </cfRule>
    <cfRule type="cellIs" dxfId="5717" priority="4637" operator="between">
      <formula>0.95</formula>
      <formula>1</formula>
    </cfRule>
    <cfRule type="cellIs" dxfId="5716" priority="4638" stopIfTrue="1" operator="between">
      <formula>0</formula>
      <formula>0.5</formula>
    </cfRule>
  </conditionalFormatting>
  <conditionalFormatting sqref="AD255">
    <cfRule type="cellIs" dxfId="5715" priority="4624" operator="between">
      <formula>0.76</formula>
      <formula>0.95</formula>
    </cfRule>
    <cfRule type="cellIs" dxfId="5714" priority="4625" operator="between">
      <formula>0.51</formula>
      <formula>0.75</formula>
    </cfRule>
    <cfRule type="cellIs" dxfId="5713" priority="4626" operator="greaterThan">
      <formula>1</formula>
    </cfRule>
    <cfRule type="cellIs" dxfId="5712" priority="4627" operator="between">
      <formula>0.95</formula>
      <formula>1</formula>
    </cfRule>
    <cfRule type="cellIs" dxfId="5711" priority="4628" stopIfTrue="1" operator="between">
      <formula>0</formula>
      <formula>0.5</formula>
    </cfRule>
  </conditionalFormatting>
  <conditionalFormatting sqref="AF255">
    <cfRule type="cellIs" dxfId="5710" priority="4619" operator="between">
      <formula>0.76</formula>
      <formula>0.95</formula>
    </cfRule>
    <cfRule type="cellIs" dxfId="5709" priority="4620" operator="between">
      <formula>0.51</formula>
      <formula>0.75</formula>
    </cfRule>
    <cfRule type="cellIs" dxfId="5708" priority="4621" operator="greaterThan">
      <formula>1</formula>
    </cfRule>
    <cfRule type="cellIs" dxfId="5707" priority="4622" operator="between">
      <formula>0.95</formula>
      <formula>1</formula>
    </cfRule>
    <cfRule type="cellIs" dxfId="5706" priority="4623" stopIfTrue="1" operator="between">
      <formula>0</formula>
      <formula>0.5</formula>
    </cfRule>
  </conditionalFormatting>
  <conditionalFormatting sqref="R255">
    <cfRule type="cellIs" dxfId="5705" priority="4614" operator="between">
      <formula>0.3751</formula>
      <formula>0.475</formula>
    </cfRule>
    <cfRule type="cellIs" dxfId="5704" priority="4615" operator="between">
      <formula>0.2551</formula>
      <formula>0.375</formula>
    </cfRule>
    <cfRule type="cellIs" dxfId="5703" priority="4616" operator="greaterThan">
      <formula>0.505</formula>
    </cfRule>
    <cfRule type="cellIs" dxfId="5702" priority="4617" operator="between">
      <formula>0.48</formula>
      <formula>0.5</formula>
    </cfRule>
    <cfRule type="cellIs" dxfId="5701" priority="4618" stopIfTrue="1" operator="between">
      <formula>0</formula>
      <formula>0.255</formula>
    </cfRule>
  </conditionalFormatting>
  <conditionalFormatting sqref="J255">
    <cfRule type="cellIs" dxfId="5700" priority="4604" operator="between">
      <formula>0.76</formula>
      <formula>0.95</formula>
    </cfRule>
    <cfRule type="cellIs" dxfId="5699" priority="4605" operator="between">
      <formula>0.51</formula>
      <formula>0.75</formula>
    </cfRule>
    <cfRule type="cellIs" dxfId="5698" priority="4606" operator="greaterThan">
      <formula>1</formula>
    </cfRule>
    <cfRule type="cellIs" dxfId="5697" priority="4607" operator="between">
      <formula>0.95</formula>
      <formula>1</formula>
    </cfRule>
    <cfRule type="cellIs" dxfId="5696" priority="4608" stopIfTrue="1" operator="between">
      <formula>0</formula>
      <formula>0.5</formula>
    </cfRule>
  </conditionalFormatting>
  <conditionalFormatting sqref="M255">
    <cfRule type="cellIs" dxfId="5695" priority="4599" operator="between">
      <formula>0.191</formula>
      <formula>0.24</formula>
    </cfRule>
    <cfRule type="cellIs" dxfId="5694" priority="4600" operator="between">
      <formula>0.1251</formula>
      <formula>0.19</formula>
    </cfRule>
    <cfRule type="cellIs" dxfId="5693" priority="4601" operator="greaterThan">
      <formula>0.2601</formula>
    </cfRule>
    <cfRule type="cellIs" dxfId="5692" priority="4602" operator="between">
      <formula>0.2401</formula>
      <formula>0.26</formula>
    </cfRule>
    <cfRule type="cellIs" dxfId="5691" priority="4603" stopIfTrue="1" operator="between">
      <formula>0</formula>
      <formula>0.125</formula>
    </cfRule>
  </conditionalFormatting>
  <conditionalFormatting sqref="T255">
    <cfRule type="cellIs" dxfId="5690" priority="4594" operator="between">
      <formula>0.376</formula>
      <formula>0.475</formula>
    </cfRule>
    <cfRule type="cellIs" dxfId="5689" priority="4595" operator="between">
      <formula>0.2551</formula>
      <formula>0.3751</formula>
    </cfRule>
    <cfRule type="cellIs" dxfId="5688" priority="4596" operator="greaterThan">
      <formula>0.505</formula>
    </cfRule>
    <cfRule type="cellIs" dxfId="5687" priority="4597" operator="between">
      <formula>0.48</formula>
      <formula>0.5</formula>
    </cfRule>
    <cfRule type="cellIs" dxfId="5686" priority="4598" stopIfTrue="1" operator="between">
      <formula>0</formula>
      <formula>0.255</formula>
    </cfRule>
  </conditionalFormatting>
  <conditionalFormatting sqref="AG255">
    <cfRule type="cellIs" dxfId="5685" priority="4584" operator="between">
      <formula>0.191</formula>
      <formula>0.24</formula>
    </cfRule>
    <cfRule type="cellIs" dxfId="5684" priority="4585" operator="between">
      <formula>0.1251</formula>
      <formula>0.19</formula>
    </cfRule>
    <cfRule type="cellIs" dxfId="5683" priority="4586" operator="greaterThan">
      <formula>0.2601</formula>
    </cfRule>
    <cfRule type="cellIs" dxfId="5682" priority="4587" operator="between">
      <formula>0.2401</formula>
      <formula>0.26</formula>
    </cfRule>
    <cfRule type="cellIs" dxfId="5681" priority="4588" stopIfTrue="1" operator="between">
      <formula>0</formula>
      <formula>0.125</formula>
    </cfRule>
  </conditionalFormatting>
  <conditionalFormatting sqref="Q255">
    <cfRule type="cellIs" dxfId="5680" priority="4579" operator="between">
      <formula>0.76</formula>
      <formula>0.95</formula>
    </cfRule>
    <cfRule type="cellIs" dxfId="5679" priority="4580" operator="between">
      <formula>0.51</formula>
      <formula>0.75</formula>
    </cfRule>
    <cfRule type="cellIs" dxfId="5678" priority="4581" operator="greaterThan">
      <formula>1</formula>
    </cfRule>
    <cfRule type="cellIs" dxfId="5677" priority="4582" operator="between">
      <formula>0.95</formula>
      <formula>1</formula>
    </cfRule>
    <cfRule type="cellIs" dxfId="5676" priority="4583" stopIfTrue="1" operator="between">
      <formula>0</formula>
      <formula>0.5</formula>
    </cfRule>
  </conditionalFormatting>
  <conditionalFormatting sqref="X255">
    <cfRule type="cellIs" dxfId="5675" priority="4564" operator="between">
      <formula>0.76</formula>
      <formula>0.95</formula>
    </cfRule>
    <cfRule type="cellIs" dxfId="5674" priority="4565" operator="between">
      <formula>0.51</formula>
      <formula>0.75</formula>
    </cfRule>
    <cfRule type="cellIs" dxfId="5673" priority="4566" operator="greaterThan">
      <formula>1</formula>
    </cfRule>
    <cfRule type="cellIs" dxfId="5672" priority="4567" operator="between">
      <formula>0.95</formula>
      <formula>1</formula>
    </cfRule>
    <cfRule type="cellIs" dxfId="5671" priority="4568" stopIfTrue="1" operator="between">
      <formula>0</formula>
      <formula>0.5</formula>
    </cfRule>
  </conditionalFormatting>
  <conditionalFormatting sqref="Q255">
    <cfRule type="cellIs" dxfId="5670" priority="4559" operator="between">
      <formula>0.76</formula>
      <formula>0.95</formula>
    </cfRule>
    <cfRule type="cellIs" dxfId="5669" priority="4560" operator="between">
      <formula>0.51</formula>
      <formula>0.75</formula>
    </cfRule>
    <cfRule type="cellIs" dxfId="5668" priority="4561" operator="greaterThan">
      <formula>1</formula>
    </cfRule>
    <cfRule type="cellIs" dxfId="5667" priority="4562" operator="between">
      <formula>0.95</formula>
      <formula>1</formula>
    </cfRule>
    <cfRule type="cellIs" dxfId="5666" priority="4563" stopIfTrue="1" operator="between">
      <formula>0</formula>
      <formula>0.5</formula>
    </cfRule>
  </conditionalFormatting>
  <conditionalFormatting sqref="T255">
    <cfRule type="cellIs" dxfId="5665" priority="4554" operator="between">
      <formula>0.191</formula>
      <formula>0.24</formula>
    </cfRule>
    <cfRule type="cellIs" dxfId="5664" priority="4555" operator="between">
      <formula>0.1251</formula>
      <formula>0.19</formula>
    </cfRule>
    <cfRule type="cellIs" dxfId="5663" priority="4556" operator="greaterThan">
      <formula>0.2601</formula>
    </cfRule>
    <cfRule type="cellIs" dxfId="5662" priority="4557" operator="between">
      <formula>0.2401</formula>
      <formula>0.26</formula>
    </cfRule>
    <cfRule type="cellIs" dxfId="5661" priority="4558" stopIfTrue="1" operator="between">
      <formula>0</formula>
      <formula>0.125</formula>
    </cfRule>
  </conditionalFormatting>
  <conditionalFormatting sqref="AG255">
    <cfRule type="cellIs" dxfId="5660" priority="4549" operator="between">
      <formula>0.76</formula>
      <formula>0.95</formula>
    </cfRule>
    <cfRule type="cellIs" dxfId="5659" priority="4550" operator="between">
      <formula>0.51</formula>
      <formula>0.75</formula>
    </cfRule>
    <cfRule type="cellIs" dxfId="5658" priority="4551" operator="greaterThan">
      <formula>1</formula>
    </cfRule>
    <cfRule type="cellIs" dxfId="5657" priority="4552" operator="between">
      <formula>0.95</formula>
      <formula>1</formula>
    </cfRule>
    <cfRule type="cellIs" dxfId="5656" priority="4553" stopIfTrue="1" operator="between">
      <formula>0</formula>
      <formula>0.5</formula>
    </cfRule>
  </conditionalFormatting>
  <conditionalFormatting sqref="AG255">
    <cfRule type="cellIs" dxfId="5655" priority="4544" operator="between">
      <formula>0.76</formula>
      <formula>0.95</formula>
    </cfRule>
    <cfRule type="cellIs" dxfId="5654" priority="4545" operator="between">
      <formula>0.51</formula>
      <formula>0.75</formula>
    </cfRule>
    <cfRule type="cellIs" dxfId="5653" priority="4546" operator="greaterThan">
      <formula>1</formula>
    </cfRule>
    <cfRule type="cellIs" dxfId="5652" priority="4547" operator="between">
      <formula>0.95</formula>
      <formula>1</formula>
    </cfRule>
    <cfRule type="cellIs" dxfId="5651" priority="4548" stopIfTrue="1" operator="between">
      <formula>0</formula>
      <formula>0.5</formula>
    </cfRule>
  </conditionalFormatting>
  <conditionalFormatting sqref="J255">
    <cfRule type="cellIs" dxfId="5650" priority="4534" operator="between">
      <formula>0.76</formula>
      <formula>0.95</formula>
    </cfRule>
    <cfRule type="cellIs" dxfId="5649" priority="4535" operator="between">
      <formula>0.51</formula>
      <formula>0.75</formula>
    </cfRule>
    <cfRule type="cellIs" dxfId="5648" priority="4536" operator="greaterThan">
      <formula>1</formula>
    </cfRule>
    <cfRule type="cellIs" dxfId="5647" priority="4537" operator="between">
      <formula>0.95</formula>
      <formula>1</formula>
    </cfRule>
    <cfRule type="cellIs" dxfId="5646" priority="4538" stopIfTrue="1" operator="between">
      <formula>0</formula>
      <formula>0.5</formula>
    </cfRule>
  </conditionalFormatting>
  <conditionalFormatting sqref="Q255">
    <cfRule type="cellIs" dxfId="5645" priority="4529" operator="between">
      <formula>0.76</formula>
      <formula>0.95</formula>
    </cfRule>
    <cfRule type="cellIs" dxfId="5644" priority="4530" operator="between">
      <formula>0.51</formula>
      <formula>0.75</formula>
    </cfRule>
    <cfRule type="cellIs" dxfId="5643" priority="4531" operator="greaterThan">
      <formula>1</formula>
    </cfRule>
    <cfRule type="cellIs" dxfId="5642" priority="4532" operator="between">
      <formula>0.95</formula>
      <formula>1</formula>
    </cfRule>
    <cfRule type="cellIs" dxfId="5641" priority="4533" stopIfTrue="1" operator="between">
      <formula>0</formula>
      <formula>0.5</formula>
    </cfRule>
  </conditionalFormatting>
  <conditionalFormatting sqref="X255">
    <cfRule type="cellIs" dxfId="5640" priority="4524" operator="between">
      <formula>0.76</formula>
      <formula>0.95</formula>
    </cfRule>
    <cfRule type="cellIs" dxfId="5639" priority="4525" operator="between">
      <formula>0.51</formula>
      <formula>0.75</formula>
    </cfRule>
    <cfRule type="cellIs" dxfId="5638" priority="4526" operator="greaterThan">
      <formula>1</formula>
    </cfRule>
    <cfRule type="cellIs" dxfId="5637" priority="4527" operator="between">
      <formula>0.95</formula>
      <formula>1</formula>
    </cfRule>
    <cfRule type="cellIs" dxfId="5636" priority="4528" stopIfTrue="1" operator="between">
      <formula>0</formula>
      <formula>0.5</formula>
    </cfRule>
  </conditionalFormatting>
  <conditionalFormatting sqref="I133">
    <cfRule type="cellIs" dxfId="5635" priority="4497" operator="between">
      <formula>0.76</formula>
      <formula>0.95</formula>
    </cfRule>
    <cfRule type="cellIs" dxfId="5634" priority="4498" operator="between">
      <formula>0.51</formula>
      <formula>0.75</formula>
    </cfRule>
    <cfRule type="cellIs" dxfId="5633" priority="4499" operator="greaterThan">
      <formula>1</formula>
    </cfRule>
    <cfRule type="cellIs" dxfId="5632" priority="4500" operator="between">
      <formula>0.95</formula>
      <formula>1</formula>
    </cfRule>
    <cfRule type="cellIs" dxfId="5631" priority="4501" stopIfTrue="1" operator="between">
      <formula>0</formula>
      <formula>0.5</formula>
    </cfRule>
  </conditionalFormatting>
  <conditionalFormatting sqref="K133">
    <cfRule type="cellIs" dxfId="5630" priority="4492" operator="between">
      <formula>0.191</formula>
      <formula>0.24</formula>
    </cfRule>
    <cfRule type="cellIs" dxfId="5629" priority="4493" operator="between">
      <formula>0.1251</formula>
      <formula>0.19</formula>
    </cfRule>
    <cfRule type="cellIs" dxfId="5628" priority="4494" operator="greaterThan">
      <formula>0.2601</formula>
    </cfRule>
    <cfRule type="cellIs" dxfId="5627" priority="4495" operator="between">
      <formula>0.2401</formula>
      <formula>0.26</formula>
    </cfRule>
    <cfRule type="cellIs" dxfId="5626" priority="4496" stopIfTrue="1" operator="between">
      <formula>0</formula>
      <formula>0.125</formula>
    </cfRule>
  </conditionalFormatting>
  <conditionalFormatting sqref="P133">
    <cfRule type="cellIs" dxfId="5625" priority="4487" operator="between">
      <formula>0.76</formula>
      <formula>0.95</formula>
    </cfRule>
    <cfRule type="cellIs" dxfId="5624" priority="4488" operator="between">
      <formula>0.51</formula>
      <formula>0.75</formula>
    </cfRule>
    <cfRule type="cellIs" dxfId="5623" priority="4489" operator="greaterThan">
      <formula>1</formula>
    </cfRule>
    <cfRule type="cellIs" dxfId="5622" priority="4490" operator="between">
      <formula>0.95</formula>
      <formula>1</formula>
    </cfRule>
    <cfRule type="cellIs" dxfId="5621" priority="4491" stopIfTrue="1" operator="between">
      <formula>0</formula>
      <formula>0.5</formula>
    </cfRule>
  </conditionalFormatting>
  <conditionalFormatting sqref="W133">
    <cfRule type="cellIs" dxfId="5620" priority="4482" operator="between">
      <formula>0.76</formula>
      <formula>0.95</formula>
    </cfRule>
    <cfRule type="cellIs" dxfId="5619" priority="4483" operator="between">
      <formula>0.51</formula>
      <formula>0.75</formula>
    </cfRule>
    <cfRule type="cellIs" dxfId="5618" priority="4484" operator="greaterThan">
      <formula>1</formula>
    </cfRule>
    <cfRule type="cellIs" dxfId="5617" priority="4485" operator="between">
      <formula>0.95</formula>
      <formula>1</formula>
    </cfRule>
    <cfRule type="cellIs" dxfId="5616" priority="4486" stopIfTrue="1" operator="between">
      <formula>0</formula>
      <formula>0.5</formula>
    </cfRule>
  </conditionalFormatting>
  <conditionalFormatting sqref="AD133">
    <cfRule type="cellIs" dxfId="5615" priority="4472" operator="between">
      <formula>0.76</formula>
      <formula>0.95</formula>
    </cfRule>
    <cfRule type="cellIs" dxfId="5614" priority="4473" operator="between">
      <formula>0.51</formula>
      <formula>0.75</formula>
    </cfRule>
    <cfRule type="cellIs" dxfId="5613" priority="4474" operator="greaterThan">
      <formula>1</formula>
    </cfRule>
    <cfRule type="cellIs" dxfId="5612" priority="4475" operator="between">
      <formula>0.95</formula>
      <formula>1</formula>
    </cfRule>
    <cfRule type="cellIs" dxfId="5611" priority="4476" stopIfTrue="1" operator="between">
      <formula>0</formula>
      <formula>0.5</formula>
    </cfRule>
  </conditionalFormatting>
  <conditionalFormatting sqref="AF133">
    <cfRule type="cellIs" dxfId="5610" priority="4467" operator="between">
      <formula>0.76</formula>
      <formula>0.95</formula>
    </cfRule>
    <cfRule type="cellIs" dxfId="5609" priority="4468" operator="between">
      <formula>0.51</formula>
      <formula>0.75</formula>
    </cfRule>
    <cfRule type="cellIs" dxfId="5608" priority="4469" operator="greaterThan">
      <formula>1</formula>
    </cfRule>
    <cfRule type="cellIs" dxfId="5607" priority="4470" operator="between">
      <formula>0.95</formula>
      <formula>1</formula>
    </cfRule>
    <cfRule type="cellIs" dxfId="5606" priority="4471" stopIfTrue="1" operator="between">
      <formula>0</formula>
      <formula>0.5</formula>
    </cfRule>
  </conditionalFormatting>
  <conditionalFormatting sqref="R133">
    <cfRule type="cellIs" dxfId="5605" priority="4462" operator="between">
      <formula>0.3751</formula>
      <formula>0.475</formula>
    </cfRule>
    <cfRule type="cellIs" dxfId="5604" priority="4463" operator="between">
      <formula>0.2551</formula>
      <formula>0.375</formula>
    </cfRule>
    <cfRule type="cellIs" dxfId="5603" priority="4464" operator="greaterThan">
      <formula>0.505</formula>
    </cfRule>
    <cfRule type="cellIs" dxfId="5602" priority="4465" operator="between">
      <formula>0.48</formula>
      <formula>0.5</formula>
    </cfRule>
    <cfRule type="cellIs" dxfId="5601" priority="4466" stopIfTrue="1" operator="between">
      <formula>0</formula>
      <formula>0.255</formula>
    </cfRule>
  </conditionalFormatting>
  <conditionalFormatting sqref="Q133">
    <cfRule type="cellIs" dxfId="5600" priority="4432" operator="between">
      <formula>0.76</formula>
      <formula>0.95</formula>
    </cfRule>
    <cfRule type="cellIs" dxfId="5599" priority="4433" operator="between">
      <formula>0.51</formula>
      <formula>0.75</formula>
    </cfRule>
    <cfRule type="cellIs" dxfId="5598" priority="4434" operator="greaterThan">
      <formula>1</formula>
    </cfRule>
    <cfRule type="cellIs" dxfId="5597" priority="4435" operator="between">
      <formula>0.95</formula>
      <formula>1</formula>
    </cfRule>
    <cfRule type="cellIs" dxfId="5596" priority="4436" stopIfTrue="1" operator="between">
      <formula>0</formula>
      <formula>0.5</formula>
    </cfRule>
  </conditionalFormatting>
  <conditionalFormatting sqref="AE133">
    <cfRule type="cellIs" dxfId="5595" priority="4442" operator="between">
      <formula>0.76</formula>
      <formula>0.95</formula>
    </cfRule>
    <cfRule type="cellIs" dxfId="5594" priority="4443" operator="between">
      <formula>0.51</formula>
      <formula>0.75</formula>
    </cfRule>
    <cfRule type="cellIs" dxfId="5593" priority="4444" operator="greaterThan">
      <formula>1</formula>
    </cfRule>
    <cfRule type="cellIs" dxfId="5592" priority="4445" operator="between">
      <formula>0.95</formula>
      <formula>1</formula>
    </cfRule>
    <cfRule type="cellIs" dxfId="5591" priority="4446" stopIfTrue="1" operator="between">
      <formula>0</formula>
      <formula>0.5</formula>
    </cfRule>
  </conditionalFormatting>
  <conditionalFormatting sqref="T133">
    <cfRule type="cellIs" dxfId="5590" priority="4417" operator="between">
      <formula>0.191</formula>
      <formula>0.24</formula>
    </cfRule>
    <cfRule type="cellIs" dxfId="5589" priority="4418" operator="between">
      <formula>0.1251</formula>
      <formula>0.19</formula>
    </cfRule>
    <cfRule type="cellIs" dxfId="5588" priority="4419" operator="greaterThan">
      <formula>0.2601</formula>
    </cfRule>
    <cfRule type="cellIs" dxfId="5587" priority="4420" operator="between">
      <formula>0.2401</formula>
      <formula>0.26</formula>
    </cfRule>
    <cfRule type="cellIs" dxfId="5586" priority="4421" stopIfTrue="1" operator="between">
      <formula>0</formula>
      <formula>0.125</formula>
    </cfRule>
  </conditionalFormatting>
  <conditionalFormatting sqref="J133">
    <cfRule type="cellIs" dxfId="5585" priority="4400" operator="between">
      <formula>0.76</formula>
      <formula>0.95</formula>
    </cfRule>
    <cfRule type="cellIs" dxfId="5584" priority="4401" operator="between">
      <formula>0.51</formula>
      <formula>0.75</formula>
    </cfRule>
    <cfRule type="cellIs" dxfId="5583" priority="4402" operator="greaterThan">
      <formula>1</formula>
    </cfRule>
    <cfRule type="cellIs" dxfId="5582" priority="4403" operator="between">
      <formula>0.95</formula>
      <formula>1</formula>
    </cfRule>
    <cfRule type="cellIs" dxfId="5581" priority="4404" stopIfTrue="1" operator="between">
      <formula>0</formula>
      <formula>0.5</formula>
    </cfRule>
  </conditionalFormatting>
  <conditionalFormatting sqref="M133">
    <cfRule type="cellIs" dxfId="5580" priority="4395" operator="between">
      <formula>0.191</formula>
      <formula>0.24</formula>
    </cfRule>
    <cfRule type="cellIs" dxfId="5579" priority="4396" operator="between">
      <formula>0.1251</formula>
      <formula>0.19</formula>
    </cfRule>
    <cfRule type="cellIs" dxfId="5578" priority="4397" operator="greaterThan">
      <formula>0.2601</formula>
    </cfRule>
    <cfRule type="cellIs" dxfId="5577" priority="4398" operator="between">
      <formula>0.2401</formula>
      <formula>0.26</formula>
    </cfRule>
    <cfRule type="cellIs" dxfId="5576" priority="4399" stopIfTrue="1" operator="between">
      <formula>0</formula>
      <formula>0.125</formula>
    </cfRule>
  </conditionalFormatting>
  <conditionalFormatting sqref="X133">
    <cfRule type="cellIs" dxfId="5575" priority="4385" operator="between">
      <formula>0.76</formula>
      <formula>0.95</formula>
    </cfRule>
    <cfRule type="cellIs" dxfId="5574" priority="4386" operator="between">
      <formula>0.51</formula>
      <formula>0.75</formula>
    </cfRule>
    <cfRule type="cellIs" dxfId="5573" priority="4387" operator="greaterThan">
      <formula>1</formula>
    </cfRule>
    <cfRule type="cellIs" dxfId="5572" priority="4388" operator="between">
      <formula>0.95</formula>
      <formula>1</formula>
    </cfRule>
    <cfRule type="cellIs" dxfId="5571" priority="4389" stopIfTrue="1" operator="between">
      <formula>0</formula>
      <formula>0.5</formula>
    </cfRule>
  </conditionalFormatting>
  <conditionalFormatting sqref="M160">
    <cfRule type="cellIs" dxfId="5570" priority="4303" operator="between">
      <formula>0.76</formula>
      <formula>0.95</formula>
    </cfRule>
    <cfRule type="cellIs" dxfId="5569" priority="4304" operator="between">
      <formula>0.51</formula>
      <formula>0.75</formula>
    </cfRule>
    <cfRule type="cellIs" dxfId="5568" priority="4305" operator="greaterThan">
      <formula>1</formula>
    </cfRule>
    <cfRule type="cellIs" dxfId="5567" priority="4306" operator="between">
      <formula>0.95</formula>
      <formula>1</formula>
    </cfRule>
    <cfRule type="cellIs" dxfId="5566" priority="4307" stopIfTrue="1" operator="between">
      <formula>0</formula>
      <formula>0.5</formula>
    </cfRule>
  </conditionalFormatting>
  <conditionalFormatting sqref="I160">
    <cfRule type="cellIs" dxfId="5565" priority="4358" operator="between">
      <formula>0.76</formula>
      <formula>0.95</formula>
    </cfRule>
    <cfRule type="cellIs" dxfId="5564" priority="4359" operator="between">
      <formula>0.51</formula>
      <formula>0.75</formula>
    </cfRule>
    <cfRule type="cellIs" dxfId="5563" priority="4360" operator="greaterThan">
      <formula>1</formula>
    </cfRule>
    <cfRule type="cellIs" dxfId="5562" priority="4361" operator="between">
      <formula>0.95</formula>
      <formula>1</formula>
    </cfRule>
    <cfRule type="cellIs" dxfId="5561" priority="4362" stopIfTrue="1" operator="between">
      <formula>0</formula>
      <formula>0.5</formula>
    </cfRule>
  </conditionalFormatting>
  <conditionalFormatting sqref="K160">
    <cfRule type="cellIs" dxfId="5560" priority="4353" operator="between">
      <formula>0.191</formula>
      <formula>0.24</formula>
    </cfRule>
    <cfRule type="cellIs" dxfId="5559" priority="4354" operator="between">
      <formula>0.1251</formula>
      <formula>0.19</formula>
    </cfRule>
    <cfRule type="cellIs" dxfId="5558" priority="4355" operator="greaterThan">
      <formula>0.2601</formula>
    </cfRule>
    <cfRule type="cellIs" dxfId="5557" priority="4356" operator="between">
      <formula>0.2401</formula>
      <formula>0.26</formula>
    </cfRule>
    <cfRule type="cellIs" dxfId="5556" priority="4357" stopIfTrue="1" operator="between">
      <formula>0</formula>
      <formula>0.125</formula>
    </cfRule>
  </conditionalFormatting>
  <conditionalFormatting sqref="P160">
    <cfRule type="cellIs" dxfId="5555" priority="4348" operator="between">
      <formula>0.76</formula>
      <formula>0.95</formula>
    </cfRule>
    <cfRule type="cellIs" dxfId="5554" priority="4349" operator="between">
      <formula>0.51</formula>
      <formula>0.75</formula>
    </cfRule>
    <cfRule type="cellIs" dxfId="5553" priority="4350" operator="greaterThan">
      <formula>1</formula>
    </cfRule>
    <cfRule type="cellIs" dxfId="5552" priority="4351" operator="between">
      <formula>0.95</formula>
      <formula>1</formula>
    </cfRule>
    <cfRule type="cellIs" dxfId="5551" priority="4352" stopIfTrue="1" operator="between">
      <formula>0</formula>
      <formula>0.5</formula>
    </cfRule>
  </conditionalFormatting>
  <conditionalFormatting sqref="W160">
    <cfRule type="cellIs" dxfId="5550" priority="4343" operator="between">
      <formula>0.76</formula>
      <formula>0.95</formula>
    </cfRule>
    <cfRule type="cellIs" dxfId="5549" priority="4344" operator="between">
      <formula>0.51</formula>
      <formula>0.75</formula>
    </cfRule>
    <cfRule type="cellIs" dxfId="5548" priority="4345" operator="greaterThan">
      <formula>1</formula>
    </cfRule>
    <cfRule type="cellIs" dxfId="5547" priority="4346" operator="between">
      <formula>0.95</formula>
      <formula>1</formula>
    </cfRule>
    <cfRule type="cellIs" dxfId="5546" priority="4347" stopIfTrue="1" operator="between">
      <formula>0</formula>
      <formula>0.5</formula>
    </cfRule>
  </conditionalFormatting>
  <conditionalFormatting sqref="AD160">
    <cfRule type="cellIs" dxfId="5545" priority="4333" operator="between">
      <formula>0.76</formula>
      <formula>0.95</formula>
    </cfRule>
    <cfRule type="cellIs" dxfId="5544" priority="4334" operator="between">
      <formula>0.51</formula>
      <formula>0.75</formula>
    </cfRule>
    <cfRule type="cellIs" dxfId="5543" priority="4335" operator="greaterThan">
      <formula>1</formula>
    </cfRule>
    <cfRule type="cellIs" dxfId="5542" priority="4336" operator="between">
      <formula>0.95</formula>
      <formula>1</formula>
    </cfRule>
    <cfRule type="cellIs" dxfId="5541" priority="4337" stopIfTrue="1" operator="between">
      <formula>0</formula>
      <formula>0.5</formula>
    </cfRule>
  </conditionalFormatting>
  <conditionalFormatting sqref="AF160">
    <cfRule type="cellIs" dxfId="5540" priority="4328" operator="between">
      <formula>0.76</formula>
      <formula>0.95</formula>
    </cfRule>
    <cfRule type="cellIs" dxfId="5539" priority="4329" operator="between">
      <formula>0.51</formula>
      <formula>0.75</formula>
    </cfRule>
    <cfRule type="cellIs" dxfId="5538" priority="4330" operator="greaterThan">
      <formula>1</formula>
    </cfRule>
    <cfRule type="cellIs" dxfId="5537" priority="4331" operator="between">
      <formula>0.95</formula>
      <formula>1</formula>
    </cfRule>
    <cfRule type="cellIs" dxfId="5536" priority="4332" stopIfTrue="1" operator="between">
      <formula>0</formula>
      <formula>0.5</formula>
    </cfRule>
  </conditionalFormatting>
  <conditionalFormatting sqref="R160">
    <cfRule type="cellIs" dxfId="5535" priority="4323" operator="between">
      <formula>0.3751</formula>
      <formula>0.475</formula>
    </cfRule>
    <cfRule type="cellIs" dxfId="5534" priority="4324" operator="between">
      <formula>0.2551</formula>
      <formula>0.375</formula>
    </cfRule>
    <cfRule type="cellIs" dxfId="5533" priority="4325" operator="greaterThan">
      <formula>0.505</formula>
    </cfRule>
    <cfRule type="cellIs" dxfId="5532" priority="4326" operator="between">
      <formula>0.48</formula>
      <formula>0.5</formula>
    </cfRule>
    <cfRule type="cellIs" dxfId="5531" priority="4327" stopIfTrue="1" operator="between">
      <formula>0</formula>
      <formula>0.255</formula>
    </cfRule>
  </conditionalFormatting>
  <conditionalFormatting sqref="J160">
    <cfRule type="cellIs" dxfId="5530" priority="4308" operator="between">
      <formula>0.76</formula>
      <formula>0.95</formula>
    </cfRule>
    <cfRule type="cellIs" dxfId="5529" priority="4309" operator="between">
      <formula>0.51</formula>
      <formula>0.75</formula>
    </cfRule>
    <cfRule type="cellIs" dxfId="5528" priority="4310" operator="greaterThan">
      <formula>1</formula>
    </cfRule>
    <cfRule type="cellIs" dxfId="5527" priority="4311" operator="between">
      <formula>0.95</formula>
      <formula>1</formula>
    </cfRule>
    <cfRule type="cellIs" dxfId="5526" priority="4312" stopIfTrue="1" operator="between">
      <formula>0</formula>
      <formula>0.5</formula>
    </cfRule>
  </conditionalFormatting>
  <conditionalFormatting sqref="Q160">
    <cfRule type="cellIs" dxfId="5525" priority="4298" operator="between">
      <formula>0.76</formula>
      <formula>0.95</formula>
    </cfRule>
    <cfRule type="cellIs" dxfId="5524" priority="4299" operator="between">
      <formula>0.51</formula>
      <formula>0.75</formula>
    </cfRule>
    <cfRule type="cellIs" dxfId="5523" priority="4300" operator="greaterThan">
      <formula>1</formula>
    </cfRule>
    <cfRule type="cellIs" dxfId="5522" priority="4301" operator="between">
      <formula>0.95</formula>
      <formula>1</formula>
    </cfRule>
    <cfRule type="cellIs" dxfId="5521" priority="4302" stopIfTrue="1" operator="between">
      <formula>0</formula>
      <formula>0.5</formula>
    </cfRule>
  </conditionalFormatting>
  <conditionalFormatting sqref="T160">
    <cfRule type="cellIs" dxfId="5520" priority="4293" operator="between">
      <formula>0.76</formula>
      <formula>0.95</formula>
    </cfRule>
    <cfRule type="cellIs" dxfId="5519" priority="4294" operator="between">
      <formula>0.51</formula>
      <formula>0.75</formula>
    </cfRule>
    <cfRule type="cellIs" dxfId="5518" priority="4295" operator="greaterThan">
      <formula>1</formula>
    </cfRule>
    <cfRule type="cellIs" dxfId="5517" priority="4296" operator="between">
      <formula>0.95</formula>
      <formula>1</formula>
    </cfRule>
    <cfRule type="cellIs" dxfId="5516" priority="4297" stopIfTrue="1" operator="between">
      <formula>0</formula>
      <formula>0.5</formula>
    </cfRule>
  </conditionalFormatting>
  <conditionalFormatting sqref="J134">
    <cfRule type="cellIs" dxfId="5515" priority="4161" operator="between">
      <formula>0.76</formula>
      <formula>0.95</formula>
    </cfRule>
    <cfRule type="cellIs" dxfId="5514" priority="4162" operator="between">
      <formula>0.51</formula>
      <formula>0.75</formula>
    </cfRule>
    <cfRule type="cellIs" dxfId="5513" priority="4163" operator="greaterThan">
      <formula>1</formula>
    </cfRule>
    <cfRule type="cellIs" dxfId="5512" priority="4164" operator="between">
      <formula>0.95</formula>
      <formula>1</formula>
    </cfRule>
    <cfRule type="cellIs" dxfId="5511" priority="4165" stopIfTrue="1" operator="between">
      <formula>0</formula>
      <formula>0.5</formula>
    </cfRule>
  </conditionalFormatting>
  <conditionalFormatting sqref="X160">
    <cfRule type="cellIs" dxfId="5510" priority="4278" operator="between">
      <formula>0.76</formula>
      <formula>0.95</formula>
    </cfRule>
    <cfRule type="cellIs" dxfId="5509" priority="4279" operator="between">
      <formula>0.51</formula>
      <formula>0.75</formula>
    </cfRule>
    <cfRule type="cellIs" dxfId="5508" priority="4280" operator="greaterThan">
      <formula>1</formula>
    </cfRule>
    <cfRule type="cellIs" dxfId="5507" priority="4281" operator="between">
      <formula>0.95</formula>
      <formula>1</formula>
    </cfRule>
    <cfRule type="cellIs" dxfId="5506" priority="4282" stopIfTrue="1" operator="between">
      <formula>0</formula>
      <formula>0.5</formula>
    </cfRule>
  </conditionalFormatting>
  <conditionalFormatting sqref="AE160">
    <cfRule type="cellIs" dxfId="5505" priority="4273" operator="between">
      <formula>0.76</formula>
      <formula>0.95</formula>
    </cfRule>
    <cfRule type="cellIs" dxfId="5504" priority="4274" operator="between">
      <formula>0.51</formula>
      <formula>0.75</formula>
    </cfRule>
    <cfRule type="cellIs" dxfId="5503" priority="4275" operator="greaterThan">
      <formula>1</formula>
    </cfRule>
    <cfRule type="cellIs" dxfId="5502" priority="4276" operator="between">
      <formula>0.95</formula>
      <formula>1</formula>
    </cfRule>
    <cfRule type="cellIs" dxfId="5501" priority="4277" stopIfTrue="1" operator="between">
      <formula>0</formula>
      <formula>0.5</formula>
    </cfRule>
  </conditionalFormatting>
  <conditionalFormatting sqref="I134">
    <cfRule type="cellIs" dxfId="5500" priority="4246" operator="between">
      <formula>0.76</formula>
      <formula>0.95</formula>
    </cfRule>
    <cfRule type="cellIs" dxfId="5499" priority="4247" operator="between">
      <formula>0.51</formula>
      <formula>0.75</formula>
    </cfRule>
    <cfRule type="cellIs" dxfId="5498" priority="4248" operator="greaterThan">
      <formula>1</formula>
    </cfRule>
    <cfRule type="cellIs" dxfId="5497" priority="4249" operator="between">
      <formula>0.95</formula>
      <formula>1</formula>
    </cfRule>
    <cfRule type="cellIs" dxfId="5496" priority="4250" stopIfTrue="1" operator="between">
      <formula>0</formula>
      <formula>0.5</formula>
    </cfRule>
  </conditionalFormatting>
  <conditionalFormatting sqref="K134">
    <cfRule type="cellIs" dxfId="5495" priority="4241" operator="between">
      <formula>0.191</formula>
      <formula>0.24</formula>
    </cfRule>
    <cfRule type="cellIs" dxfId="5494" priority="4242" operator="between">
      <formula>0.1251</formula>
      <formula>0.19</formula>
    </cfRule>
    <cfRule type="cellIs" dxfId="5493" priority="4243" operator="greaterThan">
      <formula>0.2601</formula>
    </cfRule>
    <cfRule type="cellIs" dxfId="5492" priority="4244" operator="between">
      <formula>0.2401</formula>
      <formula>0.26</formula>
    </cfRule>
    <cfRule type="cellIs" dxfId="5491" priority="4245" stopIfTrue="1" operator="between">
      <formula>0</formula>
      <formula>0.125</formula>
    </cfRule>
  </conditionalFormatting>
  <conditionalFormatting sqref="P134">
    <cfRule type="cellIs" dxfId="5490" priority="4236" operator="between">
      <formula>0.76</formula>
      <formula>0.95</formula>
    </cfRule>
    <cfRule type="cellIs" dxfId="5489" priority="4237" operator="between">
      <formula>0.51</formula>
      <formula>0.75</formula>
    </cfRule>
    <cfRule type="cellIs" dxfId="5488" priority="4238" operator="greaterThan">
      <formula>1</formula>
    </cfRule>
    <cfRule type="cellIs" dxfId="5487" priority="4239" operator="between">
      <formula>0.95</formula>
      <formula>1</formula>
    </cfRule>
    <cfRule type="cellIs" dxfId="5486" priority="4240" stopIfTrue="1" operator="between">
      <formula>0</formula>
      <formula>0.5</formula>
    </cfRule>
  </conditionalFormatting>
  <conditionalFormatting sqref="W134">
    <cfRule type="cellIs" dxfId="5485" priority="4231" operator="between">
      <formula>0.76</formula>
      <formula>0.95</formula>
    </cfRule>
    <cfRule type="cellIs" dxfId="5484" priority="4232" operator="between">
      <formula>0.51</formula>
      <formula>0.75</formula>
    </cfRule>
    <cfRule type="cellIs" dxfId="5483" priority="4233" operator="greaterThan">
      <formula>1</formula>
    </cfRule>
    <cfRule type="cellIs" dxfId="5482" priority="4234" operator="between">
      <formula>0.95</formula>
      <formula>1</formula>
    </cfRule>
    <cfRule type="cellIs" dxfId="5481" priority="4235" stopIfTrue="1" operator="between">
      <formula>0</formula>
      <formula>0.5</formula>
    </cfRule>
  </conditionalFormatting>
  <conditionalFormatting sqref="AD134">
    <cfRule type="cellIs" dxfId="5480" priority="4221" operator="between">
      <formula>0.76</formula>
      <formula>0.95</formula>
    </cfRule>
    <cfRule type="cellIs" dxfId="5479" priority="4222" operator="between">
      <formula>0.51</formula>
      <formula>0.75</formula>
    </cfRule>
    <cfRule type="cellIs" dxfId="5478" priority="4223" operator="greaterThan">
      <formula>1</formula>
    </cfRule>
    <cfRule type="cellIs" dxfId="5477" priority="4224" operator="between">
      <formula>0.95</formula>
      <formula>1</formula>
    </cfRule>
    <cfRule type="cellIs" dxfId="5476" priority="4225" stopIfTrue="1" operator="between">
      <formula>0</formula>
      <formula>0.5</formula>
    </cfRule>
  </conditionalFormatting>
  <conditionalFormatting sqref="AF134">
    <cfRule type="cellIs" dxfId="5475" priority="4216" operator="between">
      <formula>0.76</formula>
      <formula>0.95</formula>
    </cfRule>
    <cfRule type="cellIs" dxfId="5474" priority="4217" operator="between">
      <formula>0.51</formula>
      <formula>0.75</formula>
    </cfRule>
    <cfRule type="cellIs" dxfId="5473" priority="4218" operator="greaterThan">
      <formula>1</formula>
    </cfRule>
    <cfRule type="cellIs" dxfId="5472" priority="4219" operator="between">
      <formula>0.95</formula>
      <formula>1</formula>
    </cfRule>
    <cfRule type="cellIs" dxfId="5471" priority="4220" stopIfTrue="1" operator="between">
      <formula>0</formula>
      <formula>0.5</formula>
    </cfRule>
  </conditionalFormatting>
  <conditionalFormatting sqref="R134">
    <cfRule type="cellIs" dxfId="5470" priority="4211" operator="between">
      <formula>0.3751</formula>
      <formula>0.475</formula>
    </cfRule>
    <cfRule type="cellIs" dxfId="5469" priority="4212" operator="between">
      <formula>0.2551</formula>
      <formula>0.375</formula>
    </cfRule>
    <cfRule type="cellIs" dxfId="5468" priority="4213" operator="greaterThan">
      <formula>0.505</formula>
    </cfRule>
    <cfRule type="cellIs" dxfId="5467" priority="4214" operator="between">
      <formula>0.48</formula>
      <formula>0.5</formula>
    </cfRule>
    <cfRule type="cellIs" dxfId="5466" priority="4215" stopIfTrue="1" operator="between">
      <formula>0</formula>
      <formula>0.255</formula>
    </cfRule>
  </conditionalFormatting>
  <conditionalFormatting sqref="Q134">
    <cfRule type="cellIs" dxfId="5465" priority="4201" operator="between">
      <formula>0.76</formula>
      <formula>0.95</formula>
    </cfRule>
    <cfRule type="cellIs" dxfId="5464" priority="4202" operator="between">
      <formula>0.51</formula>
      <formula>0.75</formula>
    </cfRule>
    <cfRule type="cellIs" dxfId="5463" priority="4203" operator="greaterThan">
      <formula>1</formula>
    </cfRule>
    <cfRule type="cellIs" dxfId="5462" priority="4204" operator="between">
      <formula>0.95</formula>
      <formula>1</formula>
    </cfRule>
    <cfRule type="cellIs" dxfId="5461" priority="4205" stopIfTrue="1" operator="between">
      <formula>0</formula>
      <formula>0.5</formula>
    </cfRule>
  </conditionalFormatting>
  <conditionalFormatting sqref="AE134">
    <cfRule type="cellIs" dxfId="5460" priority="4196" operator="between">
      <formula>0.76</formula>
      <formula>0.95</formula>
    </cfRule>
    <cfRule type="cellIs" dxfId="5459" priority="4197" operator="between">
      <formula>0.51</formula>
      <formula>0.75</formula>
    </cfRule>
    <cfRule type="cellIs" dxfId="5458" priority="4198" operator="greaterThan">
      <formula>1</formula>
    </cfRule>
    <cfRule type="cellIs" dxfId="5457" priority="4199" operator="between">
      <formula>0.95</formula>
      <formula>1</formula>
    </cfRule>
    <cfRule type="cellIs" dxfId="5456" priority="4200" stopIfTrue="1" operator="between">
      <formula>0</formula>
      <formula>0.5</formula>
    </cfRule>
  </conditionalFormatting>
  <conditionalFormatting sqref="T134">
    <cfRule type="cellIs" dxfId="5455" priority="4181" operator="between">
      <formula>0.191</formula>
      <formula>0.24</formula>
    </cfRule>
    <cfRule type="cellIs" dxfId="5454" priority="4182" operator="between">
      <formula>0.1251</formula>
      <formula>0.19</formula>
    </cfRule>
    <cfRule type="cellIs" dxfId="5453" priority="4183" operator="greaterThan">
      <formula>0.2601</formula>
    </cfRule>
    <cfRule type="cellIs" dxfId="5452" priority="4184" operator="between">
      <formula>0.2401</formula>
      <formula>0.26</formula>
    </cfRule>
    <cfRule type="cellIs" dxfId="5451" priority="4185" stopIfTrue="1" operator="between">
      <formula>0</formula>
      <formula>0.125</formula>
    </cfRule>
  </conditionalFormatting>
  <conditionalFormatting sqref="M134">
    <cfRule type="cellIs" dxfId="5450" priority="4156" operator="between">
      <formula>0.191</formula>
      <formula>0.24</formula>
    </cfRule>
    <cfRule type="cellIs" dxfId="5449" priority="4157" operator="between">
      <formula>0.1251</formula>
      <formula>0.19</formula>
    </cfRule>
    <cfRule type="cellIs" dxfId="5448" priority="4158" operator="greaterThan">
      <formula>0.2601</formula>
    </cfRule>
    <cfRule type="cellIs" dxfId="5447" priority="4159" operator="between">
      <formula>0.2401</formula>
      <formula>0.26</formula>
    </cfRule>
    <cfRule type="cellIs" dxfId="5446" priority="4160" stopIfTrue="1" operator="between">
      <formula>0</formula>
      <formula>0.125</formula>
    </cfRule>
  </conditionalFormatting>
  <conditionalFormatting sqref="X134">
    <cfRule type="cellIs" dxfId="5445" priority="4151" operator="between">
      <formula>0.76</formula>
      <formula>0.95</formula>
    </cfRule>
    <cfRule type="cellIs" dxfId="5444" priority="4152" operator="between">
      <formula>0.51</formula>
      <formula>0.75</formula>
    </cfRule>
    <cfRule type="cellIs" dxfId="5443" priority="4153" operator="greaterThan">
      <formula>1</formula>
    </cfRule>
    <cfRule type="cellIs" dxfId="5442" priority="4154" operator="between">
      <formula>0.95</formula>
      <formula>1</formula>
    </cfRule>
    <cfRule type="cellIs" dxfId="5441" priority="4155" stopIfTrue="1" operator="between">
      <formula>0</formula>
      <formula>0.5</formula>
    </cfRule>
  </conditionalFormatting>
  <conditionalFormatting sqref="X136">
    <cfRule type="cellIs" dxfId="5440" priority="4044" operator="between">
      <formula>0.76</formula>
      <formula>0.95</formula>
    </cfRule>
    <cfRule type="cellIs" dxfId="5439" priority="4045" operator="between">
      <formula>0.51</formula>
      <formula>0.75</formula>
    </cfRule>
    <cfRule type="cellIs" dxfId="5438" priority="4046" operator="greaterThan">
      <formula>1</formula>
    </cfRule>
    <cfRule type="cellIs" dxfId="5437" priority="4047" operator="between">
      <formula>0.95</formula>
      <formula>1</formula>
    </cfRule>
    <cfRule type="cellIs" dxfId="5436" priority="4048" stopIfTrue="1" operator="between">
      <formula>0</formula>
      <formula>0.5</formula>
    </cfRule>
  </conditionalFormatting>
  <conditionalFormatting sqref="I135:I136">
    <cfRule type="cellIs" dxfId="5435" priority="4124" operator="between">
      <formula>0.76</formula>
      <formula>0.95</formula>
    </cfRule>
    <cfRule type="cellIs" dxfId="5434" priority="4125" operator="between">
      <formula>0.51</formula>
      <formula>0.75</formula>
    </cfRule>
    <cfRule type="cellIs" dxfId="5433" priority="4126" operator="greaterThan">
      <formula>1</formula>
    </cfRule>
    <cfRule type="cellIs" dxfId="5432" priority="4127" operator="between">
      <formula>0.95</formula>
      <formula>1</formula>
    </cfRule>
    <cfRule type="cellIs" dxfId="5431" priority="4128" stopIfTrue="1" operator="between">
      <formula>0</formula>
      <formula>0.5</formula>
    </cfRule>
  </conditionalFormatting>
  <conditionalFormatting sqref="K135:K136">
    <cfRule type="cellIs" dxfId="5430" priority="4119" operator="between">
      <formula>0.191</formula>
      <formula>0.24</formula>
    </cfRule>
    <cfRule type="cellIs" dxfId="5429" priority="4120" operator="between">
      <formula>0.1251</formula>
      <formula>0.19</formula>
    </cfRule>
    <cfRule type="cellIs" dxfId="5428" priority="4121" operator="greaterThan">
      <formula>0.2601</formula>
    </cfRule>
    <cfRule type="cellIs" dxfId="5427" priority="4122" operator="between">
      <formula>0.2401</formula>
      <formula>0.26</formula>
    </cfRule>
    <cfRule type="cellIs" dxfId="5426" priority="4123" stopIfTrue="1" operator="between">
      <formula>0</formula>
      <formula>0.125</formula>
    </cfRule>
  </conditionalFormatting>
  <conditionalFormatting sqref="P135:P136">
    <cfRule type="cellIs" dxfId="5425" priority="4114" operator="between">
      <formula>0.76</formula>
      <formula>0.95</formula>
    </cfRule>
    <cfRule type="cellIs" dxfId="5424" priority="4115" operator="between">
      <formula>0.51</formula>
      <formula>0.75</formula>
    </cfRule>
    <cfRule type="cellIs" dxfId="5423" priority="4116" operator="greaterThan">
      <formula>1</formula>
    </cfRule>
    <cfRule type="cellIs" dxfId="5422" priority="4117" operator="between">
      <formula>0.95</formula>
      <formula>1</formula>
    </cfRule>
    <cfRule type="cellIs" dxfId="5421" priority="4118" stopIfTrue="1" operator="between">
      <formula>0</formula>
      <formula>0.5</formula>
    </cfRule>
  </conditionalFormatting>
  <conditionalFormatting sqref="W135:W136">
    <cfRule type="cellIs" dxfId="5420" priority="4109" operator="between">
      <formula>0.76</formula>
      <formula>0.95</formula>
    </cfRule>
    <cfRule type="cellIs" dxfId="5419" priority="4110" operator="between">
      <formula>0.51</formula>
      <formula>0.75</formula>
    </cfRule>
    <cfRule type="cellIs" dxfId="5418" priority="4111" operator="greaterThan">
      <formula>1</formula>
    </cfRule>
    <cfRule type="cellIs" dxfId="5417" priority="4112" operator="between">
      <formula>0.95</formula>
      <formula>1</formula>
    </cfRule>
    <cfRule type="cellIs" dxfId="5416" priority="4113" stopIfTrue="1" operator="between">
      <formula>0</formula>
      <formula>0.5</formula>
    </cfRule>
  </conditionalFormatting>
  <conditionalFormatting sqref="AD135:AD136">
    <cfRule type="cellIs" dxfId="5415" priority="4099" operator="between">
      <formula>0.76</formula>
      <formula>0.95</formula>
    </cfRule>
    <cfRule type="cellIs" dxfId="5414" priority="4100" operator="between">
      <formula>0.51</formula>
      <formula>0.75</formula>
    </cfRule>
    <cfRule type="cellIs" dxfId="5413" priority="4101" operator="greaterThan">
      <formula>1</formula>
    </cfRule>
    <cfRule type="cellIs" dxfId="5412" priority="4102" operator="between">
      <formula>0.95</formula>
      <formula>1</formula>
    </cfRule>
    <cfRule type="cellIs" dxfId="5411" priority="4103" stopIfTrue="1" operator="between">
      <formula>0</formula>
      <formula>0.5</formula>
    </cfRule>
  </conditionalFormatting>
  <conditionalFormatting sqref="AF135:AF136">
    <cfRule type="cellIs" dxfId="5410" priority="4094" operator="between">
      <formula>0.76</formula>
      <formula>0.95</formula>
    </cfRule>
    <cfRule type="cellIs" dxfId="5409" priority="4095" operator="between">
      <formula>0.51</formula>
      <formula>0.75</formula>
    </cfRule>
    <cfRule type="cellIs" dxfId="5408" priority="4096" operator="greaterThan">
      <formula>1</formula>
    </cfRule>
    <cfRule type="cellIs" dxfId="5407" priority="4097" operator="between">
      <formula>0.95</formula>
      <formula>1</formula>
    </cfRule>
    <cfRule type="cellIs" dxfId="5406" priority="4098" stopIfTrue="1" operator="between">
      <formula>0</formula>
      <formula>0.5</formula>
    </cfRule>
  </conditionalFormatting>
  <conditionalFormatting sqref="R135:R136">
    <cfRule type="cellIs" dxfId="5405" priority="4089" operator="between">
      <formula>0.3751</formula>
      <formula>0.475</formula>
    </cfRule>
    <cfRule type="cellIs" dxfId="5404" priority="4090" operator="between">
      <formula>0.2551</formula>
      <formula>0.375</formula>
    </cfRule>
    <cfRule type="cellIs" dxfId="5403" priority="4091" operator="greaterThan">
      <formula>0.505</formula>
    </cfRule>
    <cfRule type="cellIs" dxfId="5402" priority="4092" operator="between">
      <formula>0.48</formula>
      <formula>0.5</formula>
    </cfRule>
    <cfRule type="cellIs" dxfId="5401" priority="4093" stopIfTrue="1" operator="between">
      <formula>0</formula>
      <formula>0.255</formula>
    </cfRule>
  </conditionalFormatting>
  <conditionalFormatting sqref="Q135:Q136">
    <cfRule type="cellIs" dxfId="5400" priority="4079" operator="between">
      <formula>0.76</formula>
      <formula>0.95</formula>
    </cfRule>
    <cfRule type="cellIs" dxfId="5399" priority="4080" operator="between">
      <formula>0.51</formula>
      <formula>0.75</formula>
    </cfRule>
    <cfRule type="cellIs" dxfId="5398" priority="4081" operator="greaterThan">
      <formula>1</formula>
    </cfRule>
    <cfRule type="cellIs" dxfId="5397" priority="4082" operator="between">
      <formula>0.95</formula>
      <formula>1</formula>
    </cfRule>
    <cfRule type="cellIs" dxfId="5396" priority="4083" stopIfTrue="1" operator="between">
      <formula>0</formula>
      <formula>0.5</formula>
    </cfRule>
  </conditionalFormatting>
  <conditionalFormatting sqref="AE135:AE136">
    <cfRule type="cellIs" dxfId="5395" priority="4074" operator="between">
      <formula>0.76</formula>
      <formula>0.95</formula>
    </cfRule>
    <cfRule type="cellIs" dxfId="5394" priority="4075" operator="between">
      <formula>0.51</formula>
      <formula>0.75</formula>
    </cfRule>
    <cfRule type="cellIs" dxfId="5393" priority="4076" operator="greaterThan">
      <formula>1</formula>
    </cfRule>
    <cfRule type="cellIs" dxfId="5392" priority="4077" operator="between">
      <formula>0.95</formula>
      <formula>1</formula>
    </cfRule>
    <cfRule type="cellIs" dxfId="5391" priority="4078" stopIfTrue="1" operator="between">
      <formula>0</formula>
      <formula>0.5</formula>
    </cfRule>
  </conditionalFormatting>
  <conditionalFormatting sqref="T135:T136">
    <cfRule type="cellIs" dxfId="5390" priority="4059" operator="between">
      <formula>0.191</formula>
      <formula>0.24</formula>
    </cfRule>
    <cfRule type="cellIs" dxfId="5389" priority="4060" operator="between">
      <formula>0.1251</formula>
      <formula>0.19</formula>
    </cfRule>
    <cfRule type="cellIs" dxfId="5388" priority="4061" operator="greaterThan">
      <formula>0.2601</formula>
    </cfRule>
    <cfRule type="cellIs" dxfId="5387" priority="4062" operator="between">
      <formula>0.2401</formula>
      <formula>0.26</formula>
    </cfRule>
    <cfRule type="cellIs" dxfId="5386" priority="4063" stopIfTrue="1" operator="between">
      <formula>0</formula>
      <formula>0.125</formula>
    </cfRule>
  </conditionalFormatting>
  <conditionalFormatting sqref="J135:J136">
    <cfRule type="cellIs" dxfId="5385" priority="4039" operator="between">
      <formula>0.76</formula>
      <formula>0.95</formula>
    </cfRule>
    <cfRule type="cellIs" dxfId="5384" priority="4040" operator="between">
      <formula>0.51</formula>
      <formula>0.75</formula>
    </cfRule>
    <cfRule type="cellIs" dxfId="5383" priority="4041" operator="greaterThan">
      <formula>1</formula>
    </cfRule>
    <cfRule type="cellIs" dxfId="5382" priority="4042" operator="between">
      <formula>0.95</formula>
      <formula>1</formula>
    </cfRule>
    <cfRule type="cellIs" dxfId="5381" priority="4043" stopIfTrue="1" operator="between">
      <formula>0</formula>
      <formula>0.5</formula>
    </cfRule>
  </conditionalFormatting>
  <conditionalFormatting sqref="M135:M136">
    <cfRule type="cellIs" dxfId="5380" priority="4034" operator="between">
      <formula>0.191</formula>
      <formula>0.24</formula>
    </cfRule>
    <cfRule type="cellIs" dxfId="5379" priority="4035" operator="between">
      <formula>0.1251</formula>
      <formula>0.19</formula>
    </cfRule>
    <cfRule type="cellIs" dxfId="5378" priority="4036" operator="greaterThan">
      <formula>0.2601</formula>
    </cfRule>
    <cfRule type="cellIs" dxfId="5377" priority="4037" operator="between">
      <formula>0.2401</formula>
      <formula>0.26</formula>
    </cfRule>
    <cfRule type="cellIs" dxfId="5376" priority="4038" stopIfTrue="1" operator="between">
      <formula>0</formula>
      <formula>0.125</formula>
    </cfRule>
  </conditionalFormatting>
  <conditionalFormatting sqref="I289:J289 P289:Q289 AD289:AG289 W289">
    <cfRule type="cellIs" dxfId="5375" priority="4017" operator="between">
      <formula>0.76</formula>
      <formula>0.95</formula>
    </cfRule>
    <cfRule type="cellIs" dxfId="5374" priority="4018" operator="between">
      <formula>0.51</formula>
      <formula>0.75</formula>
    </cfRule>
    <cfRule type="cellIs" dxfId="5373" priority="4019" operator="greaterThan">
      <formula>1</formula>
    </cfRule>
    <cfRule type="cellIs" dxfId="5372" priority="4020" operator="between">
      <formula>0.95</formula>
      <formula>1</formula>
    </cfRule>
    <cfRule type="cellIs" dxfId="5371" priority="4021" stopIfTrue="1" operator="between">
      <formula>0</formula>
      <formula>0.5</formula>
    </cfRule>
  </conditionalFormatting>
  <conditionalFormatting sqref="R289">
    <cfRule type="cellIs" dxfId="5370" priority="4012" operator="between">
      <formula>0.3751</formula>
      <formula>0.475</formula>
    </cfRule>
    <cfRule type="cellIs" dxfId="5369" priority="4013" operator="between">
      <formula>0.2551</formula>
      <formula>0.375</formula>
    </cfRule>
    <cfRule type="cellIs" dxfId="5368" priority="4014" operator="greaterThan">
      <formula>0.505</formula>
    </cfRule>
    <cfRule type="cellIs" dxfId="5367" priority="4015" operator="between">
      <formula>0.48</formula>
      <formula>0.5</formula>
    </cfRule>
    <cfRule type="cellIs" dxfId="5366" priority="4016" stopIfTrue="1" operator="between">
      <formula>0</formula>
      <formula>0.255</formula>
    </cfRule>
  </conditionalFormatting>
  <conditionalFormatting sqref="K289 M289">
    <cfRule type="cellIs" dxfId="5365" priority="4007" operator="between">
      <formula>0.191</formula>
      <formula>0.24</formula>
    </cfRule>
    <cfRule type="cellIs" dxfId="5364" priority="4008" operator="between">
      <formula>0.1251</formula>
      <formula>0.19</formula>
    </cfRule>
    <cfRule type="cellIs" dxfId="5363" priority="4009" operator="greaterThan">
      <formula>0.2601</formula>
    </cfRule>
    <cfRule type="cellIs" dxfId="5362" priority="4010" operator="between">
      <formula>0.2401</formula>
      <formula>0.26</formula>
    </cfRule>
    <cfRule type="cellIs" dxfId="5361" priority="4011" stopIfTrue="1" operator="between">
      <formula>0</formula>
      <formula>0.125</formula>
    </cfRule>
  </conditionalFormatting>
  <conditionalFormatting sqref="T289">
    <cfRule type="cellIs" dxfId="5360" priority="3997" operator="between">
      <formula>0.376</formula>
      <formula>0.475</formula>
    </cfRule>
    <cfRule type="cellIs" dxfId="5359" priority="3998" operator="between">
      <formula>0.2551</formula>
      <formula>0.3751</formula>
    </cfRule>
    <cfRule type="cellIs" dxfId="5358" priority="3999" operator="greaterThan">
      <formula>0.505</formula>
    </cfRule>
    <cfRule type="cellIs" dxfId="5357" priority="4000" operator="between">
      <formula>0.48</formula>
      <formula>0.5</formula>
    </cfRule>
    <cfRule type="cellIs" dxfId="5356" priority="4001" stopIfTrue="1" operator="between">
      <formula>0</formula>
      <formula>0.255</formula>
    </cfRule>
  </conditionalFormatting>
  <conditionalFormatting sqref="X289">
    <cfRule type="cellIs" dxfId="5355" priority="3982" operator="between">
      <formula>0.76</formula>
      <formula>0.95</formula>
    </cfRule>
    <cfRule type="cellIs" dxfId="5354" priority="3983" operator="between">
      <formula>0.51</formula>
      <formula>0.75</formula>
    </cfRule>
    <cfRule type="cellIs" dxfId="5353" priority="3984" operator="greaterThan">
      <formula>1</formula>
    </cfRule>
    <cfRule type="cellIs" dxfId="5352" priority="3985" operator="between">
      <formula>0.95</formula>
      <formula>1</formula>
    </cfRule>
    <cfRule type="cellIs" dxfId="5351" priority="3986" stopIfTrue="1" operator="between">
      <formula>0</formula>
      <formula>0.5</formula>
    </cfRule>
  </conditionalFormatting>
  <conditionalFormatting sqref="P348">
    <cfRule type="cellIs" dxfId="5350" priority="3955" operator="between">
      <formula>0.76</formula>
      <formula>0.95</formula>
    </cfRule>
    <cfRule type="cellIs" dxfId="5349" priority="3956" operator="between">
      <formula>0.51</formula>
      <formula>0.75</formula>
    </cfRule>
    <cfRule type="cellIs" dxfId="5348" priority="3957" operator="greaterThan">
      <formula>1</formula>
    </cfRule>
    <cfRule type="cellIs" dxfId="5347" priority="3958" operator="between">
      <formula>0.95</formula>
      <formula>1</formula>
    </cfRule>
    <cfRule type="cellIs" dxfId="5346" priority="3959" stopIfTrue="1" operator="between">
      <formula>0</formula>
      <formula>0.5</formula>
    </cfRule>
  </conditionalFormatting>
  <conditionalFormatting sqref="W348">
    <cfRule type="cellIs" dxfId="5345" priority="3950" operator="between">
      <formula>0.76</formula>
      <formula>0.95</formula>
    </cfRule>
    <cfRule type="cellIs" dxfId="5344" priority="3951" operator="between">
      <formula>0.51</formula>
      <formula>0.75</formula>
    </cfRule>
    <cfRule type="cellIs" dxfId="5343" priority="3952" operator="greaterThan">
      <formula>1</formula>
    </cfRule>
    <cfRule type="cellIs" dxfId="5342" priority="3953" operator="between">
      <formula>0.95</formula>
      <formula>1</formula>
    </cfRule>
    <cfRule type="cellIs" dxfId="5341" priority="3954" stopIfTrue="1" operator="between">
      <formula>0</formula>
      <formula>0.5</formula>
    </cfRule>
  </conditionalFormatting>
  <conditionalFormatting sqref="AF348">
    <cfRule type="cellIs" dxfId="5340" priority="3935" operator="between">
      <formula>0.76</formula>
      <formula>0.95</formula>
    </cfRule>
    <cfRule type="cellIs" dxfId="5339" priority="3936" operator="between">
      <formula>0.51</formula>
      <formula>0.75</formula>
    </cfRule>
    <cfRule type="cellIs" dxfId="5338" priority="3937" operator="greaterThan">
      <formula>1</formula>
    </cfRule>
    <cfRule type="cellIs" dxfId="5337" priority="3938" operator="between">
      <formula>0.95</formula>
      <formula>1</formula>
    </cfRule>
    <cfRule type="cellIs" dxfId="5336" priority="3939" stopIfTrue="1" operator="between">
      <formula>0</formula>
      <formula>0.5</formula>
    </cfRule>
  </conditionalFormatting>
  <conditionalFormatting sqref="AE349">
    <cfRule type="cellIs" dxfId="5335" priority="3753" operator="between">
      <formula>0.76</formula>
      <formula>0.95</formula>
    </cfRule>
    <cfRule type="cellIs" dxfId="5334" priority="3754" operator="between">
      <formula>0.51</formula>
      <formula>0.75</formula>
    </cfRule>
    <cfRule type="cellIs" dxfId="5333" priority="3755" operator="greaterThan">
      <formula>1</formula>
    </cfRule>
    <cfRule type="cellIs" dxfId="5332" priority="3756" operator="between">
      <formula>0.95</formula>
      <formula>1</formula>
    </cfRule>
    <cfRule type="cellIs" dxfId="5331" priority="3757" stopIfTrue="1" operator="between">
      <formula>0</formula>
      <formula>0.5</formula>
    </cfRule>
  </conditionalFormatting>
  <conditionalFormatting sqref="Q349">
    <cfRule type="cellIs" dxfId="5330" priority="3758" operator="between">
      <formula>0.76</formula>
      <formula>0.95</formula>
    </cfRule>
    <cfRule type="cellIs" dxfId="5329" priority="3759" operator="between">
      <formula>0.51</formula>
      <formula>0.75</formula>
    </cfRule>
    <cfRule type="cellIs" dxfId="5328" priority="3760" operator="greaterThan">
      <formula>1</formula>
    </cfRule>
    <cfRule type="cellIs" dxfId="5327" priority="3761" operator="between">
      <formula>0.95</formula>
      <formula>1</formula>
    </cfRule>
    <cfRule type="cellIs" dxfId="5326" priority="3762" stopIfTrue="1" operator="between">
      <formula>0</formula>
      <formula>0.5</formula>
    </cfRule>
  </conditionalFormatting>
  <conditionalFormatting sqref="I348">
    <cfRule type="cellIs" dxfId="5325" priority="3960" operator="between">
      <formula>0.76</formula>
      <formula>0.95</formula>
    </cfRule>
    <cfRule type="cellIs" dxfId="5324" priority="3961" operator="between">
      <formula>0.51</formula>
      <formula>0.75</formula>
    </cfRule>
    <cfRule type="cellIs" dxfId="5323" priority="3962" operator="greaterThan">
      <formula>1</formula>
    </cfRule>
    <cfRule type="cellIs" dxfId="5322" priority="3963" operator="between">
      <formula>0.95</formula>
      <formula>1</formula>
    </cfRule>
    <cfRule type="cellIs" dxfId="5321" priority="3964" stopIfTrue="1" operator="between">
      <formula>0</formula>
      <formula>0.5</formula>
    </cfRule>
  </conditionalFormatting>
  <conditionalFormatting sqref="K348">
    <cfRule type="cellIs" dxfId="5320" priority="3925" operator="between">
      <formula>0.191</formula>
      <formula>0.24</formula>
    </cfRule>
    <cfRule type="cellIs" dxfId="5319" priority="3926" operator="between">
      <formula>0.1251</formula>
      <formula>0.19</formula>
    </cfRule>
    <cfRule type="cellIs" dxfId="5318" priority="3927" operator="greaterThan">
      <formula>0.2601</formula>
    </cfRule>
    <cfRule type="cellIs" dxfId="5317" priority="3928" operator="between">
      <formula>0.2401</formula>
      <formula>0.26</formula>
    </cfRule>
    <cfRule type="cellIs" dxfId="5316" priority="3929" stopIfTrue="1" operator="between">
      <formula>0</formula>
      <formula>0.125</formula>
    </cfRule>
  </conditionalFormatting>
  <conditionalFormatting sqref="R348">
    <cfRule type="cellIs" dxfId="5315" priority="3920" operator="between">
      <formula>0.3751</formula>
      <formula>0.475</formula>
    </cfRule>
    <cfRule type="cellIs" dxfId="5314" priority="3921" operator="between">
      <formula>0.2551</formula>
      <formula>0.375</formula>
    </cfRule>
    <cfRule type="cellIs" dxfId="5313" priority="3922" operator="greaterThan">
      <formula>0.505</formula>
    </cfRule>
    <cfRule type="cellIs" dxfId="5312" priority="3923" operator="between">
      <formula>0.48</formula>
      <formula>0.5</formula>
    </cfRule>
    <cfRule type="cellIs" dxfId="5311" priority="3924" stopIfTrue="1" operator="between">
      <formula>0</formula>
      <formula>0.255</formula>
    </cfRule>
  </conditionalFormatting>
  <conditionalFormatting sqref="T348">
    <cfRule type="cellIs" dxfId="5310" priority="3915" operator="between">
      <formula>0.376</formula>
      <formula>0.475</formula>
    </cfRule>
    <cfRule type="cellIs" dxfId="5309" priority="3916" operator="between">
      <formula>0.2551</formula>
      <formula>0.3751</formula>
    </cfRule>
    <cfRule type="cellIs" dxfId="5308" priority="3917" operator="greaterThan">
      <formula>0.505</formula>
    </cfRule>
    <cfRule type="cellIs" dxfId="5307" priority="3918" operator="between">
      <formula>0.48</formula>
      <formula>0.5</formula>
    </cfRule>
    <cfRule type="cellIs" dxfId="5306" priority="3919" stopIfTrue="1" operator="between">
      <formula>0</formula>
      <formula>0.255</formula>
    </cfRule>
  </conditionalFormatting>
  <conditionalFormatting sqref="AG349">
    <cfRule type="cellIs" dxfId="5305" priority="3743" operator="between">
      <formula>0.76</formula>
      <formula>0.95</formula>
    </cfRule>
    <cfRule type="cellIs" dxfId="5304" priority="3744" operator="between">
      <formula>0.51</formula>
      <formula>0.75</formula>
    </cfRule>
    <cfRule type="cellIs" dxfId="5303" priority="3745" operator="greaterThan">
      <formula>1</formula>
    </cfRule>
    <cfRule type="cellIs" dxfId="5302" priority="3746" operator="between">
      <formula>0.95</formula>
      <formula>1</formula>
    </cfRule>
    <cfRule type="cellIs" dxfId="5301" priority="3747" stopIfTrue="1" operator="between">
      <formula>0</formula>
      <formula>0.5</formula>
    </cfRule>
  </conditionalFormatting>
  <conditionalFormatting sqref="J348">
    <cfRule type="cellIs" dxfId="5300" priority="3875" operator="between">
      <formula>0.76</formula>
      <formula>0.95</formula>
    </cfRule>
    <cfRule type="cellIs" dxfId="5299" priority="3876" operator="between">
      <formula>0.51</formula>
      <formula>0.75</formula>
    </cfRule>
    <cfRule type="cellIs" dxfId="5298" priority="3877" operator="greaterThan">
      <formula>1</formula>
    </cfRule>
    <cfRule type="cellIs" dxfId="5297" priority="3878" operator="between">
      <formula>0.95</formula>
      <formula>1</formula>
    </cfRule>
    <cfRule type="cellIs" dxfId="5296" priority="3879" stopIfTrue="1" operator="between">
      <formula>0</formula>
      <formula>0.5</formula>
    </cfRule>
  </conditionalFormatting>
  <conditionalFormatting sqref="Q348">
    <cfRule type="cellIs" dxfId="5295" priority="3870" operator="between">
      <formula>0.76</formula>
      <formula>0.95</formula>
    </cfRule>
    <cfRule type="cellIs" dxfId="5294" priority="3871" operator="between">
      <formula>0.51</formula>
      <formula>0.75</formula>
    </cfRule>
    <cfRule type="cellIs" dxfId="5293" priority="3872" operator="greaterThan">
      <formula>1</formula>
    </cfRule>
    <cfRule type="cellIs" dxfId="5292" priority="3873" operator="between">
      <formula>0.95</formula>
      <formula>1</formula>
    </cfRule>
    <cfRule type="cellIs" dxfId="5291" priority="3874" stopIfTrue="1" operator="between">
      <formula>0</formula>
      <formula>0.5</formula>
    </cfRule>
  </conditionalFormatting>
  <conditionalFormatting sqref="X348">
    <cfRule type="cellIs" dxfId="5290" priority="3865" operator="between">
      <formula>0.76</formula>
      <formula>0.95</formula>
    </cfRule>
    <cfRule type="cellIs" dxfId="5289" priority="3866" operator="between">
      <formula>0.51</formula>
      <formula>0.75</formula>
    </cfRule>
    <cfRule type="cellIs" dxfId="5288" priority="3867" operator="greaterThan">
      <formula>1</formula>
    </cfRule>
    <cfRule type="cellIs" dxfId="5287" priority="3868" operator="between">
      <formula>0.95</formula>
      <formula>1</formula>
    </cfRule>
    <cfRule type="cellIs" dxfId="5286" priority="3869" stopIfTrue="1" operator="between">
      <formula>0</formula>
      <formula>0.5</formula>
    </cfRule>
  </conditionalFormatting>
  <conditionalFormatting sqref="AE348">
    <cfRule type="cellIs" dxfId="5285" priority="3860" operator="between">
      <formula>0.76</formula>
      <formula>0.95</formula>
    </cfRule>
    <cfRule type="cellIs" dxfId="5284" priority="3861" operator="between">
      <formula>0.51</formula>
      <formula>0.75</formula>
    </cfRule>
    <cfRule type="cellIs" dxfId="5283" priority="3862" operator="greaterThan">
      <formula>1</formula>
    </cfRule>
    <cfRule type="cellIs" dxfId="5282" priority="3863" operator="between">
      <formula>0.95</formula>
      <formula>1</formula>
    </cfRule>
    <cfRule type="cellIs" dxfId="5281" priority="3864" stopIfTrue="1" operator="between">
      <formula>0</formula>
      <formula>0.5</formula>
    </cfRule>
  </conditionalFormatting>
  <conditionalFormatting sqref="P349">
    <cfRule type="cellIs" dxfId="5280" priority="3833" operator="between">
      <formula>0.76</formula>
      <formula>0.95</formula>
    </cfRule>
    <cfRule type="cellIs" dxfId="5279" priority="3834" operator="between">
      <formula>0.51</formula>
      <formula>0.75</formula>
    </cfRule>
    <cfRule type="cellIs" dxfId="5278" priority="3835" operator="greaterThan">
      <formula>1</formula>
    </cfRule>
    <cfRule type="cellIs" dxfId="5277" priority="3836" operator="between">
      <formula>0.95</formula>
      <formula>1</formula>
    </cfRule>
    <cfRule type="cellIs" dxfId="5276" priority="3837" stopIfTrue="1" operator="between">
      <formula>0</formula>
      <formula>0.5</formula>
    </cfRule>
  </conditionalFormatting>
  <conditionalFormatting sqref="W349">
    <cfRule type="cellIs" dxfId="5275" priority="3828" operator="between">
      <formula>0.76</formula>
      <formula>0.95</formula>
    </cfRule>
    <cfRule type="cellIs" dxfId="5274" priority="3829" operator="between">
      <formula>0.51</formula>
      <formula>0.75</formula>
    </cfRule>
    <cfRule type="cellIs" dxfId="5273" priority="3830" operator="greaterThan">
      <formula>1</formula>
    </cfRule>
    <cfRule type="cellIs" dxfId="5272" priority="3831" operator="between">
      <formula>0.95</formula>
      <formula>1</formula>
    </cfRule>
    <cfRule type="cellIs" dxfId="5271" priority="3832" stopIfTrue="1" operator="between">
      <formula>0</formula>
      <formula>0.5</formula>
    </cfRule>
  </conditionalFormatting>
  <conditionalFormatting sqref="AD349">
    <cfRule type="cellIs" dxfId="5270" priority="3823" operator="between">
      <formula>0.76</formula>
      <formula>0.95</formula>
    </cfRule>
    <cfRule type="cellIs" dxfId="5269" priority="3824" operator="between">
      <formula>0.51</formula>
      <formula>0.75</formula>
    </cfRule>
    <cfRule type="cellIs" dxfId="5268" priority="3825" operator="greaterThan">
      <formula>1</formula>
    </cfRule>
    <cfRule type="cellIs" dxfId="5267" priority="3826" operator="between">
      <formula>0.95</formula>
      <formula>1</formula>
    </cfRule>
    <cfRule type="cellIs" dxfId="5266" priority="3827" stopIfTrue="1" operator="between">
      <formula>0</formula>
      <formula>0.5</formula>
    </cfRule>
  </conditionalFormatting>
  <conditionalFormatting sqref="AF349">
    <cfRule type="cellIs" dxfId="5265" priority="3813" operator="between">
      <formula>0.76</formula>
      <formula>0.95</formula>
    </cfRule>
    <cfRule type="cellIs" dxfId="5264" priority="3814" operator="between">
      <formula>0.51</formula>
      <formula>0.75</formula>
    </cfRule>
    <cfRule type="cellIs" dxfId="5263" priority="3815" operator="greaterThan">
      <formula>1</formula>
    </cfRule>
    <cfRule type="cellIs" dxfId="5262" priority="3816" operator="between">
      <formula>0.95</formula>
      <formula>1</formula>
    </cfRule>
    <cfRule type="cellIs" dxfId="5261" priority="3817" stopIfTrue="1" operator="between">
      <formula>0</formula>
      <formula>0.5</formula>
    </cfRule>
  </conditionalFormatting>
  <conditionalFormatting sqref="I349">
    <cfRule type="cellIs" dxfId="5260" priority="3838" operator="between">
      <formula>0.76</formula>
      <formula>0.95</formula>
    </cfRule>
    <cfRule type="cellIs" dxfId="5259" priority="3839" operator="between">
      <formula>0.51</formula>
      <formula>0.75</formula>
    </cfRule>
    <cfRule type="cellIs" dxfId="5258" priority="3840" operator="greaterThan">
      <formula>1</formula>
    </cfRule>
    <cfRule type="cellIs" dxfId="5257" priority="3841" operator="between">
      <formula>0.95</formula>
      <formula>1</formula>
    </cfRule>
    <cfRule type="cellIs" dxfId="5256" priority="3842" stopIfTrue="1" operator="between">
      <formula>0</formula>
      <formula>0.5</formula>
    </cfRule>
  </conditionalFormatting>
  <conditionalFormatting sqref="K349">
    <cfRule type="cellIs" dxfId="5255" priority="3803" operator="between">
      <formula>0.191</formula>
      <formula>0.24</formula>
    </cfRule>
    <cfRule type="cellIs" dxfId="5254" priority="3804" operator="between">
      <formula>0.1251</formula>
      <formula>0.19</formula>
    </cfRule>
    <cfRule type="cellIs" dxfId="5253" priority="3805" operator="greaterThan">
      <formula>0.2601</formula>
    </cfRule>
    <cfRule type="cellIs" dxfId="5252" priority="3806" operator="between">
      <formula>0.2401</formula>
      <formula>0.26</formula>
    </cfRule>
    <cfRule type="cellIs" dxfId="5251" priority="3807" stopIfTrue="1" operator="between">
      <formula>0</formula>
      <formula>0.125</formula>
    </cfRule>
  </conditionalFormatting>
  <conditionalFormatting sqref="R349">
    <cfRule type="cellIs" dxfId="5250" priority="3798" operator="between">
      <formula>0.3751</formula>
      <formula>0.475</formula>
    </cfRule>
    <cfRule type="cellIs" dxfId="5249" priority="3799" operator="between">
      <formula>0.2551</formula>
      <formula>0.375</formula>
    </cfRule>
    <cfRule type="cellIs" dxfId="5248" priority="3800" operator="greaterThan">
      <formula>0.505</formula>
    </cfRule>
    <cfRule type="cellIs" dxfId="5247" priority="3801" operator="between">
      <formula>0.48</formula>
      <formula>0.5</formula>
    </cfRule>
    <cfRule type="cellIs" dxfId="5246" priority="3802" stopIfTrue="1" operator="between">
      <formula>0</formula>
      <formula>0.255</formula>
    </cfRule>
  </conditionalFormatting>
  <conditionalFormatting sqref="T349">
    <cfRule type="cellIs" dxfId="5245" priority="3793" operator="between">
      <formula>0.376</formula>
      <formula>0.475</formula>
    </cfRule>
    <cfRule type="cellIs" dxfId="5244" priority="3794" operator="between">
      <formula>0.2551</formula>
      <formula>0.3751</formula>
    </cfRule>
    <cfRule type="cellIs" dxfId="5243" priority="3795" operator="greaterThan">
      <formula>0.505</formula>
    </cfRule>
    <cfRule type="cellIs" dxfId="5242" priority="3796" operator="between">
      <formula>0.48</formula>
      <formula>0.5</formula>
    </cfRule>
    <cfRule type="cellIs" dxfId="5241" priority="3797" stopIfTrue="1" operator="between">
      <formula>0</formula>
      <formula>0.255</formula>
    </cfRule>
  </conditionalFormatting>
  <conditionalFormatting sqref="J349">
    <cfRule type="cellIs" dxfId="5240" priority="3778" operator="between">
      <formula>0.76</formula>
      <formula>0.95</formula>
    </cfRule>
    <cfRule type="cellIs" dxfId="5239" priority="3779" operator="between">
      <formula>0.51</formula>
      <formula>0.75</formula>
    </cfRule>
    <cfRule type="cellIs" dxfId="5238" priority="3780" operator="greaterThan">
      <formula>1</formula>
    </cfRule>
    <cfRule type="cellIs" dxfId="5237" priority="3781" operator="between">
      <formula>0.95</formula>
      <formula>1</formula>
    </cfRule>
    <cfRule type="cellIs" dxfId="5236" priority="3782" stopIfTrue="1" operator="between">
      <formula>0</formula>
      <formula>0.5</formula>
    </cfRule>
  </conditionalFormatting>
  <conditionalFormatting sqref="X349">
    <cfRule type="cellIs" dxfId="5235" priority="3768" operator="between">
      <formula>0.76</formula>
      <formula>0.95</formula>
    </cfRule>
    <cfRule type="cellIs" dxfId="5234" priority="3769" operator="between">
      <formula>0.51</formula>
      <formula>0.75</formula>
    </cfRule>
    <cfRule type="cellIs" dxfId="5233" priority="3770" operator="greaterThan">
      <formula>1</formula>
    </cfRule>
    <cfRule type="cellIs" dxfId="5232" priority="3771" operator="between">
      <formula>0.95</formula>
      <formula>1</formula>
    </cfRule>
    <cfRule type="cellIs" dxfId="5231" priority="3772" stopIfTrue="1" operator="between">
      <formula>0</formula>
      <formula>0.5</formula>
    </cfRule>
  </conditionalFormatting>
  <conditionalFormatting sqref="AE352:AE355">
    <cfRule type="cellIs" dxfId="5230" priority="3651" operator="between">
      <formula>0.76</formula>
      <formula>0.95</formula>
    </cfRule>
    <cfRule type="cellIs" dxfId="5229" priority="3652" operator="between">
      <formula>0.51</formula>
      <formula>0.75</formula>
    </cfRule>
    <cfRule type="cellIs" dxfId="5228" priority="3653" operator="greaterThan">
      <formula>1</formula>
    </cfRule>
    <cfRule type="cellIs" dxfId="5227" priority="3654" operator="between">
      <formula>0.95</formula>
      <formula>1</formula>
    </cfRule>
    <cfRule type="cellIs" dxfId="5226" priority="3655" stopIfTrue="1" operator="between">
      <formula>0</formula>
      <formula>0.5</formula>
    </cfRule>
  </conditionalFormatting>
  <conditionalFormatting sqref="Q352:Q353 Q355">
    <cfRule type="cellIs" dxfId="5225" priority="3656" operator="between">
      <formula>0.76</formula>
      <formula>0.95</formula>
    </cfRule>
    <cfRule type="cellIs" dxfId="5224" priority="3657" operator="between">
      <formula>0.51</formula>
      <formula>0.75</formula>
    </cfRule>
    <cfRule type="cellIs" dxfId="5223" priority="3658" operator="greaterThan">
      <formula>1</formula>
    </cfRule>
    <cfRule type="cellIs" dxfId="5222" priority="3659" operator="between">
      <formula>0.95</formula>
      <formula>1</formula>
    </cfRule>
    <cfRule type="cellIs" dxfId="5221" priority="3660" stopIfTrue="1" operator="between">
      <formula>0</formula>
      <formula>0.5</formula>
    </cfRule>
  </conditionalFormatting>
  <conditionalFormatting sqref="AG352:AG355">
    <cfRule type="cellIs" dxfId="5220" priority="3646" operator="between">
      <formula>0.76</formula>
      <formula>0.95</formula>
    </cfRule>
    <cfRule type="cellIs" dxfId="5219" priority="3647" operator="between">
      <formula>0.51</formula>
      <formula>0.75</formula>
    </cfRule>
    <cfRule type="cellIs" dxfId="5218" priority="3648" operator="greaterThan">
      <formula>1</formula>
    </cfRule>
    <cfRule type="cellIs" dxfId="5217" priority="3649" operator="between">
      <formula>0.95</formula>
      <formula>1</formula>
    </cfRule>
    <cfRule type="cellIs" dxfId="5216" priority="3650" stopIfTrue="1" operator="between">
      <formula>0</formula>
      <formula>0.5</formula>
    </cfRule>
  </conditionalFormatting>
  <conditionalFormatting sqref="P350:P355">
    <cfRule type="cellIs" dxfId="5215" priority="3716" operator="between">
      <formula>0.76</formula>
      <formula>0.95</formula>
    </cfRule>
    <cfRule type="cellIs" dxfId="5214" priority="3717" operator="between">
      <formula>0.51</formula>
      <formula>0.75</formula>
    </cfRule>
    <cfRule type="cellIs" dxfId="5213" priority="3718" operator="greaterThan">
      <formula>1</formula>
    </cfRule>
    <cfRule type="cellIs" dxfId="5212" priority="3719" operator="between">
      <formula>0.95</formula>
      <formula>1</formula>
    </cfRule>
    <cfRule type="cellIs" dxfId="5211" priority="3720" stopIfTrue="1" operator="between">
      <formula>0</formula>
      <formula>0.5</formula>
    </cfRule>
  </conditionalFormatting>
  <conditionalFormatting sqref="W350:W355">
    <cfRule type="cellIs" dxfId="5210" priority="3711" operator="between">
      <formula>0.76</formula>
      <formula>0.95</formula>
    </cfRule>
    <cfRule type="cellIs" dxfId="5209" priority="3712" operator="between">
      <formula>0.51</formula>
      <formula>0.75</formula>
    </cfRule>
    <cfRule type="cellIs" dxfId="5208" priority="3713" operator="greaterThan">
      <formula>1</formula>
    </cfRule>
    <cfRule type="cellIs" dxfId="5207" priority="3714" operator="between">
      <formula>0.95</formula>
      <formula>1</formula>
    </cfRule>
    <cfRule type="cellIs" dxfId="5206" priority="3715" stopIfTrue="1" operator="between">
      <formula>0</formula>
      <formula>0.5</formula>
    </cfRule>
  </conditionalFormatting>
  <conditionalFormatting sqref="AD350:AD355">
    <cfRule type="cellIs" dxfId="5205" priority="3706" operator="between">
      <formula>0.76</formula>
      <formula>0.95</formula>
    </cfRule>
    <cfRule type="cellIs" dxfId="5204" priority="3707" operator="between">
      <formula>0.51</formula>
      <formula>0.75</formula>
    </cfRule>
    <cfRule type="cellIs" dxfId="5203" priority="3708" operator="greaterThan">
      <formula>1</formula>
    </cfRule>
    <cfRule type="cellIs" dxfId="5202" priority="3709" operator="between">
      <formula>0.95</formula>
      <formula>1</formula>
    </cfRule>
    <cfRule type="cellIs" dxfId="5201" priority="3710" stopIfTrue="1" operator="between">
      <formula>0</formula>
      <formula>0.5</formula>
    </cfRule>
  </conditionalFormatting>
  <conditionalFormatting sqref="AF350:AF355">
    <cfRule type="cellIs" dxfId="5200" priority="3696" operator="between">
      <formula>0.76</formula>
      <formula>0.95</formula>
    </cfRule>
    <cfRule type="cellIs" dxfId="5199" priority="3697" operator="between">
      <formula>0.51</formula>
      <formula>0.75</formula>
    </cfRule>
    <cfRule type="cellIs" dxfId="5198" priority="3698" operator="greaterThan">
      <formula>1</formula>
    </cfRule>
    <cfRule type="cellIs" dxfId="5197" priority="3699" operator="between">
      <formula>0.95</formula>
      <formula>1</formula>
    </cfRule>
    <cfRule type="cellIs" dxfId="5196" priority="3700" stopIfTrue="1" operator="between">
      <formula>0</formula>
      <formula>0.5</formula>
    </cfRule>
  </conditionalFormatting>
  <conditionalFormatting sqref="I350:I355">
    <cfRule type="cellIs" dxfId="5195" priority="3721" operator="between">
      <formula>0.76</formula>
      <formula>0.95</formula>
    </cfRule>
    <cfRule type="cellIs" dxfId="5194" priority="3722" operator="between">
      <formula>0.51</formula>
      <formula>0.75</formula>
    </cfRule>
    <cfRule type="cellIs" dxfId="5193" priority="3723" operator="greaterThan">
      <formula>1</formula>
    </cfRule>
    <cfRule type="cellIs" dxfId="5192" priority="3724" operator="between">
      <formula>0.95</formula>
      <formula>1</formula>
    </cfRule>
    <cfRule type="cellIs" dxfId="5191" priority="3725" stopIfTrue="1" operator="between">
      <formula>0</formula>
      <formula>0.5</formula>
    </cfRule>
  </conditionalFormatting>
  <conditionalFormatting sqref="K350:K355">
    <cfRule type="cellIs" dxfId="5190" priority="3686" operator="between">
      <formula>0.191</formula>
      <formula>0.24</formula>
    </cfRule>
    <cfRule type="cellIs" dxfId="5189" priority="3687" operator="between">
      <formula>0.1251</formula>
      <formula>0.19</formula>
    </cfRule>
    <cfRule type="cellIs" dxfId="5188" priority="3688" operator="greaterThan">
      <formula>0.2601</formula>
    </cfRule>
    <cfRule type="cellIs" dxfId="5187" priority="3689" operator="between">
      <formula>0.2401</formula>
      <formula>0.26</formula>
    </cfRule>
    <cfRule type="cellIs" dxfId="5186" priority="3690" stopIfTrue="1" operator="between">
      <formula>0</formula>
      <formula>0.125</formula>
    </cfRule>
  </conditionalFormatting>
  <conditionalFormatting sqref="R350:R355">
    <cfRule type="cellIs" dxfId="5185" priority="3681" operator="between">
      <formula>0.3751</formula>
      <formula>0.475</formula>
    </cfRule>
    <cfRule type="cellIs" dxfId="5184" priority="3682" operator="between">
      <formula>0.2551</formula>
      <formula>0.375</formula>
    </cfRule>
    <cfRule type="cellIs" dxfId="5183" priority="3683" operator="greaterThan">
      <formula>0.505</formula>
    </cfRule>
    <cfRule type="cellIs" dxfId="5182" priority="3684" operator="between">
      <formula>0.48</formula>
      <formula>0.5</formula>
    </cfRule>
    <cfRule type="cellIs" dxfId="5181" priority="3685" stopIfTrue="1" operator="between">
      <formula>0</formula>
      <formula>0.255</formula>
    </cfRule>
  </conditionalFormatting>
  <conditionalFormatting sqref="T350:T355">
    <cfRule type="cellIs" dxfId="5180" priority="3676" operator="between">
      <formula>0.376</formula>
      <formula>0.475</formula>
    </cfRule>
    <cfRule type="cellIs" dxfId="5179" priority="3677" operator="between">
      <formula>0.2551</formula>
      <formula>0.3751</formula>
    </cfRule>
    <cfRule type="cellIs" dxfId="5178" priority="3678" operator="greaterThan">
      <formula>0.505</formula>
    </cfRule>
    <cfRule type="cellIs" dxfId="5177" priority="3679" operator="between">
      <formula>0.48</formula>
      <formula>0.5</formula>
    </cfRule>
    <cfRule type="cellIs" dxfId="5176" priority="3680" stopIfTrue="1" operator="between">
      <formula>0</formula>
      <formula>0.255</formula>
    </cfRule>
  </conditionalFormatting>
  <conditionalFormatting sqref="J350:J355">
    <cfRule type="cellIs" dxfId="5175" priority="3666" operator="between">
      <formula>0.76</formula>
      <formula>0.95</formula>
    </cfRule>
    <cfRule type="cellIs" dxfId="5174" priority="3667" operator="between">
      <formula>0.51</formula>
      <formula>0.75</formula>
    </cfRule>
    <cfRule type="cellIs" dxfId="5173" priority="3668" operator="greaterThan">
      <formula>1</formula>
    </cfRule>
    <cfRule type="cellIs" dxfId="5172" priority="3669" operator="between">
      <formula>0.95</formula>
      <formula>1</formula>
    </cfRule>
    <cfRule type="cellIs" dxfId="5171" priority="3670" stopIfTrue="1" operator="between">
      <formula>0</formula>
      <formula>0.5</formula>
    </cfRule>
  </conditionalFormatting>
  <conditionalFormatting sqref="X350:X353">
    <cfRule type="cellIs" dxfId="5170" priority="3661" operator="between">
      <formula>0.76</formula>
      <formula>0.95</formula>
    </cfRule>
    <cfRule type="cellIs" dxfId="5169" priority="3662" operator="between">
      <formula>0.51</formula>
      <formula>0.75</formula>
    </cfRule>
    <cfRule type="cellIs" dxfId="5168" priority="3663" operator="greaterThan">
      <formula>1</formula>
    </cfRule>
    <cfRule type="cellIs" dxfId="5167" priority="3664" operator="between">
      <formula>0.95</formula>
      <formula>1</formula>
    </cfRule>
    <cfRule type="cellIs" dxfId="5166" priority="3665" stopIfTrue="1" operator="between">
      <formula>0</formula>
      <formula>0.5</formula>
    </cfRule>
  </conditionalFormatting>
  <conditionalFormatting sqref="Q350:Q351">
    <cfRule type="cellIs" dxfId="5165" priority="3641" operator="between">
      <formula>0.76</formula>
      <formula>0.95</formula>
    </cfRule>
    <cfRule type="cellIs" dxfId="5164" priority="3642" operator="between">
      <formula>0.51</formula>
      <formula>0.75</formula>
    </cfRule>
    <cfRule type="cellIs" dxfId="5163" priority="3643" operator="greaterThan">
      <formula>1</formula>
    </cfRule>
    <cfRule type="cellIs" dxfId="5162" priority="3644" operator="between">
      <formula>0.95</formula>
      <formula>1</formula>
    </cfRule>
    <cfRule type="cellIs" dxfId="5161" priority="3645" stopIfTrue="1" operator="between">
      <formula>0</formula>
      <formula>0.5</formula>
    </cfRule>
  </conditionalFormatting>
  <conditionalFormatting sqref="X354:X355">
    <cfRule type="cellIs" dxfId="5160" priority="3636" operator="between">
      <formula>0.76</formula>
      <formula>0.95</formula>
    </cfRule>
    <cfRule type="cellIs" dxfId="5159" priority="3637" operator="between">
      <formula>0.51</formula>
      <formula>0.75</formula>
    </cfRule>
    <cfRule type="cellIs" dxfId="5158" priority="3638" operator="greaterThan">
      <formula>1</formula>
    </cfRule>
    <cfRule type="cellIs" dxfId="5157" priority="3639" operator="between">
      <formula>0.95</formula>
      <formula>1</formula>
    </cfRule>
    <cfRule type="cellIs" dxfId="5156" priority="3640" stopIfTrue="1" operator="between">
      <formula>0</formula>
      <formula>0.5</formula>
    </cfRule>
  </conditionalFormatting>
  <conditionalFormatting sqref="AE350">
    <cfRule type="cellIs" dxfId="5155" priority="3631" operator="between">
      <formula>0.76</formula>
      <formula>0.95</formula>
    </cfRule>
    <cfRule type="cellIs" dxfId="5154" priority="3632" operator="between">
      <formula>0.51</formula>
      <formula>0.75</formula>
    </cfRule>
    <cfRule type="cellIs" dxfId="5153" priority="3633" operator="greaterThan">
      <formula>1</formula>
    </cfRule>
    <cfRule type="cellIs" dxfId="5152" priority="3634" operator="between">
      <formula>0.95</formula>
      <formula>1</formula>
    </cfRule>
    <cfRule type="cellIs" dxfId="5151" priority="3635" stopIfTrue="1" operator="between">
      <formula>0</formula>
      <formula>0.5</formula>
    </cfRule>
  </conditionalFormatting>
  <conditionalFormatting sqref="AE351">
    <cfRule type="cellIs" dxfId="5150" priority="3626" operator="between">
      <formula>0.76</formula>
      <formula>0.95</formula>
    </cfRule>
    <cfRule type="cellIs" dxfId="5149" priority="3627" operator="between">
      <formula>0.51</formula>
      <formula>0.75</formula>
    </cfRule>
    <cfRule type="cellIs" dxfId="5148" priority="3628" operator="greaterThan">
      <formula>1</formula>
    </cfRule>
    <cfRule type="cellIs" dxfId="5147" priority="3629" operator="between">
      <formula>0.95</formula>
      <formula>1</formula>
    </cfRule>
    <cfRule type="cellIs" dxfId="5146" priority="3630" stopIfTrue="1" operator="between">
      <formula>0</formula>
      <formula>0.5</formula>
    </cfRule>
  </conditionalFormatting>
  <conditionalFormatting sqref="AE165 AG165 Q165 J165">
    <cfRule type="cellIs" dxfId="5145" priority="3608" operator="between">
      <formula>0.76</formula>
      <formula>0.95</formula>
    </cfRule>
    <cfRule type="cellIs" dxfId="5144" priority="3609" operator="between">
      <formula>0.51</formula>
      <formula>0.75</formula>
    </cfRule>
    <cfRule type="cellIs" dxfId="5143" priority="3610" operator="greaterThan">
      <formula>1</formula>
    </cfRule>
    <cfRule type="cellIs" dxfId="5142" priority="3611" operator="between">
      <formula>0.95</formula>
      <formula>1</formula>
    </cfRule>
    <cfRule type="cellIs" dxfId="5141" priority="3612" stopIfTrue="1" operator="between">
      <formula>0</formula>
      <formula>0.5</formula>
    </cfRule>
  </conditionalFormatting>
  <conditionalFormatting sqref="M165">
    <cfRule type="cellIs" dxfId="5140" priority="3594" operator="between">
      <formula>0.191</formula>
      <formula>0.24</formula>
    </cfRule>
    <cfRule type="cellIs" dxfId="5139" priority="3595" operator="between">
      <formula>0.1251</formula>
      <formula>0.19</formula>
    </cfRule>
    <cfRule type="cellIs" dxfId="5138" priority="3596" operator="greaterThan">
      <formula>0.2601</formula>
    </cfRule>
    <cfRule type="cellIs" dxfId="5137" priority="3597" operator="between">
      <formula>0.2401</formula>
      <formula>0.26</formula>
    </cfRule>
    <cfRule type="cellIs" dxfId="5136" priority="3598" stopIfTrue="1" operator="between">
      <formula>0</formula>
      <formula>0.125</formula>
    </cfRule>
  </conditionalFormatting>
  <conditionalFormatting sqref="I165">
    <cfRule type="cellIs" dxfId="5135" priority="3589" operator="between">
      <formula>0.76</formula>
      <formula>0.95</formula>
    </cfRule>
    <cfRule type="cellIs" dxfId="5134" priority="3590" operator="between">
      <formula>0.51</formula>
      <formula>0.75</formula>
    </cfRule>
    <cfRule type="cellIs" dxfId="5133" priority="3591" operator="greaterThan">
      <formula>1</formula>
    </cfRule>
    <cfRule type="cellIs" dxfId="5132" priority="3592" operator="between">
      <formula>0.95</formula>
      <formula>1</formula>
    </cfRule>
    <cfRule type="cellIs" dxfId="5131" priority="3593" stopIfTrue="1" operator="between">
      <formula>0</formula>
      <formula>0.5</formula>
    </cfRule>
  </conditionalFormatting>
  <conditionalFormatting sqref="K165">
    <cfRule type="cellIs" dxfId="5130" priority="3584" operator="between">
      <formula>0.191</formula>
      <formula>0.24</formula>
    </cfRule>
    <cfRule type="cellIs" dxfId="5129" priority="3585" operator="between">
      <formula>0.1251</formula>
      <formula>0.19</formula>
    </cfRule>
    <cfRule type="cellIs" dxfId="5128" priority="3586" operator="greaterThan">
      <formula>0.2601</formula>
    </cfRule>
    <cfRule type="cellIs" dxfId="5127" priority="3587" operator="between">
      <formula>0.2401</formula>
      <formula>0.26</formula>
    </cfRule>
    <cfRule type="cellIs" dxfId="5126" priority="3588" stopIfTrue="1" operator="between">
      <formula>0</formula>
      <formula>0.125</formula>
    </cfRule>
  </conditionalFormatting>
  <conditionalFormatting sqref="P165">
    <cfRule type="cellIs" dxfId="5125" priority="3579" operator="between">
      <formula>0.76</formula>
      <formula>0.95</formula>
    </cfRule>
    <cfRule type="cellIs" dxfId="5124" priority="3580" operator="between">
      <formula>0.51</formula>
      <formula>0.75</formula>
    </cfRule>
    <cfRule type="cellIs" dxfId="5123" priority="3581" operator="greaterThan">
      <formula>1</formula>
    </cfRule>
    <cfRule type="cellIs" dxfId="5122" priority="3582" operator="between">
      <formula>0.95</formula>
      <formula>1</formula>
    </cfRule>
    <cfRule type="cellIs" dxfId="5121" priority="3583" stopIfTrue="1" operator="between">
      <formula>0</formula>
      <formula>0.5</formula>
    </cfRule>
  </conditionalFormatting>
  <conditionalFormatting sqref="W165">
    <cfRule type="cellIs" dxfId="5120" priority="3574" operator="between">
      <formula>0.76</formula>
      <formula>0.95</formula>
    </cfRule>
    <cfRule type="cellIs" dxfId="5119" priority="3575" operator="between">
      <formula>0.51</formula>
      <formula>0.75</formula>
    </cfRule>
    <cfRule type="cellIs" dxfId="5118" priority="3576" operator="greaterThan">
      <formula>1</formula>
    </cfRule>
    <cfRule type="cellIs" dxfId="5117" priority="3577" operator="between">
      <formula>0.95</formula>
      <formula>1</formula>
    </cfRule>
    <cfRule type="cellIs" dxfId="5116" priority="3578" stopIfTrue="1" operator="between">
      <formula>0</formula>
      <formula>0.5</formula>
    </cfRule>
  </conditionalFormatting>
  <conditionalFormatting sqref="AD165">
    <cfRule type="cellIs" dxfId="5115" priority="3564" operator="between">
      <formula>0.76</formula>
      <formula>0.95</formula>
    </cfRule>
    <cfRule type="cellIs" dxfId="5114" priority="3565" operator="between">
      <formula>0.51</formula>
      <formula>0.75</formula>
    </cfRule>
    <cfRule type="cellIs" dxfId="5113" priority="3566" operator="greaterThan">
      <formula>1</formula>
    </cfRule>
    <cfRule type="cellIs" dxfId="5112" priority="3567" operator="between">
      <formula>0.95</formula>
      <formula>1</formula>
    </cfRule>
    <cfRule type="cellIs" dxfId="5111" priority="3568" stopIfTrue="1" operator="between">
      <formula>0</formula>
      <formula>0.5</formula>
    </cfRule>
  </conditionalFormatting>
  <conditionalFormatting sqref="AF165">
    <cfRule type="cellIs" dxfId="5110" priority="3559" operator="between">
      <formula>0.76</formula>
      <formula>0.95</formula>
    </cfRule>
    <cfRule type="cellIs" dxfId="5109" priority="3560" operator="between">
      <formula>0.51</formula>
      <formula>0.75</formula>
    </cfRule>
    <cfRule type="cellIs" dxfId="5108" priority="3561" operator="greaterThan">
      <formula>1</formula>
    </cfRule>
    <cfRule type="cellIs" dxfId="5107" priority="3562" operator="between">
      <formula>0.95</formula>
      <formula>1</formula>
    </cfRule>
    <cfRule type="cellIs" dxfId="5106" priority="3563" stopIfTrue="1" operator="between">
      <formula>0</formula>
      <formula>0.5</formula>
    </cfRule>
  </conditionalFormatting>
  <conditionalFormatting sqref="R165">
    <cfRule type="cellIs" dxfId="5105" priority="3554" operator="between">
      <formula>0.3751</formula>
      <formula>0.475</formula>
    </cfRule>
    <cfRule type="cellIs" dxfId="5104" priority="3555" operator="between">
      <formula>0.2551</formula>
      <formula>0.375</formula>
    </cfRule>
    <cfRule type="cellIs" dxfId="5103" priority="3556" operator="greaterThan">
      <formula>0.505</formula>
    </cfRule>
    <cfRule type="cellIs" dxfId="5102" priority="3557" operator="between">
      <formula>0.48</formula>
      <formula>0.5</formula>
    </cfRule>
    <cfRule type="cellIs" dxfId="5101" priority="3558" stopIfTrue="1" operator="between">
      <formula>0</formula>
      <formula>0.255</formula>
    </cfRule>
  </conditionalFormatting>
  <conditionalFormatting sqref="T165">
    <cfRule type="cellIs" dxfId="5100" priority="3549" operator="between">
      <formula>0.376</formula>
      <formula>0.475</formula>
    </cfRule>
    <cfRule type="cellIs" dxfId="5099" priority="3550" operator="between">
      <formula>0.2551</formula>
      <formula>0.3751</formula>
    </cfRule>
    <cfRule type="cellIs" dxfId="5098" priority="3551" operator="greaterThan">
      <formula>0.505</formula>
    </cfRule>
    <cfRule type="cellIs" dxfId="5097" priority="3552" operator="between">
      <formula>0.48</formula>
      <formula>0.5</formula>
    </cfRule>
    <cfRule type="cellIs" dxfId="5096" priority="3553" stopIfTrue="1" operator="between">
      <formula>0</formula>
      <formula>0.255</formula>
    </cfRule>
  </conditionalFormatting>
  <conditionalFormatting sqref="I173">
    <cfRule type="cellIs" dxfId="5095" priority="3527" operator="between">
      <formula>0.76</formula>
      <formula>0.95</formula>
    </cfRule>
    <cfRule type="cellIs" dxfId="5094" priority="3528" operator="between">
      <formula>0.51</formula>
      <formula>0.75</formula>
    </cfRule>
    <cfRule type="cellIs" dxfId="5093" priority="3529" operator="greaterThan">
      <formula>1</formula>
    </cfRule>
    <cfRule type="cellIs" dxfId="5092" priority="3530" operator="between">
      <formula>0.95</formula>
      <formula>1</formula>
    </cfRule>
    <cfRule type="cellIs" dxfId="5091" priority="3531" stopIfTrue="1" operator="between">
      <formula>0</formula>
      <formula>0.5</formula>
    </cfRule>
  </conditionalFormatting>
  <conditionalFormatting sqref="P173">
    <cfRule type="cellIs" dxfId="5090" priority="3522" operator="between">
      <formula>0.76</formula>
      <formula>0.95</formula>
    </cfRule>
    <cfRule type="cellIs" dxfId="5089" priority="3523" operator="between">
      <formula>0.51</formula>
      <formula>0.75</formula>
    </cfRule>
    <cfRule type="cellIs" dxfId="5088" priority="3524" operator="greaterThan">
      <formula>1</formula>
    </cfRule>
    <cfRule type="cellIs" dxfId="5087" priority="3525" operator="between">
      <formula>0.95</formula>
      <formula>1</formula>
    </cfRule>
    <cfRule type="cellIs" dxfId="5086" priority="3526" stopIfTrue="1" operator="between">
      <formula>0</formula>
      <formula>0.5</formula>
    </cfRule>
  </conditionalFormatting>
  <conditionalFormatting sqref="W173">
    <cfRule type="cellIs" dxfId="5085" priority="3517" operator="between">
      <formula>0.76</formula>
      <formula>0.95</formula>
    </cfRule>
    <cfRule type="cellIs" dxfId="5084" priority="3518" operator="between">
      <formula>0.51</formula>
      <formula>0.75</formula>
    </cfRule>
    <cfRule type="cellIs" dxfId="5083" priority="3519" operator="greaterThan">
      <formula>1</formula>
    </cfRule>
    <cfRule type="cellIs" dxfId="5082" priority="3520" operator="between">
      <formula>0.95</formula>
      <formula>1</formula>
    </cfRule>
    <cfRule type="cellIs" dxfId="5081" priority="3521" stopIfTrue="1" operator="between">
      <formula>0</formula>
      <formula>0.5</formula>
    </cfRule>
  </conditionalFormatting>
  <conditionalFormatting sqref="AD173">
    <cfRule type="cellIs" dxfId="5080" priority="3512" operator="between">
      <formula>0.76</formula>
      <formula>0.95</formula>
    </cfRule>
    <cfRule type="cellIs" dxfId="5079" priority="3513" operator="between">
      <formula>0.51</formula>
      <formula>0.75</formula>
    </cfRule>
    <cfRule type="cellIs" dxfId="5078" priority="3514" operator="greaterThan">
      <formula>1</formula>
    </cfRule>
    <cfRule type="cellIs" dxfId="5077" priority="3515" operator="between">
      <formula>0.95</formula>
      <formula>1</formula>
    </cfRule>
    <cfRule type="cellIs" dxfId="5076" priority="3516" stopIfTrue="1" operator="between">
      <formula>0</formula>
      <formula>0.5</formula>
    </cfRule>
  </conditionalFormatting>
  <conditionalFormatting sqref="AF173">
    <cfRule type="cellIs" dxfId="5075" priority="3502" operator="between">
      <formula>0.76</formula>
      <formula>0.95</formula>
    </cfRule>
    <cfRule type="cellIs" dxfId="5074" priority="3503" operator="between">
      <formula>0.51</formula>
      <formula>0.75</formula>
    </cfRule>
    <cfRule type="cellIs" dxfId="5073" priority="3504" operator="greaterThan">
      <formula>1</formula>
    </cfRule>
    <cfRule type="cellIs" dxfId="5072" priority="3505" operator="between">
      <formula>0.95</formula>
      <formula>1</formula>
    </cfRule>
    <cfRule type="cellIs" dxfId="5071" priority="3506" stopIfTrue="1" operator="between">
      <formula>0</formula>
      <formula>0.5</formula>
    </cfRule>
  </conditionalFormatting>
  <conditionalFormatting sqref="K173">
    <cfRule type="cellIs" dxfId="5070" priority="3492" operator="between">
      <formula>0.191</formula>
      <formula>0.24</formula>
    </cfRule>
    <cfRule type="cellIs" dxfId="5069" priority="3493" operator="between">
      <formula>0.1251</formula>
      <formula>0.19</formula>
    </cfRule>
    <cfRule type="cellIs" dxfId="5068" priority="3494" operator="greaterThan">
      <formula>0.2601</formula>
    </cfRule>
    <cfRule type="cellIs" dxfId="5067" priority="3495" operator="between">
      <formula>0.2401</formula>
      <formula>0.26</formula>
    </cfRule>
    <cfRule type="cellIs" dxfId="5066" priority="3496" stopIfTrue="1" operator="between">
      <formula>0</formula>
      <formula>0.125</formula>
    </cfRule>
  </conditionalFormatting>
  <conditionalFormatting sqref="R173">
    <cfRule type="cellIs" dxfId="5065" priority="3487" operator="between">
      <formula>0.3751</formula>
      <formula>0.475</formula>
    </cfRule>
    <cfRule type="cellIs" dxfId="5064" priority="3488" operator="between">
      <formula>0.2551</formula>
      <formula>0.375</formula>
    </cfRule>
    <cfRule type="cellIs" dxfId="5063" priority="3489" operator="greaterThan">
      <formula>0.505</formula>
    </cfRule>
    <cfRule type="cellIs" dxfId="5062" priority="3490" operator="between">
      <formula>0.48</formula>
      <formula>0.5</formula>
    </cfRule>
    <cfRule type="cellIs" dxfId="5061" priority="3491" stopIfTrue="1" operator="between">
      <formula>0</formula>
      <formula>0.255</formula>
    </cfRule>
  </conditionalFormatting>
  <conditionalFormatting sqref="J173">
    <cfRule type="cellIs" dxfId="5060" priority="3477" operator="between">
      <formula>0.76</formula>
      <formula>0.95</formula>
    </cfRule>
    <cfRule type="cellIs" dxfId="5059" priority="3478" operator="between">
      <formula>0.51</formula>
      <formula>0.75</formula>
    </cfRule>
    <cfRule type="cellIs" dxfId="5058" priority="3479" operator="greaterThan">
      <formula>1</formula>
    </cfRule>
    <cfRule type="cellIs" dxfId="5057" priority="3480" operator="between">
      <formula>0.95</formula>
      <formula>1</formula>
    </cfRule>
    <cfRule type="cellIs" dxfId="5056" priority="3481" stopIfTrue="1" operator="between">
      <formula>0</formula>
      <formula>0.5</formula>
    </cfRule>
  </conditionalFormatting>
  <conditionalFormatting sqref="M173">
    <cfRule type="cellIs" dxfId="5055" priority="3472" operator="between">
      <formula>0.76</formula>
      <formula>0.95</formula>
    </cfRule>
    <cfRule type="cellIs" dxfId="5054" priority="3473" operator="between">
      <formula>0.51</formula>
      <formula>0.75</formula>
    </cfRule>
    <cfRule type="cellIs" dxfId="5053" priority="3474" operator="greaterThan">
      <formula>1</formula>
    </cfRule>
    <cfRule type="cellIs" dxfId="5052" priority="3475" operator="between">
      <formula>0.95</formula>
      <formula>1</formula>
    </cfRule>
    <cfRule type="cellIs" dxfId="5051" priority="3476" stopIfTrue="1" operator="between">
      <formula>0</formula>
      <formula>0.5</formula>
    </cfRule>
  </conditionalFormatting>
  <conditionalFormatting sqref="X173">
    <cfRule type="cellIs" dxfId="5050" priority="3467" operator="between">
      <formula>0.76</formula>
      <formula>0.95</formula>
    </cfRule>
    <cfRule type="cellIs" dxfId="5049" priority="3468" operator="between">
      <formula>0.51</formula>
      <formula>0.75</formula>
    </cfRule>
    <cfRule type="cellIs" dxfId="5048" priority="3469" operator="greaterThan">
      <formula>1</formula>
    </cfRule>
    <cfRule type="cellIs" dxfId="5047" priority="3470" operator="between">
      <formula>0.95</formula>
      <formula>1</formula>
    </cfRule>
    <cfRule type="cellIs" dxfId="5046" priority="3471" stopIfTrue="1" operator="between">
      <formula>0</formula>
      <formula>0.5</formula>
    </cfRule>
  </conditionalFormatting>
  <conditionalFormatting sqref="AE149">
    <cfRule type="cellIs" dxfId="5045" priority="3190" operator="between">
      <formula>0.76</formula>
      <formula>0.95</formula>
    </cfRule>
    <cfRule type="cellIs" dxfId="5044" priority="3191" operator="between">
      <formula>0.51</formula>
      <formula>0.75</formula>
    </cfRule>
    <cfRule type="cellIs" dxfId="5043" priority="3192" operator="greaterThan">
      <formula>1</formula>
    </cfRule>
    <cfRule type="cellIs" dxfId="5042" priority="3193" operator="between">
      <formula>0.95</formula>
      <formula>1</formula>
    </cfRule>
    <cfRule type="cellIs" dxfId="5041" priority="3194" stopIfTrue="1" operator="between">
      <formula>0</formula>
      <formula>0.5</formula>
    </cfRule>
  </conditionalFormatting>
  <conditionalFormatting sqref="T173">
    <cfRule type="cellIs" dxfId="5040" priority="3447" operator="between">
      <formula>0.76</formula>
      <formula>0.95</formula>
    </cfRule>
    <cfRule type="cellIs" dxfId="5039" priority="3448" operator="between">
      <formula>0.51</formula>
      <formula>0.75</formula>
    </cfRule>
    <cfRule type="cellIs" dxfId="5038" priority="3449" operator="greaterThan">
      <formula>1</formula>
    </cfRule>
    <cfRule type="cellIs" dxfId="5037" priority="3450" operator="between">
      <formula>0.95</formula>
      <formula>1</formula>
    </cfRule>
    <cfRule type="cellIs" dxfId="5036" priority="3451" stopIfTrue="1" operator="between">
      <formula>0</formula>
      <formula>0.5</formula>
    </cfRule>
  </conditionalFormatting>
  <conditionalFormatting sqref="Q177">
    <cfRule type="cellIs" dxfId="5035" priority="3442" operator="between">
      <formula>0.76</formula>
      <formula>0.95</formula>
    </cfRule>
    <cfRule type="cellIs" dxfId="5034" priority="3443" operator="between">
      <formula>0.51</formula>
      <formula>0.75</formula>
    </cfRule>
    <cfRule type="cellIs" dxfId="5033" priority="3444" operator="greaterThan">
      <formula>1</formula>
    </cfRule>
    <cfRule type="cellIs" dxfId="5032" priority="3445" operator="between">
      <formula>0.95</formula>
      <formula>1</formula>
    </cfRule>
    <cfRule type="cellIs" dxfId="5031" priority="3446" stopIfTrue="1" operator="between">
      <formula>0</formula>
      <formula>0.5</formula>
    </cfRule>
  </conditionalFormatting>
  <conditionalFormatting sqref="Q173">
    <cfRule type="cellIs" dxfId="5030" priority="3437" operator="between">
      <formula>0.76</formula>
      <formula>0.95</formula>
    </cfRule>
    <cfRule type="cellIs" dxfId="5029" priority="3438" operator="between">
      <formula>0.51</formula>
      <formula>0.75</formula>
    </cfRule>
    <cfRule type="cellIs" dxfId="5028" priority="3439" operator="greaterThan">
      <formula>1</formula>
    </cfRule>
    <cfRule type="cellIs" dxfId="5027" priority="3440" operator="between">
      <formula>0.95</formula>
      <formula>1</formula>
    </cfRule>
    <cfRule type="cellIs" dxfId="5026" priority="3441" stopIfTrue="1" operator="between">
      <formula>0</formula>
      <formula>0.5</formula>
    </cfRule>
  </conditionalFormatting>
  <conditionalFormatting sqref="AE173">
    <cfRule type="cellIs" dxfId="5025" priority="3432" operator="between">
      <formula>0.76</formula>
      <formula>0.95</formula>
    </cfRule>
    <cfRule type="cellIs" dxfId="5024" priority="3433" operator="between">
      <formula>0.51</formula>
      <formula>0.75</formula>
    </cfRule>
    <cfRule type="cellIs" dxfId="5023" priority="3434" operator="greaterThan">
      <formula>1</formula>
    </cfRule>
    <cfRule type="cellIs" dxfId="5022" priority="3435" operator="between">
      <formula>0.95</formula>
      <formula>1</formula>
    </cfRule>
    <cfRule type="cellIs" dxfId="5021" priority="3436" stopIfTrue="1" operator="between">
      <formula>0</formula>
      <formula>0.5</formula>
    </cfRule>
  </conditionalFormatting>
  <conditionalFormatting sqref="I149 P149 W149:X149 AD149 AF149">
    <cfRule type="cellIs" dxfId="5020" priority="3427" operator="between">
      <formula>0.76</formula>
      <formula>0.95</formula>
    </cfRule>
    <cfRule type="cellIs" dxfId="5019" priority="3428" operator="between">
      <formula>0.51</formula>
      <formula>0.75</formula>
    </cfRule>
    <cfRule type="cellIs" dxfId="5018" priority="3429" operator="greaterThan">
      <formula>1</formula>
    </cfRule>
    <cfRule type="cellIs" dxfId="5017" priority="3430" operator="between">
      <formula>0.95</formula>
      <formula>1</formula>
    </cfRule>
    <cfRule type="cellIs" dxfId="5016" priority="3431" stopIfTrue="1" operator="between">
      <formula>0</formula>
      <formula>0.5</formula>
    </cfRule>
  </conditionalFormatting>
  <conditionalFormatting sqref="R149">
    <cfRule type="cellIs" dxfId="5015" priority="3422" operator="between">
      <formula>0.3751</formula>
      <formula>0.475</formula>
    </cfRule>
    <cfRule type="cellIs" dxfId="5014" priority="3423" operator="between">
      <formula>0.2551</formula>
      <formula>0.375</formula>
    </cfRule>
    <cfRule type="cellIs" dxfId="5013" priority="3424" operator="greaterThan">
      <formula>0.505</formula>
    </cfRule>
    <cfRule type="cellIs" dxfId="5012" priority="3425" operator="between">
      <formula>0.48</formula>
      <formula>0.5</formula>
    </cfRule>
    <cfRule type="cellIs" dxfId="5011" priority="3426" stopIfTrue="1" operator="between">
      <formula>0</formula>
      <formula>0.255</formula>
    </cfRule>
  </conditionalFormatting>
  <conditionalFormatting sqref="K149 T149">
    <cfRule type="cellIs" dxfId="5010" priority="3417" operator="between">
      <formula>0.191</formula>
      <formula>0.24</formula>
    </cfRule>
    <cfRule type="cellIs" dxfId="5009" priority="3418" operator="between">
      <formula>0.1251</formula>
      <formula>0.19</formula>
    </cfRule>
    <cfRule type="cellIs" dxfId="5008" priority="3419" operator="greaterThan">
      <formula>0.2601</formula>
    </cfRule>
    <cfRule type="cellIs" dxfId="5007" priority="3420" operator="between">
      <formula>0.2401</formula>
      <formula>0.26</formula>
    </cfRule>
    <cfRule type="cellIs" dxfId="5006" priority="3421" stopIfTrue="1" operator="between">
      <formula>0</formula>
      <formula>0.125</formula>
    </cfRule>
  </conditionalFormatting>
  <conditionalFormatting sqref="X149 Q149">
    <cfRule type="cellIs" dxfId="5005" priority="3407" operator="between">
      <formula>0.76</formula>
      <formula>0.95</formula>
    </cfRule>
    <cfRule type="cellIs" dxfId="5004" priority="3408" operator="between">
      <formula>0.51</formula>
      <formula>0.75</formula>
    </cfRule>
    <cfRule type="cellIs" dxfId="5003" priority="3409" operator="greaterThan">
      <formula>1</formula>
    </cfRule>
    <cfRule type="cellIs" dxfId="5002" priority="3410" operator="between">
      <formula>0.95</formula>
      <formula>1</formula>
    </cfRule>
    <cfRule type="cellIs" dxfId="5001" priority="3411" stopIfTrue="1" operator="between">
      <formula>0</formula>
      <formula>0.5</formula>
    </cfRule>
  </conditionalFormatting>
  <conditionalFormatting sqref="I149">
    <cfRule type="cellIs" dxfId="5000" priority="3402" operator="between">
      <formula>0.76</formula>
      <formula>0.95</formula>
    </cfRule>
    <cfRule type="cellIs" dxfId="4999" priority="3403" operator="between">
      <formula>0.51</formula>
      <formula>0.75</formula>
    </cfRule>
    <cfRule type="cellIs" dxfId="4998" priority="3404" operator="greaterThan">
      <formula>1</formula>
    </cfRule>
    <cfRule type="cellIs" dxfId="4997" priority="3405" operator="between">
      <formula>0.95</formula>
      <formula>1</formula>
    </cfRule>
    <cfRule type="cellIs" dxfId="4996" priority="3406" stopIfTrue="1" operator="between">
      <formula>0</formula>
      <formula>0.5</formula>
    </cfRule>
  </conditionalFormatting>
  <conditionalFormatting sqref="P149">
    <cfRule type="cellIs" dxfId="4995" priority="3397" operator="between">
      <formula>0.76</formula>
      <formula>0.95</formula>
    </cfRule>
    <cfRule type="cellIs" dxfId="4994" priority="3398" operator="between">
      <formula>0.51</formula>
      <formula>0.75</formula>
    </cfRule>
    <cfRule type="cellIs" dxfId="4993" priority="3399" operator="greaterThan">
      <formula>1</formula>
    </cfRule>
    <cfRule type="cellIs" dxfId="4992" priority="3400" operator="between">
      <formula>0.95</formula>
      <formula>1</formula>
    </cfRule>
    <cfRule type="cellIs" dxfId="4991" priority="3401" stopIfTrue="1" operator="between">
      <formula>0</formula>
      <formula>0.5</formula>
    </cfRule>
  </conditionalFormatting>
  <conditionalFormatting sqref="W149">
    <cfRule type="cellIs" dxfId="4990" priority="3392" operator="between">
      <formula>0.76</formula>
      <formula>0.95</formula>
    </cfRule>
    <cfRule type="cellIs" dxfId="4989" priority="3393" operator="between">
      <formula>0.51</formula>
      <formula>0.75</formula>
    </cfRule>
    <cfRule type="cellIs" dxfId="4988" priority="3394" operator="greaterThan">
      <formula>1</formula>
    </cfRule>
    <cfRule type="cellIs" dxfId="4987" priority="3395" operator="between">
      <formula>0.95</formula>
      <formula>1</formula>
    </cfRule>
    <cfRule type="cellIs" dxfId="4986" priority="3396" stopIfTrue="1" operator="between">
      <formula>0</formula>
      <formula>0.5</formula>
    </cfRule>
  </conditionalFormatting>
  <conditionalFormatting sqref="AD149">
    <cfRule type="cellIs" dxfId="4985" priority="3387" operator="between">
      <formula>0.76</formula>
      <formula>0.95</formula>
    </cfRule>
    <cfRule type="cellIs" dxfId="4984" priority="3388" operator="between">
      <formula>0.51</formula>
      <formula>0.75</formula>
    </cfRule>
    <cfRule type="cellIs" dxfId="4983" priority="3389" operator="greaterThan">
      <formula>1</formula>
    </cfRule>
    <cfRule type="cellIs" dxfId="4982" priority="3390" operator="between">
      <formula>0.95</formula>
      <formula>1</formula>
    </cfRule>
    <cfRule type="cellIs" dxfId="4981" priority="3391" stopIfTrue="1" operator="between">
      <formula>0</formula>
      <formula>0.5</formula>
    </cfRule>
  </conditionalFormatting>
  <conditionalFormatting sqref="AF149">
    <cfRule type="cellIs" dxfId="4980" priority="3377" operator="between">
      <formula>0.76</formula>
      <formula>0.95</formula>
    </cfRule>
    <cfRule type="cellIs" dxfId="4979" priority="3378" operator="between">
      <formula>0.51</formula>
      <formula>0.75</formula>
    </cfRule>
    <cfRule type="cellIs" dxfId="4978" priority="3379" operator="greaterThan">
      <formula>1</formula>
    </cfRule>
    <cfRule type="cellIs" dxfId="4977" priority="3380" operator="between">
      <formula>0.95</formula>
      <formula>1</formula>
    </cfRule>
    <cfRule type="cellIs" dxfId="4976" priority="3381" stopIfTrue="1" operator="between">
      <formula>0</formula>
      <formula>0.5</formula>
    </cfRule>
  </conditionalFormatting>
  <conditionalFormatting sqref="K149">
    <cfRule type="cellIs" dxfId="4975" priority="3367" operator="between">
      <formula>0.191</formula>
      <formula>0.24</formula>
    </cfRule>
    <cfRule type="cellIs" dxfId="4974" priority="3368" operator="between">
      <formula>0.1251</formula>
      <formula>0.19</formula>
    </cfRule>
    <cfRule type="cellIs" dxfId="4973" priority="3369" operator="greaterThan">
      <formula>0.2601</formula>
    </cfRule>
    <cfRule type="cellIs" dxfId="4972" priority="3370" operator="between">
      <formula>0.2401</formula>
      <formula>0.26</formula>
    </cfRule>
    <cfRule type="cellIs" dxfId="4971" priority="3371" stopIfTrue="1" operator="between">
      <formula>0</formula>
      <formula>0.125</formula>
    </cfRule>
  </conditionalFormatting>
  <conditionalFormatting sqref="R149">
    <cfRule type="cellIs" dxfId="4970" priority="3362" operator="between">
      <formula>0.3751</formula>
      <formula>0.475</formula>
    </cfRule>
    <cfRule type="cellIs" dxfId="4969" priority="3363" operator="between">
      <formula>0.2551</formula>
      <formula>0.375</formula>
    </cfRule>
    <cfRule type="cellIs" dxfId="4968" priority="3364" operator="greaterThan">
      <formula>0.505</formula>
    </cfRule>
    <cfRule type="cellIs" dxfId="4967" priority="3365" operator="between">
      <formula>0.48</formula>
      <formula>0.5</formula>
    </cfRule>
    <cfRule type="cellIs" dxfId="4966" priority="3366" stopIfTrue="1" operator="between">
      <formula>0</formula>
      <formula>0.255</formula>
    </cfRule>
  </conditionalFormatting>
  <conditionalFormatting sqref="T149">
    <cfRule type="cellIs" dxfId="4965" priority="3357" operator="between">
      <formula>0.376</formula>
      <formula>0.475</formula>
    </cfRule>
    <cfRule type="cellIs" dxfId="4964" priority="3358" operator="between">
      <formula>0.2551</formula>
      <formula>0.3751</formula>
    </cfRule>
    <cfRule type="cellIs" dxfId="4963" priority="3359" operator="greaterThan">
      <formula>0.505</formula>
    </cfRule>
    <cfRule type="cellIs" dxfId="4962" priority="3360" operator="between">
      <formula>0.48</formula>
      <formula>0.5</formula>
    </cfRule>
    <cfRule type="cellIs" dxfId="4961" priority="3361" stopIfTrue="1" operator="between">
      <formula>0</formula>
      <formula>0.255</formula>
    </cfRule>
  </conditionalFormatting>
  <conditionalFormatting sqref="I149">
    <cfRule type="cellIs" dxfId="4960" priority="3342" operator="between">
      <formula>0.76</formula>
      <formula>0.95</formula>
    </cfRule>
    <cfRule type="cellIs" dxfId="4959" priority="3343" operator="between">
      <formula>0.51</formula>
      <formula>0.75</formula>
    </cfRule>
    <cfRule type="cellIs" dxfId="4958" priority="3344" operator="greaterThan">
      <formula>1</formula>
    </cfRule>
    <cfRule type="cellIs" dxfId="4957" priority="3345" operator="between">
      <formula>0.95</formula>
      <formula>1</formula>
    </cfRule>
    <cfRule type="cellIs" dxfId="4956" priority="3346" stopIfTrue="1" operator="between">
      <formula>0</formula>
      <formula>0.5</formula>
    </cfRule>
  </conditionalFormatting>
  <conditionalFormatting sqref="K149">
    <cfRule type="cellIs" dxfId="4955" priority="3337" operator="between">
      <formula>0.191</formula>
      <formula>0.24</formula>
    </cfRule>
    <cfRule type="cellIs" dxfId="4954" priority="3338" operator="between">
      <formula>0.1251</formula>
      <formula>0.19</formula>
    </cfRule>
    <cfRule type="cellIs" dxfId="4953" priority="3339" operator="greaterThan">
      <formula>0.2601</formula>
    </cfRule>
    <cfRule type="cellIs" dxfId="4952" priority="3340" operator="between">
      <formula>0.2401</formula>
      <formula>0.26</formula>
    </cfRule>
    <cfRule type="cellIs" dxfId="4951" priority="3341" stopIfTrue="1" operator="between">
      <formula>0</formula>
      <formula>0.125</formula>
    </cfRule>
  </conditionalFormatting>
  <conditionalFormatting sqref="P149">
    <cfRule type="cellIs" dxfId="4950" priority="3332" operator="between">
      <formula>0.76</formula>
      <formula>0.95</formula>
    </cfRule>
    <cfRule type="cellIs" dxfId="4949" priority="3333" operator="between">
      <formula>0.51</formula>
      <formula>0.75</formula>
    </cfRule>
    <cfRule type="cellIs" dxfId="4948" priority="3334" operator="greaterThan">
      <formula>1</formula>
    </cfRule>
    <cfRule type="cellIs" dxfId="4947" priority="3335" operator="between">
      <formula>0.95</formula>
      <formula>1</formula>
    </cfRule>
    <cfRule type="cellIs" dxfId="4946" priority="3336" stopIfTrue="1" operator="between">
      <formula>0</formula>
      <formula>0.5</formula>
    </cfRule>
  </conditionalFormatting>
  <conditionalFormatting sqref="W149">
    <cfRule type="cellIs" dxfId="4945" priority="3327" operator="between">
      <formula>0.76</formula>
      <formula>0.95</formula>
    </cfRule>
    <cfRule type="cellIs" dxfId="4944" priority="3328" operator="between">
      <formula>0.51</formula>
      <formula>0.75</formula>
    </cfRule>
    <cfRule type="cellIs" dxfId="4943" priority="3329" operator="greaterThan">
      <formula>1</formula>
    </cfRule>
    <cfRule type="cellIs" dxfId="4942" priority="3330" operator="between">
      <formula>0.95</formula>
      <formula>1</formula>
    </cfRule>
    <cfRule type="cellIs" dxfId="4941" priority="3331" stopIfTrue="1" operator="between">
      <formula>0</formula>
      <formula>0.5</formula>
    </cfRule>
  </conditionalFormatting>
  <conditionalFormatting sqref="AD149">
    <cfRule type="cellIs" dxfId="4940" priority="3317" operator="between">
      <formula>0.76</formula>
      <formula>0.95</formula>
    </cfRule>
    <cfRule type="cellIs" dxfId="4939" priority="3318" operator="between">
      <formula>0.51</formula>
      <formula>0.75</formula>
    </cfRule>
    <cfRule type="cellIs" dxfId="4938" priority="3319" operator="greaterThan">
      <formula>1</formula>
    </cfRule>
    <cfRule type="cellIs" dxfId="4937" priority="3320" operator="between">
      <formula>0.95</formula>
      <formula>1</formula>
    </cfRule>
    <cfRule type="cellIs" dxfId="4936" priority="3321" stopIfTrue="1" operator="between">
      <formula>0</formula>
      <formula>0.5</formula>
    </cfRule>
  </conditionalFormatting>
  <conditionalFormatting sqref="AF149">
    <cfRule type="cellIs" dxfId="4935" priority="3312" operator="between">
      <formula>0.76</formula>
      <formula>0.95</formula>
    </cfRule>
    <cfRule type="cellIs" dxfId="4934" priority="3313" operator="between">
      <formula>0.51</formula>
      <formula>0.75</formula>
    </cfRule>
    <cfRule type="cellIs" dxfId="4933" priority="3314" operator="greaterThan">
      <formula>1</formula>
    </cfRule>
    <cfRule type="cellIs" dxfId="4932" priority="3315" operator="between">
      <formula>0.95</formula>
      <formula>1</formula>
    </cfRule>
    <cfRule type="cellIs" dxfId="4931" priority="3316" stopIfTrue="1" operator="between">
      <formula>0</formula>
      <formula>0.5</formula>
    </cfRule>
  </conditionalFormatting>
  <conditionalFormatting sqref="R149">
    <cfRule type="cellIs" dxfId="4930" priority="3307" operator="between">
      <formula>0.3751</formula>
      <formula>0.475</formula>
    </cfRule>
    <cfRule type="cellIs" dxfId="4929" priority="3308" operator="between">
      <formula>0.2551</formula>
      <formula>0.375</formula>
    </cfRule>
    <cfRule type="cellIs" dxfId="4928" priority="3309" operator="greaterThan">
      <formula>0.505</formula>
    </cfRule>
    <cfRule type="cellIs" dxfId="4927" priority="3310" operator="between">
      <formula>0.48</formula>
      <formula>0.5</formula>
    </cfRule>
    <cfRule type="cellIs" dxfId="4926" priority="3311" stopIfTrue="1" operator="between">
      <formula>0</formula>
      <formula>0.255</formula>
    </cfRule>
  </conditionalFormatting>
  <conditionalFormatting sqref="T149">
    <cfRule type="cellIs" dxfId="4925" priority="3287" operator="between">
      <formula>0.376</formula>
      <formula>0.475</formula>
    </cfRule>
    <cfRule type="cellIs" dxfId="4924" priority="3288" operator="between">
      <formula>0.2551</formula>
      <formula>0.3751</formula>
    </cfRule>
    <cfRule type="cellIs" dxfId="4923" priority="3289" operator="greaterThan">
      <formula>0.505</formula>
    </cfRule>
    <cfRule type="cellIs" dxfId="4922" priority="3290" operator="between">
      <formula>0.48</formula>
      <formula>0.5</formula>
    </cfRule>
    <cfRule type="cellIs" dxfId="4921" priority="3291" stopIfTrue="1" operator="between">
      <formula>0</formula>
      <formula>0.255</formula>
    </cfRule>
  </conditionalFormatting>
  <conditionalFormatting sqref="Q149">
    <cfRule type="cellIs" dxfId="4920" priority="3272" operator="between">
      <formula>0.76</formula>
      <formula>0.95</formula>
    </cfRule>
    <cfRule type="cellIs" dxfId="4919" priority="3273" operator="between">
      <formula>0.51</formula>
      <formula>0.75</formula>
    </cfRule>
    <cfRule type="cellIs" dxfId="4918" priority="3274" operator="greaterThan">
      <formula>1</formula>
    </cfRule>
    <cfRule type="cellIs" dxfId="4917" priority="3275" operator="between">
      <formula>0.95</formula>
      <formula>1</formula>
    </cfRule>
    <cfRule type="cellIs" dxfId="4916" priority="3276" stopIfTrue="1" operator="between">
      <formula>0</formula>
      <formula>0.5</formula>
    </cfRule>
  </conditionalFormatting>
  <conditionalFormatting sqref="X149">
    <cfRule type="cellIs" dxfId="4915" priority="3257" operator="between">
      <formula>0.76</formula>
      <formula>0.95</formula>
    </cfRule>
    <cfRule type="cellIs" dxfId="4914" priority="3258" operator="between">
      <formula>0.51</formula>
      <formula>0.75</formula>
    </cfRule>
    <cfRule type="cellIs" dxfId="4913" priority="3259" operator="greaterThan">
      <formula>1</formula>
    </cfRule>
    <cfRule type="cellIs" dxfId="4912" priority="3260" operator="between">
      <formula>0.95</formula>
      <formula>1</formula>
    </cfRule>
    <cfRule type="cellIs" dxfId="4911" priority="3261" stopIfTrue="1" operator="between">
      <formula>0</formula>
      <formula>0.5</formula>
    </cfRule>
  </conditionalFormatting>
  <conditionalFormatting sqref="Q149">
    <cfRule type="cellIs" dxfId="4910" priority="3252" operator="between">
      <formula>0.76</formula>
      <formula>0.95</formula>
    </cfRule>
    <cfRule type="cellIs" dxfId="4909" priority="3253" operator="between">
      <formula>0.51</formula>
      <formula>0.75</formula>
    </cfRule>
    <cfRule type="cellIs" dxfId="4908" priority="3254" operator="greaterThan">
      <formula>1</formula>
    </cfRule>
    <cfRule type="cellIs" dxfId="4907" priority="3255" operator="between">
      <formula>0.95</formula>
      <formula>1</formula>
    </cfRule>
    <cfRule type="cellIs" dxfId="4906" priority="3256" stopIfTrue="1" operator="between">
      <formula>0</formula>
      <formula>0.5</formula>
    </cfRule>
  </conditionalFormatting>
  <conditionalFormatting sqref="T149">
    <cfRule type="cellIs" dxfId="4905" priority="3247" operator="between">
      <formula>0.191</formula>
      <formula>0.24</formula>
    </cfRule>
    <cfRule type="cellIs" dxfId="4904" priority="3248" operator="between">
      <formula>0.1251</formula>
      <formula>0.19</formula>
    </cfRule>
    <cfRule type="cellIs" dxfId="4903" priority="3249" operator="greaterThan">
      <formula>0.2601</formula>
    </cfRule>
    <cfRule type="cellIs" dxfId="4902" priority="3250" operator="between">
      <formula>0.2401</formula>
      <formula>0.26</formula>
    </cfRule>
    <cfRule type="cellIs" dxfId="4901" priority="3251" stopIfTrue="1" operator="between">
      <formula>0</formula>
      <formula>0.125</formula>
    </cfRule>
  </conditionalFormatting>
  <conditionalFormatting sqref="Q149">
    <cfRule type="cellIs" dxfId="4900" priority="3222" operator="between">
      <formula>0.76</formula>
      <formula>0.95</formula>
    </cfRule>
    <cfRule type="cellIs" dxfId="4899" priority="3223" operator="between">
      <formula>0.51</formula>
      <formula>0.75</formula>
    </cfRule>
    <cfRule type="cellIs" dxfId="4898" priority="3224" operator="greaterThan">
      <formula>1</formula>
    </cfRule>
    <cfRule type="cellIs" dxfId="4897" priority="3225" operator="between">
      <formula>0.95</formula>
      <formula>1</formula>
    </cfRule>
    <cfRule type="cellIs" dxfId="4896" priority="3226" stopIfTrue="1" operator="between">
      <formula>0</formula>
      <formula>0.5</formula>
    </cfRule>
  </conditionalFormatting>
  <conditionalFormatting sqref="X149">
    <cfRule type="cellIs" dxfId="4895" priority="3217" operator="between">
      <formula>0.76</formula>
      <formula>0.95</formula>
    </cfRule>
    <cfRule type="cellIs" dxfId="4894" priority="3218" operator="between">
      <formula>0.51</formula>
      <formula>0.75</formula>
    </cfRule>
    <cfRule type="cellIs" dxfId="4893" priority="3219" operator="greaterThan">
      <formula>1</formula>
    </cfRule>
    <cfRule type="cellIs" dxfId="4892" priority="3220" operator="between">
      <formula>0.95</formula>
      <formula>1</formula>
    </cfRule>
    <cfRule type="cellIs" dxfId="4891" priority="3221" stopIfTrue="1" operator="between">
      <formula>0</formula>
      <formula>0.5</formula>
    </cfRule>
  </conditionalFormatting>
  <conditionalFormatting sqref="J149">
    <cfRule type="cellIs" dxfId="4890" priority="3200" operator="between">
      <formula>0.76</formula>
      <formula>0.95</formula>
    </cfRule>
    <cfRule type="cellIs" dxfId="4889" priority="3201" operator="between">
      <formula>0.51</formula>
      <formula>0.75</formula>
    </cfRule>
    <cfRule type="cellIs" dxfId="4888" priority="3202" operator="greaterThan">
      <formula>1</formula>
    </cfRule>
    <cfRule type="cellIs" dxfId="4887" priority="3203" operator="between">
      <formula>0.95</formula>
      <formula>1</formula>
    </cfRule>
    <cfRule type="cellIs" dxfId="4886" priority="3204" stopIfTrue="1" operator="between">
      <formula>0</formula>
      <formula>0.5</formula>
    </cfRule>
  </conditionalFormatting>
  <conditionalFormatting sqref="M149">
    <cfRule type="cellIs" dxfId="4885" priority="3195" operator="between">
      <formula>0.191</formula>
      <formula>0.24</formula>
    </cfRule>
    <cfRule type="cellIs" dxfId="4884" priority="3196" operator="between">
      <formula>0.1251</formula>
      <formula>0.19</formula>
    </cfRule>
    <cfRule type="cellIs" dxfId="4883" priority="3197" operator="greaterThan">
      <formula>0.2601</formula>
    </cfRule>
    <cfRule type="cellIs" dxfId="4882" priority="3198" operator="between">
      <formula>0.2401</formula>
      <formula>0.26</formula>
    </cfRule>
    <cfRule type="cellIs" dxfId="4881" priority="3199" stopIfTrue="1" operator="between">
      <formula>0</formula>
      <formula>0.125</formula>
    </cfRule>
  </conditionalFormatting>
  <conditionalFormatting sqref="AE149">
    <cfRule type="cellIs" dxfId="4880" priority="3185" operator="between">
      <formula>0.76</formula>
      <formula>0.95</formula>
    </cfRule>
    <cfRule type="cellIs" dxfId="4879" priority="3186" operator="between">
      <formula>0.51</formula>
      <formula>0.75</formula>
    </cfRule>
    <cfRule type="cellIs" dxfId="4878" priority="3187" operator="greaterThan">
      <formula>1</formula>
    </cfRule>
    <cfRule type="cellIs" dxfId="4877" priority="3188" operator="between">
      <formula>0.95</formula>
      <formula>1</formula>
    </cfRule>
    <cfRule type="cellIs" dxfId="4876" priority="3189" stopIfTrue="1" operator="between">
      <formula>0</formula>
      <formula>0.5</formula>
    </cfRule>
  </conditionalFormatting>
  <conditionalFormatting sqref="I174">
    <cfRule type="cellIs" dxfId="4875" priority="3153" operator="between">
      <formula>0.76</formula>
      <formula>0.95</formula>
    </cfRule>
    <cfRule type="cellIs" dxfId="4874" priority="3154" operator="between">
      <formula>0.51</formula>
      <formula>0.75</formula>
    </cfRule>
    <cfRule type="cellIs" dxfId="4873" priority="3155" operator="greaterThan">
      <formula>1</formula>
    </cfRule>
    <cfRule type="cellIs" dxfId="4872" priority="3156" operator="between">
      <formula>0.95</formula>
      <formula>1</formula>
    </cfRule>
    <cfRule type="cellIs" dxfId="4871" priority="3157" stopIfTrue="1" operator="between">
      <formula>0</formula>
      <formula>0.5</formula>
    </cfRule>
  </conditionalFormatting>
  <conditionalFormatting sqref="P174">
    <cfRule type="cellIs" dxfId="4870" priority="3148" operator="between">
      <formula>0.76</formula>
      <formula>0.95</formula>
    </cfRule>
    <cfRule type="cellIs" dxfId="4869" priority="3149" operator="between">
      <formula>0.51</formula>
      <formula>0.75</formula>
    </cfRule>
    <cfRule type="cellIs" dxfId="4868" priority="3150" operator="greaterThan">
      <formula>1</formula>
    </cfRule>
    <cfRule type="cellIs" dxfId="4867" priority="3151" operator="between">
      <formula>0.95</formula>
      <formula>1</formula>
    </cfRule>
    <cfRule type="cellIs" dxfId="4866" priority="3152" stopIfTrue="1" operator="between">
      <formula>0</formula>
      <formula>0.5</formula>
    </cfRule>
  </conditionalFormatting>
  <conditionalFormatting sqref="W174">
    <cfRule type="cellIs" dxfId="4865" priority="3143" operator="between">
      <formula>0.76</formula>
      <formula>0.95</formula>
    </cfRule>
    <cfRule type="cellIs" dxfId="4864" priority="3144" operator="between">
      <formula>0.51</formula>
      <formula>0.75</formula>
    </cfRule>
    <cfRule type="cellIs" dxfId="4863" priority="3145" operator="greaterThan">
      <formula>1</formula>
    </cfRule>
    <cfRule type="cellIs" dxfId="4862" priority="3146" operator="between">
      <formula>0.95</formula>
      <formula>1</formula>
    </cfRule>
    <cfRule type="cellIs" dxfId="4861" priority="3147" stopIfTrue="1" operator="between">
      <formula>0</formula>
      <formula>0.5</formula>
    </cfRule>
  </conditionalFormatting>
  <conditionalFormatting sqref="AD174">
    <cfRule type="cellIs" dxfId="4860" priority="3138" operator="between">
      <formula>0.76</formula>
      <formula>0.95</formula>
    </cfRule>
    <cfRule type="cellIs" dxfId="4859" priority="3139" operator="between">
      <formula>0.51</formula>
      <formula>0.75</formula>
    </cfRule>
    <cfRule type="cellIs" dxfId="4858" priority="3140" operator="greaterThan">
      <formula>1</formula>
    </cfRule>
    <cfRule type="cellIs" dxfId="4857" priority="3141" operator="between">
      <formula>0.95</formula>
      <formula>1</formula>
    </cfRule>
    <cfRule type="cellIs" dxfId="4856" priority="3142" stopIfTrue="1" operator="between">
      <formula>0</formula>
      <formula>0.5</formula>
    </cfRule>
  </conditionalFormatting>
  <conditionalFormatting sqref="AF174">
    <cfRule type="cellIs" dxfId="4855" priority="3128" operator="between">
      <formula>0.76</formula>
      <formula>0.95</formula>
    </cfRule>
    <cfRule type="cellIs" dxfId="4854" priority="3129" operator="between">
      <formula>0.51</formula>
      <formula>0.75</formula>
    </cfRule>
    <cfRule type="cellIs" dxfId="4853" priority="3130" operator="greaterThan">
      <formula>1</formula>
    </cfRule>
    <cfRule type="cellIs" dxfId="4852" priority="3131" operator="between">
      <formula>0.95</formula>
      <formula>1</formula>
    </cfRule>
    <cfRule type="cellIs" dxfId="4851" priority="3132" stopIfTrue="1" operator="between">
      <formula>0</formula>
      <formula>0.5</formula>
    </cfRule>
  </conditionalFormatting>
  <conditionalFormatting sqref="K174">
    <cfRule type="cellIs" dxfId="4850" priority="3118" operator="between">
      <formula>0.191</formula>
      <formula>0.24</formula>
    </cfRule>
    <cfRule type="cellIs" dxfId="4849" priority="3119" operator="between">
      <formula>0.1251</formula>
      <formula>0.19</formula>
    </cfRule>
    <cfRule type="cellIs" dxfId="4848" priority="3120" operator="greaterThan">
      <formula>0.2601</formula>
    </cfRule>
    <cfRule type="cellIs" dxfId="4847" priority="3121" operator="between">
      <formula>0.2401</formula>
      <formula>0.26</formula>
    </cfRule>
    <cfRule type="cellIs" dxfId="4846" priority="3122" stopIfTrue="1" operator="between">
      <formula>0</formula>
      <formula>0.125</formula>
    </cfRule>
  </conditionalFormatting>
  <conditionalFormatting sqref="R174">
    <cfRule type="cellIs" dxfId="4845" priority="3113" operator="between">
      <formula>0.3751</formula>
      <formula>0.475</formula>
    </cfRule>
    <cfRule type="cellIs" dxfId="4844" priority="3114" operator="between">
      <formula>0.2551</formula>
      <formula>0.375</formula>
    </cfRule>
    <cfRule type="cellIs" dxfId="4843" priority="3115" operator="greaterThan">
      <formula>0.505</formula>
    </cfRule>
    <cfRule type="cellIs" dxfId="4842" priority="3116" operator="between">
      <formula>0.48</formula>
      <formula>0.5</formula>
    </cfRule>
    <cfRule type="cellIs" dxfId="4841" priority="3117" stopIfTrue="1" operator="between">
      <formula>0</formula>
      <formula>0.255</formula>
    </cfRule>
  </conditionalFormatting>
  <conditionalFormatting sqref="M174">
    <cfRule type="cellIs" dxfId="4840" priority="3098" operator="between">
      <formula>0.76</formula>
      <formula>0.95</formula>
    </cfRule>
    <cfRule type="cellIs" dxfId="4839" priority="3099" operator="between">
      <formula>0.51</formula>
      <formula>0.75</formula>
    </cfRule>
    <cfRule type="cellIs" dxfId="4838" priority="3100" operator="greaterThan">
      <formula>1</formula>
    </cfRule>
    <cfRule type="cellIs" dxfId="4837" priority="3101" operator="between">
      <formula>0.95</formula>
      <formula>1</formula>
    </cfRule>
    <cfRule type="cellIs" dxfId="4836" priority="3102" stopIfTrue="1" operator="between">
      <formula>0</formula>
      <formula>0.5</formula>
    </cfRule>
  </conditionalFormatting>
  <conditionalFormatting sqref="X174">
    <cfRule type="cellIs" dxfId="4835" priority="3093" operator="between">
      <formula>0.76</formula>
      <formula>0.95</formula>
    </cfRule>
    <cfRule type="cellIs" dxfId="4834" priority="3094" operator="between">
      <formula>0.51</formula>
      <formula>0.75</formula>
    </cfRule>
    <cfRule type="cellIs" dxfId="4833" priority="3095" operator="greaterThan">
      <formula>1</formula>
    </cfRule>
    <cfRule type="cellIs" dxfId="4832" priority="3096" operator="between">
      <formula>0.95</formula>
      <formula>1</formula>
    </cfRule>
    <cfRule type="cellIs" dxfId="4831" priority="3097" stopIfTrue="1" operator="between">
      <formula>0</formula>
      <formula>0.5</formula>
    </cfRule>
  </conditionalFormatting>
  <conditionalFormatting sqref="T174">
    <cfRule type="cellIs" dxfId="4830" priority="3083" operator="between">
      <formula>0.76</formula>
      <formula>0.95</formula>
    </cfRule>
    <cfRule type="cellIs" dxfId="4829" priority="3084" operator="between">
      <formula>0.51</formula>
      <formula>0.75</formula>
    </cfRule>
    <cfRule type="cellIs" dxfId="4828" priority="3085" operator="greaterThan">
      <formula>1</formula>
    </cfRule>
    <cfRule type="cellIs" dxfId="4827" priority="3086" operator="between">
      <formula>0.95</formula>
      <formula>1</formula>
    </cfRule>
    <cfRule type="cellIs" dxfId="4826" priority="3087" stopIfTrue="1" operator="between">
      <formula>0</formula>
      <formula>0.5</formula>
    </cfRule>
  </conditionalFormatting>
  <conditionalFormatting sqref="J174">
    <cfRule type="cellIs" dxfId="4825" priority="3058" operator="between">
      <formula>0.76</formula>
      <formula>0.95</formula>
    </cfRule>
    <cfRule type="cellIs" dxfId="4824" priority="3059" operator="between">
      <formula>0.51</formula>
      <formula>0.75</formula>
    </cfRule>
    <cfRule type="cellIs" dxfId="4823" priority="3060" operator="greaterThan">
      <formula>1</formula>
    </cfRule>
    <cfRule type="cellIs" dxfId="4822" priority="3061" operator="between">
      <formula>0.95</formula>
      <formula>1</formula>
    </cfRule>
    <cfRule type="cellIs" dxfId="4821" priority="3062" stopIfTrue="1" operator="between">
      <formula>0</formula>
      <formula>0.5</formula>
    </cfRule>
  </conditionalFormatting>
  <conditionalFormatting sqref="Q174">
    <cfRule type="cellIs" dxfId="4820" priority="3063" operator="between">
      <formula>0.76</formula>
      <formula>0.95</formula>
    </cfRule>
    <cfRule type="cellIs" dxfId="4819" priority="3064" operator="between">
      <formula>0.51</formula>
      <formula>0.75</formula>
    </cfRule>
    <cfRule type="cellIs" dxfId="4818" priority="3065" operator="greaterThan">
      <formula>1</formula>
    </cfRule>
    <cfRule type="cellIs" dxfId="4817" priority="3066" operator="between">
      <formula>0.95</formula>
      <formula>1</formula>
    </cfRule>
    <cfRule type="cellIs" dxfId="4816" priority="3067" stopIfTrue="1" operator="between">
      <formula>0</formula>
      <formula>0.5</formula>
    </cfRule>
  </conditionalFormatting>
  <conditionalFormatting sqref="AE174">
    <cfRule type="cellIs" dxfId="4815" priority="3053" operator="between">
      <formula>0.76</formula>
      <formula>0.95</formula>
    </cfRule>
    <cfRule type="cellIs" dxfId="4814" priority="3054" operator="between">
      <formula>0.51</formula>
      <formula>0.75</formula>
    </cfRule>
    <cfRule type="cellIs" dxfId="4813" priority="3055" operator="greaterThan">
      <formula>1</formula>
    </cfRule>
    <cfRule type="cellIs" dxfId="4812" priority="3056" operator="between">
      <formula>0.95</formula>
      <formula>1</formula>
    </cfRule>
    <cfRule type="cellIs" dxfId="4811" priority="3057" stopIfTrue="1" operator="between">
      <formula>0</formula>
      <formula>0.5</formula>
    </cfRule>
  </conditionalFormatting>
  <conditionalFormatting sqref="AG174">
    <cfRule type="cellIs" dxfId="4810" priority="3048" operator="between">
      <formula>0.76</formula>
      <formula>0.95</formula>
    </cfRule>
    <cfRule type="cellIs" dxfId="4809" priority="3049" operator="between">
      <formula>0.51</formula>
      <formula>0.75</formula>
    </cfRule>
    <cfRule type="cellIs" dxfId="4808" priority="3050" operator="greaterThan">
      <formula>1</formula>
    </cfRule>
    <cfRule type="cellIs" dxfId="4807" priority="3051" operator="between">
      <formula>0.95</formula>
      <formula>1</formula>
    </cfRule>
    <cfRule type="cellIs" dxfId="4806" priority="3052" stopIfTrue="1" operator="between">
      <formula>0</formula>
      <formula>0.5</formula>
    </cfRule>
  </conditionalFormatting>
  <conditionalFormatting sqref="AG181 J181">
    <cfRule type="cellIs" dxfId="4805" priority="3043" operator="between">
      <formula>0.76</formula>
      <formula>0.95</formula>
    </cfRule>
    <cfRule type="cellIs" dxfId="4804" priority="3044" operator="between">
      <formula>0.51</formula>
      <formula>0.75</formula>
    </cfRule>
    <cfRule type="cellIs" dxfId="4803" priority="3045" operator="greaterThan">
      <formula>1</formula>
    </cfRule>
    <cfRule type="cellIs" dxfId="4802" priority="3046" operator="between">
      <formula>0.95</formula>
      <formula>1</formula>
    </cfRule>
    <cfRule type="cellIs" dxfId="4801" priority="3047" stopIfTrue="1" operator="between">
      <formula>0</formula>
      <formula>0.5</formula>
    </cfRule>
  </conditionalFormatting>
  <conditionalFormatting sqref="I181">
    <cfRule type="cellIs" dxfId="4800" priority="3038" operator="between">
      <formula>0.76</formula>
      <formula>0.95</formula>
    </cfRule>
    <cfRule type="cellIs" dxfId="4799" priority="3039" operator="between">
      <formula>0.51</formula>
      <formula>0.75</formula>
    </cfRule>
    <cfRule type="cellIs" dxfId="4798" priority="3040" operator="greaterThan">
      <formula>1</formula>
    </cfRule>
    <cfRule type="cellIs" dxfId="4797" priority="3041" operator="between">
      <formula>0.95</formula>
      <formula>1</formula>
    </cfRule>
    <cfRule type="cellIs" dxfId="4796" priority="3042" stopIfTrue="1" operator="between">
      <formula>0</formula>
      <formula>0.5</formula>
    </cfRule>
  </conditionalFormatting>
  <conditionalFormatting sqref="P181">
    <cfRule type="cellIs" dxfId="4795" priority="3033" operator="between">
      <formula>0.76</formula>
      <formula>0.95</formula>
    </cfRule>
    <cfRule type="cellIs" dxfId="4794" priority="3034" operator="between">
      <formula>0.51</formula>
      <formula>0.75</formula>
    </cfRule>
    <cfRule type="cellIs" dxfId="4793" priority="3035" operator="greaterThan">
      <formula>1</formula>
    </cfRule>
    <cfRule type="cellIs" dxfId="4792" priority="3036" operator="between">
      <formula>0.95</formula>
      <formula>1</formula>
    </cfRule>
    <cfRule type="cellIs" dxfId="4791" priority="3037" stopIfTrue="1" operator="between">
      <formula>0</formula>
      <formula>0.5</formula>
    </cfRule>
  </conditionalFormatting>
  <conditionalFormatting sqref="W181">
    <cfRule type="cellIs" dxfId="4790" priority="3028" operator="between">
      <formula>0.76</formula>
      <formula>0.95</formula>
    </cfRule>
    <cfRule type="cellIs" dxfId="4789" priority="3029" operator="between">
      <formula>0.51</formula>
      <formula>0.75</formula>
    </cfRule>
    <cfRule type="cellIs" dxfId="4788" priority="3030" operator="greaterThan">
      <formula>1</formula>
    </cfRule>
    <cfRule type="cellIs" dxfId="4787" priority="3031" operator="between">
      <formula>0.95</formula>
      <formula>1</formula>
    </cfRule>
    <cfRule type="cellIs" dxfId="4786" priority="3032" stopIfTrue="1" operator="between">
      <formula>0</formula>
      <formula>0.5</formula>
    </cfRule>
  </conditionalFormatting>
  <conditionalFormatting sqref="AD181">
    <cfRule type="cellIs" dxfId="4785" priority="3023" operator="between">
      <formula>0.76</formula>
      <formula>0.95</formula>
    </cfRule>
    <cfRule type="cellIs" dxfId="4784" priority="3024" operator="between">
      <formula>0.51</formula>
      <formula>0.75</formula>
    </cfRule>
    <cfRule type="cellIs" dxfId="4783" priority="3025" operator="greaterThan">
      <formula>1</formula>
    </cfRule>
    <cfRule type="cellIs" dxfId="4782" priority="3026" operator="between">
      <formula>0.95</formula>
      <formula>1</formula>
    </cfRule>
    <cfRule type="cellIs" dxfId="4781" priority="3027" stopIfTrue="1" operator="between">
      <formula>0</formula>
      <formula>0.5</formula>
    </cfRule>
  </conditionalFormatting>
  <conditionalFormatting sqref="AF181">
    <cfRule type="cellIs" dxfId="4780" priority="3013" operator="between">
      <formula>0.76</formula>
      <formula>0.95</formula>
    </cfRule>
    <cfRule type="cellIs" dxfId="4779" priority="3014" operator="between">
      <formula>0.51</formula>
      <formula>0.75</formula>
    </cfRule>
    <cfRule type="cellIs" dxfId="4778" priority="3015" operator="greaterThan">
      <formula>1</formula>
    </cfRule>
    <cfRule type="cellIs" dxfId="4777" priority="3016" operator="between">
      <formula>0.95</formula>
      <formula>1</formula>
    </cfRule>
    <cfRule type="cellIs" dxfId="4776" priority="3017" stopIfTrue="1" operator="between">
      <formula>0</formula>
      <formula>0.5</formula>
    </cfRule>
  </conditionalFormatting>
  <conditionalFormatting sqref="M181">
    <cfRule type="cellIs" dxfId="4775" priority="3008" operator="between">
      <formula>0.191</formula>
      <formula>0.24</formula>
    </cfRule>
    <cfRule type="cellIs" dxfId="4774" priority="3009" operator="between">
      <formula>0.1251</formula>
      <formula>0.19</formula>
    </cfRule>
    <cfRule type="cellIs" dxfId="4773" priority="3010" operator="greaterThan">
      <formula>0.2601</formula>
    </cfRule>
    <cfRule type="cellIs" dxfId="4772" priority="3011" operator="between">
      <formula>0.2401</formula>
      <formula>0.26</formula>
    </cfRule>
    <cfRule type="cellIs" dxfId="4771" priority="3012" stopIfTrue="1" operator="between">
      <formula>0</formula>
      <formula>0.125</formula>
    </cfRule>
  </conditionalFormatting>
  <conditionalFormatting sqref="K181">
    <cfRule type="cellIs" dxfId="4770" priority="3003" operator="between">
      <formula>0.191</formula>
      <formula>0.24</formula>
    </cfRule>
    <cfRule type="cellIs" dxfId="4769" priority="3004" operator="between">
      <formula>0.1251</formula>
      <formula>0.19</formula>
    </cfRule>
    <cfRule type="cellIs" dxfId="4768" priority="3005" operator="greaterThan">
      <formula>0.2601</formula>
    </cfRule>
    <cfRule type="cellIs" dxfId="4767" priority="3006" operator="between">
      <formula>0.2401</formula>
      <formula>0.26</formula>
    </cfRule>
    <cfRule type="cellIs" dxfId="4766" priority="3007" stopIfTrue="1" operator="between">
      <formula>0</formula>
      <formula>0.125</formula>
    </cfRule>
  </conditionalFormatting>
  <conditionalFormatting sqref="R181">
    <cfRule type="cellIs" dxfId="4765" priority="2998" operator="between">
      <formula>0.3751</formula>
      <formula>0.475</formula>
    </cfRule>
    <cfRule type="cellIs" dxfId="4764" priority="2999" operator="between">
      <formula>0.2551</formula>
      <formula>0.375</formula>
    </cfRule>
    <cfRule type="cellIs" dxfId="4763" priority="3000" operator="greaterThan">
      <formula>0.505</formula>
    </cfRule>
    <cfRule type="cellIs" dxfId="4762" priority="3001" operator="between">
      <formula>0.48</formula>
      <formula>0.5</formula>
    </cfRule>
    <cfRule type="cellIs" dxfId="4761" priority="3002" stopIfTrue="1" operator="between">
      <formula>0</formula>
      <formula>0.255</formula>
    </cfRule>
  </conditionalFormatting>
  <conditionalFormatting sqref="T181">
    <cfRule type="cellIs" dxfId="4760" priority="2993" operator="between">
      <formula>0.376</formula>
      <formula>0.475</formula>
    </cfRule>
    <cfRule type="cellIs" dxfId="4759" priority="2994" operator="between">
      <formula>0.2551</formula>
      <formula>0.3751</formula>
    </cfRule>
    <cfRule type="cellIs" dxfId="4758" priority="2995" operator="greaterThan">
      <formula>0.505</formula>
    </cfRule>
    <cfRule type="cellIs" dxfId="4757" priority="2996" operator="between">
      <formula>0.48</formula>
      <formula>0.5</formula>
    </cfRule>
    <cfRule type="cellIs" dxfId="4756" priority="2997" stopIfTrue="1" operator="between">
      <formula>0</formula>
      <formula>0.255</formula>
    </cfRule>
  </conditionalFormatting>
  <conditionalFormatting sqref="X181">
    <cfRule type="cellIs" dxfId="4755" priority="2988" operator="between">
      <formula>0.76</formula>
      <formula>0.95</formula>
    </cfRule>
    <cfRule type="cellIs" dxfId="4754" priority="2989" operator="between">
      <formula>0.51</formula>
      <formula>0.75</formula>
    </cfRule>
    <cfRule type="cellIs" dxfId="4753" priority="2990" operator="greaterThan">
      <formula>1</formula>
    </cfRule>
    <cfRule type="cellIs" dxfId="4752" priority="2991" operator="between">
      <formula>0.95</formula>
      <formula>1</formula>
    </cfRule>
    <cfRule type="cellIs" dxfId="4751" priority="2992" stopIfTrue="1" operator="between">
      <formula>0</formula>
      <formula>0.5</formula>
    </cfRule>
  </conditionalFormatting>
  <conditionalFormatting sqref="Q181">
    <cfRule type="cellIs" dxfId="4750" priority="2983" operator="between">
      <formula>0.76</formula>
      <formula>0.95</formula>
    </cfRule>
    <cfRule type="cellIs" dxfId="4749" priority="2984" operator="between">
      <formula>0.51</formula>
      <formula>0.75</formula>
    </cfRule>
    <cfRule type="cellIs" dxfId="4748" priority="2985" operator="greaterThan">
      <formula>1</formula>
    </cfRule>
    <cfRule type="cellIs" dxfId="4747" priority="2986" operator="between">
      <formula>0.95</formula>
      <formula>1</formula>
    </cfRule>
    <cfRule type="cellIs" dxfId="4746" priority="2987" stopIfTrue="1" operator="between">
      <formula>0</formula>
      <formula>0.5</formula>
    </cfRule>
  </conditionalFormatting>
  <conditionalFormatting sqref="AE181">
    <cfRule type="cellIs" dxfId="4745" priority="2961" operator="between">
      <formula>0.76</formula>
      <formula>0.95</formula>
    </cfRule>
    <cfRule type="cellIs" dxfId="4744" priority="2962" operator="between">
      <formula>0.51</formula>
      <formula>0.75</formula>
    </cfRule>
    <cfRule type="cellIs" dxfId="4743" priority="2963" operator="greaterThan">
      <formula>1</formula>
    </cfRule>
    <cfRule type="cellIs" dxfId="4742" priority="2964" operator="between">
      <formula>0.95</formula>
      <formula>1</formula>
    </cfRule>
    <cfRule type="cellIs" dxfId="4741" priority="2965" stopIfTrue="1" operator="between">
      <formula>0</formula>
      <formula>0.5</formula>
    </cfRule>
  </conditionalFormatting>
  <conditionalFormatting sqref="AG182 J182">
    <cfRule type="cellIs" dxfId="4740" priority="2944" operator="between">
      <formula>0.76</formula>
      <formula>0.95</formula>
    </cfRule>
    <cfRule type="cellIs" dxfId="4739" priority="2945" operator="between">
      <formula>0.51</formula>
      <formula>0.75</formula>
    </cfRule>
    <cfRule type="cellIs" dxfId="4738" priority="2946" operator="greaterThan">
      <formula>1</formula>
    </cfRule>
    <cfRule type="cellIs" dxfId="4737" priority="2947" operator="between">
      <formula>0.95</formula>
      <formula>1</formula>
    </cfRule>
    <cfRule type="cellIs" dxfId="4736" priority="2948" stopIfTrue="1" operator="between">
      <formula>0</formula>
      <formula>0.5</formula>
    </cfRule>
  </conditionalFormatting>
  <conditionalFormatting sqref="I182">
    <cfRule type="cellIs" dxfId="4735" priority="2939" operator="between">
      <formula>0.76</formula>
      <formula>0.95</formula>
    </cfRule>
    <cfRule type="cellIs" dxfId="4734" priority="2940" operator="between">
      <formula>0.51</formula>
      <formula>0.75</formula>
    </cfRule>
    <cfRule type="cellIs" dxfId="4733" priority="2941" operator="greaterThan">
      <formula>1</formula>
    </cfRule>
    <cfRule type="cellIs" dxfId="4732" priority="2942" operator="between">
      <formula>0.95</formula>
      <formula>1</formula>
    </cfRule>
    <cfRule type="cellIs" dxfId="4731" priority="2943" stopIfTrue="1" operator="between">
      <formula>0</formula>
      <formula>0.5</formula>
    </cfRule>
  </conditionalFormatting>
  <conditionalFormatting sqref="P182">
    <cfRule type="cellIs" dxfId="4730" priority="2934" operator="between">
      <formula>0.76</formula>
      <formula>0.95</formula>
    </cfRule>
    <cfRule type="cellIs" dxfId="4729" priority="2935" operator="between">
      <formula>0.51</formula>
      <formula>0.75</formula>
    </cfRule>
    <cfRule type="cellIs" dxfId="4728" priority="2936" operator="greaterThan">
      <formula>1</formula>
    </cfRule>
    <cfRule type="cellIs" dxfId="4727" priority="2937" operator="between">
      <formula>0.95</formula>
      <formula>1</formula>
    </cfRule>
    <cfRule type="cellIs" dxfId="4726" priority="2938" stopIfTrue="1" operator="between">
      <formula>0</formula>
      <formula>0.5</formula>
    </cfRule>
  </conditionalFormatting>
  <conditionalFormatting sqref="W182">
    <cfRule type="cellIs" dxfId="4725" priority="2929" operator="between">
      <formula>0.76</formula>
      <formula>0.95</formula>
    </cfRule>
    <cfRule type="cellIs" dxfId="4724" priority="2930" operator="between">
      <formula>0.51</formula>
      <formula>0.75</formula>
    </cfRule>
    <cfRule type="cellIs" dxfId="4723" priority="2931" operator="greaterThan">
      <formula>1</formula>
    </cfRule>
    <cfRule type="cellIs" dxfId="4722" priority="2932" operator="between">
      <formula>0.95</formula>
      <formula>1</formula>
    </cfRule>
    <cfRule type="cellIs" dxfId="4721" priority="2933" stopIfTrue="1" operator="between">
      <formula>0</formula>
      <formula>0.5</formula>
    </cfRule>
  </conditionalFormatting>
  <conditionalFormatting sqref="AD182">
    <cfRule type="cellIs" dxfId="4720" priority="2924" operator="between">
      <formula>0.76</formula>
      <formula>0.95</formula>
    </cfRule>
    <cfRule type="cellIs" dxfId="4719" priority="2925" operator="between">
      <formula>0.51</formula>
      <formula>0.75</formula>
    </cfRule>
    <cfRule type="cellIs" dxfId="4718" priority="2926" operator="greaterThan">
      <formula>1</formula>
    </cfRule>
    <cfRule type="cellIs" dxfId="4717" priority="2927" operator="between">
      <formula>0.95</formula>
      <formula>1</formula>
    </cfRule>
    <cfRule type="cellIs" dxfId="4716" priority="2928" stopIfTrue="1" operator="between">
      <formula>0</formula>
      <formula>0.5</formula>
    </cfRule>
  </conditionalFormatting>
  <conditionalFormatting sqref="AF182">
    <cfRule type="cellIs" dxfId="4715" priority="2914" operator="between">
      <formula>0.76</formula>
      <formula>0.95</formula>
    </cfRule>
    <cfRule type="cellIs" dxfId="4714" priority="2915" operator="between">
      <formula>0.51</formula>
      <formula>0.75</formula>
    </cfRule>
    <cfRule type="cellIs" dxfId="4713" priority="2916" operator="greaterThan">
      <formula>1</formula>
    </cfRule>
    <cfRule type="cellIs" dxfId="4712" priority="2917" operator="between">
      <formula>0.95</formula>
      <formula>1</formula>
    </cfRule>
    <cfRule type="cellIs" dxfId="4711" priority="2918" stopIfTrue="1" operator="between">
      <formula>0</formula>
      <formula>0.5</formula>
    </cfRule>
  </conditionalFormatting>
  <conditionalFormatting sqref="M182">
    <cfRule type="cellIs" dxfId="4710" priority="2909" operator="between">
      <formula>0.191</formula>
      <formula>0.24</formula>
    </cfRule>
    <cfRule type="cellIs" dxfId="4709" priority="2910" operator="between">
      <formula>0.1251</formula>
      <formula>0.19</formula>
    </cfRule>
    <cfRule type="cellIs" dxfId="4708" priority="2911" operator="greaterThan">
      <formula>0.2601</formula>
    </cfRule>
    <cfRule type="cellIs" dxfId="4707" priority="2912" operator="between">
      <formula>0.2401</formula>
      <formula>0.26</formula>
    </cfRule>
    <cfRule type="cellIs" dxfId="4706" priority="2913" stopIfTrue="1" operator="between">
      <formula>0</formula>
      <formula>0.125</formula>
    </cfRule>
  </conditionalFormatting>
  <conditionalFormatting sqref="K182">
    <cfRule type="cellIs" dxfId="4705" priority="2904" operator="between">
      <formula>0.191</formula>
      <formula>0.24</formula>
    </cfRule>
    <cfRule type="cellIs" dxfId="4704" priority="2905" operator="between">
      <formula>0.1251</formula>
      <formula>0.19</formula>
    </cfRule>
    <cfRule type="cellIs" dxfId="4703" priority="2906" operator="greaterThan">
      <formula>0.2601</formula>
    </cfRule>
    <cfRule type="cellIs" dxfId="4702" priority="2907" operator="between">
      <formula>0.2401</formula>
      <formula>0.26</formula>
    </cfRule>
    <cfRule type="cellIs" dxfId="4701" priority="2908" stopIfTrue="1" operator="between">
      <formula>0</formula>
      <formula>0.125</formula>
    </cfRule>
  </conditionalFormatting>
  <conditionalFormatting sqref="R182">
    <cfRule type="cellIs" dxfId="4700" priority="2899" operator="between">
      <formula>0.3751</formula>
      <formula>0.475</formula>
    </cfRule>
    <cfRule type="cellIs" dxfId="4699" priority="2900" operator="between">
      <formula>0.2551</formula>
      <formula>0.375</formula>
    </cfRule>
    <cfRule type="cellIs" dxfId="4698" priority="2901" operator="greaterThan">
      <formula>0.505</formula>
    </cfRule>
    <cfRule type="cellIs" dxfId="4697" priority="2902" operator="between">
      <formula>0.48</formula>
      <formula>0.5</formula>
    </cfRule>
    <cfRule type="cellIs" dxfId="4696" priority="2903" stopIfTrue="1" operator="between">
      <formula>0</formula>
      <formula>0.255</formula>
    </cfRule>
  </conditionalFormatting>
  <conditionalFormatting sqref="T182">
    <cfRule type="cellIs" dxfId="4695" priority="2894" operator="between">
      <formula>0.376</formula>
      <formula>0.475</formula>
    </cfRule>
    <cfRule type="cellIs" dxfId="4694" priority="2895" operator="between">
      <formula>0.2551</formula>
      <formula>0.3751</formula>
    </cfRule>
    <cfRule type="cellIs" dxfId="4693" priority="2896" operator="greaterThan">
      <formula>0.505</formula>
    </cfRule>
    <cfRule type="cellIs" dxfId="4692" priority="2897" operator="between">
      <formula>0.48</formula>
      <formula>0.5</formula>
    </cfRule>
    <cfRule type="cellIs" dxfId="4691" priority="2898" stopIfTrue="1" operator="between">
      <formula>0</formula>
      <formula>0.255</formula>
    </cfRule>
  </conditionalFormatting>
  <conditionalFormatting sqref="X182">
    <cfRule type="cellIs" dxfId="4690" priority="2889" operator="between">
      <formula>0.76</formula>
      <formula>0.95</formula>
    </cfRule>
    <cfRule type="cellIs" dxfId="4689" priority="2890" operator="between">
      <formula>0.51</formula>
      <formula>0.75</formula>
    </cfRule>
    <cfRule type="cellIs" dxfId="4688" priority="2891" operator="greaterThan">
      <formula>1</formula>
    </cfRule>
    <cfRule type="cellIs" dxfId="4687" priority="2892" operator="between">
      <formula>0.95</formula>
      <formula>1</formula>
    </cfRule>
    <cfRule type="cellIs" dxfId="4686" priority="2893" stopIfTrue="1" operator="between">
      <formula>0</formula>
      <formula>0.5</formula>
    </cfRule>
  </conditionalFormatting>
  <conditionalFormatting sqref="Q182">
    <cfRule type="cellIs" dxfId="4685" priority="2884" operator="between">
      <formula>0.76</formula>
      <formula>0.95</formula>
    </cfRule>
    <cfRule type="cellIs" dxfId="4684" priority="2885" operator="between">
      <formula>0.51</formula>
      <formula>0.75</formula>
    </cfRule>
    <cfRule type="cellIs" dxfId="4683" priority="2886" operator="greaterThan">
      <formula>1</formula>
    </cfRule>
    <cfRule type="cellIs" dxfId="4682" priority="2887" operator="between">
      <formula>0.95</formula>
      <formula>1</formula>
    </cfRule>
    <cfRule type="cellIs" dxfId="4681" priority="2888" stopIfTrue="1" operator="between">
      <formula>0</formula>
      <formula>0.5</formula>
    </cfRule>
  </conditionalFormatting>
  <conditionalFormatting sqref="AE182">
    <cfRule type="cellIs" dxfId="4680" priority="2879" operator="between">
      <formula>0.76</formula>
      <formula>0.95</formula>
    </cfRule>
    <cfRule type="cellIs" dxfId="4679" priority="2880" operator="between">
      <formula>0.51</formula>
      <formula>0.75</formula>
    </cfRule>
    <cfRule type="cellIs" dxfId="4678" priority="2881" operator="greaterThan">
      <formula>1</formula>
    </cfRule>
    <cfRule type="cellIs" dxfId="4677" priority="2882" operator="between">
      <formula>0.95</formula>
      <formula>1</formula>
    </cfRule>
    <cfRule type="cellIs" dxfId="4676" priority="2883" stopIfTrue="1" operator="between">
      <formula>0</formula>
      <formula>0.5</formula>
    </cfRule>
  </conditionalFormatting>
  <conditionalFormatting sqref="AD142:AG142 I142:J142 P142:Q142 W142:X142">
    <cfRule type="cellIs" dxfId="4675" priority="2874" operator="between">
      <formula>0.76</formula>
      <formula>0.95</formula>
    </cfRule>
    <cfRule type="cellIs" dxfId="4674" priority="2875" operator="between">
      <formula>0.51</formula>
      <formula>0.75</formula>
    </cfRule>
    <cfRule type="cellIs" dxfId="4673" priority="2876" operator="greaterThan">
      <formula>1</formula>
    </cfRule>
    <cfRule type="cellIs" dxfId="4672" priority="2877" operator="between">
      <formula>0.95</formula>
      <formula>1</formula>
    </cfRule>
    <cfRule type="cellIs" dxfId="4671" priority="2878" stopIfTrue="1" operator="between">
      <formula>0</formula>
      <formula>0.5</formula>
    </cfRule>
  </conditionalFormatting>
  <conditionalFormatting sqref="R142">
    <cfRule type="cellIs" dxfId="4670" priority="2869" operator="between">
      <formula>0.3751</formula>
      <formula>0.475</formula>
    </cfRule>
    <cfRule type="cellIs" dxfId="4669" priority="2870" operator="between">
      <formula>0.2551</formula>
      <formula>0.375</formula>
    </cfRule>
    <cfRule type="cellIs" dxfId="4668" priority="2871" operator="greaterThan">
      <formula>0.505</formula>
    </cfRule>
    <cfRule type="cellIs" dxfId="4667" priority="2872" operator="between">
      <formula>0.48</formula>
      <formula>0.5</formula>
    </cfRule>
    <cfRule type="cellIs" dxfId="4666" priority="2873" stopIfTrue="1" operator="between">
      <formula>0</formula>
      <formula>0.255</formula>
    </cfRule>
  </conditionalFormatting>
  <conditionalFormatting sqref="K142 T142 M142">
    <cfRule type="cellIs" dxfId="4665" priority="2864" operator="between">
      <formula>0.191</formula>
      <formula>0.24</formula>
    </cfRule>
    <cfRule type="cellIs" dxfId="4664" priority="2865" operator="between">
      <formula>0.1251</formula>
      <formula>0.19</formula>
    </cfRule>
    <cfRule type="cellIs" dxfId="4663" priority="2866" operator="greaterThan">
      <formula>0.2601</formula>
    </cfRule>
    <cfRule type="cellIs" dxfId="4662" priority="2867" operator="between">
      <formula>0.2401</formula>
      <formula>0.26</formula>
    </cfRule>
    <cfRule type="cellIs" dxfId="4661" priority="2868" stopIfTrue="1" operator="between">
      <formula>0</formula>
      <formula>0.125</formula>
    </cfRule>
  </conditionalFormatting>
  <conditionalFormatting sqref="AF271">
    <cfRule type="cellIs" dxfId="4660" priority="2830" operator="between">
      <formula>0.76</formula>
      <formula>0.95</formula>
    </cfRule>
    <cfRule type="cellIs" dxfId="4659" priority="2831" operator="between">
      <formula>0.51</formula>
      <formula>0.75</formula>
    </cfRule>
    <cfRule type="cellIs" dxfId="4658" priority="2832" operator="greaterThan">
      <formula>1</formula>
    </cfRule>
    <cfRule type="cellIs" dxfId="4657" priority="2833" operator="between">
      <formula>0.95</formula>
      <formula>1</formula>
    </cfRule>
    <cfRule type="cellIs" dxfId="4656" priority="2834" stopIfTrue="1" operator="between">
      <formula>0</formula>
      <formula>0.5</formula>
    </cfRule>
  </conditionalFormatting>
  <conditionalFormatting sqref="I271">
    <cfRule type="cellIs" dxfId="4655" priority="2815" operator="between">
      <formula>0.76</formula>
      <formula>0.95</formula>
    </cfRule>
    <cfRule type="cellIs" dxfId="4654" priority="2816" operator="between">
      <formula>0.51</formula>
      <formula>0.75</formula>
    </cfRule>
    <cfRule type="cellIs" dxfId="4653" priority="2817" operator="greaterThan">
      <formula>1</formula>
    </cfRule>
    <cfRule type="cellIs" dxfId="4652" priority="2818" operator="between">
      <formula>0.95</formula>
      <formula>1</formula>
    </cfRule>
    <cfRule type="cellIs" dxfId="4651" priority="2819" stopIfTrue="1" operator="between">
      <formula>0</formula>
      <formula>0.5</formula>
    </cfRule>
  </conditionalFormatting>
  <conditionalFormatting sqref="K271">
    <cfRule type="cellIs" dxfId="4650" priority="2810" operator="between">
      <formula>0.191</formula>
      <formula>0.24</formula>
    </cfRule>
    <cfRule type="cellIs" dxfId="4649" priority="2811" operator="between">
      <formula>0.1251</formula>
      <formula>0.19</formula>
    </cfRule>
    <cfRule type="cellIs" dxfId="4648" priority="2812" operator="greaterThan">
      <formula>0.2601</formula>
    </cfRule>
    <cfRule type="cellIs" dxfId="4647" priority="2813" operator="between">
      <formula>0.2401</formula>
      <formula>0.26</formula>
    </cfRule>
    <cfRule type="cellIs" dxfId="4646" priority="2814" stopIfTrue="1" operator="between">
      <formula>0</formula>
      <formula>0.125</formula>
    </cfRule>
  </conditionalFormatting>
  <conditionalFormatting sqref="P271">
    <cfRule type="cellIs" dxfId="4645" priority="2805" operator="between">
      <formula>0.76</formula>
      <formula>0.95</formula>
    </cfRule>
    <cfRule type="cellIs" dxfId="4644" priority="2806" operator="between">
      <formula>0.51</formula>
      <formula>0.75</formula>
    </cfRule>
    <cfRule type="cellIs" dxfId="4643" priority="2807" operator="greaterThan">
      <formula>1</formula>
    </cfRule>
    <cfRule type="cellIs" dxfId="4642" priority="2808" operator="between">
      <formula>0.95</formula>
      <formula>1</formula>
    </cfRule>
    <cfRule type="cellIs" dxfId="4641" priority="2809" stopIfTrue="1" operator="between">
      <formula>0</formula>
      <formula>0.5</formula>
    </cfRule>
  </conditionalFormatting>
  <conditionalFormatting sqref="W271">
    <cfRule type="cellIs" dxfId="4640" priority="2800" operator="between">
      <formula>0.76</formula>
      <formula>0.95</formula>
    </cfRule>
    <cfRule type="cellIs" dxfId="4639" priority="2801" operator="between">
      <formula>0.51</formula>
      <formula>0.75</formula>
    </cfRule>
    <cfRule type="cellIs" dxfId="4638" priority="2802" operator="greaterThan">
      <formula>1</formula>
    </cfRule>
    <cfRule type="cellIs" dxfId="4637" priority="2803" operator="between">
      <formula>0.95</formula>
      <formula>1</formula>
    </cfRule>
    <cfRule type="cellIs" dxfId="4636" priority="2804" stopIfTrue="1" operator="between">
      <formula>0</formula>
      <formula>0.5</formula>
    </cfRule>
  </conditionalFormatting>
  <conditionalFormatting sqref="AD271">
    <cfRule type="cellIs" dxfId="4635" priority="2790" operator="between">
      <formula>0.76</formula>
      <formula>0.95</formula>
    </cfRule>
    <cfRule type="cellIs" dxfId="4634" priority="2791" operator="between">
      <formula>0.51</formula>
      <formula>0.75</formula>
    </cfRule>
    <cfRule type="cellIs" dxfId="4633" priority="2792" operator="greaterThan">
      <formula>1</formula>
    </cfRule>
    <cfRule type="cellIs" dxfId="4632" priority="2793" operator="between">
      <formula>0.95</formula>
      <formula>1</formula>
    </cfRule>
    <cfRule type="cellIs" dxfId="4631" priority="2794" stopIfTrue="1" operator="between">
      <formula>0</formula>
      <formula>0.5</formula>
    </cfRule>
  </conditionalFormatting>
  <conditionalFormatting sqref="R271">
    <cfRule type="cellIs" dxfId="4630" priority="2785" operator="between">
      <formula>0.3751</formula>
      <formula>0.475</formula>
    </cfRule>
    <cfRule type="cellIs" dxfId="4629" priority="2786" operator="between">
      <formula>0.2551</formula>
      <formula>0.375</formula>
    </cfRule>
    <cfRule type="cellIs" dxfId="4628" priority="2787" operator="greaterThan">
      <formula>0.505</formula>
    </cfRule>
    <cfRule type="cellIs" dxfId="4627" priority="2788" operator="between">
      <formula>0.48</formula>
      <formula>0.5</formula>
    </cfRule>
    <cfRule type="cellIs" dxfId="4626" priority="2789" stopIfTrue="1" operator="between">
      <formula>0</formula>
      <formula>0.255</formula>
    </cfRule>
  </conditionalFormatting>
  <conditionalFormatting sqref="AG271">
    <cfRule type="cellIs" dxfId="4625" priority="2770" operator="between">
      <formula>0.76</formula>
      <formula>0.95</formula>
    </cfRule>
    <cfRule type="cellIs" dxfId="4624" priority="2771" operator="between">
      <formula>0.51</formula>
      <formula>0.75</formula>
    </cfRule>
    <cfRule type="cellIs" dxfId="4623" priority="2772" operator="greaterThan">
      <formula>1</formula>
    </cfRule>
    <cfRule type="cellIs" dxfId="4622" priority="2773" operator="between">
      <formula>0.95</formula>
      <formula>1</formula>
    </cfRule>
    <cfRule type="cellIs" dxfId="4621" priority="2774" stopIfTrue="1" operator="between">
      <formula>0</formula>
      <formula>0.5</formula>
    </cfRule>
  </conditionalFormatting>
  <conditionalFormatting sqref="J271">
    <cfRule type="cellIs" dxfId="4620" priority="2765" operator="between">
      <formula>0.76</formula>
      <formula>0.95</formula>
    </cfRule>
    <cfRule type="cellIs" dxfId="4619" priority="2766" operator="between">
      <formula>0.51</formula>
      <formula>0.75</formula>
    </cfRule>
    <cfRule type="cellIs" dxfId="4618" priority="2767" operator="greaterThan">
      <formula>1</formula>
    </cfRule>
    <cfRule type="cellIs" dxfId="4617" priority="2768" operator="between">
      <formula>0.95</formula>
      <formula>1</formula>
    </cfRule>
    <cfRule type="cellIs" dxfId="4616" priority="2769" stopIfTrue="1" operator="between">
      <formula>0</formula>
      <formula>0.5</formula>
    </cfRule>
  </conditionalFormatting>
  <conditionalFormatting sqref="M271">
    <cfRule type="cellIs" dxfId="4615" priority="2755" operator="between">
      <formula>0.191</formula>
      <formula>0.24</formula>
    </cfRule>
    <cfRule type="cellIs" dxfId="4614" priority="2756" operator="between">
      <formula>0.1251</formula>
      <formula>0.19</formula>
    </cfRule>
    <cfRule type="cellIs" dxfId="4613" priority="2757" operator="greaterThan">
      <formula>0.2601</formula>
    </cfRule>
    <cfRule type="cellIs" dxfId="4612" priority="2758" operator="between">
      <formula>0.2401</formula>
      <formula>0.26</formula>
    </cfRule>
    <cfRule type="cellIs" dxfId="4611" priority="2759" stopIfTrue="1" operator="between">
      <formula>0</formula>
      <formula>0.125</formula>
    </cfRule>
  </conditionalFormatting>
  <conditionalFormatting sqref="Q269">
    <cfRule type="cellIs" dxfId="4610" priority="2735" operator="between">
      <formula>0.76</formula>
      <formula>0.95</formula>
    </cfRule>
    <cfRule type="cellIs" dxfId="4609" priority="2736" operator="between">
      <formula>0.51</formula>
      <formula>0.75</formula>
    </cfRule>
    <cfRule type="cellIs" dxfId="4608" priority="2737" operator="greaterThan">
      <formula>1</formula>
    </cfRule>
    <cfRule type="cellIs" dxfId="4607" priority="2738" operator="between">
      <formula>0.95</formula>
      <formula>1</formula>
    </cfRule>
    <cfRule type="cellIs" dxfId="4606" priority="2739" stopIfTrue="1" operator="between">
      <formula>0</formula>
      <formula>0.5</formula>
    </cfRule>
  </conditionalFormatting>
  <conditionalFormatting sqref="Q271">
    <cfRule type="cellIs" dxfId="4605" priority="2730" operator="between">
      <formula>0.76</formula>
      <formula>0.95</formula>
    </cfRule>
    <cfRule type="cellIs" dxfId="4604" priority="2731" operator="between">
      <formula>0.51</formula>
      <formula>0.75</formula>
    </cfRule>
    <cfRule type="cellIs" dxfId="4603" priority="2732" operator="greaterThan">
      <formula>1</formula>
    </cfRule>
    <cfRule type="cellIs" dxfId="4602" priority="2733" operator="between">
      <formula>0.95</formula>
      <formula>1</formula>
    </cfRule>
    <cfRule type="cellIs" dxfId="4601" priority="2734" stopIfTrue="1" operator="between">
      <formula>0</formula>
      <formula>0.5</formula>
    </cfRule>
  </conditionalFormatting>
  <conditionalFormatting sqref="T269">
    <cfRule type="cellIs" dxfId="4600" priority="2720" operator="between">
      <formula>0.376</formula>
      <formula>0.475</formula>
    </cfRule>
    <cfRule type="cellIs" dxfId="4599" priority="2721" operator="between">
      <formula>0.2551</formula>
      <formula>0.3751</formula>
    </cfRule>
    <cfRule type="cellIs" dxfId="4598" priority="2722" operator="greaterThan">
      <formula>0.505</formula>
    </cfRule>
    <cfRule type="cellIs" dxfId="4597" priority="2723" operator="between">
      <formula>0.48</formula>
      <formula>0.5</formula>
    </cfRule>
    <cfRule type="cellIs" dxfId="4596" priority="2724" stopIfTrue="1" operator="between">
      <formula>0</formula>
      <formula>0.255</formula>
    </cfRule>
  </conditionalFormatting>
  <conditionalFormatting sqref="T271">
    <cfRule type="cellIs" dxfId="4595" priority="2715" operator="between">
      <formula>0.376</formula>
      <formula>0.475</formula>
    </cfRule>
    <cfRule type="cellIs" dxfId="4594" priority="2716" operator="between">
      <formula>0.2551</formula>
      <formula>0.3751</formula>
    </cfRule>
    <cfRule type="cellIs" dxfId="4593" priority="2717" operator="greaterThan">
      <formula>0.505</formula>
    </cfRule>
    <cfRule type="cellIs" dxfId="4592" priority="2718" operator="between">
      <formula>0.48</formula>
      <formula>0.5</formula>
    </cfRule>
    <cfRule type="cellIs" dxfId="4591" priority="2719" stopIfTrue="1" operator="between">
      <formula>0</formula>
      <formula>0.255</formula>
    </cfRule>
  </conditionalFormatting>
  <conditionalFormatting sqref="J269:J270">
    <cfRule type="cellIs" dxfId="4590" priority="2710" operator="between">
      <formula>0.76</formula>
      <formula>0.95</formula>
    </cfRule>
    <cfRule type="cellIs" dxfId="4589" priority="2711" operator="between">
      <formula>0.51</formula>
      <formula>0.75</formula>
    </cfRule>
    <cfRule type="cellIs" dxfId="4588" priority="2712" operator="greaterThan">
      <formula>1</formula>
    </cfRule>
    <cfRule type="cellIs" dxfId="4587" priority="2713" operator="between">
      <formula>0.95</formula>
      <formula>1</formula>
    </cfRule>
    <cfRule type="cellIs" dxfId="4586" priority="2714" stopIfTrue="1" operator="between">
      <formula>0</formula>
      <formula>0.5</formula>
    </cfRule>
  </conditionalFormatting>
  <conditionalFormatting sqref="M269:M270">
    <cfRule type="cellIs" dxfId="4585" priority="2705" operator="between">
      <formula>0.191</formula>
      <formula>0.24</formula>
    </cfRule>
    <cfRule type="cellIs" dxfId="4584" priority="2706" operator="between">
      <formula>0.1251</formula>
      <formula>0.19</formula>
    </cfRule>
    <cfRule type="cellIs" dxfId="4583" priority="2707" operator="greaterThan">
      <formula>0.2601</formula>
    </cfRule>
    <cfRule type="cellIs" dxfId="4582" priority="2708" operator="between">
      <formula>0.2401</formula>
      <formula>0.26</formula>
    </cfRule>
    <cfRule type="cellIs" dxfId="4581" priority="2709" stopIfTrue="1" operator="between">
      <formula>0</formula>
      <formula>0.125</formula>
    </cfRule>
  </conditionalFormatting>
  <conditionalFormatting sqref="AE271">
    <cfRule type="cellIs" dxfId="4580" priority="2690" operator="between">
      <formula>0.76</formula>
      <formula>0.95</formula>
    </cfRule>
    <cfRule type="cellIs" dxfId="4579" priority="2691" operator="between">
      <formula>0.51</formula>
      <formula>0.75</formula>
    </cfRule>
    <cfRule type="cellIs" dxfId="4578" priority="2692" operator="greaterThan">
      <formula>1</formula>
    </cfRule>
    <cfRule type="cellIs" dxfId="4577" priority="2693" operator="between">
      <formula>0.95</formula>
      <formula>1</formula>
    </cfRule>
    <cfRule type="cellIs" dxfId="4576" priority="2694" stopIfTrue="1" operator="between">
      <formula>0</formula>
      <formula>0.5</formula>
    </cfRule>
  </conditionalFormatting>
  <conditionalFormatting sqref="AF272:AF273">
    <cfRule type="cellIs" dxfId="4575" priority="2673" operator="between">
      <formula>0.76</formula>
      <formula>0.95</formula>
    </cfRule>
    <cfRule type="cellIs" dxfId="4574" priority="2674" operator="between">
      <formula>0.51</formula>
      <formula>0.75</formula>
    </cfRule>
    <cfRule type="cellIs" dxfId="4573" priority="2675" operator="greaterThan">
      <formula>1</formula>
    </cfRule>
    <cfRule type="cellIs" dxfId="4572" priority="2676" operator="between">
      <formula>0.95</formula>
      <formula>1</formula>
    </cfRule>
    <cfRule type="cellIs" dxfId="4571" priority="2677" stopIfTrue="1" operator="between">
      <formula>0</formula>
      <formula>0.5</formula>
    </cfRule>
  </conditionalFormatting>
  <conditionalFormatting sqref="I272:I273">
    <cfRule type="cellIs" dxfId="4570" priority="2663" operator="between">
      <formula>0.76</formula>
      <formula>0.95</formula>
    </cfRule>
    <cfRule type="cellIs" dxfId="4569" priority="2664" operator="between">
      <formula>0.51</formula>
      <formula>0.75</formula>
    </cfRule>
    <cfRule type="cellIs" dxfId="4568" priority="2665" operator="greaterThan">
      <formula>1</formula>
    </cfRule>
    <cfRule type="cellIs" dxfId="4567" priority="2666" operator="between">
      <formula>0.95</formula>
      <formula>1</formula>
    </cfRule>
    <cfRule type="cellIs" dxfId="4566" priority="2667" stopIfTrue="1" operator="between">
      <formula>0</formula>
      <formula>0.5</formula>
    </cfRule>
  </conditionalFormatting>
  <conditionalFormatting sqref="K272:K273">
    <cfRule type="cellIs" dxfId="4565" priority="2658" operator="between">
      <formula>0.191</formula>
      <formula>0.24</formula>
    </cfRule>
    <cfRule type="cellIs" dxfId="4564" priority="2659" operator="between">
      <formula>0.1251</formula>
      <formula>0.19</formula>
    </cfRule>
    <cfRule type="cellIs" dxfId="4563" priority="2660" operator="greaterThan">
      <formula>0.2601</formula>
    </cfRule>
    <cfRule type="cellIs" dxfId="4562" priority="2661" operator="between">
      <formula>0.2401</formula>
      <formula>0.26</formula>
    </cfRule>
    <cfRule type="cellIs" dxfId="4561" priority="2662" stopIfTrue="1" operator="between">
      <formula>0</formula>
      <formula>0.125</formula>
    </cfRule>
  </conditionalFormatting>
  <conditionalFormatting sqref="P272:P273">
    <cfRule type="cellIs" dxfId="4560" priority="2653" operator="between">
      <formula>0.76</formula>
      <formula>0.95</formula>
    </cfRule>
    <cfRule type="cellIs" dxfId="4559" priority="2654" operator="between">
      <formula>0.51</formula>
      <formula>0.75</formula>
    </cfRule>
    <cfRule type="cellIs" dxfId="4558" priority="2655" operator="greaterThan">
      <formula>1</formula>
    </cfRule>
    <cfRule type="cellIs" dxfId="4557" priority="2656" operator="between">
      <formula>0.95</formula>
      <formula>1</formula>
    </cfRule>
    <cfRule type="cellIs" dxfId="4556" priority="2657" stopIfTrue="1" operator="between">
      <formula>0</formula>
      <formula>0.5</formula>
    </cfRule>
  </conditionalFormatting>
  <conditionalFormatting sqref="W272:W273">
    <cfRule type="cellIs" dxfId="4555" priority="2648" operator="between">
      <formula>0.76</formula>
      <formula>0.95</formula>
    </cfRule>
    <cfRule type="cellIs" dxfId="4554" priority="2649" operator="between">
      <formula>0.51</formula>
      <formula>0.75</formula>
    </cfRule>
    <cfRule type="cellIs" dxfId="4553" priority="2650" operator="greaterThan">
      <formula>1</formula>
    </cfRule>
    <cfRule type="cellIs" dxfId="4552" priority="2651" operator="between">
      <formula>0.95</formula>
      <formula>1</formula>
    </cfRule>
    <cfRule type="cellIs" dxfId="4551" priority="2652" stopIfTrue="1" operator="between">
      <formula>0</formula>
      <formula>0.5</formula>
    </cfRule>
  </conditionalFormatting>
  <conditionalFormatting sqref="AD272:AD273">
    <cfRule type="cellIs" dxfId="4550" priority="2638" operator="between">
      <formula>0.76</formula>
      <formula>0.95</formula>
    </cfRule>
    <cfRule type="cellIs" dxfId="4549" priority="2639" operator="between">
      <formula>0.51</formula>
      <formula>0.75</formula>
    </cfRule>
    <cfRule type="cellIs" dxfId="4548" priority="2640" operator="greaterThan">
      <formula>1</formula>
    </cfRule>
    <cfRule type="cellIs" dxfId="4547" priority="2641" operator="between">
      <formula>0.95</formula>
      <formula>1</formula>
    </cfRule>
    <cfRule type="cellIs" dxfId="4546" priority="2642" stopIfTrue="1" operator="between">
      <formula>0</formula>
      <formula>0.5</formula>
    </cfRule>
  </conditionalFormatting>
  <conditionalFormatting sqref="R272:R273">
    <cfRule type="cellIs" dxfId="4545" priority="2633" operator="between">
      <formula>0.3751</formula>
      <formula>0.475</formula>
    </cfRule>
    <cfRule type="cellIs" dxfId="4544" priority="2634" operator="between">
      <formula>0.2551</formula>
      <formula>0.375</formula>
    </cfRule>
    <cfRule type="cellIs" dxfId="4543" priority="2635" operator="greaterThan">
      <formula>0.505</formula>
    </cfRule>
    <cfRule type="cellIs" dxfId="4542" priority="2636" operator="between">
      <formula>0.48</formula>
      <formula>0.5</formula>
    </cfRule>
    <cfRule type="cellIs" dxfId="4541" priority="2637" stopIfTrue="1" operator="between">
      <formula>0</formula>
      <formula>0.255</formula>
    </cfRule>
  </conditionalFormatting>
  <conditionalFormatting sqref="AG272">
    <cfRule type="cellIs" dxfId="4540" priority="2618" operator="between">
      <formula>0.76</formula>
      <formula>0.95</formula>
    </cfRule>
    <cfRule type="cellIs" dxfId="4539" priority="2619" operator="between">
      <formula>0.51</formula>
      <formula>0.75</formula>
    </cfRule>
    <cfRule type="cellIs" dxfId="4538" priority="2620" operator="greaterThan">
      <formula>1</formula>
    </cfRule>
    <cfRule type="cellIs" dxfId="4537" priority="2621" operator="between">
      <formula>0.95</formula>
      <formula>1</formula>
    </cfRule>
    <cfRule type="cellIs" dxfId="4536" priority="2622" stopIfTrue="1" operator="between">
      <formula>0</formula>
      <formula>0.5</formula>
    </cfRule>
  </conditionalFormatting>
  <conditionalFormatting sqref="J272:J273">
    <cfRule type="cellIs" dxfId="4535" priority="2613" operator="between">
      <formula>0.76</formula>
      <formula>0.95</formula>
    </cfRule>
    <cfRule type="cellIs" dxfId="4534" priority="2614" operator="between">
      <formula>0.51</formula>
      <formula>0.75</formula>
    </cfRule>
    <cfRule type="cellIs" dxfId="4533" priority="2615" operator="greaterThan">
      <formula>1</formula>
    </cfRule>
    <cfRule type="cellIs" dxfId="4532" priority="2616" operator="between">
      <formula>0.95</formula>
      <formula>1</formula>
    </cfRule>
    <cfRule type="cellIs" dxfId="4531" priority="2617" stopIfTrue="1" operator="between">
      <formula>0</formula>
      <formula>0.5</formula>
    </cfRule>
  </conditionalFormatting>
  <conditionalFormatting sqref="M272:M273">
    <cfRule type="cellIs" dxfId="4530" priority="2603" operator="between">
      <formula>0.191</formula>
      <formula>0.24</formula>
    </cfRule>
    <cfRule type="cellIs" dxfId="4529" priority="2604" operator="between">
      <formula>0.1251</formula>
      <formula>0.19</formula>
    </cfRule>
    <cfRule type="cellIs" dxfId="4528" priority="2605" operator="greaterThan">
      <formula>0.2601</formula>
    </cfRule>
    <cfRule type="cellIs" dxfId="4527" priority="2606" operator="between">
      <formula>0.2401</formula>
      <formula>0.26</formula>
    </cfRule>
    <cfRule type="cellIs" dxfId="4526" priority="2607" stopIfTrue="1" operator="between">
      <formula>0</formula>
      <formula>0.125</formula>
    </cfRule>
  </conditionalFormatting>
  <conditionalFormatting sqref="Q272:Q273">
    <cfRule type="cellIs" dxfId="4525" priority="2598" operator="between">
      <formula>0.76</formula>
      <formula>0.95</formula>
    </cfRule>
    <cfRule type="cellIs" dxfId="4524" priority="2599" operator="between">
      <formula>0.51</formula>
      <formula>0.75</formula>
    </cfRule>
    <cfRule type="cellIs" dxfId="4523" priority="2600" operator="greaterThan">
      <formula>1</formula>
    </cfRule>
    <cfRule type="cellIs" dxfId="4522" priority="2601" operator="between">
      <formula>0.95</formula>
      <formula>1</formula>
    </cfRule>
    <cfRule type="cellIs" dxfId="4521" priority="2602" stopIfTrue="1" operator="between">
      <formula>0</formula>
      <formula>0.5</formula>
    </cfRule>
  </conditionalFormatting>
  <conditionalFormatting sqref="T272:T273">
    <cfRule type="cellIs" dxfId="4520" priority="2593" operator="between">
      <formula>0.376</formula>
      <formula>0.475</formula>
    </cfRule>
    <cfRule type="cellIs" dxfId="4519" priority="2594" operator="between">
      <formula>0.2551</formula>
      <formula>0.3751</formula>
    </cfRule>
    <cfRule type="cellIs" dxfId="4518" priority="2595" operator="greaterThan">
      <formula>0.505</formula>
    </cfRule>
    <cfRule type="cellIs" dxfId="4517" priority="2596" operator="between">
      <formula>0.48</formula>
      <formula>0.5</formula>
    </cfRule>
    <cfRule type="cellIs" dxfId="4516" priority="2597" stopIfTrue="1" operator="between">
      <formula>0</formula>
      <formula>0.255</formula>
    </cfRule>
  </conditionalFormatting>
  <conditionalFormatting sqref="X272:X273">
    <cfRule type="cellIs" dxfId="4515" priority="2578" operator="between">
      <formula>0.76</formula>
      <formula>0.95</formula>
    </cfRule>
    <cfRule type="cellIs" dxfId="4514" priority="2579" operator="between">
      <formula>0.51</formula>
      <formula>0.75</formula>
    </cfRule>
    <cfRule type="cellIs" dxfId="4513" priority="2580" operator="greaterThan">
      <formula>1</formula>
    </cfRule>
    <cfRule type="cellIs" dxfId="4512" priority="2581" operator="between">
      <formula>0.95</formula>
      <formula>1</formula>
    </cfRule>
    <cfRule type="cellIs" dxfId="4511" priority="2582" stopIfTrue="1" operator="between">
      <formula>0</formula>
      <formula>0.5</formula>
    </cfRule>
  </conditionalFormatting>
  <conditionalFormatting sqref="AE272">
    <cfRule type="cellIs" dxfId="4510" priority="2583" operator="between">
      <formula>0.76</formula>
      <formula>0.95</formula>
    </cfRule>
    <cfRule type="cellIs" dxfId="4509" priority="2584" operator="between">
      <formula>0.51</formula>
      <formula>0.75</formula>
    </cfRule>
    <cfRule type="cellIs" dxfId="4508" priority="2585" operator="greaterThan">
      <formula>1</formula>
    </cfRule>
    <cfRule type="cellIs" dxfId="4507" priority="2586" operator="between">
      <formula>0.95</formula>
      <formula>1</formula>
    </cfRule>
    <cfRule type="cellIs" dxfId="4506" priority="2587" stopIfTrue="1" operator="between">
      <formula>0</formula>
      <formula>0.5</formula>
    </cfRule>
  </conditionalFormatting>
  <conditionalFormatting sqref="AE273">
    <cfRule type="cellIs" dxfId="4505" priority="2568" operator="between">
      <formula>0.76</formula>
      <formula>0.95</formula>
    </cfRule>
    <cfRule type="cellIs" dxfId="4504" priority="2569" operator="between">
      <formula>0.51</formula>
      <formula>0.75</formula>
    </cfRule>
    <cfRule type="cellIs" dxfId="4503" priority="2570" operator="greaterThan">
      <formula>1</formula>
    </cfRule>
    <cfRule type="cellIs" dxfId="4502" priority="2571" operator="between">
      <formula>0.95</formula>
      <formula>1</formula>
    </cfRule>
    <cfRule type="cellIs" dxfId="4501" priority="2572" stopIfTrue="1" operator="between">
      <formula>0</formula>
      <formula>0.5</formula>
    </cfRule>
  </conditionalFormatting>
  <conditionalFormatting sqref="M161">
    <cfRule type="cellIs" dxfId="4500" priority="2491" operator="between">
      <formula>0.76</formula>
      <formula>0.95</formula>
    </cfRule>
    <cfRule type="cellIs" dxfId="4499" priority="2492" operator="between">
      <formula>0.51</formula>
      <formula>0.75</formula>
    </cfRule>
    <cfRule type="cellIs" dxfId="4498" priority="2493" operator="greaterThan">
      <formula>1</formula>
    </cfRule>
    <cfRule type="cellIs" dxfId="4497" priority="2494" operator="between">
      <formula>0.95</formula>
      <formula>1</formula>
    </cfRule>
    <cfRule type="cellIs" dxfId="4496" priority="2495" stopIfTrue="1" operator="between">
      <formula>0</formula>
      <formula>0.5</formula>
    </cfRule>
  </conditionalFormatting>
  <conditionalFormatting sqref="I161">
    <cfRule type="cellIs" dxfId="4495" priority="2541" operator="between">
      <formula>0.76</formula>
      <formula>0.95</formula>
    </cfRule>
    <cfRule type="cellIs" dxfId="4494" priority="2542" operator="between">
      <formula>0.51</formula>
      <formula>0.75</formula>
    </cfRule>
    <cfRule type="cellIs" dxfId="4493" priority="2543" operator="greaterThan">
      <formula>1</formula>
    </cfRule>
    <cfRule type="cellIs" dxfId="4492" priority="2544" operator="between">
      <formula>0.95</formula>
      <formula>1</formula>
    </cfRule>
    <cfRule type="cellIs" dxfId="4491" priority="2545" stopIfTrue="1" operator="between">
      <formula>0</formula>
      <formula>0.5</formula>
    </cfRule>
  </conditionalFormatting>
  <conditionalFormatting sqref="K161">
    <cfRule type="cellIs" dxfId="4490" priority="2536" operator="between">
      <formula>0.191</formula>
      <formula>0.24</formula>
    </cfRule>
    <cfRule type="cellIs" dxfId="4489" priority="2537" operator="between">
      <formula>0.1251</formula>
      <formula>0.19</formula>
    </cfRule>
    <cfRule type="cellIs" dxfId="4488" priority="2538" operator="greaterThan">
      <formula>0.2601</formula>
    </cfRule>
    <cfRule type="cellIs" dxfId="4487" priority="2539" operator="between">
      <formula>0.2401</formula>
      <formula>0.26</formula>
    </cfRule>
    <cfRule type="cellIs" dxfId="4486" priority="2540" stopIfTrue="1" operator="between">
      <formula>0</formula>
      <formula>0.125</formula>
    </cfRule>
  </conditionalFormatting>
  <conditionalFormatting sqref="P161">
    <cfRule type="cellIs" dxfId="4485" priority="2531" operator="between">
      <formula>0.76</formula>
      <formula>0.95</formula>
    </cfRule>
    <cfRule type="cellIs" dxfId="4484" priority="2532" operator="between">
      <formula>0.51</formula>
      <formula>0.75</formula>
    </cfRule>
    <cfRule type="cellIs" dxfId="4483" priority="2533" operator="greaterThan">
      <formula>1</formula>
    </cfRule>
    <cfRule type="cellIs" dxfId="4482" priority="2534" operator="between">
      <formula>0.95</formula>
      <formula>1</formula>
    </cfRule>
    <cfRule type="cellIs" dxfId="4481" priority="2535" stopIfTrue="1" operator="between">
      <formula>0</formula>
      <formula>0.5</formula>
    </cfRule>
  </conditionalFormatting>
  <conditionalFormatting sqref="W161">
    <cfRule type="cellIs" dxfId="4480" priority="2526" operator="between">
      <formula>0.76</formula>
      <formula>0.95</formula>
    </cfRule>
    <cfRule type="cellIs" dxfId="4479" priority="2527" operator="between">
      <formula>0.51</formula>
      <formula>0.75</formula>
    </cfRule>
    <cfRule type="cellIs" dxfId="4478" priority="2528" operator="greaterThan">
      <formula>1</formula>
    </cfRule>
    <cfRule type="cellIs" dxfId="4477" priority="2529" operator="between">
      <formula>0.95</formula>
      <formula>1</formula>
    </cfRule>
    <cfRule type="cellIs" dxfId="4476" priority="2530" stopIfTrue="1" operator="between">
      <formula>0</formula>
      <formula>0.5</formula>
    </cfRule>
  </conditionalFormatting>
  <conditionalFormatting sqref="AD161">
    <cfRule type="cellIs" dxfId="4475" priority="2516" operator="between">
      <formula>0.76</formula>
      <formula>0.95</formula>
    </cfRule>
    <cfRule type="cellIs" dxfId="4474" priority="2517" operator="between">
      <formula>0.51</formula>
      <formula>0.75</formula>
    </cfRule>
    <cfRule type="cellIs" dxfId="4473" priority="2518" operator="greaterThan">
      <formula>1</formula>
    </cfRule>
    <cfRule type="cellIs" dxfId="4472" priority="2519" operator="between">
      <formula>0.95</formula>
      <formula>1</formula>
    </cfRule>
    <cfRule type="cellIs" dxfId="4471" priority="2520" stopIfTrue="1" operator="between">
      <formula>0</formula>
      <formula>0.5</formula>
    </cfRule>
  </conditionalFormatting>
  <conditionalFormatting sqref="AF161">
    <cfRule type="cellIs" dxfId="4470" priority="2511" operator="between">
      <formula>0.76</formula>
      <formula>0.95</formula>
    </cfRule>
    <cfRule type="cellIs" dxfId="4469" priority="2512" operator="between">
      <formula>0.51</formula>
      <formula>0.75</formula>
    </cfRule>
    <cfRule type="cellIs" dxfId="4468" priority="2513" operator="greaterThan">
      <formula>1</formula>
    </cfRule>
    <cfRule type="cellIs" dxfId="4467" priority="2514" operator="between">
      <formula>0.95</formula>
      <formula>1</formula>
    </cfRule>
    <cfRule type="cellIs" dxfId="4466" priority="2515" stopIfTrue="1" operator="between">
      <formula>0</formula>
      <formula>0.5</formula>
    </cfRule>
  </conditionalFormatting>
  <conditionalFormatting sqref="R161">
    <cfRule type="cellIs" dxfId="4465" priority="2506" operator="between">
      <formula>0.3751</formula>
      <formula>0.475</formula>
    </cfRule>
    <cfRule type="cellIs" dxfId="4464" priority="2507" operator="between">
      <formula>0.2551</formula>
      <formula>0.375</formula>
    </cfRule>
    <cfRule type="cellIs" dxfId="4463" priority="2508" operator="greaterThan">
      <formula>0.505</formula>
    </cfRule>
    <cfRule type="cellIs" dxfId="4462" priority="2509" operator="between">
      <formula>0.48</formula>
      <formula>0.5</formula>
    </cfRule>
    <cfRule type="cellIs" dxfId="4461" priority="2510" stopIfTrue="1" operator="between">
      <formula>0</formula>
      <formula>0.255</formula>
    </cfRule>
  </conditionalFormatting>
  <conditionalFormatting sqref="J161">
    <cfRule type="cellIs" dxfId="4460" priority="2496" operator="between">
      <formula>0.76</formula>
      <formula>0.95</formula>
    </cfRule>
    <cfRule type="cellIs" dxfId="4459" priority="2497" operator="between">
      <formula>0.51</formula>
      <formula>0.75</formula>
    </cfRule>
    <cfRule type="cellIs" dxfId="4458" priority="2498" operator="greaterThan">
      <formula>1</formula>
    </cfRule>
    <cfRule type="cellIs" dxfId="4457" priority="2499" operator="between">
      <formula>0.95</formula>
      <formula>1</formula>
    </cfRule>
    <cfRule type="cellIs" dxfId="4456" priority="2500" stopIfTrue="1" operator="between">
      <formula>0</formula>
      <formula>0.5</formula>
    </cfRule>
  </conditionalFormatting>
  <conditionalFormatting sqref="Q161">
    <cfRule type="cellIs" dxfId="4455" priority="2486" operator="between">
      <formula>0.76</formula>
      <formula>0.95</formula>
    </cfRule>
    <cfRule type="cellIs" dxfId="4454" priority="2487" operator="between">
      <formula>0.51</formula>
      <formula>0.75</formula>
    </cfRule>
    <cfRule type="cellIs" dxfId="4453" priority="2488" operator="greaterThan">
      <formula>1</formula>
    </cfRule>
    <cfRule type="cellIs" dxfId="4452" priority="2489" operator="between">
      <formula>0.95</formula>
      <formula>1</formula>
    </cfRule>
    <cfRule type="cellIs" dxfId="4451" priority="2490" stopIfTrue="1" operator="between">
      <formula>0</formula>
      <formula>0.5</formula>
    </cfRule>
  </conditionalFormatting>
  <conditionalFormatting sqref="T161">
    <cfRule type="cellIs" dxfId="4450" priority="2481" operator="between">
      <formula>0.76</formula>
      <formula>0.95</formula>
    </cfRule>
    <cfRule type="cellIs" dxfId="4449" priority="2482" operator="between">
      <formula>0.51</formula>
      <formula>0.75</formula>
    </cfRule>
    <cfRule type="cellIs" dxfId="4448" priority="2483" operator="greaterThan">
      <formula>1</formula>
    </cfRule>
    <cfRule type="cellIs" dxfId="4447" priority="2484" operator="between">
      <formula>0.95</formula>
      <formula>1</formula>
    </cfRule>
    <cfRule type="cellIs" dxfId="4446" priority="2485" stopIfTrue="1" operator="between">
      <formula>0</formula>
      <formula>0.5</formula>
    </cfRule>
  </conditionalFormatting>
  <conditionalFormatting sqref="AE162">
    <cfRule type="cellIs" dxfId="4445" priority="2344" operator="between">
      <formula>0.76</formula>
      <formula>0.95</formula>
    </cfRule>
    <cfRule type="cellIs" dxfId="4444" priority="2345" operator="between">
      <formula>0.51</formula>
      <formula>0.75</formula>
    </cfRule>
    <cfRule type="cellIs" dxfId="4443" priority="2346" operator="greaterThan">
      <formula>1</formula>
    </cfRule>
    <cfRule type="cellIs" dxfId="4442" priority="2347" operator="between">
      <formula>0.95</formula>
      <formula>1</formula>
    </cfRule>
    <cfRule type="cellIs" dxfId="4441" priority="2348" stopIfTrue="1" operator="between">
      <formula>0</formula>
      <formula>0.5</formula>
    </cfRule>
  </conditionalFormatting>
  <conditionalFormatting sqref="X161">
    <cfRule type="cellIs" dxfId="4440" priority="2461" operator="between">
      <formula>0.76</formula>
      <formula>0.95</formula>
    </cfRule>
    <cfRule type="cellIs" dxfId="4439" priority="2462" operator="between">
      <formula>0.51</formula>
      <formula>0.75</formula>
    </cfRule>
    <cfRule type="cellIs" dxfId="4438" priority="2463" operator="greaterThan">
      <formula>1</formula>
    </cfRule>
    <cfRule type="cellIs" dxfId="4437" priority="2464" operator="between">
      <formula>0.95</formula>
      <formula>1</formula>
    </cfRule>
    <cfRule type="cellIs" dxfId="4436" priority="2465" stopIfTrue="1" operator="between">
      <formula>0</formula>
      <formula>0.5</formula>
    </cfRule>
  </conditionalFormatting>
  <conditionalFormatting sqref="AE161">
    <cfRule type="cellIs" dxfId="4435" priority="2456" operator="between">
      <formula>0.76</formula>
      <formula>0.95</formula>
    </cfRule>
    <cfRule type="cellIs" dxfId="4434" priority="2457" operator="between">
      <formula>0.51</formula>
      <formula>0.75</formula>
    </cfRule>
    <cfRule type="cellIs" dxfId="4433" priority="2458" operator="greaterThan">
      <formula>1</formula>
    </cfRule>
    <cfRule type="cellIs" dxfId="4432" priority="2459" operator="between">
      <formula>0.95</formula>
      <formula>1</formula>
    </cfRule>
    <cfRule type="cellIs" dxfId="4431" priority="2460" stopIfTrue="1" operator="between">
      <formula>0</formula>
      <formula>0.5</formula>
    </cfRule>
  </conditionalFormatting>
  <conditionalFormatting sqref="M162">
    <cfRule type="cellIs" dxfId="4430" priority="2379" operator="between">
      <formula>0.76</formula>
      <formula>0.95</formula>
    </cfRule>
    <cfRule type="cellIs" dxfId="4429" priority="2380" operator="between">
      <formula>0.51</formula>
      <formula>0.75</formula>
    </cfRule>
    <cfRule type="cellIs" dxfId="4428" priority="2381" operator="greaterThan">
      <formula>1</formula>
    </cfRule>
    <cfRule type="cellIs" dxfId="4427" priority="2382" operator="between">
      <formula>0.95</formula>
      <formula>1</formula>
    </cfRule>
    <cfRule type="cellIs" dxfId="4426" priority="2383" stopIfTrue="1" operator="between">
      <formula>0</formula>
      <formula>0.5</formula>
    </cfRule>
  </conditionalFormatting>
  <conditionalFormatting sqref="I162">
    <cfRule type="cellIs" dxfId="4425" priority="2429" operator="between">
      <formula>0.76</formula>
      <formula>0.95</formula>
    </cfRule>
    <cfRule type="cellIs" dxfId="4424" priority="2430" operator="between">
      <formula>0.51</formula>
      <formula>0.75</formula>
    </cfRule>
    <cfRule type="cellIs" dxfId="4423" priority="2431" operator="greaterThan">
      <formula>1</formula>
    </cfRule>
    <cfRule type="cellIs" dxfId="4422" priority="2432" operator="between">
      <formula>0.95</formula>
      <formula>1</formula>
    </cfRule>
    <cfRule type="cellIs" dxfId="4421" priority="2433" stopIfTrue="1" operator="between">
      <formula>0</formula>
      <formula>0.5</formula>
    </cfRule>
  </conditionalFormatting>
  <conditionalFormatting sqref="K162">
    <cfRule type="cellIs" dxfId="4420" priority="2424" operator="between">
      <formula>0.191</formula>
      <formula>0.24</formula>
    </cfRule>
    <cfRule type="cellIs" dxfId="4419" priority="2425" operator="between">
      <formula>0.1251</formula>
      <formula>0.19</formula>
    </cfRule>
    <cfRule type="cellIs" dxfId="4418" priority="2426" operator="greaterThan">
      <formula>0.2601</formula>
    </cfRule>
    <cfRule type="cellIs" dxfId="4417" priority="2427" operator="between">
      <formula>0.2401</formula>
      <formula>0.26</formula>
    </cfRule>
    <cfRule type="cellIs" dxfId="4416" priority="2428" stopIfTrue="1" operator="between">
      <formula>0</formula>
      <formula>0.125</formula>
    </cfRule>
  </conditionalFormatting>
  <conditionalFormatting sqref="P162">
    <cfRule type="cellIs" dxfId="4415" priority="2419" operator="between">
      <formula>0.76</formula>
      <formula>0.95</formula>
    </cfRule>
    <cfRule type="cellIs" dxfId="4414" priority="2420" operator="between">
      <formula>0.51</formula>
      <formula>0.75</formula>
    </cfRule>
    <cfRule type="cellIs" dxfId="4413" priority="2421" operator="greaterThan">
      <formula>1</formula>
    </cfRule>
    <cfRule type="cellIs" dxfId="4412" priority="2422" operator="between">
      <formula>0.95</formula>
      <formula>1</formula>
    </cfRule>
    <cfRule type="cellIs" dxfId="4411" priority="2423" stopIfTrue="1" operator="between">
      <formula>0</formula>
      <formula>0.5</formula>
    </cfRule>
  </conditionalFormatting>
  <conditionalFormatting sqref="W162">
    <cfRule type="cellIs" dxfId="4410" priority="2414" operator="between">
      <formula>0.76</formula>
      <formula>0.95</formula>
    </cfRule>
    <cfRule type="cellIs" dxfId="4409" priority="2415" operator="between">
      <formula>0.51</formula>
      <formula>0.75</formula>
    </cfRule>
    <cfRule type="cellIs" dxfId="4408" priority="2416" operator="greaterThan">
      <formula>1</formula>
    </cfRule>
    <cfRule type="cellIs" dxfId="4407" priority="2417" operator="between">
      <formula>0.95</formula>
      <formula>1</formula>
    </cfRule>
    <cfRule type="cellIs" dxfId="4406" priority="2418" stopIfTrue="1" operator="between">
      <formula>0</formula>
      <formula>0.5</formula>
    </cfRule>
  </conditionalFormatting>
  <conditionalFormatting sqref="AD162">
    <cfRule type="cellIs" dxfId="4405" priority="2404" operator="between">
      <formula>0.76</formula>
      <formula>0.95</formula>
    </cfRule>
    <cfRule type="cellIs" dxfId="4404" priority="2405" operator="between">
      <formula>0.51</formula>
      <formula>0.75</formula>
    </cfRule>
    <cfRule type="cellIs" dxfId="4403" priority="2406" operator="greaterThan">
      <formula>1</formula>
    </cfRule>
    <cfRule type="cellIs" dxfId="4402" priority="2407" operator="between">
      <formula>0.95</formula>
      <formula>1</formula>
    </cfRule>
    <cfRule type="cellIs" dxfId="4401" priority="2408" stopIfTrue="1" operator="between">
      <formula>0</formula>
      <formula>0.5</formula>
    </cfRule>
  </conditionalFormatting>
  <conditionalFormatting sqref="AF162">
    <cfRule type="cellIs" dxfId="4400" priority="2399" operator="between">
      <formula>0.76</formula>
      <formula>0.95</formula>
    </cfRule>
    <cfRule type="cellIs" dxfId="4399" priority="2400" operator="between">
      <formula>0.51</formula>
      <formula>0.75</formula>
    </cfRule>
    <cfRule type="cellIs" dxfId="4398" priority="2401" operator="greaterThan">
      <formula>1</formula>
    </cfRule>
    <cfRule type="cellIs" dxfId="4397" priority="2402" operator="between">
      <formula>0.95</formula>
      <formula>1</formula>
    </cfRule>
    <cfRule type="cellIs" dxfId="4396" priority="2403" stopIfTrue="1" operator="between">
      <formula>0</formula>
      <formula>0.5</formula>
    </cfRule>
  </conditionalFormatting>
  <conditionalFormatting sqref="R162">
    <cfRule type="cellIs" dxfId="4395" priority="2394" operator="between">
      <formula>0.3751</formula>
      <formula>0.475</formula>
    </cfRule>
    <cfRule type="cellIs" dxfId="4394" priority="2395" operator="between">
      <formula>0.2551</formula>
      <formula>0.375</formula>
    </cfRule>
    <cfRule type="cellIs" dxfId="4393" priority="2396" operator="greaterThan">
      <formula>0.505</formula>
    </cfRule>
    <cfRule type="cellIs" dxfId="4392" priority="2397" operator="between">
      <formula>0.48</formula>
      <formula>0.5</formula>
    </cfRule>
    <cfRule type="cellIs" dxfId="4391" priority="2398" stopIfTrue="1" operator="between">
      <formula>0</formula>
      <formula>0.255</formula>
    </cfRule>
  </conditionalFormatting>
  <conditionalFormatting sqref="J162">
    <cfRule type="cellIs" dxfId="4390" priority="2384" operator="between">
      <formula>0.76</formula>
      <formula>0.95</formula>
    </cfRule>
    <cfRule type="cellIs" dxfId="4389" priority="2385" operator="between">
      <formula>0.51</formula>
      <formula>0.75</formula>
    </cfRule>
    <cfRule type="cellIs" dxfId="4388" priority="2386" operator="greaterThan">
      <formula>1</formula>
    </cfRule>
    <cfRule type="cellIs" dxfId="4387" priority="2387" operator="between">
      <formula>0.95</formula>
      <formula>1</formula>
    </cfRule>
    <cfRule type="cellIs" dxfId="4386" priority="2388" stopIfTrue="1" operator="between">
      <formula>0</formula>
      <formula>0.5</formula>
    </cfRule>
  </conditionalFormatting>
  <conditionalFormatting sqref="Q162">
    <cfRule type="cellIs" dxfId="4385" priority="2374" operator="between">
      <formula>0.76</formula>
      <formula>0.95</formula>
    </cfRule>
    <cfRule type="cellIs" dxfId="4384" priority="2375" operator="between">
      <formula>0.51</formula>
      <formula>0.75</formula>
    </cfRule>
    <cfRule type="cellIs" dxfId="4383" priority="2376" operator="greaterThan">
      <formula>1</formula>
    </cfRule>
    <cfRule type="cellIs" dxfId="4382" priority="2377" operator="between">
      <formula>0.95</formula>
      <formula>1</formula>
    </cfRule>
    <cfRule type="cellIs" dxfId="4381" priority="2378" stopIfTrue="1" operator="between">
      <formula>0</formula>
      <formula>0.5</formula>
    </cfRule>
  </conditionalFormatting>
  <conditionalFormatting sqref="T162">
    <cfRule type="cellIs" dxfId="4380" priority="2369" operator="between">
      <formula>0.76</formula>
      <formula>0.95</formula>
    </cfRule>
    <cfRule type="cellIs" dxfId="4379" priority="2370" operator="between">
      <formula>0.51</formula>
      <formula>0.75</formula>
    </cfRule>
    <cfRule type="cellIs" dxfId="4378" priority="2371" operator="greaterThan">
      <formula>1</formula>
    </cfRule>
    <cfRule type="cellIs" dxfId="4377" priority="2372" operator="between">
      <formula>0.95</formula>
      <formula>1</formula>
    </cfRule>
    <cfRule type="cellIs" dxfId="4376" priority="2373" stopIfTrue="1" operator="between">
      <formula>0</formula>
      <formula>0.5</formula>
    </cfRule>
  </conditionalFormatting>
  <conditionalFormatting sqref="X162">
    <cfRule type="cellIs" dxfId="4375" priority="2349" operator="between">
      <formula>0.76</formula>
      <formula>0.95</formula>
    </cfRule>
    <cfRule type="cellIs" dxfId="4374" priority="2350" operator="between">
      <formula>0.51</formula>
      <formula>0.75</formula>
    </cfRule>
    <cfRule type="cellIs" dxfId="4373" priority="2351" operator="greaterThan">
      <formula>1</formula>
    </cfRule>
    <cfRule type="cellIs" dxfId="4372" priority="2352" operator="between">
      <formula>0.95</formula>
      <formula>1</formula>
    </cfRule>
    <cfRule type="cellIs" dxfId="4371" priority="2353" stopIfTrue="1" operator="between">
      <formula>0</formula>
      <formula>0.5</formula>
    </cfRule>
  </conditionalFormatting>
  <conditionalFormatting sqref="AG162">
    <cfRule type="cellIs" dxfId="4370" priority="2339" operator="between">
      <formula>0.76</formula>
      <formula>0.95</formula>
    </cfRule>
    <cfRule type="cellIs" dxfId="4369" priority="2340" operator="between">
      <formula>0.51</formula>
      <formula>0.75</formula>
    </cfRule>
    <cfRule type="cellIs" dxfId="4368" priority="2341" operator="greaterThan">
      <formula>1</formula>
    </cfRule>
    <cfRule type="cellIs" dxfId="4367" priority="2342" operator="between">
      <formula>0.95</formula>
      <formula>1</formula>
    </cfRule>
    <cfRule type="cellIs" dxfId="4366" priority="2343" stopIfTrue="1" operator="between">
      <formula>0</formula>
      <formula>0.5</formula>
    </cfRule>
  </conditionalFormatting>
  <conditionalFormatting sqref="J357">
    <cfRule type="cellIs" dxfId="4365" priority="2322" operator="between">
      <formula>0.76</formula>
      <formula>0.95</formula>
    </cfRule>
    <cfRule type="cellIs" dxfId="4364" priority="2323" operator="between">
      <formula>0.51</formula>
      <formula>0.75</formula>
    </cfRule>
    <cfRule type="cellIs" dxfId="4363" priority="2324" operator="greaterThan">
      <formula>1</formula>
    </cfRule>
    <cfRule type="cellIs" dxfId="4362" priority="2325" operator="between">
      <formula>0.95</formula>
      <formula>1</formula>
    </cfRule>
    <cfRule type="cellIs" dxfId="4361" priority="2326" stopIfTrue="1" operator="between">
      <formula>0</formula>
      <formula>0.5</formula>
    </cfRule>
  </conditionalFormatting>
  <conditionalFormatting sqref="I357">
    <cfRule type="cellIs" dxfId="4360" priority="2317" operator="between">
      <formula>0.76</formula>
      <formula>0.95</formula>
    </cfRule>
    <cfRule type="cellIs" dxfId="4359" priority="2318" operator="between">
      <formula>0.51</formula>
      <formula>0.75</formula>
    </cfRule>
    <cfRule type="cellIs" dxfId="4358" priority="2319" operator="greaterThan">
      <formula>1</formula>
    </cfRule>
    <cfRule type="cellIs" dxfId="4357" priority="2320" operator="between">
      <formula>0.95</formula>
      <formula>1</formula>
    </cfRule>
    <cfRule type="cellIs" dxfId="4356" priority="2321" stopIfTrue="1" operator="between">
      <formula>0</formula>
      <formula>0.5</formula>
    </cfRule>
  </conditionalFormatting>
  <conditionalFormatting sqref="W357">
    <cfRule type="cellIs" dxfId="4355" priority="2307" operator="between">
      <formula>0.76</formula>
      <formula>0.95</formula>
    </cfRule>
    <cfRule type="cellIs" dxfId="4354" priority="2308" operator="between">
      <formula>0.51</formula>
      <formula>0.75</formula>
    </cfRule>
    <cfRule type="cellIs" dxfId="4353" priority="2309" operator="greaterThan">
      <formula>1</formula>
    </cfRule>
    <cfRule type="cellIs" dxfId="4352" priority="2310" operator="between">
      <formula>0.95</formula>
      <formula>1</formula>
    </cfRule>
    <cfRule type="cellIs" dxfId="4351" priority="2311" stopIfTrue="1" operator="between">
      <formula>0</formula>
      <formula>0.5</formula>
    </cfRule>
  </conditionalFormatting>
  <conditionalFormatting sqref="P357">
    <cfRule type="cellIs" dxfId="4350" priority="2312" operator="between">
      <formula>0.76</formula>
      <formula>0.95</formula>
    </cfRule>
    <cfRule type="cellIs" dxfId="4349" priority="2313" operator="between">
      <formula>0.51</formula>
      <formula>0.75</formula>
    </cfRule>
    <cfRule type="cellIs" dxfId="4348" priority="2314" operator="greaterThan">
      <formula>1</formula>
    </cfRule>
    <cfRule type="cellIs" dxfId="4347" priority="2315" operator="between">
      <formula>0.95</formula>
      <formula>1</formula>
    </cfRule>
    <cfRule type="cellIs" dxfId="4346" priority="2316" stopIfTrue="1" operator="between">
      <formula>0</formula>
      <formula>0.5</formula>
    </cfRule>
  </conditionalFormatting>
  <conditionalFormatting sqref="AD357">
    <cfRule type="cellIs" dxfId="4345" priority="2302" operator="between">
      <formula>0.76</formula>
      <formula>0.95</formula>
    </cfRule>
    <cfRule type="cellIs" dxfId="4344" priority="2303" operator="between">
      <formula>0.51</formula>
      <formula>0.75</formula>
    </cfRule>
    <cfRule type="cellIs" dxfId="4343" priority="2304" operator="greaterThan">
      <formula>1</formula>
    </cfRule>
    <cfRule type="cellIs" dxfId="4342" priority="2305" operator="between">
      <formula>0.95</formula>
      <formula>1</formula>
    </cfRule>
    <cfRule type="cellIs" dxfId="4341" priority="2306" stopIfTrue="1" operator="between">
      <formula>0</formula>
      <formula>0.5</formula>
    </cfRule>
  </conditionalFormatting>
  <conditionalFormatting sqref="AF357">
    <cfRule type="cellIs" dxfId="4340" priority="2292" operator="between">
      <formula>0.76</formula>
      <formula>0.95</formula>
    </cfRule>
    <cfRule type="cellIs" dxfId="4339" priority="2293" operator="between">
      <formula>0.51</formula>
      <formula>0.75</formula>
    </cfRule>
    <cfRule type="cellIs" dxfId="4338" priority="2294" operator="greaterThan">
      <formula>1</formula>
    </cfRule>
    <cfRule type="cellIs" dxfId="4337" priority="2295" operator="between">
      <formula>0.95</formula>
      <formula>1</formula>
    </cfRule>
    <cfRule type="cellIs" dxfId="4336" priority="2296" stopIfTrue="1" operator="between">
      <formula>0</formula>
      <formula>0.5</formula>
    </cfRule>
  </conditionalFormatting>
  <conditionalFormatting sqref="K357">
    <cfRule type="cellIs" dxfId="4335" priority="2282" operator="between">
      <formula>0.191</formula>
      <formula>0.24</formula>
    </cfRule>
    <cfRule type="cellIs" dxfId="4334" priority="2283" operator="between">
      <formula>0.1251</formula>
      <formula>0.19</formula>
    </cfRule>
    <cfRule type="cellIs" dxfId="4333" priority="2284" operator="greaterThan">
      <formula>0.2601</formula>
    </cfRule>
    <cfRule type="cellIs" dxfId="4332" priority="2285" operator="between">
      <formula>0.2401</formula>
      <formula>0.26</formula>
    </cfRule>
    <cfRule type="cellIs" dxfId="4331" priority="2286" stopIfTrue="1" operator="between">
      <formula>0</formula>
      <formula>0.125</formula>
    </cfRule>
  </conditionalFormatting>
  <conditionalFormatting sqref="R357">
    <cfRule type="cellIs" dxfId="4330" priority="2277" operator="between">
      <formula>0.3751</formula>
      <formula>0.475</formula>
    </cfRule>
    <cfRule type="cellIs" dxfId="4329" priority="2278" operator="between">
      <formula>0.2551</formula>
      <formula>0.375</formula>
    </cfRule>
    <cfRule type="cellIs" dxfId="4328" priority="2279" operator="greaterThan">
      <formula>0.505</formula>
    </cfRule>
    <cfRule type="cellIs" dxfId="4327" priority="2280" operator="between">
      <formula>0.48</formula>
      <formula>0.5</formula>
    </cfRule>
    <cfRule type="cellIs" dxfId="4326" priority="2281" stopIfTrue="1" operator="between">
      <formula>0</formula>
      <formula>0.255</formula>
    </cfRule>
  </conditionalFormatting>
  <conditionalFormatting sqref="T357">
    <cfRule type="cellIs" dxfId="4325" priority="2272" operator="between">
      <formula>0.376</formula>
      <formula>0.475</formula>
    </cfRule>
    <cfRule type="cellIs" dxfId="4324" priority="2273" operator="between">
      <formula>0.2551</formula>
      <formula>0.3751</formula>
    </cfRule>
    <cfRule type="cellIs" dxfId="4323" priority="2274" operator="greaterThan">
      <formula>0.505</formula>
    </cfRule>
    <cfRule type="cellIs" dxfId="4322" priority="2275" operator="between">
      <formula>0.48</formula>
      <formula>0.5</formula>
    </cfRule>
    <cfRule type="cellIs" dxfId="4321" priority="2276" stopIfTrue="1" operator="between">
      <formula>0</formula>
      <formula>0.255</formula>
    </cfRule>
  </conditionalFormatting>
  <conditionalFormatting sqref="AE357">
    <cfRule type="cellIs" dxfId="4320" priority="2262" operator="between">
      <formula>0.76</formula>
      <formula>0.95</formula>
    </cfRule>
    <cfRule type="cellIs" dxfId="4319" priority="2263" operator="between">
      <formula>0.51</formula>
      <formula>0.75</formula>
    </cfRule>
    <cfRule type="cellIs" dxfId="4318" priority="2264" operator="greaterThan">
      <formula>1</formula>
    </cfRule>
    <cfRule type="cellIs" dxfId="4317" priority="2265" operator="between">
      <formula>0.95</formula>
      <formula>1</formula>
    </cfRule>
    <cfRule type="cellIs" dxfId="4316" priority="2266" stopIfTrue="1" operator="between">
      <formula>0</formula>
      <formula>0.5</formula>
    </cfRule>
  </conditionalFormatting>
  <conditionalFormatting sqref="AG357">
    <cfRule type="cellIs" dxfId="4315" priority="2257" operator="between">
      <formula>0.76</formula>
      <formula>0.95</formula>
    </cfRule>
    <cfRule type="cellIs" dxfId="4314" priority="2258" operator="between">
      <formula>0.51</formula>
      <formula>0.75</formula>
    </cfRule>
    <cfRule type="cellIs" dxfId="4313" priority="2259" operator="greaterThan">
      <formula>1</formula>
    </cfRule>
    <cfRule type="cellIs" dxfId="4312" priority="2260" operator="between">
      <formula>0.95</formula>
      <formula>1</formula>
    </cfRule>
    <cfRule type="cellIs" dxfId="4311" priority="2261" stopIfTrue="1" operator="between">
      <formula>0</formula>
      <formula>0.5</formula>
    </cfRule>
  </conditionalFormatting>
  <conditionalFormatting sqref="Q357">
    <cfRule type="cellIs" dxfId="4310" priority="2252" operator="between">
      <formula>0.76</formula>
      <formula>0.95</formula>
    </cfRule>
    <cfRule type="cellIs" dxfId="4309" priority="2253" operator="between">
      <formula>0.51</formula>
      <formula>0.75</formula>
    </cfRule>
    <cfRule type="cellIs" dxfId="4308" priority="2254" operator="greaterThan">
      <formula>1</formula>
    </cfRule>
    <cfRule type="cellIs" dxfId="4307" priority="2255" operator="between">
      <formula>0.95</formula>
      <formula>1</formula>
    </cfRule>
    <cfRule type="cellIs" dxfId="4306" priority="2256" stopIfTrue="1" operator="between">
      <formula>0</formula>
      <formula>0.5</formula>
    </cfRule>
  </conditionalFormatting>
  <conditionalFormatting sqref="X357">
    <cfRule type="cellIs" dxfId="4305" priority="2247" operator="between">
      <formula>0.76</formula>
      <formula>0.95</formula>
    </cfRule>
    <cfRule type="cellIs" dxfId="4304" priority="2248" operator="between">
      <formula>0.51</formula>
      <formula>0.75</formula>
    </cfRule>
    <cfRule type="cellIs" dxfId="4303" priority="2249" operator="greaterThan">
      <formula>1</formula>
    </cfRule>
    <cfRule type="cellIs" dxfId="4302" priority="2250" operator="between">
      <formula>0.95</formula>
      <formula>1</formula>
    </cfRule>
    <cfRule type="cellIs" dxfId="4301" priority="2251" stopIfTrue="1" operator="between">
      <formula>0</formula>
      <formula>0.5</formula>
    </cfRule>
  </conditionalFormatting>
  <conditionalFormatting sqref="J358:J362">
    <cfRule type="cellIs" dxfId="4300" priority="2230" operator="between">
      <formula>0.76</formula>
      <formula>0.95</formula>
    </cfRule>
    <cfRule type="cellIs" dxfId="4299" priority="2231" operator="between">
      <formula>0.51</formula>
      <formula>0.75</formula>
    </cfRule>
    <cfRule type="cellIs" dxfId="4298" priority="2232" operator="greaterThan">
      <formula>1</formula>
    </cfRule>
    <cfRule type="cellIs" dxfId="4297" priority="2233" operator="between">
      <formula>0.95</formula>
      <formula>1</formula>
    </cfRule>
    <cfRule type="cellIs" dxfId="4296" priority="2234" stopIfTrue="1" operator="between">
      <formula>0</formula>
      <formula>0.5</formula>
    </cfRule>
  </conditionalFormatting>
  <conditionalFormatting sqref="I358:I362">
    <cfRule type="cellIs" dxfId="4295" priority="2225" operator="between">
      <formula>0.76</formula>
      <formula>0.95</formula>
    </cfRule>
    <cfRule type="cellIs" dxfId="4294" priority="2226" operator="between">
      <formula>0.51</formula>
      <formula>0.75</formula>
    </cfRule>
    <cfRule type="cellIs" dxfId="4293" priority="2227" operator="greaterThan">
      <formula>1</formula>
    </cfRule>
    <cfRule type="cellIs" dxfId="4292" priority="2228" operator="between">
      <formula>0.95</formula>
      <formula>1</formula>
    </cfRule>
    <cfRule type="cellIs" dxfId="4291" priority="2229" stopIfTrue="1" operator="between">
      <formula>0</formula>
      <formula>0.5</formula>
    </cfRule>
  </conditionalFormatting>
  <conditionalFormatting sqref="W358:W362">
    <cfRule type="cellIs" dxfId="4290" priority="2215" operator="between">
      <formula>0.76</formula>
      <formula>0.95</formula>
    </cfRule>
    <cfRule type="cellIs" dxfId="4289" priority="2216" operator="between">
      <formula>0.51</formula>
      <formula>0.75</formula>
    </cfRule>
    <cfRule type="cellIs" dxfId="4288" priority="2217" operator="greaterThan">
      <formula>1</formula>
    </cfRule>
    <cfRule type="cellIs" dxfId="4287" priority="2218" operator="between">
      <formula>0.95</formula>
      <formula>1</formula>
    </cfRule>
    <cfRule type="cellIs" dxfId="4286" priority="2219" stopIfTrue="1" operator="between">
      <formula>0</formula>
      <formula>0.5</formula>
    </cfRule>
  </conditionalFormatting>
  <conditionalFormatting sqref="P358:P362">
    <cfRule type="cellIs" dxfId="4285" priority="2220" operator="between">
      <formula>0.76</formula>
      <formula>0.95</formula>
    </cfRule>
    <cfRule type="cellIs" dxfId="4284" priority="2221" operator="between">
      <formula>0.51</formula>
      <formula>0.75</formula>
    </cfRule>
    <cfRule type="cellIs" dxfId="4283" priority="2222" operator="greaterThan">
      <formula>1</formula>
    </cfRule>
    <cfRule type="cellIs" dxfId="4282" priority="2223" operator="between">
      <formula>0.95</formula>
      <formula>1</formula>
    </cfRule>
    <cfRule type="cellIs" dxfId="4281" priority="2224" stopIfTrue="1" operator="between">
      <formula>0</formula>
      <formula>0.5</formula>
    </cfRule>
  </conditionalFormatting>
  <conditionalFormatting sqref="AD358:AD362">
    <cfRule type="cellIs" dxfId="4280" priority="2210" operator="between">
      <formula>0.76</formula>
      <formula>0.95</formula>
    </cfRule>
    <cfRule type="cellIs" dxfId="4279" priority="2211" operator="between">
      <formula>0.51</formula>
      <formula>0.75</formula>
    </cfRule>
    <cfRule type="cellIs" dxfId="4278" priority="2212" operator="greaterThan">
      <formula>1</formula>
    </cfRule>
    <cfRule type="cellIs" dxfId="4277" priority="2213" operator="between">
      <formula>0.95</formula>
      <formula>1</formula>
    </cfRule>
    <cfRule type="cellIs" dxfId="4276" priority="2214" stopIfTrue="1" operator="between">
      <formula>0</formula>
      <formula>0.5</formula>
    </cfRule>
  </conditionalFormatting>
  <conditionalFormatting sqref="AF358:AF362">
    <cfRule type="cellIs" dxfId="4275" priority="2200" operator="between">
      <formula>0.76</formula>
      <formula>0.95</formula>
    </cfRule>
    <cfRule type="cellIs" dxfId="4274" priority="2201" operator="between">
      <formula>0.51</formula>
      <formula>0.75</formula>
    </cfRule>
    <cfRule type="cellIs" dxfId="4273" priority="2202" operator="greaterThan">
      <formula>1</formula>
    </cfRule>
    <cfRule type="cellIs" dxfId="4272" priority="2203" operator="between">
      <formula>0.95</formula>
      <formula>1</formula>
    </cfRule>
    <cfRule type="cellIs" dxfId="4271" priority="2204" stopIfTrue="1" operator="between">
      <formula>0</formula>
      <formula>0.5</formula>
    </cfRule>
  </conditionalFormatting>
  <conditionalFormatting sqref="K358:K362">
    <cfRule type="cellIs" dxfId="4270" priority="2190" operator="between">
      <formula>0.191</formula>
      <formula>0.24</formula>
    </cfRule>
    <cfRule type="cellIs" dxfId="4269" priority="2191" operator="between">
      <formula>0.1251</formula>
      <formula>0.19</formula>
    </cfRule>
    <cfRule type="cellIs" dxfId="4268" priority="2192" operator="greaterThan">
      <formula>0.2601</formula>
    </cfRule>
    <cfRule type="cellIs" dxfId="4267" priority="2193" operator="between">
      <formula>0.2401</formula>
      <formula>0.26</formula>
    </cfRule>
    <cfRule type="cellIs" dxfId="4266" priority="2194" stopIfTrue="1" operator="between">
      <formula>0</formula>
      <formula>0.125</formula>
    </cfRule>
  </conditionalFormatting>
  <conditionalFormatting sqref="R358:R362">
    <cfRule type="cellIs" dxfId="4265" priority="2185" operator="between">
      <formula>0.3751</formula>
      <formula>0.475</formula>
    </cfRule>
    <cfRule type="cellIs" dxfId="4264" priority="2186" operator="between">
      <formula>0.2551</formula>
      <formula>0.375</formula>
    </cfRule>
    <cfRule type="cellIs" dxfId="4263" priority="2187" operator="greaterThan">
      <formula>0.505</formula>
    </cfRule>
    <cfRule type="cellIs" dxfId="4262" priority="2188" operator="between">
      <formula>0.48</formula>
      <formula>0.5</formula>
    </cfRule>
    <cfRule type="cellIs" dxfId="4261" priority="2189" stopIfTrue="1" operator="between">
      <formula>0</formula>
      <formula>0.255</formula>
    </cfRule>
  </conditionalFormatting>
  <conditionalFormatting sqref="T358:T362">
    <cfRule type="cellIs" dxfId="4260" priority="2180" operator="between">
      <formula>0.376</formula>
      <formula>0.475</formula>
    </cfRule>
    <cfRule type="cellIs" dxfId="4259" priority="2181" operator="between">
      <formula>0.2551</formula>
      <formula>0.3751</formula>
    </cfRule>
    <cfRule type="cellIs" dxfId="4258" priority="2182" operator="greaterThan">
      <formula>0.505</formula>
    </cfRule>
    <cfRule type="cellIs" dxfId="4257" priority="2183" operator="between">
      <formula>0.48</formula>
      <formula>0.5</formula>
    </cfRule>
    <cfRule type="cellIs" dxfId="4256" priority="2184" stopIfTrue="1" operator="between">
      <formula>0</formula>
      <formula>0.255</formula>
    </cfRule>
  </conditionalFormatting>
  <conditionalFormatting sqref="AE358:AE362">
    <cfRule type="cellIs" dxfId="4255" priority="2170" operator="between">
      <formula>0.76</formula>
      <formula>0.95</formula>
    </cfRule>
    <cfRule type="cellIs" dxfId="4254" priority="2171" operator="between">
      <formula>0.51</formula>
      <formula>0.75</formula>
    </cfRule>
    <cfRule type="cellIs" dxfId="4253" priority="2172" operator="greaterThan">
      <formula>1</formula>
    </cfRule>
    <cfRule type="cellIs" dxfId="4252" priority="2173" operator="between">
      <formula>0.95</formula>
      <formula>1</formula>
    </cfRule>
    <cfRule type="cellIs" dxfId="4251" priority="2174" stopIfTrue="1" operator="between">
      <formula>0</formula>
      <formula>0.5</formula>
    </cfRule>
  </conditionalFormatting>
  <conditionalFormatting sqref="AG358:AG362">
    <cfRule type="cellIs" dxfId="4250" priority="2165" operator="between">
      <formula>0.76</formula>
      <formula>0.95</formula>
    </cfRule>
    <cfRule type="cellIs" dxfId="4249" priority="2166" operator="between">
      <formula>0.51</formula>
      <formula>0.75</formula>
    </cfRule>
    <cfRule type="cellIs" dxfId="4248" priority="2167" operator="greaterThan">
      <formula>1</formula>
    </cfRule>
    <cfRule type="cellIs" dxfId="4247" priority="2168" operator="between">
      <formula>0.95</formula>
      <formula>1</formula>
    </cfRule>
    <cfRule type="cellIs" dxfId="4246" priority="2169" stopIfTrue="1" operator="between">
      <formula>0</formula>
      <formula>0.5</formula>
    </cfRule>
  </conditionalFormatting>
  <conditionalFormatting sqref="Q358:Q362">
    <cfRule type="cellIs" dxfId="4245" priority="2160" operator="between">
      <formula>0.76</formula>
      <formula>0.95</formula>
    </cfRule>
    <cfRule type="cellIs" dxfId="4244" priority="2161" operator="between">
      <formula>0.51</formula>
      <formula>0.75</formula>
    </cfRule>
    <cfRule type="cellIs" dxfId="4243" priority="2162" operator="greaterThan">
      <formula>1</formula>
    </cfRule>
    <cfRule type="cellIs" dxfId="4242" priority="2163" operator="between">
      <formula>0.95</formula>
      <formula>1</formula>
    </cfRule>
    <cfRule type="cellIs" dxfId="4241" priority="2164" stopIfTrue="1" operator="between">
      <formula>0</formula>
      <formula>0.5</formula>
    </cfRule>
  </conditionalFormatting>
  <conditionalFormatting sqref="X358:X362">
    <cfRule type="cellIs" dxfId="4240" priority="2155" operator="between">
      <formula>0.76</formula>
      <formula>0.95</formula>
    </cfRule>
    <cfRule type="cellIs" dxfId="4239" priority="2156" operator="between">
      <formula>0.51</formula>
      <formula>0.75</formula>
    </cfRule>
    <cfRule type="cellIs" dxfId="4238" priority="2157" operator="greaterThan">
      <formula>1</formula>
    </cfRule>
    <cfRule type="cellIs" dxfId="4237" priority="2158" operator="between">
      <formula>0.95</formula>
      <formula>1</formula>
    </cfRule>
    <cfRule type="cellIs" dxfId="4236" priority="2159" stopIfTrue="1" operator="between">
      <formula>0</formula>
      <formula>0.5</formula>
    </cfRule>
  </conditionalFormatting>
  <conditionalFormatting sqref="AF274">
    <cfRule type="cellIs" dxfId="4235" priority="2138" operator="between">
      <formula>0.76</formula>
      <formula>0.95</formula>
    </cfRule>
    <cfRule type="cellIs" dxfId="4234" priority="2139" operator="between">
      <formula>0.51</formula>
      <formula>0.75</formula>
    </cfRule>
    <cfRule type="cellIs" dxfId="4233" priority="2140" operator="greaterThan">
      <formula>1</formula>
    </cfRule>
    <cfRule type="cellIs" dxfId="4232" priority="2141" operator="between">
      <formula>0.95</formula>
      <formula>1</formula>
    </cfRule>
    <cfRule type="cellIs" dxfId="4231" priority="2142" stopIfTrue="1" operator="between">
      <formula>0</formula>
      <formula>0.5</formula>
    </cfRule>
  </conditionalFormatting>
  <conditionalFormatting sqref="I274">
    <cfRule type="cellIs" dxfId="4230" priority="2128" operator="between">
      <formula>0.76</formula>
      <formula>0.95</formula>
    </cfRule>
    <cfRule type="cellIs" dxfId="4229" priority="2129" operator="between">
      <formula>0.51</formula>
      <formula>0.75</formula>
    </cfRule>
    <cfRule type="cellIs" dxfId="4228" priority="2130" operator="greaterThan">
      <formula>1</formula>
    </cfRule>
    <cfRule type="cellIs" dxfId="4227" priority="2131" operator="between">
      <formula>0.95</formula>
      <formula>1</formula>
    </cfRule>
    <cfRule type="cellIs" dxfId="4226" priority="2132" stopIfTrue="1" operator="between">
      <formula>0</formula>
      <formula>0.5</formula>
    </cfRule>
  </conditionalFormatting>
  <conditionalFormatting sqref="K274">
    <cfRule type="cellIs" dxfId="4225" priority="2123" operator="between">
      <formula>0.191</formula>
      <formula>0.24</formula>
    </cfRule>
    <cfRule type="cellIs" dxfId="4224" priority="2124" operator="between">
      <formula>0.1251</formula>
      <formula>0.19</formula>
    </cfRule>
    <cfRule type="cellIs" dxfId="4223" priority="2125" operator="greaterThan">
      <formula>0.2601</formula>
    </cfRule>
    <cfRule type="cellIs" dxfId="4222" priority="2126" operator="between">
      <formula>0.2401</formula>
      <formula>0.26</formula>
    </cfRule>
    <cfRule type="cellIs" dxfId="4221" priority="2127" stopIfTrue="1" operator="between">
      <formula>0</formula>
      <formula>0.125</formula>
    </cfRule>
  </conditionalFormatting>
  <conditionalFormatting sqref="P274">
    <cfRule type="cellIs" dxfId="4220" priority="2118" operator="between">
      <formula>0.76</formula>
      <formula>0.95</formula>
    </cfRule>
    <cfRule type="cellIs" dxfId="4219" priority="2119" operator="between">
      <formula>0.51</formula>
      <formula>0.75</formula>
    </cfRule>
    <cfRule type="cellIs" dxfId="4218" priority="2120" operator="greaterThan">
      <formula>1</formula>
    </cfRule>
    <cfRule type="cellIs" dxfId="4217" priority="2121" operator="between">
      <formula>0.95</formula>
      <formula>1</formula>
    </cfRule>
    <cfRule type="cellIs" dxfId="4216" priority="2122" stopIfTrue="1" operator="between">
      <formula>0</formula>
      <formula>0.5</formula>
    </cfRule>
  </conditionalFormatting>
  <conditionalFormatting sqref="W274">
    <cfRule type="cellIs" dxfId="4215" priority="2113" operator="between">
      <formula>0.76</formula>
      <formula>0.95</formula>
    </cfRule>
    <cfRule type="cellIs" dxfId="4214" priority="2114" operator="between">
      <formula>0.51</formula>
      <formula>0.75</formula>
    </cfRule>
    <cfRule type="cellIs" dxfId="4213" priority="2115" operator="greaterThan">
      <formula>1</formula>
    </cfRule>
    <cfRule type="cellIs" dxfId="4212" priority="2116" operator="between">
      <formula>0.95</formula>
      <formula>1</formula>
    </cfRule>
    <cfRule type="cellIs" dxfId="4211" priority="2117" stopIfTrue="1" operator="between">
      <formula>0</formula>
      <formula>0.5</formula>
    </cfRule>
  </conditionalFormatting>
  <conditionalFormatting sqref="AD274">
    <cfRule type="cellIs" dxfId="4210" priority="2103" operator="between">
      <formula>0.76</formula>
      <formula>0.95</formula>
    </cfRule>
    <cfRule type="cellIs" dxfId="4209" priority="2104" operator="between">
      <formula>0.51</formula>
      <formula>0.75</formula>
    </cfRule>
    <cfRule type="cellIs" dxfId="4208" priority="2105" operator="greaterThan">
      <formula>1</formula>
    </cfRule>
    <cfRule type="cellIs" dxfId="4207" priority="2106" operator="between">
      <formula>0.95</formula>
      <formula>1</formula>
    </cfRule>
    <cfRule type="cellIs" dxfId="4206" priority="2107" stopIfTrue="1" operator="between">
      <formula>0</formula>
      <formula>0.5</formula>
    </cfRule>
  </conditionalFormatting>
  <conditionalFormatting sqref="R274">
    <cfRule type="cellIs" dxfId="4205" priority="2098" operator="between">
      <formula>0.3751</formula>
      <formula>0.475</formula>
    </cfRule>
    <cfRule type="cellIs" dxfId="4204" priority="2099" operator="between">
      <formula>0.2551</formula>
      <formula>0.375</formula>
    </cfRule>
    <cfRule type="cellIs" dxfId="4203" priority="2100" operator="greaterThan">
      <formula>0.505</formula>
    </cfRule>
    <cfRule type="cellIs" dxfId="4202" priority="2101" operator="between">
      <formula>0.48</formula>
      <formula>0.5</formula>
    </cfRule>
    <cfRule type="cellIs" dxfId="4201" priority="2102" stopIfTrue="1" operator="between">
      <formula>0</formula>
      <formula>0.255</formula>
    </cfRule>
  </conditionalFormatting>
  <conditionalFormatting sqref="Q274">
    <cfRule type="cellIs" dxfId="4200" priority="2068" operator="between">
      <formula>0.76</formula>
      <formula>0.95</formula>
    </cfRule>
    <cfRule type="cellIs" dxfId="4199" priority="2069" operator="between">
      <formula>0.51</formula>
      <formula>0.75</formula>
    </cfRule>
    <cfRule type="cellIs" dxfId="4198" priority="2070" operator="greaterThan">
      <formula>1</formula>
    </cfRule>
    <cfRule type="cellIs" dxfId="4197" priority="2071" operator="between">
      <formula>0.95</formula>
      <formula>1</formula>
    </cfRule>
    <cfRule type="cellIs" dxfId="4196" priority="2072" stopIfTrue="1" operator="between">
      <formula>0</formula>
      <formula>0.5</formula>
    </cfRule>
  </conditionalFormatting>
  <conditionalFormatting sqref="J274">
    <cfRule type="cellIs" dxfId="4195" priority="2078" operator="between">
      <formula>0.76</formula>
      <formula>0.95</formula>
    </cfRule>
    <cfRule type="cellIs" dxfId="4194" priority="2079" operator="between">
      <formula>0.51</formula>
      <formula>0.75</formula>
    </cfRule>
    <cfRule type="cellIs" dxfId="4193" priority="2080" operator="greaterThan">
      <formula>1</formula>
    </cfRule>
    <cfRule type="cellIs" dxfId="4192" priority="2081" operator="between">
      <formula>0.95</formula>
      <formula>1</formula>
    </cfRule>
    <cfRule type="cellIs" dxfId="4191" priority="2082" stopIfTrue="1" operator="between">
      <formula>0</formula>
      <formula>0.5</formula>
    </cfRule>
  </conditionalFormatting>
  <conditionalFormatting sqref="M274">
    <cfRule type="cellIs" dxfId="4190" priority="2073" operator="between">
      <formula>0.191</formula>
      <formula>0.24</formula>
    </cfRule>
    <cfRule type="cellIs" dxfId="4189" priority="2074" operator="between">
      <formula>0.1251</formula>
      <formula>0.19</formula>
    </cfRule>
    <cfRule type="cellIs" dxfId="4188" priority="2075" operator="greaterThan">
      <formula>0.2601</formula>
    </cfRule>
    <cfRule type="cellIs" dxfId="4187" priority="2076" operator="between">
      <formula>0.2401</formula>
      <formula>0.26</formula>
    </cfRule>
    <cfRule type="cellIs" dxfId="4186" priority="2077" stopIfTrue="1" operator="between">
      <formula>0</formula>
      <formula>0.125</formula>
    </cfRule>
  </conditionalFormatting>
  <conditionalFormatting sqref="T274">
    <cfRule type="cellIs" dxfId="4185" priority="2063" operator="between">
      <formula>0.376</formula>
      <formula>0.475</formula>
    </cfRule>
    <cfRule type="cellIs" dxfId="4184" priority="2064" operator="between">
      <formula>0.2551</formula>
      <formula>0.3751</formula>
    </cfRule>
    <cfRule type="cellIs" dxfId="4183" priority="2065" operator="greaterThan">
      <formula>0.505</formula>
    </cfRule>
    <cfRule type="cellIs" dxfId="4182" priority="2066" operator="between">
      <formula>0.48</formula>
      <formula>0.5</formula>
    </cfRule>
    <cfRule type="cellIs" dxfId="4181" priority="2067" stopIfTrue="1" operator="between">
      <formula>0</formula>
      <formula>0.255</formula>
    </cfRule>
  </conditionalFormatting>
  <conditionalFormatting sqref="AE274">
    <cfRule type="cellIs" dxfId="4180" priority="2043" operator="between">
      <formula>0.76</formula>
      <formula>0.95</formula>
    </cfRule>
    <cfRule type="cellIs" dxfId="4179" priority="2044" operator="between">
      <formula>0.51</formula>
      <formula>0.75</formula>
    </cfRule>
    <cfRule type="cellIs" dxfId="4178" priority="2045" operator="greaterThan">
      <formula>1</formula>
    </cfRule>
    <cfRule type="cellIs" dxfId="4177" priority="2046" operator="between">
      <formula>0.95</formula>
      <formula>1</formula>
    </cfRule>
    <cfRule type="cellIs" dxfId="4176" priority="2047" stopIfTrue="1" operator="between">
      <formula>0</formula>
      <formula>0.5</formula>
    </cfRule>
  </conditionalFormatting>
  <conditionalFormatting sqref="AG274">
    <cfRule type="cellIs" dxfId="4175" priority="2038" operator="between">
      <formula>0.76</formula>
      <formula>0.95</formula>
    </cfRule>
    <cfRule type="cellIs" dxfId="4174" priority="2039" operator="between">
      <formula>0.51</formula>
      <formula>0.75</formula>
    </cfRule>
    <cfRule type="cellIs" dxfId="4173" priority="2040" operator="greaterThan">
      <formula>1</formula>
    </cfRule>
    <cfRule type="cellIs" dxfId="4172" priority="2041" operator="between">
      <formula>0.95</formula>
      <formula>1</formula>
    </cfRule>
    <cfRule type="cellIs" dxfId="4171" priority="2042" stopIfTrue="1" operator="between">
      <formula>0</formula>
      <formula>0.5</formula>
    </cfRule>
  </conditionalFormatting>
  <conditionalFormatting sqref="X274">
    <cfRule type="cellIs" dxfId="4170" priority="2033" operator="between">
      <formula>0.76</formula>
      <formula>0.95</formula>
    </cfRule>
    <cfRule type="cellIs" dxfId="4169" priority="2034" operator="between">
      <formula>0.51</formula>
      <formula>0.75</formula>
    </cfRule>
    <cfRule type="cellIs" dxfId="4168" priority="2035" operator="greaterThan">
      <formula>1</formula>
    </cfRule>
    <cfRule type="cellIs" dxfId="4167" priority="2036" operator="between">
      <formula>0.95</formula>
      <formula>1</formula>
    </cfRule>
    <cfRule type="cellIs" dxfId="4166" priority="2037" stopIfTrue="1" operator="between">
      <formula>0</formula>
      <formula>0.5</formula>
    </cfRule>
  </conditionalFormatting>
  <conditionalFormatting sqref="AF275">
    <cfRule type="cellIs" dxfId="4165" priority="2011" operator="between">
      <formula>0.76</formula>
      <formula>0.95</formula>
    </cfRule>
    <cfRule type="cellIs" dxfId="4164" priority="2012" operator="between">
      <formula>0.51</formula>
      <formula>0.75</formula>
    </cfRule>
    <cfRule type="cellIs" dxfId="4163" priority="2013" operator="greaterThan">
      <formula>1</formula>
    </cfRule>
    <cfRule type="cellIs" dxfId="4162" priority="2014" operator="between">
      <formula>0.95</formula>
      <formula>1</formula>
    </cfRule>
    <cfRule type="cellIs" dxfId="4161" priority="2015" stopIfTrue="1" operator="between">
      <formula>0</formula>
      <formula>0.5</formula>
    </cfRule>
  </conditionalFormatting>
  <conditionalFormatting sqref="I275">
    <cfRule type="cellIs" dxfId="4160" priority="2001" operator="between">
      <formula>0.76</formula>
      <formula>0.95</formula>
    </cfRule>
    <cfRule type="cellIs" dxfId="4159" priority="2002" operator="between">
      <formula>0.51</formula>
      <formula>0.75</formula>
    </cfRule>
    <cfRule type="cellIs" dxfId="4158" priority="2003" operator="greaterThan">
      <formula>1</formula>
    </cfRule>
    <cfRule type="cellIs" dxfId="4157" priority="2004" operator="between">
      <formula>0.95</formula>
      <formula>1</formula>
    </cfRule>
    <cfRule type="cellIs" dxfId="4156" priority="2005" stopIfTrue="1" operator="between">
      <formula>0</formula>
      <formula>0.5</formula>
    </cfRule>
  </conditionalFormatting>
  <conditionalFormatting sqref="K275">
    <cfRule type="cellIs" dxfId="4155" priority="1996" operator="between">
      <formula>0.191</formula>
      <formula>0.24</formula>
    </cfRule>
    <cfRule type="cellIs" dxfId="4154" priority="1997" operator="between">
      <formula>0.1251</formula>
      <formula>0.19</formula>
    </cfRule>
    <cfRule type="cellIs" dxfId="4153" priority="1998" operator="greaterThan">
      <formula>0.2601</formula>
    </cfRule>
    <cfRule type="cellIs" dxfId="4152" priority="1999" operator="between">
      <formula>0.2401</formula>
      <formula>0.26</formula>
    </cfRule>
    <cfRule type="cellIs" dxfId="4151" priority="2000" stopIfTrue="1" operator="between">
      <formula>0</formula>
      <formula>0.125</formula>
    </cfRule>
  </conditionalFormatting>
  <conditionalFormatting sqref="P275">
    <cfRule type="cellIs" dxfId="4150" priority="1991" operator="between">
      <formula>0.76</formula>
      <formula>0.95</formula>
    </cfRule>
    <cfRule type="cellIs" dxfId="4149" priority="1992" operator="between">
      <formula>0.51</formula>
      <formula>0.75</formula>
    </cfRule>
    <cfRule type="cellIs" dxfId="4148" priority="1993" operator="greaterThan">
      <formula>1</formula>
    </cfRule>
    <cfRule type="cellIs" dxfId="4147" priority="1994" operator="between">
      <formula>0.95</formula>
      <formula>1</formula>
    </cfRule>
    <cfRule type="cellIs" dxfId="4146" priority="1995" stopIfTrue="1" operator="between">
      <formula>0</formula>
      <formula>0.5</formula>
    </cfRule>
  </conditionalFormatting>
  <conditionalFormatting sqref="W275">
    <cfRule type="cellIs" dxfId="4145" priority="1986" operator="between">
      <formula>0.76</formula>
      <formula>0.95</formula>
    </cfRule>
    <cfRule type="cellIs" dxfId="4144" priority="1987" operator="between">
      <formula>0.51</formula>
      <formula>0.75</formula>
    </cfRule>
    <cfRule type="cellIs" dxfId="4143" priority="1988" operator="greaterThan">
      <formula>1</formula>
    </cfRule>
    <cfRule type="cellIs" dxfId="4142" priority="1989" operator="between">
      <formula>0.95</formula>
      <formula>1</formula>
    </cfRule>
    <cfRule type="cellIs" dxfId="4141" priority="1990" stopIfTrue="1" operator="between">
      <formula>0</formula>
      <formula>0.5</formula>
    </cfRule>
  </conditionalFormatting>
  <conditionalFormatting sqref="AD275">
    <cfRule type="cellIs" dxfId="4140" priority="1976" operator="between">
      <formula>0.76</formula>
      <formula>0.95</formula>
    </cfRule>
    <cfRule type="cellIs" dxfId="4139" priority="1977" operator="between">
      <formula>0.51</formula>
      <formula>0.75</formula>
    </cfRule>
    <cfRule type="cellIs" dxfId="4138" priority="1978" operator="greaterThan">
      <formula>1</formula>
    </cfRule>
    <cfRule type="cellIs" dxfId="4137" priority="1979" operator="between">
      <formula>0.95</formula>
      <formula>1</formula>
    </cfRule>
    <cfRule type="cellIs" dxfId="4136" priority="1980" stopIfTrue="1" operator="between">
      <formula>0</formula>
      <formula>0.5</formula>
    </cfRule>
  </conditionalFormatting>
  <conditionalFormatting sqref="R275">
    <cfRule type="cellIs" dxfId="4135" priority="1971" operator="between">
      <formula>0.3751</formula>
      <formula>0.475</formula>
    </cfRule>
    <cfRule type="cellIs" dxfId="4134" priority="1972" operator="between">
      <formula>0.2551</formula>
      <formula>0.375</formula>
    </cfRule>
    <cfRule type="cellIs" dxfId="4133" priority="1973" operator="greaterThan">
      <formula>0.505</formula>
    </cfRule>
    <cfRule type="cellIs" dxfId="4132" priority="1974" operator="between">
      <formula>0.48</formula>
      <formula>0.5</formula>
    </cfRule>
    <cfRule type="cellIs" dxfId="4131" priority="1975" stopIfTrue="1" operator="between">
      <formula>0</formula>
      <formula>0.255</formula>
    </cfRule>
  </conditionalFormatting>
  <conditionalFormatting sqref="Q275">
    <cfRule type="cellIs" dxfId="4130" priority="1956" operator="between">
      <formula>0.76</formula>
      <formula>0.95</formula>
    </cfRule>
    <cfRule type="cellIs" dxfId="4129" priority="1957" operator="between">
      <formula>0.51</formula>
      <formula>0.75</formula>
    </cfRule>
    <cfRule type="cellIs" dxfId="4128" priority="1958" operator="greaterThan">
      <formula>1</formula>
    </cfRule>
    <cfRule type="cellIs" dxfId="4127" priority="1959" operator="between">
      <formula>0.95</formula>
      <formula>1</formula>
    </cfRule>
    <cfRule type="cellIs" dxfId="4126" priority="1960" stopIfTrue="1" operator="between">
      <formula>0</formula>
      <formula>0.5</formula>
    </cfRule>
  </conditionalFormatting>
  <conditionalFormatting sqref="AG275">
    <cfRule type="cellIs" dxfId="4125" priority="1926" operator="between">
      <formula>0.76</formula>
      <formula>0.95</formula>
    </cfRule>
    <cfRule type="cellIs" dxfId="4124" priority="1927" operator="between">
      <formula>0.51</formula>
      <formula>0.75</formula>
    </cfRule>
    <cfRule type="cellIs" dxfId="4123" priority="1928" operator="greaterThan">
      <formula>1</formula>
    </cfRule>
    <cfRule type="cellIs" dxfId="4122" priority="1929" operator="between">
      <formula>0.95</formula>
      <formula>1</formula>
    </cfRule>
    <cfRule type="cellIs" dxfId="4121" priority="1930" stopIfTrue="1" operator="between">
      <formula>0</formula>
      <formula>0.5</formula>
    </cfRule>
  </conditionalFormatting>
  <conditionalFormatting sqref="X275">
    <cfRule type="cellIs" dxfId="4120" priority="1921" operator="between">
      <formula>0.76</formula>
      <formula>0.95</formula>
    </cfRule>
    <cfRule type="cellIs" dxfId="4119" priority="1922" operator="between">
      <formula>0.51</formula>
      <formula>0.75</formula>
    </cfRule>
    <cfRule type="cellIs" dxfId="4118" priority="1923" operator="greaterThan">
      <formula>1</formula>
    </cfRule>
    <cfRule type="cellIs" dxfId="4117" priority="1924" operator="between">
      <formula>0.95</formula>
      <formula>1</formula>
    </cfRule>
    <cfRule type="cellIs" dxfId="4116" priority="1925" stopIfTrue="1" operator="between">
      <formula>0</formula>
      <formula>0.5</formula>
    </cfRule>
  </conditionalFormatting>
  <conditionalFormatting sqref="J275">
    <cfRule type="cellIs" dxfId="4115" priority="1916" operator="between">
      <formula>0.76</formula>
      <formula>0.95</formula>
    </cfRule>
    <cfRule type="cellIs" dxfId="4114" priority="1917" operator="between">
      <formula>0.51</formula>
      <formula>0.75</formula>
    </cfRule>
    <cfRule type="cellIs" dxfId="4113" priority="1918" operator="greaterThan">
      <formula>1</formula>
    </cfRule>
    <cfRule type="cellIs" dxfId="4112" priority="1919" operator="between">
      <formula>0.95</formula>
      <formula>1</formula>
    </cfRule>
    <cfRule type="cellIs" dxfId="4111" priority="1920" stopIfTrue="1" operator="between">
      <formula>0</formula>
      <formula>0.5</formula>
    </cfRule>
  </conditionalFormatting>
  <conditionalFormatting sqref="M275">
    <cfRule type="cellIs" dxfId="4110" priority="1911" operator="between">
      <formula>0.191</formula>
      <formula>0.24</formula>
    </cfRule>
    <cfRule type="cellIs" dxfId="4109" priority="1912" operator="between">
      <formula>0.1251</formula>
      <formula>0.19</formula>
    </cfRule>
    <cfRule type="cellIs" dxfId="4108" priority="1913" operator="greaterThan">
      <formula>0.2601</formula>
    </cfRule>
    <cfRule type="cellIs" dxfId="4107" priority="1914" operator="between">
      <formula>0.2401</formula>
      <formula>0.26</formula>
    </cfRule>
    <cfRule type="cellIs" dxfId="4106" priority="1915" stopIfTrue="1" operator="between">
      <formula>0</formula>
      <formula>0.125</formula>
    </cfRule>
  </conditionalFormatting>
  <conditionalFormatting sqref="AE275">
    <cfRule type="cellIs" dxfId="4105" priority="1906" operator="between">
      <formula>0.76</formula>
      <formula>0.95</formula>
    </cfRule>
    <cfRule type="cellIs" dxfId="4104" priority="1907" operator="between">
      <formula>0.51</formula>
      <formula>0.75</formula>
    </cfRule>
    <cfRule type="cellIs" dxfId="4103" priority="1908" operator="greaterThan">
      <formula>1</formula>
    </cfRule>
    <cfRule type="cellIs" dxfId="4102" priority="1909" operator="between">
      <formula>0.95</formula>
      <formula>1</formula>
    </cfRule>
    <cfRule type="cellIs" dxfId="4101" priority="1910" stopIfTrue="1" operator="between">
      <formula>0</formula>
      <formula>0.5</formula>
    </cfRule>
  </conditionalFormatting>
  <conditionalFormatting sqref="J43">
    <cfRule type="cellIs" dxfId="4100" priority="1896" operator="between">
      <formula>0.76</formula>
      <formula>0.95</formula>
    </cfRule>
    <cfRule type="cellIs" dxfId="4099" priority="1897" operator="between">
      <formula>0.51</formula>
      <formula>0.75</formula>
    </cfRule>
    <cfRule type="cellIs" dxfId="4098" priority="1898" operator="greaterThan">
      <formula>1</formula>
    </cfRule>
    <cfRule type="cellIs" dxfId="4097" priority="1899" operator="between">
      <formula>0.95</formula>
      <formula>1</formula>
    </cfRule>
    <cfRule type="cellIs" dxfId="4096" priority="1900" stopIfTrue="1" operator="between">
      <formula>0</formula>
      <formula>0.5</formula>
    </cfRule>
  </conditionalFormatting>
  <conditionalFormatting sqref="Q43">
    <cfRule type="cellIs" dxfId="4095" priority="1891" operator="between">
      <formula>0.76</formula>
      <formula>0.95</formula>
    </cfRule>
    <cfRule type="cellIs" dxfId="4094" priority="1892" operator="between">
      <formula>0.51</formula>
      <formula>0.75</formula>
    </cfRule>
    <cfRule type="cellIs" dxfId="4093" priority="1893" operator="greaterThan">
      <formula>1</formula>
    </cfRule>
    <cfRule type="cellIs" dxfId="4092" priority="1894" operator="between">
      <formula>0.95</formula>
      <formula>1</formula>
    </cfRule>
    <cfRule type="cellIs" dxfId="4091" priority="1895" stopIfTrue="1" operator="between">
      <formula>0</formula>
      <formula>0.5</formula>
    </cfRule>
  </conditionalFormatting>
  <conditionalFormatting sqref="J70">
    <cfRule type="cellIs" dxfId="4090" priority="1886" operator="between">
      <formula>0.76</formula>
      <formula>0.95</formula>
    </cfRule>
    <cfRule type="cellIs" dxfId="4089" priority="1887" operator="between">
      <formula>0.51</formula>
      <formula>0.75</formula>
    </cfRule>
    <cfRule type="cellIs" dxfId="4088" priority="1888" operator="greaterThan">
      <formula>1</formula>
    </cfRule>
    <cfRule type="cellIs" dxfId="4087" priority="1889" operator="between">
      <formula>0.95</formula>
      <formula>1</formula>
    </cfRule>
    <cfRule type="cellIs" dxfId="4086" priority="1890" stopIfTrue="1" operator="between">
      <formula>0</formula>
      <formula>0.5</formula>
    </cfRule>
  </conditionalFormatting>
  <conditionalFormatting sqref="AE41">
    <cfRule type="cellIs" dxfId="4085" priority="1881" operator="between">
      <formula>0.76</formula>
      <formula>0.95</formula>
    </cfRule>
    <cfRule type="cellIs" dxfId="4084" priority="1882" operator="between">
      <formula>0.51</formula>
      <formula>0.75</formula>
    </cfRule>
    <cfRule type="cellIs" dxfId="4083" priority="1883" operator="greaterThan">
      <formula>1</formula>
    </cfRule>
    <cfRule type="cellIs" dxfId="4082" priority="1884" operator="between">
      <formula>0.95</formula>
      <formula>1</formula>
    </cfRule>
    <cfRule type="cellIs" dxfId="4081" priority="1885" stopIfTrue="1" operator="between">
      <formula>0</formula>
      <formula>0.5</formula>
    </cfRule>
  </conditionalFormatting>
  <conditionalFormatting sqref="AG127:AG128">
    <cfRule type="cellIs" dxfId="4080" priority="1876" operator="between">
      <formula>0.76</formula>
      <formula>0.95</formula>
    </cfRule>
    <cfRule type="cellIs" dxfId="4079" priority="1877" operator="between">
      <formula>0.51</formula>
      <formula>0.75</formula>
    </cfRule>
    <cfRule type="cellIs" dxfId="4078" priority="1878" operator="greaterThan">
      <formula>1</formula>
    </cfRule>
    <cfRule type="cellIs" dxfId="4077" priority="1879" operator="between">
      <formula>0.95</formula>
      <formula>1</formula>
    </cfRule>
    <cfRule type="cellIs" dxfId="4076" priority="1880" stopIfTrue="1" operator="between">
      <formula>0</formula>
      <formula>0.5</formula>
    </cfRule>
  </conditionalFormatting>
  <conditionalFormatting sqref="AG131:AG137">
    <cfRule type="cellIs" dxfId="4075" priority="1871" operator="between">
      <formula>0.76</formula>
      <formula>0.95</formula>
    </cfRule>
    <cfRule type="cellIs" dxfId="4074" priority="1872" operator="between">
      <formula>0.51</formula>
      <formula>0.75</formula>
    </cfRule>
    <cfRule type="cellIs" dxfId="4073" priority="1873" operator="greaterThan">
      <formula>1</formula>
    </cfRule>
    <cfRule type="cellIs" dxfId="4072" priority="1874" operator="between">
      <formula>0.95</formula>
      <formula>1</formula>
    </cfRule>
    <cfRule type="cellIs" dxfId="4071" priority="1875" stopIfTrue="1" operator="between">
      <formula>0</formula>
      <formula>0.5</formula>
    </cfRule>
  </conditionalFormatting>
  <conditionalFormatting sqref="AG140">
    <cfRule type="cellIs" dxfId="4070" priority="1866" operator="between">
      <formula>0.76</formula>
      <formula>0.95</formula>
    </cfRule>
    <cfRule type="cellIs" dxfId="4069" priority="1867" operator="between">
      <formula>0.51</formula>
      <formula>0.75</formula>
    </cfRule>
    <cfRule type="cellIs" dxfId="4068" priority="1868" operator="greaterThan">
      <formula>1</formula>
    </cfRule>
    <cfRule type="cellIs" dxfId="4067" priority="1869" operator="between">
      <formula>0.95</formula>
      <formula>1</formula>
    </cfRule>
    <cfRule type="cellIs" dxfId="4066" priority="1870" stopIfTrue="1" operator="between">
      <formula>0</formula>
      <formula>0.5</formula>
    </cfRule>
  </conditionalFormatting>
  <conditionalFormatting sqref="AG143">
    <cfRule type="cellIs" dxfId="4065" priority="1861" operator="between">
      <formula>0.76</formula>
      <formula>0.95</formula>
    </cfRule>
    <cfRule type="cellIs" dxfId="4064" priority="1862" operator="between">
      <formula>0.51</formula>
      <formula>0.75</formula>
    </cfRule>
    <cfRule type="cellIs" dxfId="4063" priority="1863" operator="greaterThan">
      <formula>1</formula>
    </cfRule>
    <cfRule type="cellIs" dxfId="4062" priority="1864" operator="between">
      <formula>0.95</formula>
      <formula>1</formula>
    </cfRule>
    <cfRule type="cellIs" dxfId="4061" priority="1865" stopIfTrue="1" operator="between">
      <formula>0</formula>
      <formula>0.5</formula>
    </cfRule>
  </conditionalFormatting>
  <conditionalFormatting sqref="AG146">
    <cfRule type="cellIs" dxfId="4060" priority="1856" operator="between">
      <formula>0.76</formula>
      <formula>0.95</formula>
    </cfRule>
    <cfRule type="cellIs" dxfId="4059" priority="1857" operator="between">
      <formula>0.51</formula>
      <formula>0.75</formula>
    </cfRule>
    <cfRule type="cellIs" dxfId="4058" priority="1858" operator="greaterThan">
      <formula>1</formula>
    </cfRule>
    <cfRule type="cellIs" dxfId="4057" priority="1859" operator="between">
      <formula>0.95</formula>
      <formula>1</formula>
    </cfRule>
    <cfRule type="cellIs" dxfId="4056" priority="1860" stopIfTrue="1" operator="between">
      <formula>0</formula>
      <formula>0.5</formula>
    </cfRule>
  </conditionalFormatting>
  <conditionalFormatting sqref="AG149">
    <cfRule type="cellIs" dxfId="4055" priority="1851" operator="between">
      <formula>0.76</formula>
      <formula>0.95</formula>
    </cfRule>
    <cfRule type="cellIs" dxfId="4054" priority="1852" operator="between">
      <formula>0.51</formula>
      <formula>0.75</formula>
    </cfRule>
    <cfRule type="cellIs" dxfId="4053" priority="1853" operator="greaterThan">
      <formula>1</formula>
    </cfRule>
    <cfRule type="cellIs" dxfId="4052" priority="1854" operator="between">
      <formula>0.95</formula>
      <formula>1</formula>
    </cfRule>
    <cfRule type="cellIs" dxfId="4051" priority="1855" stopIfTrue="1" operator="between">
      <formula>0</formula>
      <formula>0.5</formula>
    </cfRule>
  </conditionalFormatting>
  <conditionalFormatting sqref="AG158:AG161">
    <cfRule type="cellIs" dxfId="4050" priority="1846" operator="between">
      <formula>0.76</formula>
      <formula>0.95</formula>
    </cfRule>
    <cfRule type="cellIs" dxfId="4049" priority="1847" operator="between">
      <formula>0.51</formula>
      <formula>0.75</formula>
    </cfRule>
    <cfRule type="cellIs" dxfId="4048" priority="1848" operator="greaterThan">
      <formula>1</formula>
    </cfRule>
    <cfRule type="cellIs" dxfId="4047" priority="1849" operator="between">
      <formula>0.95</formula>
      <formula>1</formula>
    </cfRule>
    <cfRule type="cellIs" dxfId="4046" priority="1850" stopIfTrue="1" operator="between">
      <formula>0</formula>
      <formula>0.5</formula>
    </cfRule>
  </conditionalFormatting>
  <conditionalFormatting sqref="AG173">
    <cfRule type="cellIs" dxfId="4045" priority="1841" operator="between">
      <formula>0.76</formula>
      <formula>0.95</formula>
    </cfRule>
    <cfRule type="cellIs" dxfId="4044" priority="1842" operator="between">
      <formula>0.51</formula>
      <formula>0.75</formula>
    </cfRule>
    <cfRule type="cellIs" dxfId="4043" priority="1843" operator="greaterThan">
      <formula>1</formula>
    </cfRule>
    <cfRule type="cellIs" dxfId="4042" priority="1844" operator="between">
      <formula>0.95</formula>
      <formula>1</formula>
    </cfRule>
    <cfRule type="cellIs" dxfId="4041" priority="1845" stopIfTrue="1" operator="between">
      <formula>0</formula>
      <formula>0.5</formula>
    </cfRule>
  </conditionalFormatting>
  <conditionalFormatting sqref="AG179">
    <cfRule type="cellIs" dxfId="4040" priority="1836" operator="between">
      <formula>0.76</formula>
      <formula>0.95</formula>
    </cfRule>
    <cfRule type="cellIs" dxfId="4039" priority="1837" operator="between">
      <formula>0.51</formula>
      <formula>0.75</formula>
    </cfRule>
    <cfRule type="cellIs" dxfId="4038" priority="1838" operator="greaterThan">
      <formula>1</formula>
    </cfRule>
    <cfRule type="cellIs" dxfId="4037" priority="1839" operator="between">
      <formula>0.95</formula>
      <formula>1</formula>
    </cfRule>
    <cfRule type="cellIs" dxfId="4036" priority="1840" stopIfTrue="1" operator="between">
      <formula>0</formula>
      <formula>0.5</formula>
    </cfRule>
  </conditionalFormatting>
  <conditionalFormatting sqref="AG268:AG270">
    <cfRule type="cellIs" dxfId="4035" priority="1831" operator="between">
      <formula>0.76</formula>
      <formula>0.95</formula>
    </cfRule>
    <cfRule type="cellIs" dxfId="4034" priority="1832" operator="between">
      <formula>0.51</formula>
      <formula>0.75</formula>
    </cfRule>
    <cfRule type="cellIs" dxfId="4033" priority="1833" operator="greaterThan">
      <formula>1</formula>
    </cfRule>
    <cfRule type="cellIs" dxfId="4032" priority="1834" operator="between">
      <formula>0.95</formula>
      <formula>1</formula>
    </cfRule>
    <cfRule type="cellIs" dxfId="4031" priority="1835" stopIfTrue="1" operator="between">
      <formula>0</formula>
      <formula>0.5</formula>
    </cfRule>
  </conditionalFormatting>
  <conditionalFormatting sqref="AG273">
    <cfRule type="cellIs" dxfId="4030" priority="1826" operator="between">
      <formula>0.76</formula>
      <formula>0.95</formula>
    </cfRule>
    <cfRule type="cellIs" dxfId="4029" priority="1827" operator="between">
      <formula>0.51</formula>
      <formula>0.75</formula>
    </cfRule>
    <cfRule type="cellIs" dxfId="4028" priority="1828" operator="greaterThan">
      <formula>1</formula>
    </cfRule>
    <cfRule type="cellIs" dxfId="4027" priority="1829" operator="between">
      <formula>0.95</formula>
      <formula>1</formula>
    </cfRule>
    <cfRule type="cellIs" dxfId="4026" priority="1830" stopIfTrue="1" operator="between">
      <formula>0</formula>
      <formula>0.5</formula>
    </cfRule>
  </conditionalFormatting>
  <conditionalFormatting sqref="AG348">
    <cfRule type="cellIs" dxfId="4025" priority="1821" operator="between">
      <formula>0.76</formula>
      <formula>0.95</formula>
    </cfRule>
    <cfRule type="cellIs" dxfId="4024" priority="1822" operator="between">
      <formula>0.51</formula>
      <formula>0.75</formula>
    </cfRule>
    <cfRule type="cellIs" dxfId="4023" priority="1823" operator="greaterThan">
      <formula>1</formula>
    </cfRule>
    <cfRule type="cellIs" dxfId="4022" priority="1824" operator="between">
      <formula>0.95</formula>
      <formula>1</formula>
    </cfRule>
    <cfRule type="cellIs" dxfId="4021" priority="1825" stopIfTrue="1" operator="between">
      <formula>0</formula>
      <formula>0.5</formula>
    </cfRule>
  </conditionalFormatting>
  <conditionalFormatting sqref="AG350">
    <cfRule type="cellIs" dxfId="4020" priority="1816" operator="between">
      <formula>0.76</formula>
      <formula>0.95</formula>
    </cfRule>
    <cfRule type="cellIs" dxfId="4019" priority="1817" operator="between">
      <formula>0.51</formula>
      <formula>0.75</formula>
    </cfRule>
    <cfRule type="cellIs" dxfId="4018" priority="1818" operator="greaterThan">
      <formula>1</formula>
    </cfRule>
    <cfRule type="cellIs" dxfId="4017" priority="1819" operator="between">
      <formula>0.95</formula>
      <formula>1</formula>
    </cfRule>
    <cfRule type="cellIs" dxfId="4016" priority="1820" stopIfTrue="1" operator="between">
      <formula>0</formula>
      <formula>0.5</formula>
    </cfRule>
  </conditionalFormatting>
  <conditionalFormatting sqref="AG351">
    <cfRule type="cellIs" dxfId="4015" priority="1811" operator="between">
      <formula>0.76</formula>
      <formula>0.95</formula>
    </cfRule>
    <cfRule type="cellIs" dxfId="4014" priority="1812" operator="between">
      <formula>0.51</formula>
      <formula>0.75</formula>
    </cfRule>
    <cfRule type="cellIs" dxfId="4013" priority="1813" operator="greaterThan">
      <formula>1</formula>
    </cfRule>
    <cfRule type="cellIs" dxfId="4012" priority="1814" operator="between">
      <formula>0.95</formula>
      <formula>1</formula>
    </cfRule>
    <cfRule type="cellIs" dxfId="4011" priority="1815" stopIfTrue="1" operator="between">
      <formula>0</formula>
      <formula>0.5</formula>
    </cfRule>
  </conditionalFormatting>
  <conditionalFormatting sqref="AG119">
    <cfRule type="cellIs" dxfId="4010" priority="1791" operator="between">
      <formula>0.76</formula>
      <formula>0.95</formula>
    </cfRule>
    <cfRule type="cellIs" dxfId="4009" priority="1792" operator="between">
      <formula>0.51</formula>
      <formula>0.75</formula>
    </cfRule>
    <cfRule type="cellIs" dxfId="4008" priority="1793" operator="greaterThan">
      <formula>1</formula>
    </cfRule>
    <cfRule type="cellIs" dxfId="4007" priority="1794" operator="between">
      <formula>0.95</formula>
      <formula>1</formula>
    </cfRule>
    <cfRule type="cellIs" dxfId="4006" priority="1795" stopIfTrue="1" operator="between">
      <formula>0</formula>
      <formula>0.5</formula>
    </cfRule>
  </conditionalFormatting>
  <conditionalFormatting sqref="J145">
    <cfRule type="cellIs" dxfId="4005" priority="1786" operator="between">
      <formula>0.76</formula>
      <formula>0.95</formula>
    </cfRule>
    <cfRule type="cellIs" dxfId="4004" priority="1787" operator="between">
      <formula>0.51</formula>
      <formula>0.75</formula>
    </cfRule>
    <cfRule type="cellIs" dxfId="4003" priority="1788" operator="greaterThan">
      <formula>1</formula>
    </cfRule>
    <cfRule type="cellIs" dxfId="4002" priority="1789" operator="between">
      <formula>0.95</formula>
      <formula>1</formula>
    </cfRule>
    <cfRule type="cellIs" dxfId="4001" priority="1790" stopIfTrue="1" operator="between">
      <formula>0</formula>
      <formula>0.5</formula>
    </cfRule>
  </conditionalFormatting>
  <conditionalFormatting sqref="M145">
    <cfRule type="cellIs" dxfId="4000" priority="1781" operator="between">
      <formula>0.191</formula>
      <formula>0.24</formula>
    </cfRule>
    <cfRule type="cellIs" dxfId="3999" priority="1782" operator="between">
      <formula>0.1251</formula>
      <formula>0.19</formula>
    </cfRule>
    <cfRule type="cellIs" dxfId="3998" priority="1783" operator="greaterThan">
      <formula>0.2601</formula>
    </cfRule>
    <cfRule type="cellIs" dxfId="3997" priority="1784" operator="between">
      <formula>0.2401</formula>
      <formula>0.26</formula>
    </cfRule>
    <cfRule type="cellIs" dxfId="3996" priority="1785" stopIfTrue="1" operator="between">
      <formula>0</formula>
      <formula>0.125</formula>
    </cfRule>
  </conditionalFormatting>
  <conditionalFormatting sqref="X135">
    <cfRule type="cellIs" dxfId="3995" priority="1761" operator="between">
      <formula>0.76</formula>
      <formula>0.95</formula>
    </cfRule>
    <cfRule type="cellIs" dxfId="3994" priority="1762" operator="between">
      <formula>0.51</formula>
      <formula>0.75</formula>
    </cfRule>
    <cfRule type="cellIs" dxfId="3993" priority="1763" operator="greaterThan">
      <formula>1</formula>
    </cfRule>
    <cfRule type="cellIs" dxfId="3992" priority="1764" operator="between">
      <formula>0.95</formula>
      <formula>1</formula>
    </cfRule>
    <cfRule type="cellIs" dxfId="3991" priority="1765" stopIfTrue="1" operator="between">
      <formula>0</formula>
      <formula>0.5</formula>
    </cfRule>
  </conditionalFormatting>
  <conditionalFormatting sqref="AE285">
    <cfRule type="cellIs" dxfId="3990" priority="1756" operator="between">
      <formula>0.76</formula>
      <formula>0.95</formula>
    </cfRule>
    <cfRule type="cellIs" dxfId="3989" priority="1757" operator="between">
      <formula>0.51</formula>
      <formula>0.75</formula>
    </cfRule>
    <cfRule type="cellIs" dxfId="3988" priority="1758" operator="greaterThan">
      <formula>1</formula>
    </cfRule>
    <cfRule type="cellIs" dxfId="3987" priority="1759" operator="between">
      <formula>0.95</formula>
      <formula>1</formula>
    </cfRule>
    <cfRule type="cellIs" dxfId="3986" priority="1760" stopIfTrue="1" operator="between">
      <formula>0</formula>
      <formula>0.5</formula>
    </cfRule>
  </conditionalFormatting>
  <conditionalFormatting sqref="AE329:AE330">
    <cfRule type="cellIs" dxfId="3985" priority="1751" operator="between">
      <formula>0.76</formula>
      <formula>0.95</formula>
    </cfRule>
    <cfRule type="cellIs" dxfId="3984" priority="1752" operator="between">
      <formula>0.51</formula>
      <formula>0.75</formula>
    </cfRule>
    <cfRule type="cellIs" dxfId="3983" priority="1753" operator="greaterThan">
      <formula>1</formula>
    </cfRule>
    <cfRule type="cellIs" dxfId="3982" priority="1754" operator="between">
      <formula>0.95</formula>
      <formula>1</formula>
    </cfRule>
    <cfRule type="cellIs" dxfId="3981" priority="1755" stopIfTrue="1" operator="between">
      <formula>0</formula>
      <formula>0.5</formula>
    </cfRule>
  </conditionalFormatting>
  <conditionalFormatting sqref="AE255">
    <cfRule type="cellIs" dxfId="3980" priority="1741" operator="between">
      <formula>0.76</formula>
      <formula>0.95</formula>
    </cfRule>
    <cfRule type="cellIs" dxfId="3979" priority="1742" operator="between">
      <formula>0.51</formula>
      <formula>0.75</formula>
    </cfRule>
    <cfRule type="cellIs" dxfId="3978" priority="1743" operator="greaterThan">
      <formula>1</formula>
    </cfRule>
    <cfRule type="cellIs" dxfId="3977" priority="1744" operator="between">
      <formula>0.95</formula>
      <formula>1</formula>
    </cfRule>
    <cfRule type="cellIs" dxfId="3976" priority="1745" stopIfTrue="1" operator="between">
      <formula>0</formula>
      <formula>0.5</formula>
    </cfRule>
  </conditionalFormatting>
  <conditionalFormatting sqref="I378 W378:X378 AD378 AF378:AG378 P378">
    <cfRule type="cellIs" dxfId="3975" priority="1724" operator="between">
      <formula>0.76</formula>
      <formula>0.95</formula>
    </cfRule>
    <cfRule type="cellIs" dxfId="3974" priority="1725" operator="between">
      <formula>0.51</formula>
      <formula>0.75</formula>
    </cfRule>
    <cfRule type="cellIs" dxfId="3973" priority="1726" operator="greaterThan">
      <formula>1</formula>
    </cfRule>
    <cfRule type="cellIs" dxfId="3972" priority="1727" operator="between">
      <formula>0.95</formula>
      <formula>1</formula>
    </cfRule>
    <cfRule type="cellIs" dxfId="3971" priority="1728" stopIfTrue="1" operator="between">
      <formula>0</formula>
      <formula>0.5</formula>
    </cfRule>
  </conditionalFormatting>
  <conditionalFormatting sqref="R378">
    <cfRule type="cellIs" dxfId="3970" priority="1719" operator="between">
      <formula>0.3751</formula>
      <formula>0.475</formula>
    </cfRule>
    <cfRule type="cellIs" dxfId="3969" priority="1720" operator="between">
      <formula>0.2551</formula>
      <formula>0.375</formula>
    </cfRule>
    <cfRule type="cellIs" dxfId="3968" priority="1721" operator="greaterThan">
      <formula>0.505</formula>
    </cfRule>
    <cfRule type="cellIs" dxfId="3967" priority="1722" operator="between">
      <formula>0.48</formula>
      <formula>0.5</formula>
    </cfRule>
    <cfRule type="cellIs" dxfId="3966" priority="1723" stopIfTrue="1" operator="between">
      <formula>0</formula>
      <formula>0.255</formula>
    </cfRule>
  </conditionalFormatting>
  <conditionalFormatting sqref="K378">
    <cfRule type="cellIs" dxfId="3965" priority="1714" operator="between">
      <formula>0.191</formula>
      <formula>0.24</formula>
    </cfRule>
    <cfRule type="cellIs" dxfId="3964" priority="1715" operator="between">
      <formula>0.1251</formula>
      <formula>0.19</formula>
    </cfRule>
    <cfRule type="cellIs" dxfId="3963" priority="1716" operator="greaterThan">
      <formula>0.2601</formula>
    </cfRule>
    <cfRule type="cellIs" dxfId="3962" priority="1717" operator="between">
      <formula>0.2401</formula>
      <formula>0.26</formula>
    </cfRule>
    <cfRule type="cellIs" dxfId="3961" priority="1718" stopIfTrue="1" operator="between">
      <formula>0</formula>
      <formula>0.125</formula>
    </cfRule>
  </conditionalFormatting>
  <conditionalFormatting sqref="T378">
    <cfRule type="cellIs" dxfId="3960" priority="1699" operator="between">
      <formula>0.376</formula>
      <formula>0.475</formula>
    </cfRule>
    <cfRule type="cellIs" dxfId="3959" priority="1700" operator="between">
      <formula>0.2551</formula>
      <formula>0.3751</formula>
    </cfRule>
    <cfRule type="cellIs" dxfId="3958" priority="1701" operator="greaterThan">
      <formula>0.505</formula>
    </cfRule>
    <cfRule type="cellIs" dxfId="3957" priority="1702" operator="between">
      <formula>0.48</formula>
      <formula>0.5</formula>
    </cfRule>
    <cfRule type="cellIs" dxfId="3956" priority="1703" stopIfTrue="1" operator="between">
      <formula>0</formula>
      <formula>0.255</formula>
    </cfRule>
  </conditionalFormatting>
  <conditionalFormatting sqref="AE378">
    <cfRule type="cellIs" dxfId="3955" priority="1689" operator="between">
      <formula>0.76</formula>
      <formula>0.95</formula>
    </cfRule>
    <cfRule type="cellIs" dxfId="3954" priority="1690" operator="between">
      <formula>0.51</formula>
      <formula>0.75</formula>
    </cfRule>
    <cfRule type="cellIs" dxfId="3953" priority="1691" operator="greaterThan">
      <formula>1</formula>
    </cfRule>
    <cfRule type="cellIs" dxfId="3952" priority="1692" operator="between">
      <formula>0.95</formula>
      <formula>1</formula>
    </cfRule>
    <cfRule type="cellIs" dxfId="3951" priority="1693" stopIfTrue="1" operator="between">
      <formula>0</formula>
      <formula>0.5</formula>
    </cfRule>
  </conditionalFormatting>
  <conditionalFormatting sqref="J378">
    <cfRule type="cellIs" dxfId="3950" priority="1684" operator="between">
      <formula>0.76</formula>
      <formula>0.95</formula>
    </cfRule>
    <cfRule type="cellIs" dxfId="3949" priority="1685" operator="between">
      <formula>0.51</formula>
      <formula>0.75</formula>
    </cfRule>
    <cfRule type="cellIs" dxfId="3948" priority="1686" operator="greaterThan">
      <formula>1</formula>
    </cfRule>
    <cfRule type="cellIs" dxfId="3947" priority="1687" operator="between">
      <formula>0.95</formula>
      <formula>1</formula>
    </cfRule>
    <cfRule type="cellIs" dxfId="3946" priority="1688" stopIfTrue="1" operator="between">
      <formula>0</formula>
      <formula>0.5</formula>
    </cfRule>
  </conditionalFormatting>
  <conditionalFormatting sqref="Q378">
    <cfRule type="cellIs" dxfId="3945" priority="1679" operator="between">
      <formula>0.76</formula>
      <formula>0.95</formula>
    </cfRule>
    <cfRule type="cellIs" dxfId="3944" priority="1680" operator="between">
      <formula>0.51</formula>
      <formula>0.75</formula>
    </cfRule>
    <cfRule type="cellIs" dxfId="3943" priority="1681" operator="greaterThan">
      <formula>1</formula>
    </cfRule>
    <cfRule type="cellIs" dxfId="3942" priority="1682" operator="between">
      <formula>0.95</formula>
      <formula>1</formula>
    </cfRule>
    <cfRule type="cellIs" dxfId="3941" priority="1683" stopIfTrue="1" operator="between">
      <formula>0</formula>
      <formula>0.5</formula>
    </cfRule>
  </conditionalFormatting>
  <conditionalFormatting sqref="I175:J175 AD175:AG175 P175:Q175 W175:X175">
    <cfRule type="cellIs" dxfId="3940" priority="1671" operator="between">
      <formula>0.76</formula>
      <formula>0.95</formula>
    </cfRule>
    <cfRule type="cellIs" dxfId="3939" priority="1672" operator="between">
      <formula>0.51</formula>
      <formula>0.75</formula>
    </cfRule>
    <cfRule type="cellIs" dxfId="3938" priority="1673" operator="greaterThan">
      <formula>1</formula>
    </cfRule>
    <cfRule type="cellIs" dxfId="3937" priority="1674" operator="between">
      <formula>0.95</formula>
      <formula>1</formula>
    </cfRule>
    <cfRule type="cellIs" dxfId="3936" priority="1675" stopIfTrue="1" operator="between">
      <formula>0</formula>
      <formula>0.5</formula>
    </cfRule>
  </conditionalFormatting>
  <conditionalFormatting sqref="R175">
    <cfRule type="cellIs" dxfId="3935" priority="1666" operator="between">
      <formula>0.3751</formula>
      <formula>0.475</formula>
    </cfRule>
    <cfRule type="cellIs" dxfId="3934" priority="1667" operator="between">
      <formula>0.2551</formula>
      <formula>0.375</formula>
    </cfRule>
    <cfRule type="cellIs" dxfId="3933" priority="1668" operator="greaterThan">
      <formula>0.505</formula>
    </cfRule>
    <cfRule type="cellIs" dxfId="3932" priority="1669" operator="between">
      <formula>0.48</formula>
      <formula>0.5</formula>
    </cfRule>
    <cfRule type="cellIs" dxfId="3931" priority="1670" stopIfTrue="1" operator="between">
      <formula>0</formula>
      <formula>0.255</formula>
    </cfRule>
  </conditionalFormatting>
  <conditionalFormatting sqref="K175">
    <cfRule type="cellIs" dxfId="3930" priority="1652" operator="between">
      <formula>0.191</formula>
      <formula>0.24</formula>
    </cfRule>
    <cfRule type="cellIs" dxfId="3929" priority="1653" operator="between">
      <formula>0.1251</formula>
      <formula>0.19</formula>
    </cfRule>
    <cfRule type="cellIs" dxfId="3928" priority="1654" operator="greaterThan">
      <formula>0.2601</formula>
    </cfRule>
    <cfRule type="cellIs" dxfId="3927" priority="1655" operator="between">
      <formula>0.2401</formula>
      <formula>0.26</formula>
    </cfRule>
    <cfRule type="cellIs" dxfId="3926" priority="1656" stopIfTrue="1" operator="between">
      <formula>0</formula>
      <formula>0.125</formula>
    </cfRule>
  </conditionalFormatting>
  <conditionalFormatting sqref="T175">
    <cfRule type="cellIs" dxfId="3925" priority="1647" operator="between">
      <formula>0.376</formula>
      <formula>0.475</formula>
    </cfRule>
    <cfRule type="cellIs" dxfId="3924" priority="1648" operator="between">
      <formula>0.2551</formula>
      <formula>0.3751</formula>
    </cfRule>
    <cfRule type="cellIs" dxfId="3923" priority="1649" operator="greaterThan">
      <formula>0.505</formula>
    </cfRule>
    <cfRule type="cellIs" dxfId="3922" priority="1650" operator="between">
      <formula>0.48</formula>
      <formula>0.5</formula>
    </cfRule>
    <cfRule type="cellIs" dxfId="3921" priority="1651" stopIfTrue="1" operator="between">
      <formula>0</formula>
      <formula>0.255</formula>
    </cfRule>
  </conditionalFormatting>
  <conditionalFormatting sqref="I176:J176 W176:X176 P176 AD176 AF176:AG176">
    <cfRule type="cellIs" dxfId="3920" priority="1630" operator="between">
      <formula>0.76</formula>
      <formula>0.95</formula>
    </cfRule>
    <cfRule type="cellIs" dxfId="3919" priority="1631" operator="between">
      <formula>0.51</formula>
      <formula>0.75</formula>
    </cfRule>
    <cfRule type="cellIs" dxfId="3918" priority="1632" operator="greaterThan">
      <formula>1</formula>
    </cfRule>
    <cfRule type="cellIs" dxfId="3917" priority="1633" operator="between">
      <formula>0.95</formula>
      <formula>1</formula>
    </cfRule>
    <cfRule type="cellIs" dxfId="3916" priority="1634" stopIfTrue="1" operator="between">
      <formula>0</formula>
      <formula>0.5</formula>
    </cfRule>
  </conditionalFormatting>
  <conditionalFormatting sqref="R176">
    <cfRule type="cellIs" dxfId="3915" priority="1625" operator="between">
      <formula>0.3751</formula>
      <formula>0.475</formula>
    </cfRule>
    <cfRule type="cellIs" dxfId="3914" priority="1626" operator="between">
      <formula>0.2551</formula>
      <formula>0.375</formula>
    </cfRule>
    <cfRule type="cellIs" dxfId="3913" priority="1627" operator="greaterThan">
      <formula>0.505</formula>
    </cfRule>
    <cfRule type="cellIs" dxfId="3912" priority="1628" operator="between">
      <formula>0.48</formula>
      <formula>0.5</formula>
    </cfRule>
    <cfRule type="cellIs" dxfId="3911" priority="1629" stopIfTrue="1" operator="between">
      <formula>0</formula>
      <formula>0.255</formula>
    </cfRule>
  </conditionalFormatting>
  <conditionalFormatting sqref="K176">
    <cfRule type="cellIs" dxfId="3910" priority="1620" operator="between">
      <formula>0.191</formula>
      <formula>0.24</formula>
    </cfRule>
    <cfRule type="cellIs" dxfId="3909" priority="1621" operator="between">
      <formula>0.1251</formula>
      <formula>0.19</formula>
    </cfRule>
    <cfRule type="cellIs" dxfId="3908" priority="1622" operator="greaterThan">
      <formula>0.2601</formula>
    </cfRule>
    <cfRule type="cellIs" dxfId="3907" priority="1623" operator="between">
      <formula>0.2401</formula>
      <formula>0.26</formula>
    </cfRule>
    <cfRule type="cellIs" dxfId="3906" priority="1624" stopIfTrue="1" operator="between">
      <formula>0</formula>
      <formula>0.125</formula>
    </cfRule>
  </conditionalFormatting>
  <conditionalFormatting sqref="Q176">
    <cfRule type="cellIs" dxfId="3905" priority="1605" operator="between">
      <formula>0.76</formula>
      <formula>0.95</formula>
    </cfRule>
    <cfRule type="cellIs" dxfId="3904" priority="1606" operator="between">
      <formula>0.51</formula>
      <formula>0.75</formula>
    </cfRule>
    <cfRule type="cellIs" dxfId="3903" priority="1607" operator="greaterThan">
      <formula>1</formula>
    </cfRule>
    <cfRule type="cellIs" dxfId="3902" priority="1608" operator="between">
      <formula>0.95</formula>
      <formula>1</formula>
    </cfRule>
    <cfRule type="cellIs" dxfId="3901" priority="1609" stopIfTrue="1" operator="between">
      <formula>0</formula>
      <formula>0.5</formula>
    </cfRule>
  </conditionalFormatting>
  <conditionalFormatting sqref="T176">
    <cfRule type="cellIs" dxfId="3900" priority="1600" operator="between">
      <formula>0.376</formula>
      <formula>0.475</formula>
    </cfRule>
    <cfRule type="cellIs" dxfId="3899" priority="1601" operator="between">
      <formula>0.2551</formula>
      <formula>0.3751</formula>
    </cfRule>
    <cfRule type="cellIs" dxfId="3898" priority="1602" operator="greaterThan">
      <formula>0.505</formula>
    </cfRule>
    <cfRule type="cellIs" dxfId="3897" priority="1603" operator="between">
      <formula>0.48</formula>
      <formula>0.5</formula>
    </cfRule>
    <cfRule type="cellIs" dxfId="3896" priority="1604" stopIfTrue="1" operator="between">
      <formula>0</formula>
      <formula>0.255</formula>
    </cfRule>
  </conditionalFormatting>
  <conditionalFormatting sqref="AE176">
    <cfRule type="cellIs" dxfId="3895" priority="1590" operator="between">
      <formula>0.76</formula>
      <formula>0.95</formula>
    </cfRule>
    <cfRule type="cellIs" dxfId="3894" priority="1591" operator="between">
      <formula>0.51</formula>
      <formula>0.75</formula>
    </cfRule>
    <cfRule type="cellIs" dxfId="3893" priority="1592" operator="greaterThan">
      <formula>1</formula>
    </cfRule>
    <cfRule type="cellIs" dxfId="3892" priority="1593" operator="between">
      <formula>0.95</formula>
      <formula>1</formula>
    </cfRule>
    <cfRule type="cellIs" dxfId="3891" priority="1594" stopIfTrue="1" operator="between">
      <formula>0</formula>
      <formula>0.5</formula>
    </cfRule>
  </conditionalFormatting>
  <conditionalFormatting sqref="I379 W379:X379 AD379 AF379:AG379 P379">
    <cfRule type="cellIs" dxfId="3890" priority="1573" operator="between">
      <formula>0.76</formula>
      <formula>0.95</formula>
    </cfRule>
    <cfRule type="cellIs" dxfId="3889" priority="1574" operator="between">
      <formula>0.51</formula>
      <formula>0.75</formula>
    </cfRule>
    <cfRule type="cellIs" dxfId="3888" priority="1575" operator="greaterThan">
      <formula>1</formula>
    </cfRule>
    <cfRule type="cellIs" dxfId="3887" priority="1576" operator="between">
      <formula>0.95</formula>
      <formula>1</formula>
    </cfRule>
    <cfRule type="cellIs" dxfId="3886" priority="1577" stopIfTrue="1" operator="between">
      <formula>0</formula>
      <formula>0.5</formula>
    </cfRule>
  </conditionalFormatting>
  <conditionalFormatting sqref="R379">
    <cfRule type="cellIs" dxfId="3885" priority="1568" operator="between">
      <formula>0.3751</formula>
      <formula>0.475</formula>
    </cfRule>
    <cfRule type="cellIs" dxfId="3884" priority="1569" operator="between">
      <formula>0.2551</formula>
      <formula>0.375</formula>
    </cfRule>
    <cfRule type="cellIs" dxfId="3883" priority="1570" operator="greaterThan">
      <formula>0.505</formula>
    </cfRule>
    <cfRule type="cellIs" dxfId="3882" priority="1571" operator="between">
      <formula>0.48</formula>
      <formula>0.5</formula>
    </cfRule>
    <cfRule type="cellIs" dxfId="3881" priority="1572" stopIfTrue="1" operator="between">
      <formula>0</formula>
      <formula>0.255</formula>
    </cfRule>
  </conditionalFormatting>
  <conditionalFormatting sqref="K379">
    <cfRule type="cellIs" dxfId="3880" priority="1563" operator="between">
      <formula>0.191</formula>
      <formula>0.24</formula>
    </cfRule>
    <cfRule type="cellIs" dxfId="3879" priority="1564" operator="between">
      <formula>0.1251</formula>
      <formula>0.19</formula>
    </cfRule>
    <cfRule type="cellIs" dxfId="3878" priority="1565" operator="greaterThan">
      <formula>0.2601</formula>
    </cfRule>
    <cfRule type="cellIs" dxfId="3877" priority="1566" operator="between">
      <formula>0.2401</formula>
      <formula>0.26</formula>
    </cfRule>
    <cfRule type="cellIs" dxfId="3876" priority="1567" stopIfTrue="1" operator="between">
      <formula>0</formula>
      <formula>0.125</formula>
    </cfRule>
  </conditionalFormatting>
  <conditionalFormatting sqref="T379">
    <cfRule type="cellIs" dxfId="3875" priority="1548" operator="between">
      <formula>0.376</formula>
      <formula>0.475</formula>
    </cfRule>
    <cfRule type="cellIs" dxfId="3874" priority="1549" operator="between">
      <formula>0.2551</formula>
      <formula>0.3751</formula>
    </cfRule>
    <cfRule type="cellIs" dxfId="3873" priority="1550" operator="greaterThan">
      <formula>0.505</formula>
    </cfRule>
    <cfRule type="cellIs" dxfId="3872" priority="1551" operator="between">
      <formula>0.48</formula>
      <formula>0.5</formula>
    </cfRule>
    <cfRule type="cellIs" dxfId="3871" priority="1552" stopIfTrue="1" operator="between">
      <formula>0</formula>
      <formula>0.255</formula>
    </cfRule>
  </conditionalFormatting>
  <conditionalFormatting sqref="AE379">
    <cfRule type="cellIs" dxfId="3870" priority="1538" operator="between">
      <formula>0.76</formula>
      <formula>0.95</formula>
    </cfRule>
    <cfRule type="cellIs" dxfId="3869" priority="1539" operator="between">
      <formula>0.51</formula>
      <formula>0.75</formula>
    </cfRule>
    <cfRule type="cellIs" dxfId="3868" priority="1540" operator="greaterThan">
      <formula>1</formula>
    </cfRule>
    <cfRule type="cellIs" dxfId="3867" priority="1541" operator="between">
      <formula>0.95</formula>
      <formula>1</formula>
    </cfRule>
    <cfRule type="cellIs" dxfId="3866" priority="1542" stopIfTrue="1" operator="between">
      <formula>0</formula>
      <formula>0.5</formula>
    </cfRule>
  </conditionalFormatting>
  <conditionalFormatting sqref="J379">
    <cfRule type="cellIs" dxfId="3865" priority="1533" operator="between">
      <formula>0.76</formula>
      <formula>0.95</formula>
    </cfRule>
    <cfRule type="cellIs" dxfId="3864" priority="1534" operator="between">
      <formula>0.51</formula>
      <formula>0.75</formula>
    </cfRule>
    <cfRule type="cellIs" dxfId="3863" priority="1535" operator="greaterThan">
      <formula>1</formula>
    </cfRule>
    <cfRule type="cellIs" dxfId="3862" priority="1536" operator="between">
      <formula>0.95</formula>
      <formula>1</formula>
    </cfRule>
    <cfRule type="cellIs" dxfId="3861" priority="1537" stopIfTrue="1" operator="between">
      <formula>0</formula>
      <formula>0.5</formula>
    </cfRule>
  </conditionalFormatting>
  <conditionalFormatting sqref="Q379">
    <cfRule type="cellIs" dxfId="3860" priority="1528" operator="between">
      <formula>0.76</formula>
      <formula>0.95</formula>
    </cfRule>
    <cfRule type="cellIs" dxfId="3859" priority="1529" operator="between">
      <formula>0.51</formula>
      <formula>0.75</formula>
    </cfRule>
    <cfRule type="cellIs" dxfId="3858" priority="1530" operator="greaterThan">
      <formula>1</formula>
    </cfRule>
    <cfRule type="cellIs" dxfId="3857" priority="1531" operator="between">
      <formula>0.95</formula>
      <formula>1</formula>
    </cfRule>
    <cfRule type="cellIs" dxfId="3856" priority="1532" stopIfTrue="1" operator="between">
      <formula>0</formula>
      <formula>0.5</formula>
    </cfRule>
  </conditionalFormatting>
  <conditionalFormatting sqref="M40:M41">
    <cfRule type="cellIs" dxfId="3855" priority="1523" operator="between">
      <formula>0.191</formula>
      <formula>0.24</formula>
    </cfRule>
    <cfRule type="cellIs" dxfId="3854" priority="1524" operator="between">
      <formula>0.1251</formula>
      <formula>0.19</formula>
    </cfRule>
    <cfRule type="cellIs" dxfId="3853" priority="1525" operator="greaterThan">
      <formula>0.2601</formula>
    </cfRule>
    <cfRule type="cellIs" dxfId="3852" priority="1526" operator="between">
      <formula>0.2401</formula>
      <formula>0.26</formula>
    </cfRule>
    <cfRule type="cellIs" dxfId="3851" priority="1527" stopIfTrue="1" operator="between">
      <formula>0</formula>
      <formula>0.125</formula>
    </cfRule>
  </conditionalFormatting>
  <conditionalFormatting sqref="M126:M128">
    <cfRule type="cellIs" dxfId="3850" priority="1513" operator="between">
      <formula>0.191</formula>
      <formula>0.24</formula>
    </cfRule>
    <cfRule type="cellIs" dxfId="3849" priority="1514" operator="between">
      <formula>0.1251</formula>
      <formula>0.19</formula>
    </cfRule>
    <cfRule type="cellIs" dxfId="3848" priority="1515" operator="greaterThan">
      <formula>0.2601</formula>
    </cfRule>
    <cfRule type="cellIs" dxfId="3847" priority="1516" operator="between">
      <formula>0.2401</formula>
      <formula>0.26</formula>
    </cfRule>
    <cfRule type="cellIs" dxfId="3846" priority="1517" stopIfTrue="1" operator="between">
      <formula>0</formula>
      <formula>0.125</formula>
    </cfRule>
  </conditionalFormatting>
  <conditionalFormatting sqref="M154">
    <cfRule type="cellIs" dxfId="3845" priority="1508" operator="between">
      <formula>0.191</formula>
      <formula>0.24</formula>
    </cfRule>
    <cfRule type="cellIs" dxfId="3844" priority="1509" operator="between">
      <formula>0.1251</formula>
      <formula>0.19</formula>
    </cfRule>
    <cfRule type="cellIs" dxfId="3843" priority="1510" operator="greaterThan">
      <formula>0.2601</formula>
    </cfRule>
    <cfRule type="cellIs" dxfId="3842" priority="1511" operator="between">
      <formula>0.2401</formula>
      <formula>0.26</formula>
    </cfRule>
    <cfRule type="cellIs" dxfId="3841" priority="1512" stopIfTrue="1" operator="between">
      <formula>0</formula>
      <formula>0.125</formula>
    </cfRule>
  </conditionalFormatting>
  <conditionalFormatting sqref="M175">
    <cfRule type="cellIs" dxfId="3840" priority="1503" operator="between">
      <formula>0.76</formula>
      <formula>0.95</formula>
    </cfRule>
    <cfRule type="cellIs" dxfId="3839" priority="1504" operator="between">
      <formula>0.51</formula>
      <formula>0.75</formula>
    </cfRule>
    <cfRule type="cellIs" dxfId="3838" priority="1505" operator="greaterThan">
      <formula>1</formula>
    </cfRule>
    <cfRule type="cellIs" dxfId="3837" priority="1506" operator="between">
      <formula>0.95</formula>
      <formula>1</formula>
    </cfRule>
    <cfRule type="cellIs" dxfId="3836" priority="1507" stopIfTrue="1" operator="between">
      <formula>0</formula>
      <formula>0.5</formula>
    </cfRule>
  </conditionalFormatting>
  <conditionalFormatting sqref="M176">
    <cfRule type="cellIs" dxfId="3835" priority="1498" operator="between">
      <formula>0.76</formula>
      <formula>0.95</formula>
    </cfRule>
    <cfRule type="cellIs" dxfId="3834" priority="1499" operator="between">
      <formula>0.51</formula>
      <formula>0.75</formula>
    </cfRule>
    <cfRule type="cellIs" dxfId="3833" priority="1500" operator="greaterThan">
      <formula>1</formula>
    </cfRule>
    <cfRule type="cellIs" dxfId="3832" priority="1501" operator="between">
      <formula>0.95</formula>
      <formula>1</formula>
    </cfRule>
    <cfRule type="cellIs" dxfId="3831" priority="1502" stopIfTrue="1" operator="between">
      <formula>0</formula>
      <formula>0.5</formula>
    </cfRule>
  </conditionalFormatting>
  <conditionalFormatting sqref="M292:M302">
    <cfRule type="cellIs" dxfId="3830" priority="1488" operator="between">
      <formula>0.191</formula>
      <formula>0.24</formula>
    </cfRule>
    <cfRule type="cellIs" dxfId="3829" priority="1489" operator="between">
      <formula>0.1251</formula>
      <formula>0.19</formula>
    </cfRule>
    <cfRule type="cellIs" dxfId="3828" priority="1490" operator="greaterThan">
      <formula>0.2601</formula>
    </cfRule>
    <cfRule type="cellIs" dxfId="3827" priority="1491" operator="between">
      <formula>0.2401</formula>
      <formula>0.26</formula>
    </cfRule>
    <cfRule type="cellIs" dxfId="3826" priority="1492" stopIfTrue="1" operator="between">
      <formula>0</formula>
      <formula>0.125</formula>
    </cfRule>
  </conditionalFormatting>
  <conditionalFormatting sqref="M308:M319">
    <cfRule type="cellIs" dxfId="3825" priority="1483" operator="between">
      <formula>0.191</formula>
      <formula>0.24</formula>
    </cfRule>
    <cfRule type="cellIs" dxfId="3824" priority="1484" operator="between">
      <formula>0.1251</formula>
      <formula>0.19</formula>
    </cfRule>
    <cfRule type="cellIs" dxfId="3823" priority="1485" operator="greaterThan">
      <formula>0.2601</formula>
    </cfRule>
    <cfRule type="cellIs" dxfId="3822" priority="1486" operator="between">
      <formula>0.2401</formula>
      <formula>0.26</formula>
    </cfRule>
    <cfRule type="cellIs" dxfId="3821" priority="1487" stopIfTrue="1" operator="between">
      <formula>0</formula>
      <formula>0.125</formula>
    </cfRule>
  </conditionalFormatting>
  <conditionalFormatting sqref="M321">
    <cfRule type="cellIs" dxfId="3820" priority="1478" operator="between">
      <formula>0.191</formula>
      <formula>0.24</formula>
    </cfRule>
    <cfRule type="cellIs" dxfId="3819" priority="1479" operator="between">
      <formula>0.1251</formula>
      <formula>0.19</formula>
    </cfRule>
    <cfRule type="cellIs" dxfId="3818" priority="1480" operator="greaterThan">
      <formula>0.2601</formula>
    </cfRule>
    <cfRule type="cellIs" dxfId="3817" priority="1481" operator="between">
      <formula>0.2401</formula>
      <formula>0.26</formula>
    </cfRule>
    <cfRule type="cellIs" dxfId="3816" priority="1482" stopIfTrue="1" operator="between">
      <formula>0</formula>
      <formula>0.125</formula>
    </cfRule>
  </conditionalFormatting>
  <conditionalFormatting sqref="M329">
    <cfRule type="cellIs" dxfId="3815" priority="1473" operator="between">
      <formula>0.191</formula>
      <formula>0.24</formula>
    </cfRule>
    <cfRule type="cellIs" dxfId="3814" priority="1474" operator="between">
      <formula>0.1251</formula>
      <formula>0.19</formula>
    </cfRule>
    <cfRule type="cellIs" dxfId="3813" priority="1475" operator="greaterThan">
      <formula>0.2601</formula>
    </cfRule>
    <cfRule type="cellIs" dxfId="3812" priority="1476" operator="between">
      <formula>0.2401</formula>
      <formula>0.26</formula>
    </cfRule>
    <cfRule type="cellIs" dxfId="3811" priority="1477" stopIfTrue="1" operator="between">
      <formula>0</formula>
      <formula>0.125</formula>
    </cfRule>
  </conditionalFormatting>
  <conditionalFormatting sqref="M335:M362">
    <cfRule type="cellIs" dxfId="3810" priority="1468" operator="between">
      <formula>0.191</formula>
      <formula>0.24</formula>
    </cfRule>
    <cfRule type="cellIs" dxfId="3809" priority="1469" operator="between">
      <formula>0.1251</formula>
      <formula>0.19</formula>
    </cfRule>
    <cfRule type="cellIs" dxfId="3808" priority="1470" operator="greaterThan">
      <formula>0.2601</formula>
    </cfRule>
    <cfRule type="cellIs" dxfId="3807" priority="1471" operator="between">
      <formula>0.2401</formula>
      <formula>0.26</formula>
    </cfRule>
    <cfRule type="cellIs" dxfId="3806" priority="1472" stopIfTrue="1" operator="between">
      <formula>0</formula>
      <formula>0.125</formula>
    </cfRule>
  </conditionalFormatting>
  <conditionalFormatting sqref="M377:M381">
    <cfRule type="cellIs" dxfId="3805" priority="1458" operator="between">
      <formula>0.191</formula>
      <formula>0.24</formula>
    </cfRule>
    <cfRule type="cellIs" dxfId="3804" priority="1459" operator="between">
      <formula>0.1251</formula>
      <formula>0.19</formula>
    </cfRule>
    <cfRule type="cellIs" dxfId="3803" priority="1460" operator="greaterThan">
      <formula>0.2601</formula>
    </cfRule>
    <cfRule type="cellIs" dxfId="3802" priority="1461" operator="between">
      <formula>0.2401</formula>
      <formula>0.26</formula>
    </cfRule>
    <cfRule type="cellIs" dxfId="3801" priority="1462" stopIfTrue="1" operator="between">
      <formula>0</formula>
      <formula>0.125</formula>
    </cfRule>
  </conditionalFormatting>
  <conditionalFormatting sqref="T113">
    <cfRule type="cellIs" dxfId="3800" priority="1453" operator="between">
      <formula>0.376</formula>
      <formula>0.475</formula>
    </cfRule>
    <cfRule type="cellIs" dxfId="3799" priority="1454" operator="between">
      <formula>0.2551</formula>
      <formula>0.3751</formula>
    </cfRule>
    <cfRule type="cellIs" dxfId="3798" priority="1455" operator="greaterThan">
      <formula>0.505</formula>
    </cfRule>
    <cfRule type="cellIs" dxfId="3797" priority="1456" operator="between">
      <formula>0.48</formula>
      <formula>0.5</formula>
    </cfRule>
    <cfRule type="cellIs" dxfId="3796" priority="1457" stopIfTrue="1" operator="between">
      <formula>0</formula>
      <formula>0.255</formula>
    </cfRule>
  </conditionalFormatting>
  <conditionalFormatting sqref="Q129">
    <cfRule type="cellIs" dxfId="3795" priority="1448" operator="between">
      <formula>0.76</formula>
      <formula>0.95</formula>
    </cfRule>
    <cfRule type="cellIs" dxfId="3794" priority="1449" operator="between">
      <formula>0.51</formula>
      <formula>0.75</formula>
    </cfRule>
    <cfRule type="cellIs" dxfId="3793" priority="1450" operator="greaterThan">
      <formula>1</formula>
    </cfRule>
    <cfRule type="cellIs" dxfId="3792" priority="1451" operator="between">
      <formula>0.95</formula>
      <formula>1</formula>
    </cfRule>
    <cfRule type="cellIs" dxfId="3791" priority="1452" stopIfTrue="1" operator="between">
      <formula>0</formula>
      <formula>0.5</formula>
    </cfRule>
  </conditionalFormatting>
  <conditionalFormatting sqref="T129">
    <cfRule type="cellIs" dxfId="3790" priority="1443" operator="between">
      <formula>0.376</formula>
      <formula>0.475</formula>
    </cfRule>
    <cfRule type="cellIs" dxfId="3789" priority="1444" operator="between">
      <formula>0.2551</formula>
      <formula>0.3751</formula>
    </cfRule>
    <cfRule type="cellIs" dxfId="3788" priority="1445" operator="greaterThan">
      <formula>0.505</formula>
    </cfRule>
    <cfRule type="cellIs" dxfId="3787" priority="1446" operator="between">
      <formula>0.48</formula>
      <formula>0.5</formula>
    </cfRule>
    <cfRule type="cellIs" dxfId="3786" priority="1447" stopIfTrue="1" operator="between">
      <formula>0</formula>
      <formula>0.255</formula>
    </cfRule>
  </conditionalFormatting>
  <conditionalFormatting sqref="T143">
    <cfRule type="cellIs" dxfId="3785" priority="1438" operator="between">
      <formula>0.376</formula>
      <formula>0.475</formula>
    </cfRule>
    <cfRule type="cellIs" dxfId="3784" priority="1439" operator="between">
      <formula>0.2551</formula>
      <formula>0.3751</formula>
    </cfRule>
    <cfRule type="cellIs" dxfId="3783" priority="1440" operator="greaterThan">
      <formula>0.505</formula>
    </cfRule>
    <cfRule type="cellIs" dxfId="3782" priority="1441" operator="between">
      <formula>0.48</formula>
      <formula>0.5</formula>
    </cfRule>
    <cfRule type="cellIs" dxfId="3781" priority="1442" stopIfTrue="1" operator="between">
      <formula>0</formula>
      <formula>0.255</formula>
    </cfRule>
  </conditionalFormatting>
  <conditionalFormatting sqref="T154">
    <cfRule type="cellIs" dxfId="3780" priority="1433" operator="between">
      <formula>0.376</formula>
      <formula>0.475</formula>
    </cfRule>
    <cfRule type="cellIs" dxfId="3779" priority="1434" operator="between">
      <formula>0.2551</formula>
      <formula>0.3751</formula>
    </cfRule>
    <cfRule type="cellIs" dxfId="3778" priority="1435" operator="greaterThan">
      <formula>0.505</formula>
    </cfRule>
    <cfRule type="cellIs" dxfId="3777" priority="1436" operator="between">
      <formula>0.48</formula>
      <formula>0.5</formula>
    </cfRule>
    <cfRule type="cellIs" dxfId="3776" priority="1437" stopIfTrue="1" operator="between">
      <formula>0</formula>
      <formula>0.255</formula>
    </cfRule>
  </conditionalFormatting>
  <conditionalFormatting sqref="T154">
    <cfRule type="cellIs" dxfId="3775" priority="1428" operator="between">
      <formula>0.376</formula>
      <formula>0.475</formula>
    </cfRule>
    <cfRule type="cellIs" dxfId="3774" priority="1429" operator="between">
      <formula>0.2551</formula>
      <formula>0.3751</formula>
    </cfRule>
    <cfRule type="cellIs" dxfId="3773" priority="1430" operator="greaterThan">
      <formula>0.505</formula>
    </cfRule>
    <cfRule type="cellIs" dxfId="3772" priority="1431" operator="between">
      <formula>0.48</formula>
      <formula>0.5</formula>
    </cfRule>
    <cfRule type="cellIs" dxfId="3771" priority="1432" stopIfTrue="1" operator="between">
      <formula>0</formula>
      <formula>0.255</formula>
    </cfRule>
  </conditionalFormatting>
  <conditionalFormatting sqref="T154">
    <cfRule type="cellIs" dxfId="3770" priority="1423" operator="between">
      <formula>0.191</formula>
      <formula>0.24</formula>
    </cfRule>
    <cfRule type="cellIs" dxfId="3769" priority="1424" operator="between">
      <formula>0.1251</formula>
      <formula>0.19</formula>
    </cfRule>
    <cfRule type="cellIs" dxfId="3768" priority="1425" operator="greaterThan">
      <formula>0.2601</formula>
    </cfRule>
    <cfRule type="cellIs" dxfId="3767" priority="1426" operator="between">
      <formula>0.2401</formula>
      <formula>0.26</formula>
    </cfRule>
    <cfRule type="cellIs" dxfId="3766" priority="1427" stopIfTrue="1" operator="between">
      <formula>0</formula>
      <formula>0.125</formula>
    </cfRule>
  </conditionalFormatting>
  <conditionalFormatting sqref="T177:T178">
    <cfRule type="cellIs" dxfId="3765" priority="1418" operator="between">
      <formula>0.76</formula>
      <formula>0.95</formula>
    </cfRule>
    <cfRule type="cellIs" dxfId="3764" priority="1419" operator="between">
      <formula>0.51</formula>
      <formula>0.75</formula>
    </cfRule>
    <cfRule type="cellIs" dxfId="3763" priority="1420" operator="greaterThan">
      <formula>1</formula>
    </cfRule>
    <cfRule type="cellIs" dxfId="3762" priority="1421" operator="between">
      <formula>0.95</formula>
      <formula>1</formula>
    </cfRule>
    <cfRule type="cellIs" dxfId="3761" priority="1422" stopIfTrue="1" operator="between">
      <formula>0</formula>
      <formula>0.5</formula>
    </cfRule>
  </conditionalFormatting>
  <conditionalFormatting sqref="T268">
    <cfRule type="cellIs" dxfId="3760" priority="1408" operator="between">
      <formula>0.376</formula>
      <formula>0.475</formula>
    </cfRule>
    <cfRule type="cellIs" dxfId="3759" priority="1409" operator="between">
      <formula>0.2551</formula>
      <formula>0.3751</formula>
    </cfRule>
    <cfRule type="cellIs" dxfId="3758" priority="1410" operator="greaterThan">
      <formula>0.505</formula>
    </cfRule>
    <cfRule type="cellIs" dxfId="3757" priority="1411" operator="between">
      <formula>0.48</formula>
      <formula>0.5</formula>
    </cfRule>
    <cfRule type="cellIs" dxfId="3756" priority="1412" stopIfTrue="1" operator="between">
      <formula>0</formula>
      <formula>0.255</formula>
    </cfRule>
  </conditionalFormatting>
  <conditionalFormatting sqref="T270">
    <cfRule type="cellIs" dxfId="3755" priority="1403" operator="between">
      <formula>0.376</formula>
      <formula>0.475</formula>
    </cfRule>
    <cfRule type="cellIs" dxfId="3754" priority="1404" operator="between">
      <formula>0.2551</formula>
      <formula>0.3751</formula>
    </cfRule>
    <cfRule type="cellIs" dxfId="3753" priority="1405" operator="greaterThan">
      <formula>0.505</formula>
    </cfRule>
    <cfRule type="cellIs" dxfId="3752" priority="1406" operator="between">
      <formula>0.48</formula>
      <formula>0.5</formula>
    </cfRule>
    <cfRule type="cellIs" dxfId="3751" priority="1407" stopIfTrue="1" operator="between">
      <formula>0</formula>
      <formula>0.255</formula>
    </cfRule>
  </conditionalFormatting>
  <conditionalFormatting sqref="Q285">
    <cfRule type="cellIs" dxfId="3750" priority="1393" operator="between">
      <formula>0.76</formula>
      <formula>0.95</formula>
    </cfRule>
    <cfRule type="cellIs" dxfId="3749" priority="1394" operator="between">
      <formula>0.51</formula>
      <formula>0.75</formula>
    </cfRule>
    <cfRule type="cellIs" dxfId="3748" priority="1395" operator="greaterThan">
      <formula>1</formula>
    </cfRule>
    <cfRule type="cellIs" dxfId="3747" priority="1396" operator="between">
      <formula>0.95</formula>
      <formula>1</formula>
    </cfRule>
    <cfRule type="cellIs" dxfId="3746" priority="1397" stopIfTrue="1" operator="between">
      <formula>0</formula>
      <formula>0.5</formula>
    </cfRule>
  </conditionalFormatting>
  <conditionalFormatting sqref="T285">
    <cfRule type="cellIs" dxfId="3745" priority="1388" operator="between">
      <formula>0.376</formula>
      <formula>0.475</formula>
    </cfRule>
    <cfRule type="cellIs" dxfId="3744" priority="1389" operator="between">
      <formula>0.2551</formula>
      <formula>0.3751</formula>
    </cfRule>
    <cfRule type="cellIs" dxfId="3743" priority="1390" operator="greaterThan">
      <formula>0.505</formula>
    </cfRule>
    <cfRule type="cellIs" dxfId="3742" priority="1391" operator="between">
      <formula>0.48</formula>
      <formula>0.5</formula>
    </cfRule>
    <cfRule type="cellIs" dxfId="3741" priority="1392" stopIfTrue="1" operator="between">
      <formula>0</formula>
      <formula>0.255</formula>
    </cfRule>
  </conditionalFormatting>
  <conditionalFormatting sqref="T291">
    <cfRule type="cellIs" dxfId="3740" priority="1378" operator="between">
      <formula>0.376</formula>
      <formula>0.475</formula>
    </cfRule>
    <cfRule type="cellIs" dxfId="3739" priority="1379" operator="between">
      <formula>0.2551</formula>
      <formula>0.3751</formula>
    </cfRule>
    <cfRule type="cellIs" dxfId="3738" priority="1380" operator="greaterThan">
      <formula>0.505</formula>
    </cfRule>
    <cfRule type="cellIs" dxfId="3737" priority="1381" operator="between">
      <formula>0.48</formula>
      <formula>0.5</formula>
    </cfRule>
    <cfRule type="cellIs" dxfId="3736" priority="1382" stopIfTrue="1" operator="between">
      <formula>0</formula>
      <formula>0.255</formula>
    </cfRule>
  </conditionalFormatting>
  <conditionalFormatting sqref="T282">
    <cfRule type="cellIs" dxfId="3735" priority="1373" operator="between">
      <formula>0.376</formula>
      <formula>0.475</formula>
    </cfRule>
    <cfRule type="cellIs" dxfId="3734" priority="1374" operator="between">
      <formula>0.2551</formula>
      <formula>0.3751</formula>
    </cfRule>
    <cfRule type="cellIs" dxfId="3733" priority="1375" operator="greaterThan">
      <formula>0.505</formula>
    </cfRule>
    <cfRule type="cellIs" dxfId="3732" priority="1376" operator="between">
      <formula>0.48</formula>
      <formula>0.5</formula>
    </cfRule>
    <cfRule type="cellIs" dxfId="3731" priority="1377" stopIfTrue="1" operator="between">
      <formula>0</formula>
      <formula>0.255</formula>
    </cfRule>
  </conditionalFormatting>
  <conditionalFormatting sqref="T275">
    <cfRule type="cellIs" dxfId="3730" priority="1368" operator="between">
      <formula>0.376</formula>
      <formula>0.475</formula>
    </cfRule>
    <cfRule type="cellIs" dxfId="3729" priority="1369" operator="between">
      <formula>0.2551</formula>
      <formula>0.3751</formula>
    </cfRule>
    <cfRule type="cellIs" dxfId="3728" priority="1370" operator="greaterThan">
      <formula>0.505</formula>
    </cfRule>
    <cfRule type="cellIs" dxfId="3727" priority="1371" operator="between">
      <formula>0.48</formula>
      <formula>0.5</formula>
    </cfRule>
    <cfRule type="cellIs" dxfId="3726" priority="1372" stopIfTrue="1" operator="between">
      <formula>0</formula>
      <formula>0.255</formula>
    </cfRule>
  </conditionalFormatting>
  <conditionalFormatting sqref="T328">
    <cfRule type="cellIs" dxfId="3725" priority="1363" operator="between">
      <formula>0.376</formula>
      <formula>0.475</formula>
    </cfRule>
    <cfRule type="cellIs" dxfId="3724" priority="1364" operator="between">
      <formula>0.2551</formula>
      <formula>0.3751</formula>
    </cfRule>
    <cfRule type="cellIs" dxfId="3723" priority="1365" operator="greaterThan">
      <formula>0.505</formula>
    </cfRule>
    <cfRule type="cellIs" dxfId="3722" priority="1366" operator="between">
      <formula>0.48</formula>
      <formula>0.5</formula>
    </cfRule>
    <cfRule type="cellIs" dxfId="3721" priority="1367" stopIfTrue="1" operator="between">
      <formula>0</formula>
      <formula>0.255</formula>
    </cfRule>
  </conditionalFormatting>
  <conditionalFormatting sqref="X140">
    <cfRule type="cellIs" dxfId="3720" priority="1358" operator="between">
      <formula>0.76</formula>
      <formula>0.95</formula>
    </cfRule>
    <cfRule type="cellIs" dxfId="3719" priority="1359" operator="between">
      <formula>0.51</formula>
      <formula>0.75</formula>
    </cfRule>
    <cfRule type="cellIs" dxfId="3718" priority="1360" operator="greaterThan">
      <formula>1</formula>
    </cfRule>
    <cfRule type="cellIs" dxfId="3717" priority="1361" operator="between">
      <formula>0.95</formula>
      <formula>1</formula>
    </cfRule>
    <cfRule type="cellIs" dxfId="3716" priority="1362" stopIfTrue="1" operator="between">
      <formula>0</formula>
      <formula>0.5</formula>
    </cfRule>
  </conditionalFormatting>
  <conditionalFormatting sqref="W300">
    <cfRule type="cellIs" dxfId="3715" priority="1333" operator="between">
      <formula>0.76</formula>
      <formula>0.95</formula>
    </cfRule>
    <cfRule type="cellIs" dxfId="3714" priority="1334" operator="between">
      <formula>0.51</formula>
      <formula>0.75</formula>
    </cfRule>
    <cfRule type="cellIs" dxfId="3713" priority="1335" operator="greaterThan">
      <formula>1</formula>
    </cfRule>
    <cfRule type="cellIs" dxfId="3712" priority="1336" operator="between">
      <formula>0.95</formula>
      <formula>1</formula>
    </cfRule>
    <cfRule type="cellIs" dxfId="3711" priority="1337" stopIfTrue="1" operator="between">
      <formula>0</formula>
      <formula>0.5</formula>
    </cfRule>
  </conditionalFormatting>
  <conditionalFormatting sqref="W250">
    <cfRule type="cellIs" dxfId="3710" priority="1323" operator="between">
      <formula>0.76</formula>
      <formula>0.95</formula>
    </cfRule>
    <cfRule type="cellIs" dxfId="3709" priority="1324" operator="between">
      <formula>0.51</formula>
      <formula>0.75</formula>
    </cfRule>
    <cfRule type="cellIs" dxfId="3708" priority="1325" operator="greaterThan">
      <formula>1</formula>
    </cfRule>
    <cfRule type="cellIs" dxfId="3707" priority="1326" operator="between">
      <formula>0.95</formula>
      <formula>1</formula>
    </cfRule>
    <cfRule type="cellIs" dxfId="3706" priority="1327" stopIfTrue="1" operator="between">
      <formula>0</formula>
      <formula>0.5</formula>
    </cfRule>
  </conditionalFormatting>
  <conditionalFormatting sqref="X250">
    <cfRule type="cellIs" dxfId="3705" priority="1318" operator="between">
      <formula>0.76</formula>
      <formula>0.95</formula>
    </cfRule>
    <cfRule type="cellIs" dxfId="3704" priority="1319" operator="between">
      <formula>0.51</formula>
      <formula>0.75</formula>
    </cfRule>
    <cfRule type="cellIs" dxfId="3703" priority="1320" operator="greaterThan">
      <formula>1</formula>
    </cfRule>
    <cfRule type="cellIs" dxfId="3702" priority="1321" operator="between">
      <formula>0.95</formula>
      <formula>1</formula>
    </cfRule>
    <cfRule type="cellIs" dxfId="3701" priority="1322" stopIfTrue="1" operator="between">
      <formula>0</formula>
      <formula>0.5</formula>
    </cfRule>
  </conditionalFormatting>
  <conditionalFormatting sqref="W246">
    <cfRule type="cellIs" dxfId="3700" priority="1288" operator="between">
      <formula>0.76</formula>
      <formula>0.95</formula>
    </cfRule>
    <cfRule type="cellIs" dxfId="3699" priority="1289" operator="between">
      <formula>0.51</formula>
      <formula>0.75</formula>
    </cfRule>
    <cfRule type="cellIs" dxfId="3698" priority="1290" operator="greaterThan">
      <formula>1</formula>
    </cfRule>
    <cfRule type="cellIs" dxfId="3697" priority="1291" operator="between">
      <formula>0.95</formula>
      <formula>1</formula>
    </cfRule>
    <cfRule type="cellIs" dxfId="3696" priority="1292" stopIfTrue="1" operator="between">
      <formula>0</formula>
      <formula>0.5</formula>
    </cfRule>
  </conditionalFormatting>
  <conditionalFormatting sqref="L70">
    <cfRule type="cellIs" dxfId="3695" priority="1283" operator="between">
      <formula>0.191</formula>
      <formula>0.24</formula>
    </cfRule>
    <cfRule type="cellIs" dxfId="3694" priority="1284" operator="between">
      <formula>0.1251</formula>
      <formula>0.19</formula>
    </cfRule>
    <cfRule type="cellIs" dxfId="3693" priority="1285" operator="greaterThan">
      <formula>0.2601</formula>
    </cfRule>
    <cfRule type="cellIs" dxfId="3692" priority="1286" operator="between">
      <formula>0.2401</formula>
      <formula>0.26</formula>
    </cfRule>
    <cfRule type="cellIs" dxfId="3691" priority="1287" stopIfTrue="1" operator="between">
      <formula>0</formula>
      <formula>0.125</formula>
    </cfRule>
  </conditionalFormatting>
  <conditionalFormatting sqref="M70">
    <cfRule type="cellIs" dxfId="3690" priority="1278" operator="between">
      <formula>0.191</formula>
      <formula>0.24</formula>
    </cfRule>
    <cfRule type="cellIs" dxfId="3689" priority="1279" operator="between">
      <formula>0.1251</formula>
      <formula>0.19</formula>
    </cfRule>
    <cfRule type="cellIs" dxfId="3688" priority="1280" operator="greaterThan">
      <formula>0.2601</formula>
    </cfRule>
    <cfRule type="cellIs" dxfId="3687" priority="1281" operator="between">
      <formula>0.2401</formula>
      <formula>0.26</formula>
    </cfRule>
    <cfRule type="cellIs" dxfId="3686" priority="1282" stopIfTrue="1" operator="between">
      <formula>0</formula>
      <formula>0.125</formula>
    </cfRule>
  </conditionalFormatting>
  <conditionalFormatting sqref="L85">
    <cfRule type="cellIs" dxfId="3685" priority="1273" operator="between">
      <formula>0.191</formula>
      <formula>0.24</formula>
    </cfRule>
    <cfRule type="cellIs" dxfId="3684" priority="1274" operator="between">
      <formula>0.1251</formula>
      <formula>0.19</formula>
    </cfRule>
    <cfRule type="cellIs" dxfId="3683" priority="1275" operator="greaterThan">
      <formula>0.2601</formula>
    </cfRule>
    <cfRule type="cellIs" dxfId="3682" priority="1276" operator="between">
      <formula>0.2401</formula>
      <formula>0.26</formula>
    </cfRule>
    <cfRule type="cellIs" dxfId="3681" priority="1277" stopIfTrue="1" operator="between">
      <formula>0</formula>
      <formula>0.125</formula>
    </cfRule>
  </conditionalFormatting>
  <conditionalFormatting sqref="M385">
    <cfRule type="cellIs" dxfId="3680" priority="1263" operator="between">
      <formula>0.191</formula>
      <formula>0.24</formula>
    </cfRule>
    <cfRule type="cellIs" dxfId="3679" priority="1264" operator="between">
      <formula>0.1251</formula>
      <formula>0.19</formula>
    </cfRule>
    <cfRule type="cellIs" dxfId="3678" priority="1265" operator="greaterThan">
      <formula>0.2601</formula>
    </cfRule>
    <cfRule type="cellIs" dxfId="3677" priority="1266" operator="between">
      <formula>0.2401</formula>
      <formula>0.26</formula>
    </cfRule>
    <cfRule type="cellIs" dxfId="3676" priority="1267" stopIfTrue="1" operator="between">
      <formula>0</formula>
      <formula>0.125</formula>
    </cfRule>
  </conditionalFormatting>
  <conditionalFormatting sqref="L385">
    <cfRule type="cellIs" dxfId="3675" priority="1258" operator="between">
      <formula>0.191</formula>
      <formula>0.24</formula>
    </cfRule>
    <cfRule type="cellIs" dxfId="3674" priority="1259" operator="between">
      <formula>0.1251</formula>
      <formula>0.19</formula>
    </cfRule>
    <cfRule type="cellIs" dxfId="3673" priority="1260" operator="greaterThan">
      <formula>0.2601</formula>
    </cfRule>
    <cfRule type="cellIs" dxfId="3672" priority="1261" operator="between">
      <formula>0.2401</formula>
      <formula>0.26</formula>
    </cfRule>
    <cfRule type="cellIs" dxfId="3671" priority="1262" stopIfTrue="1" operator="between">
      <formula>0</formula>
      <formula>0.125</formula>
    </cfRule>
  </conditionalFormatting>
  <conditionalFormatting sqref="S70">
    <cfRule type="cellIs" dxfId="3670" priority="1253" operator="between">
      <formula>0.3751</formula>
      <formula>0.475</formula>
    </cfRule>
    <cfRule type="cellIs" dxfId="3669" priority="1254" operator="between">
      <formula>0.2551</formula>
      <formula>0.375</formula>
    </cfRule>
    <cfRule type="cellIs" dxfId="3668" priority="1255" operator="greaterThan">
      <formula>0.505</formula>
    </cfRule>
    <cfRule type="cellIs" dxfId="3667" priority="1256" operator="between">
      <formula>0.4751</formula>
      <formula>0.5</formula>
    </cfRule>
    <cfRule type="cellIs" dxfId="3666" priority="1257" stopIfTrue="1" operator="between">
      <formula>0</formula>
      <formula>0.255</formula>
    </cfRule>
  </conditionalFormatting>
  <conditionalFormatting sqref="T70">
    <cfRule type="cellIs" dxfId="3665" priority="1248" operator="between">
      <formula>0.3751</formula>
      <formula>0.475</formula>
    </cfRule>
    <cfRule type="cellIs" dxfId="3664" priority="1249" operator="between">
      <formula>0.2551</formula>
      <formula>0.375</formula>
    </cfRule>
    <cfRule type="cellIs" dxfId="3663" priority="1250" operator="greaterThan">
      <formula>0.505</formula>
    </cfRule>
    <cfRule type="cellIs" dxfId="3662" priority="1251" operator="between">
      <formula>0.4751</formula>
      <formula>0.5</formula>
    </cfRule>
    <cfRule type="cellIs" dxfId="3661" priority="1252" stopIfTrue="1" operator="between">
      <formula>0</formula>
      <formula>0.255</formula>
    </cfRule>
  </conditionalFormatting>
  <conditionalFormatting sqref="T119">
    <cfRule type="cellIs" dxfId="3660" priority="1243" operator="between">
      <formula>0.3751</formula>
      <formula>0.475</formula>
    </cfRule>
    <cfRule type="cellIs" dxfId="3659" priority="1244" operator="between">
      <formula>0.2551</formula>
      <formula>0.375</formula>
    </cfRule>
    <cfRule type="cellIs" dxfId="3658" priority="1245" operator="greaterThan">
      <formula>0.505</formula>
    </cfRule>
    <cfRule type="cellIs" dxfId="3657" priority="1246" operator="between">
      <formula>0.4751</formula>
      <formula>0.5</formula>
    </cfRule>
    <cfRule type="cellIs" dxfId="3656" priority="1247" stopIfTrue="1" operator="between">
      <formula>0</formula>
      <formula>0.255</formula>
    </cfRule>
  </conditionalFormatting>
  <conditionalFormatting sqref="AD386">
    <cfRule type="cellIs" dxfId="3655" priority="1223" operator="between">
      <formula>0.76</formula>
      <formula>0.95</formula>
    </cfRule>
    <cfRule type="cellIs" dxfId="3654" priority="1224" operator="between">
      <formula>0.51</formula>
      <formula>0.75</formula>
    </cfRule>
    <cfRule type="cellIs" dxfId="3653" priority="1225" operator="greaterThan">
      <formula>1</formula>
    </cfRule>
    <cfRule type="cellIs" dxfId="3652" priority="1226" operator="between">
      <formula>0.95</formula>
      <formula>1</formula>
    </cfRule>
    <cfRule type="cellIs" dxfId="3651" priority="1227" stopIfTrue="1" operator="between">
      <formula>0</formula>
      <formula>0.5</formula>
    </cfRule>
  </conditionalFormatting>
  <conditionalFormatting sqref="AF386">
    <cfRule type="cellIs" dxfId="3650" priority="1218" operator="between">
      <formula>0.76</formula>
      <formula>0.95</formula>
    </cfRule>
    <cfRule type="cellIs" dxfId="3649" priority="1219" operator="between">
      <formula>0.51</formula>
      <formula>0.75</formula>
    </cfRule>
    <cfRule type="cellIs" dxfId="3648" priority="1220" operator="greaterThan">
      <formula>1</formula>
    </cfRule>
    <cfRule type="cellIs" dxfId="3647" priority="1221" operator="between">
      <formula>0.95</formula>
      <formula>1</formula>
    </cfRule>
    <cfRule type="cellIs" dxfId="3646" priority="1222" stopIfTrue="1" operator="between">
      <formula>0</formula>
      <formula>0.5</formula>
    </cfRule>
  </conditionalFormatting>
  <conditionalFormatting sqref="AE386">
    <cfRule type="cellIs" dxfId="3645" priority="1213" operator="between">
      <formula>0.76</formula>
      <formula>0.95</formula>
    </cfRule>
    <cfRule type="cellIs" dxfId="3644" priority="1214" operator="between">
      <formula>0.51</formula>
      <formula>0.75</formula>
    </cfRule>
    <cfRule type="cellIs" dxfId="3643" priority="1215" operator="greaterThan">
      <formula>1</formula>
    </cfRule>
    <cfRule type="cellIs" dxfId="3642" priority="1216" operator="between">
      <formula>0.95</formula>
      <formula>1</formula>
    </cfRule>
    <cfRule type="cellIs" dxfId="3641" priority="1217" stopIfTrue="1" operator="between">
      <formula>0</formula>
      <formula>0.5</formula>
    </cfRule>
  </conditionalFormatting>
  <conditionalFormatting sqref="AG386">
    <cfRule type="cellIs" dxfId="3640" priority="1208" operator="between">
      <formula>0.76</formula>
      <formula>0.95</formula>
    </cfRule>
    <cfRule type="cellIs" dxfId="3639" priority="1209" operator="between">
      <formula>0.51</formula>
      <formula>0.75</formula>
    </cfRule>
    <cfRule type="cellIs" dxfId="3638" priority="1210" operator="greaterThan">
      <formula>1</formula>
    </cfRule>
    <cfRule type="cellIs" dxfId="3637" priority="1211" operator="between">
      <formula>0.95</formula>
      <formula>1</formula>
    </cfRule>
    <cfRule type="cellIs" dxfId="3636" priority="1212" stopIfTrue="1" operator="between">
      <formula>0</formula>
      <formula>0.5</formula>
    </cfRule>
  </conditionalFormatting>
  <conditionalFormatting sqref="X271">
    <cfRule type="cellIs" dxfId="3635" priority="1203" operator="between">
      <formula>0.76</formula>
      <formula>0.95</formula>
    </cfRule>
    <cfRule type="cellIs" dxfId="3634" priority="1204" operator="between">
      <formula>0.51</formula>
      <formula>0.75</formula>
    </cfRule>
    <cfRule type="cellIs" dxfId="3633" priority="1205" operator="greaterThan">
      <formula>1</formula>
    </cfRule>
    <cfRule type="cellIs" dxfId="3632" priority="1206" operator="between">
      <formula>0.95</formula>
      <formula>1</formula>
    </cfRule>
    <cfRule type="cellIs" dxfId="3631" priority="1207" stopIfTrue="1" operator="between">
      <formula>0</formula>
      <formula>0.5</formula>
    </cfRule>
  </conditionalFormatting>
  <conditionalFormatting sqref="X257">
    <cfRule type="cellIs" dxfId="3630" priority="1198" operator="between">
      <formula>0.76</formula>
      <formula>0.95</formula>
    </cfRule>
    <cfRule type="cellIs" dxfId="3629" priority="1199" operator="between">
      <formula>0.51</formula>
      <formula>0.75</formula>
    </cfRule>
    <cfRule type="cellIs" dxfId="3628" priority="1200" operator="greaterThan">
      <formula>1</formula>
    </cfRule>
    <cfRule type="cellIs" dxfId="3627" priority="1201" operator="between">
      <formula>0.95</formula>
      <formula>1</formula>
    </cfRule>
    <cfRule type="cellIs" dxfId="3626" priority="1202" stopIfTrue="1" operator="between">
      <formula>0</formula>
      <formula>0.5</formula>
    </cfRule>
  </conditionalFormatting>
  <conditionalFormatting sqref="X257">
    <cfRule type="cellIs" dxfId="3625" priority="1193" operator="between">
      <formula>0.76</formula>
      <formula>0.95</formula>
    </cfRule>
    <cfRule type="cellIs" dxfId="3624" priority="1194" operator="between">
      <formula>0.51</formula>
      <formula>0.75</formula>
    </cfRule>
    <cfRule type="cellIs" dxfId="3623" priority="1195" operator="greaterThan">
      <formula>1</formula>
    </cfRule>
    <cfRule type="cellIs" dxfId="3622" priority="1196" operator="between">
      <formula>0.95</formula>
      <formula>1</formula>
    </cfRule>
    <cfRule type="cellIs" dxfId="3621" priority="1197" stopIfTrue="1" operator="between">
      <formula>0</formula>
      <formula>0.5</formula>
    </cfRule>
  </conditionalFormatting>
  <conditionalFormatting sqref="X257">
    <cfRule type="cellIs" dxfId="3620" priority="1188" operator="between">
      <formula>0.76</formula>
      <formula>0.95</formula>
    </cfRule>
    <cfRule type="cellIs" dxfId="3619" priority="1189" operator="between">
      <formula>0.51</formula>
      <formula>0.75</formula>
    </cfRule>
    <cfRule type="cellIs" dxfId="3618" priority="1190" operator="greaterThan">
      <formula>1</formula>
    </cfRule>
    <cfRule type="cellIs" dxfId="3617" priority="1191" operator="between">
      <formula>0.95</formula>
      <formula>1</formula>
    </cfRule>
    <cfRule type="cellIs" dxfId="3616" priority="1192" stopIfTrue="1" operator="between">
      <formula>0</formula>
      <formula>0.5</formula>
    </cfRule>
  </conditionalFormatting>
  <conditionalFormatting sqref="X257">
    <cfRule type="cellIs" dxfId="3615" priority="1183" operator="between">
      <formula>0.76</formula>
      <formula>0.95</formula>
    </cfRule>
    <cfRule type="cellIs" dxfId="3614" priority="1184" operator="between">
      <formula>0.51</formula>
      <formula>0.75</formula>
    </cfRule>
    <cfRule type="cellIs" dxfId="3613" priority="1185" operator="greaterThan">
      <formula>1</formula>
    </cfRule>
    <cfRule type="cellIs" dxfId="3612" priority="1186" operator="between">
      <formula>0.95</formula>
      <formula>1</formula>
    </cfRule>
    <cfRule type="cellIs" dxfId="3611" priority="1187" stopIfTrue="1" operator="between">
      <formula>0</formula>
      <formula>0.5</formula>
    </cfRule>
  </conditionalFormatting>
  <conditionalFormatting sqref="X257">
    <cfRule type="cellIs" dxfId="3610" priority="1178" operator="between">
      <formula>0.76</formula>
      <formula>0.95</formula>
    </cfRule>
    <cfRule type="cellIs" dxfId="3609" priority="1179" operator="between">
      <formula>0.51</formula>
      <formula>0.75</formula>
    </cfRule>
    <cfRule type="cellIs" dxfId="3608" priority="1180" operator="greaterThan">
      <formula>1</formula>
    </cfRule>
    <cfRule type="cellIs" dxfId="3607" priority="1181" operator="between">
      <formula>0.95</formula>
      <formula>1</formula>
    </cfRule>
    <cfRule type="cellIs" dxfId="3606" priority="1182" stopIfTrue="1" operator="between">
      <formula>0</formula>
      <formula>0.5</formula>
    </cfRule>
  </conditionalFormatting>
  <conditionalFormatting sqref="X165">
    <cfRule type="cellIs" dxfId="3605" priority="1173" operator="between">
      <formula>0.76</formula>
      <formula>0.95</formula>
    </cfRule>
    <cfRule type="cellIs" dxfId="3604" priority="1174" operator="between">
      <formula>0.51</formula>
      <formula>0.75</formula>
    </cfRule>
    <cfRule type="cellIs" dxfId="3603" priority="1175" operator="greaterThan">
      <formula>1</formula>
    </cfRule>
    <cfRule type="cellIs" dxfId="3602" priority="1176" operator="between">
      <formula>0.95</formula>
      <formula>1</formula>
    </cfRule>
    <cfRule type="cellIs" dxfId="3601" priority="1177" stopIfTrue="1" operator="between">
      <formula>0</formula>
      <formula>0.5</formula>
    </cfRule>
  </conditionalFormatting>
  <conditionalFormatting sqref="X30">
    <cfRule type="cellIs" dxfId="3600" priority="1168" operator="between">
      <formula>0.76</formula>
      <formula>0.95</formula>
    </cfRule>
    <cfRule type="cellIs" dxfId="3599" priority="1169" operator="between">
      <formula>0.51</formula>
      <formula>0.75</formula>
    </cfRule>
    <cfRule type="cellIs" dxfId="3598" priority="1170" operator="greaterThan">
      <formula>1</formula>
    </cfRule>
    <cfRule type="cellIs" dxfId="3597" priority="1171" operator="between">
      <formula>0.95</formula>
      <formula>1</formula>
    </cfRule>
    <cfRule type="cellIs" dxfId="3596" priority="1172" stopIfTrue="1" operator="between">
      <formula>0</formula>
      <formula>0.5</formula>
    </cfRule>
  </conditionalFormatting>
  <conditionalFormatting sqref="Q295">
    <cfRule type="cellIs" dxfId="3595" priority="1158" operator="between">
      <formula>0.76</formula>
      <formula>0.95</formula>
    </cfRule>
    <cfRule type="cellIs" dxfId="3594" priority="1159" operator="between">
      <formula>0.51</formula>
      <formula>0.75</formula>
    </cfRule>
    <cfRule type="cellIs" dxfId="3593" priority="1160" operator="greaterThan">
      <formula>1</formula>
    </cfRule>
    <cfRule type="cellIs" dxfId="3592" priority="1161" operator="between">
      <formula>0.95</formula>
      <formula>1</formula>
    </cfRule>
    <cfRule type="cellIs" dxfId="3591" priority="1162" stopIfTrue="1" operator="between">
      <formula>0</formula>
      <formula>0.5</formula>
    </cfRule>
  </conditionalFormatting>
  <conditionalFormatting sqref="Q354">
    <cfRule type="cellIs" dxfId="3590" priority="1153" operator="between">
      <formula>0.76</formula>
      <formula>0.95</formula>
    </cfRule>
    <cfRule type="cellIs" dxfId="3589" priority="1154" operator="between">
      <formula>0.51</formula>
      <formula>0.75</formula>
    </cfRule>
    <cfRule type="cellIs" dxfId="3588" priority="1155" operator="greaterThan">
      <formula>1</formula>
    </cfRule>
    <cfRule type="cellIs" dxfId="3587" priority="1156" operator="between">
      <formula>0.95</formula>
      <formula>1</formula>
    </cfRule>
    <cfRule type="cellIs" dxfId="3586" priority="1157" stopIfTrue="1" operator="between">
      <formula>0</formula>
      <formula>0.5</formula>
    </cfRule>
  </conditionalFormatting>
  <conditionalFormatting sqref="Z382">
    <cfRule type="cellIs" dxfId="3585" priority="1148" operator="between">
      <formula>0.56251</formula>
      <formula>0.7125</formula>
    </cfRule>
    <cfRule type="cellIs" dxfId="3584" priority="1149" operator="between">
      <formula>0.3751</formula>
      <formula>0.5625</formula>
    </cfRule>
    <cfRule type="cellIs" dxfId="3583" priority="1150" operator="greaterThan">
      <formula>0.751</formula>
    </cfRule>
    <cfRule type="cellIs" dxfId="3582" priority="1151" operator="between">
      <formula>0.71251</formula>
      <formula>0.75</formula>
    </cfRule>
    <cfRule type="cellIs" dxfId="3581" priority="1152" stopIfTrue="1" operator="between">
      <formula>0</formula>
      <formula>0.375</formula>
    </cfRule>
  </conditionalFormatting>
  <conditionalFormatting sqref="Y383:Y386">
    <cfRule type="cellIs" dxfId="3580" priority="1143" operator="between">
      <formula>0.56251</formula>
      <formula>0.7125</formula>
    </cfRule>
    <cfRule type="cellIs" dxfId="3579" priority="1144" operator="between">
      <formula>0.3751</formula>
      <formula>0.5625</formula>
    </cfRule>
    <cfRule type="cellIs" dxfId="3578" priority="1145" operator="greaterThan">
      <formula>0.751</formula>
    </cfRule>
    <cfRule type="cellIs" dxfId="3577" priority="1146" operator="between">
      <formula>0.71251</formula>
      <formula>0.75</formula>
    </cfRule>
    <cfRule type="cellIs" dxfId="3576" priority="1147" stopIfTrue="1" operator="between">
      <formula>0</formula>
      <formula>0.375</formula>
    </cfRule>
  </conditionalFormatting>
  <conditionalFormatting sqref="Z383">
    <cfRule type="cellIs" dxfId="3575" priority="1138" operator="between">
      <formula>0.56251</formula>
      <formula>0.7125</formula>
    </cfRule>
    <cfRule type="cellIs" dxfId="3574" priority="1139" operator="between">
      <formula>0.3751</formula>
      <formula>0.5625</formula>
    </cfRule>
    <cfRule type="cellIs" dxfId="3573" priority="1140" operator="greaterThan">
      <formula>0.751</formula>
    </cfRule>
    <cfRule type="cellIs" dxfId="3572" priority="1141" operator="between">
      <formula>0.71251</formula>
      <formula>0.75</formula>
    </cfRule>
    <cfRule type="cellIs" dxfId="3571" priority="1142" stopIfTrue="1" operator="between">
      <formula>0</formula>
      <formula>0.375</formula>
    </cfRule>
  </conditionalFormatting>
  <conditionalFormatting sqref="Z384:Z386">
    <cfRule type="cellIs" dxfId="3570" priority="1133" operator="between">
      <formula>0.56251</formula>
      <formula>0.7125</formula>
    </cfRule>
    <cfRule type="cellIs" dxfId="3569" priority="1134" operator="between">
      <formula>0.3751</formula>
      <formula>0.5625</formula>
    </cfRule>
    <cfRule type="cellIs" dxfId="3568" priority="1135" operator="greaterThan">
      <formula>0.751</formula>
    </cfRule>
    <cfRule type="cellIs" dxfId="3567" priority="1136" operator="between">
      <formula>0.71251</formula>
      <formula>0.75</formula>
    </cfRule>
    <cfRule type="cellIs" dxfId="3566" priority="1137" stopIfTrue="1" operator="between">
      <formula>0</formula>
      <formula>0.375</formula>
    </cfRule>
  </conditionalFormatting>
  <conditionalFormatting sqref="AA383:AA386">
    <cfRule type="cellIs" dxfId="3565" priority="1128" operator="between">
      <formula>0.56251</formula>
      <formula>0.7125</formula>
    </cfRule>
    <cfRule type="cellIs" dxfId="3564" priority="1129" operator="between">
      <formula>0.3751</formula>
      <formula>0.5625</formula>
    </cfRule>
    <cfRule type="cellIs" dxfId="3563" priority="1130" operator="greaterThan">
      <formula>0.751</formula>
    </cfRule>
    <cfRule type="cellIs" dxfId="3562" priority="1131" operator="between">
      <formula>0.71251</formula>
      <formula>0.75</formula>
    </cfRule>
    <cfRule type="cellIs" dxfId="3561" priority="1132" stopIfTrue="1" operator="between">
      <formula>0</formula>
      <formula>0.375</formula>
    </cfRule>
  </conditionalFormatting>
  <conditionalFormatting sqref="Y381">
    <cfRule type="cellIs" dxfId="3560" priority="1123" operator="between">
      <formula>0.56251</formula>
      <formula>0.7125</formula>
    </cfRule>
    <cfRule type="cellIs" dxfId="3559" priority="1124" operator="between">
      <formula>0.3751</formula>
      <formula>0.5625</formula>
    </cfRule>
    <cfRule type="cellIs" dxfId="3558" priority="1125" operator="greaterThan">
      <formula>0.751</formula>
    </cfRule>
    <cfRule type="cellIs" dxfId="3557" priority="1126" operator="between">
      <formula>0.71251</formula>
      <formula>0.75</formula>
    </cfRule>
    <cfRule type="cellIs" dxfId="3556" priority="1127" stopIfTrue="1" operator="between">
      <formula>0</formula>
      <formula>0.375</formula>
    </cfRule>
  </conditionalFormatting>
  <conditionalFormatting sqref="AA381">
    <cfRule type="cellIs" dxfId="3555" priority="1118" operator="between">
      <formula>0.56251</formula>
      <formula>0.7125</formula>
    </cfRule>
    <cfRule type="cellIs" dxfId="3554" priority="1119" operator="between">
      <formula>0.3751</formula>
      <formula>0.5625</formula>
    </cfRule>
    <cfRule type="cellIs" dxfId="3553" priority="1120" operator="greaterThan">
      <formula>0.751</formula>
    </cfRule>
    <cfRule type="cellIs" dxfId="3552" priority="1121" operator="between">
      <formula>0.71251</formula>
      <formula>0.75</formula>
    </cfRule>
    <cfRule type="cellIs" dxfId="3551" priority="1122" stopIfTrue="1" operator="between">
      <formula>0</formula>
      <formula>0.375</formula>
    </cfRule>
  </conditionalFormatting>
  <conditionalFormatting sqref="Z381">
    <cfRule type="cellIs" dxfId="3550" priority="1113" operator="between">
      <formula>0.56251</formula>
      <formula>0.7125</formula>
    </cfRule>
    <cfRule type="cellIs" dxfId="3549" priority="1114" operator="between">
      <formula>0.3751</formula>
      <formula>0.5625</formula>
    </cfRule>
    <cfRule type="cellIs" dxfId="3548" priority="1115" operator="greaterThan">
      <formula>0.751</formula>
    </cfRule>
    <cfRule type="cellIs" dxfId="3547" priority="1116" operator="between">
      <formula>0.71251</formula>
      <formula>0.75</formula>
    </cfRule>
    <cfRule type="cellIs" dxfId="3546" priority="1117" stopIfTrue="1" operator="between">
      <formula>0</formula>
      <formula>0.375</formula>
    </cfRule>
  </conditionalFormatting>
  <conditionalFormatting sqref="Y380">
    <cfRule type="cellIs" dxfId="3545" priority="1108" operator="between">
      <formula>0.56251</formula>
      <formula>0.7125</formula>
    </cfRule>
    <cfRule type="cellIs" dxfId="3544" priority="1109" operator="between">
      <formula>0.3751</formula>
      <formula>0.5625</formula>
    </cfRule>
    <cfRule type="cellIs" dxfId="3543" priority="1110" operator="greaterThan">
      <formula>0.751</formula>
    </cfRule>
    <cfRule type="cellIs" dxfId="3542" priority="1111" operator="between">
      <formula>0.71251</formula>
      <formula>0.75</formula>
    </cfRule>
    <cfRule type="cellIs" dxfId="3541" priority="1112" stopIfTrue="1" operator="between">
      <formula>0</formula>
      <formula>0.375</formula>
    </cfRule>
  </conditionalFormatting>
  <conditionalFormatting sqref="AA380">
    <cfRule type="cellIs" dxfId="3540" priority="1103" operator="between">
      <formula>0.56251</formula>
      <formula>0.7125</formula>
    </cfRule>
    <cfRule type="cellIs" dxfId="3539" priority="1104" operator="between">
      <formula>0.3751</formula>
      <formula>0.5625</formula>
    </cfRule>
    <cfRule type="cellIs" dxfId="3538" priority="1105" operator="greaterThan">
      <formula>0.751</formula>
    </cfRule>
    <cfRule type="cellIs" dxfId="3537" priority="1106" operator="between">
      <formula>0.71251</formula>
      <formula>0.75</formula>
    </cfRule>
    <cfRule type="cellIs" dxfId="3536" priority="1107" stopIfTrue="1" operator="between">
      <formula>0</formula>
      <formula>0.375</formula>
    </cfRule>
  </conditionalFormatting>
  <conditionalFormatting sqref="Z380">
    <cfRule type="cellIs" dxfId="3535" priority="1098" operator="between">
      <formula>0.56251</formula>
      <formula>0.7125</formula>
    </cfRule>
    <cfRule type="cellIs" dxfId="3534" priority="1099" operator="between">
      <formula>0.3751</formula>
      <formula>0.5625</formula>
    </cfRule>
    <cfRule type="cellIs" dxfId="3533" priority="1100" operator="greaterThan">
      <formula>0.751</formula>
    </cfRule>
    <cfRule type="cellIs" dxfId="3532" priority="1101" operator="between">
      <formula>0.71251</formula>
      <formula>0.75</formula>
    </cfRule>
    <cfRule type="cellIs" dxfId="3531" priority="1102" stopIfTrue="1" operator="between">
      <formula>0</formula>
      <formula>0.375</formula>
    </cfRule>
  </conditionalFormatting>
  <conditionalFormatting sqref="Y331">
    <cfRule type="cellIs" dxfId="3530" priority="1078" operator="between">
      <formula>0.56251</formula>
      <formula>0.7125</formula>
    </cfRule>
    <cfRule type="cellIs" dxfId="3529" priority="1079" operator="between">
      <formula>0.3751</formula>
      <formula>0.5625</formula>
    </cfRule>
    <cfRule type="cellIs" dxfId="3528" priority="1080" operator="greaterThan">
      <formula>0.751</formula>
    </cfRule>
    <cfRule type="cellIs" dxfId="3527" priority="1081" operator="between">
      <formula>0.71251</formula>
      <formula>0.75</formula>
    </cfRule>
    <cfRule type="cellIs" dxfId="3526" priority="1082" stopIfTrue="1" operator="between">
      <formula>0</formula>
      <formula>0.375</formula>
    </cfRule>
  </conditionalFormatting>
  <conditionalFormatting sqref="AA331">
    <cfRule type="cellIs" dxfId="3525" priority="1073" operator="between">
      <formula>0.56251</formula>
      <formula>0.7125</formula>
    </cfRule>
    <cfRule type="cellIs" dxfId="3524" priority="1074" operator="between">
      <formula>0.3751</formula>
      <formula>0.5625</formula>
    </cfRule>
    <cfRule type="cellIs" dxfId="3523" priority="1075" operator="greaterThan">
      <formula>0.751</formula>
    </cfRule>
    <cfRule type="cellIs" dxfId="3522" priority="1076" operator="between">
      <formula>0.71251</formula>
      <formula>0.75</formula>
    </cfRule>
    <cfRule type="cellIs" dxfId="3521" priority="1077" stopIfTrue="1" operator="between">
      <formula>0</formula>
      <formula>0.375</formula>
    </cfRule>
  </conditionalFormatting>
  <conditionalFormatting sqref="Z331">
    <cfRule type="cellIs" dxfId="3520" priority="1068" operator="between">
      <formula>0.56251</formula>
      <formula>0.7125</formula>
    </cfRule>
    <cfRule type="cellIs" dxfId="3519" priority="1069" operator="between">
      <formula>0.3751</formula>
      <formula>0.5625</formula>
    </cfRule>
    <cfRule type="cellIs" dxfId="3518" priority="1070" operator="greaterThan">
      <formula>0.751</formula>
    </cfRule>
    <cfRule type="cellIs" dxfId="3517" priority="1071" operator="between">
      <formula>0.71251</formula>
      <formula>0.75</formula>
    </cfRule>
    <cfRule type="cellIs" dxfId="3516" priority="1072" stopIfTrue="1" operator="between">
      <formula>0</formula>
      <formula>0.375</formula>
    </cfRule>
  </conditionalFormatting>
  <conditionalFormatting sqref="Y330">
    <cfRule type="cellIs" dxfId="3515" priority="1063" operator="between">
      <formula>0.56251</formula>
      <formula>0.7125</formula>
    </cfRule>
    <cfRule type="cellIs" dxfId="3514" priority="1064" operator="between">
      <formula>0.3751</formula>
      <formula>0.5625</formula>
    </cfRule>
    <cfRule type="cellIs" dxfId="3513" priority="1065" operator="greaterThan">
      <formula>0.751</formula>
    </cfRule>
    <cfRule type="cellIs" dxfId="3512" priority="1066" operator="between">
      <formula>0.71251</formula>
      <formula>0.75</formula>
    </cfRule>
    <cfRule type="cellIs" dxfId="3511" priority="1067" stopIfTrue="1" operator="between">
      <formula>0</formula>
      <formula>0.375</formula>
    </cfRule>
  </conditionalFormatting>
  <conditionalFormatting sqref="AA330">
    <cfRule type="cellIs" dxfId="3510" priority="1058" operator="between">
      <formula>0.56251</formula>
      <formula>0.7125</formula>
    </cfRule>
    <cfRule type="cellIs" dxfId="3509" priority="1059" operator="between">
      <formula>0.3751</formula>
      <formula>0.5625</formula>
    </cfRule>
    <cfRule type="cellIs" dxfId="3508" priority="1060" operator="greaterThan">
      <formula>0.751</formula>
    </cfRule>
    <cfRule type="cellIs" dxfId="3507" priority="1061" operator="between">
      <formula>0.71251</formula>
      <formula>0.75</formula>
    </cfRule>
    <cfRule type="cellIs" dxfId="3506" priority="1062" stopIfTrue="1" operator="between">
      <formula>0</formula>
      <formula>0.375</formula>
    </cfRule>
  </conditionalFormatting>
  <conditionalFormatting sqref="Z330">
    <cfRule type="cellIs" dxfId="3505" priority="1053" operator="between">
      <formula>0.56251</formula>
      <formula>0.7125</formula>
    </cfRule>
    <cfRule type="cellIs" dxfId="3504" priority="1054" operator="between">
      <formula>0.3751</formula>
      <formula>0.5625</formula>
    </cfRule>
    <cfRule type="cellIs" dxfId="3503" priority="1055" operator="greaterThan">
      <formula>0.751</formula>
    </cfRule>
    <cfRule type="cellIs" dxfId="3502" priority="1056" operator="between">
      <formula>0.71251</formula>
      <formula>0.75</formula>
    </cfRule>
    <cfRule type="cellIs" dxfId="3501" priority="1057" stopIfTrue="1" operator="between">
      <formula>0</formula>
      <formula>0.375</formula>
    </cfRule>
  </conditionalFormatting>
  <conditionalFormatting sqref="Y323:Y329">
    <cfRule type="cellIs" dxfId="3500" priority="1048" operator="between">
      <formula>0.56251</formula>
      <formula>0.7125</formula>
    </cfRule>
    <cfRule type="cellIs" dxfId="3499" priority="1049" operator="between">
      <formula>0.3751</formula>
      <formula>0.5625</formula>
    </cfRule>
    <cfRule type="cellIs" dxfId="3498" priority="1050" operator="greaterThan">
      <formula>0.751</formula>
    </cfRule>
    <cfRule type="cellIs" dxfId="3497" priority="1051" operator="between">
      <formula>0.71251</formula>
      <formula>0.75</formula>
    </cfRule>
    <cfRule type="cellIs" dxfId="3496" priority="1052" stopIfTrue="1" operator="between">
      <formula>0</formula>
      <formula>0.375</formula>
    </cfRule>
  </conditionalFormatting>
  <conditionalFormatting sqref="AA323:AA329">
    <cfRule type="cellIs" dxfId="3495" priority="1043" operator="between">
      <formula>0.56251</formula>
      <formula>0.7125</formula>
    </cfRule>
    <cfRule type="cellIs" dxfId="3494" priority="1044" operator="between">
      <formula>0.3751</formula>
      <formula>0.5625</formula>
    </cfRule>
    <cfRule type="cellIs" dxfId="3493" priority="1045" operator="greaterThan">
      <formula>0.751</formula>
    </cfRule>
    <cfRule type="cellIs" dxfId="3492" priority="1046" operator="between">
      <formula>0.71251</formula>
      <formula>0.75</formula>
    </cfRule>
    <cfRule type="cellIs" dxfId="3491" priority="1047" stopIfTrue="1" operator="between">
      <formula>0</formula>
      <formula>0.375</formula>
    </cfRule>
  </conditionalFormatting>
  <conditionalFormatting sqref="Z323:Z329">
    <cfRule type="cellIs" dxfId="3490" priority="1038" operator="between">
      <formula>0.56251</formula>
      <formula>0.7125</formula>
    </cfRule>
    <cfRule type="cellIs" dxfId="3489" priority="1039" operator="between">
      <formula>0.3751</formula>
      <formula>0.5625</formula>
    </cfRule>
    <cfRule type="cellIs" dxfId="3488" priority="1040" operator="greaterThan">
      <formula>0.751</formula>
    </cfRule>
    <cfRule type="cellIs" dxfId="3487" priority="1041" operator="between">
      <formula>0.71251</formula>
      <formula>0.75</formula>
    </cfRule>
    <cfRule type="cellIs" dxfId="3486" priority="1042" stopIfTrue="1" operator="between">
      <formula>0</formula>
      <formula>0.375</formula>
    </cfRule>
  </conditionalFormatting>
  <conditionalFormatting sqref="Y321">
    <cfRule type="cellIs" dxfId="3485" priority="1033" operator="between">
      <formula>0.56251</formula>
      <formula>0.7125</formula>
    </cfRule>
    <cfRule type="cellIs" dxfId="3484" priority="1034" operator="between">
      <formula>0.3751</formula>
      <formula>0.5625</formula>
    </cfRule>
    <cfRule type="cellIs" dxfId="3483" priority="1035" operator="greaterThan">
      <formula>0.751</formula>
    </cfRule>
    <cfRule type="cellIs" dxfId="3482" priority="1036" operator="between">
      <formula>0.71251</formula>
      <formula>0.75</formula>
    </cfRule>
    <cfRule type="cellIs" dxfId="3481" priority="1037" stopIfTrue="1" operator="between">
      <formula>0</formula>
      <formula>0.375</formula>
    </cfRule>
  </conditionalFormatting>
  <conditionalFormatting sqref="AA321">
    <cfRule type="cellIs" dxfId="3480" priority="1028" operator="between">
      <formula>0.56251</formula>
      <formula>0.7125</formula>
    </cfRule>
    <cfRule type="cellIs" dxfId="3479" priority="1029" operator="between">
      <formula>0.3751</formula>
      <formula>0.5625</formula>
    </cfRule>
    <cfRule type="cellIs" dxfId="3478" priority="1030" operator="greaterThan">
      <formula>0.751</formula>
    </cfRule>
    <cfRule type="cellIs" dxfId="3477" priority="1031" operator="between">
      <formula>0.71251</formula>
      <formula>0.75</formula>
    </cfRule>
    <cfRule type="cellIs" dxfId="3476" priority="1032" stopIfTrue="1" operator="between">
      <formula>0</formula>
      <formula>0.375</formula>
    </cfRule>
  </conditionalFormatting>
  <conditionalFormatting sqref="Z321">
    <cfRule type="cellIs" dxfId="3475" priority="1023" operator="between">
      <formula>0.56251</formula>
      <formula>0.7125</formula>
    </cfRule>
    <cfRule type="cellIs" dxfId="3474" priority="1024" operator="between">
      <formula>0.3751</formula>
      <formula>0.5625</formula>
    </cfRule>
    <cfRule type="cellIs" dxfId="3473" priority="1025" operator="greaterThan">
      <formula>0.751</formula>
    </cfRule>
    <cfRule type="cellIs" dxfId="3472" priority="1026" operator="between">
      <formula>0.71251</formula>
      <formula>0.75</formula>
    </cfRule>
    <cfRule type="cellIs" dxfId="3471" priority="1027" stopIfTrue="1" operator="between">
      <formula>0</formula>
      <formula>0.375</formula>
    </cfRule>
  </conditionalFormatting>
  <conditionalFormatting sqref="Y320">
    <cfRule type="cellIs" dxfId="3470" priority="1018" operator="between">
      <formula>0.56251</formula>
      <formula>0.7125</formula>
    </cfRule>
    <cfRule type="cellIs" dxfId="3469" priority="1019" operator="between">
      <formula>0.3751</formula>
      <formula>0.5625</formula>
    </cfRule>
    <cfRule type="cellIs" dxfId="3468" priority="1020" operator="greaterThan">
      <formula>0.751</formula>
    </cfRule>
    <cfRule type="cellIs" dxfId="3467" priority="1021" operator="between">
      <formula>0.71251</formula>
      <formula>0.75</formula>
    </cfRule>
    <cfRule type="cellIs" dxfId="3466" priority="1022" stopIfTrue="1" operator="between">
      <formula>0</formula>
      <formula>0.375</formula>
    </cfRule>
  </conditionalFormatting>
  <conditionalFormatting sqref="AA320">
    <cfRule type="cellIs" dxfId="3465" priority="1013" operator="between">
      <formula>0.56251</formula>
      <formula>0.7125</formula>
    </cfRule>
    <cfRule type="cellIs" dxfId="3464" priority="1014" operator="between">
      <formula>0.3751</formula>
      <formula>0.5625</formula>
    </cfRule>
    <cfRule type="cellIs" dxfId="3463" priority="1015" operator="greaterThan">
      <formula>0.751</formula>
    </cfRule>
    <cfRule type="cellIs" dxfId="3462" priority="1016" operator="between">
      <formula>0.71251</formula>
      <formula>0.75</formula>
    </cfRule>
    <cfRule type="cellIs" dxfId="3461" priority="1017" stopIfTrue="1" operator="between">
      <formula>0</formula>
      <formula>0.375</formula>
    </cfRule>
  </conditionalFormatting>
  <conditionalFormatting sqref="Z320">
    <cfRule type="cellIs" dxfId="3460" priority="1008" operator="between">
      <formula>0.56251</formula>
      <formula>0.7125</formula>
    </cfRule>
    <cfRule type="cellIs" dxfId="3459" priority="1009" operator="between">
      <formula>0.3751</formula>
      <formula>0.5625</formula>
    </cfRule>
    <cfRule type="cellIs" dxfId="3458" priority="1010" operator="greaterThan">
      <formula>0.751</formula>
    </cfRule>
    <cfRule type="cellIs" dxfId="3457" priority="1011" operator="between">
      <formula>0.71251</formula>
      <formula>0.75</formula>
    </cfRule>
    <cfRule type="cellIs" dxfId="3456" priority="1012" stopIfTrue="1" operator="between">
      <formula>0</formula>
      <formula>0.375</formula>
    </cfRule>
  </conditionalFormatting>
  <conditionalFormatting sqref="Y308:Y319">
    <cfRule type="cellIs" dxfId="3455" priority="1003" operator="between">
      <formula>0.56251</formula>
      <formula>0.7125</formula>
    </cfRule>
    <cfRule type="cellIs" dxfId="3454" priority="1004" operator="between">
      <formula>0.3751</formula>
      <formula>0.5625</formula>
    </cfRule>
    <cfRule type="cellIs" dxfId="3453" priority="1005" operator="greaterThan">
      <formula>0.751</formula>
    </cfRule>
    <cfRule type="cellIs" dxfId="3452" priority="1006" operator="between">
      <formula>0.71251</formula>
      <formula>0.75</formula>
    </cfRule>
    <cfRule type="cellIs" dxfId="3451" priority="1007" stopIfTrue="1" operator="between">
      <formula>0</formula>
      <formula>0.375</formula>
    </cfRule>
  </conditionalFormatting>
  <conditionalFormatting sqref="AA308:AA319">
    <cfRule type="cellIs" dxfId="3450" priority="998" operator="between">
      <formula>0.56251</formula>
      <formula>0.7125</formula>
    </cfRule>
    <cfRule type="cellIs" dxfId="3449" priority="999" operator="between">
      <formula>0.3751</formula>
      <formula>0.5625</formula>
    </cfRule>
    <cfRule type="cellIs" dxfId="3448" priority="1000" operator="greaterThan">
      <formula>0.751</formula>
    </cfRule>
    <cfRule type="cellIs" dxfId="3447" priority="1001" operator="between">
      <formula>0.71251</formula>
      <formula>0.75</formula>
    </cfRule>
    <cfRule type="cellIs" dxfId="3446" priority="1002" stopIfTrue="1" operator="between">
      <formula>0</formula>
      <formula>0.375</formula>
    </cfRule>
  </conditionalFormatting>
  <conditionalFormatting sqref="Z308:Z319">
    <cfRule type="cellIs" dxfId="3445" priority="993" operator="between">
      <formula>0.56251</formula>
      <formula>0.7125</formula>
    </cfRule>
    <cfRule type="cellIs" dxfId="3444" priority="994" operator="between">
      <formula>0.3751</formula>
      <formula>0.5625</formula>
    </cfRule>
    <cfRule type="cellIs" dxfId="3443" priority="995" operator="greaterThan">
      <formula>0.751</formula>
    </cfRule>
    <cfRule type="cellIs" dxfId="3442" priority="996" operator="between">
      <formula>0.71251</formula>
      <formula>0.75</formula>
    </cfRule>
    <cfRule type="cellIs" dxfId="3441" priority="997" stopIfTrue="1" operator="between">
      <formula>0</formula>
      <formula>0.375</formula>
    </cfRule>
  </conditionalFormatting>
  <conditionalFormatting sqref="Y304 Y306">
    <cfRule type="cellIs" dxfId="3440" priority="988" operator="between">
      <formula>0.56251</formula>
      <formula>0.7125</formula>
    </cfRule>
    <cfRule type="cellIs" dxfId="3439" priority="989" operator="between">
      <formula>0.3751</formula>
      <formula>0.5625</formula>
    </cfRule>
    <cfRule type="cellIs" dxfId="3438" priority="990" operator="greaterThan">
      <formula>0.751</formula>
    </cfRule>
    <cfRule type="cellIs" dxfId="3437" priority="991" operator="between">
      <formula>0.71251</formula>
      <formula>0.75</formula>
    </cfRule>
    <cfRule type="cellIs" dxfId="3436" priority="992" stopIfTrue="1" operator="between">
      <formula>0</formula>
      <formula>0.375</formula>
    </cfRule>
  </conditionalFormatting>
  <conditionalFormatting sqref="AA304 AA306">
    <cfRule type="cellIs" dxfId="3435" priority="983" operator="between">
      <formula>0.56251</formula>
      <formula>0.7125</formula>
    </cfRule>
    <cfRule type="cellIs" dxfId="3434" priority="984" operator="between">
      <formula>0.3751</formula>
      <formula>0.5625</formula>
    </cfRule>
    <cfRule type="cellIs" dxfId="3433" priority="985" operator="greaterThan">
      <formula>0.751</formula>
    </cfRule>
    <cfRule type="cellIs" dxfId="3432" priority="986" operator="between">
      <formula>0.71251</formula>
      <formula>0.75</formula>
    </cfRule>
    <cfRule type="cellIs" dxfId="3431" priority="987" stopIfTrue="1" operator="between">
      <formula>0</formula>
      <formula>0.375</formula>
    </cfRule>
  </conditionalFormatting>
  <conditionalFormatting sqref="Z304 Z306">
    <cfRule type="cellIs" dxfId="3430" priority="978" operator="between">
      <formula>0.56251</formula>
      <formula>0.7125</formula>
    </cfRule>
    <cfRule type="cellIs" dxfId="3429" priority="979" operator="between">
      <formula>0.3751</formula>
      <formula>0.5625</formula>
    </cfRule>
    <cfRule type="cellIs" dxfId="3428" priority="980" operator="greaterThan">
      <formula>0.751</formula>
    </cfRule>
    <cfRule type="cellIs" dxfId="3427" priority="981" operator="between">
      <formula>0.71251</formula>
      <formula>0.75</formula>
    </cfRule>
    <cfRule type="cellIs" dxfId="3426" priority="982" stopIfTrue="1" operator="between">
      <formula>0</formula>
      <formula>0.375</formula>
    </cfRule>
  </conditionalFormatting>
  <conditionalFormatting sqref="Y239:Y275 Y277:Y302">
    <cfRule type="cellIs" dxfId="3425" priority="973" operator="between">
      <formula>0.56251</formula>
      <formula>0.7125</formula>
    </cfRule>
    <cfRule type="cellIs" dxfId="3424" priority="974" operator="between">
      <formula>0.3751</formula>
      <formula>0.5625</formula>
    </cfRule>
    <cfRule type="cellIs" dxfId="3423" priority="975" operator="greaterThan">
      <formula>0.751</formula>
    </cfRule>
    <cfRule type="cellIs" dxfId="3422" priority="976" operator="between">
      <formula>0.71251</formula>
      <formula>0.75</formula>
    </cfRule>
    <cfRule type="cellIs" dxfId="3421" priority="977" stopIfTrue="1" operator="between">
      <formula>0</formula>
      <formula>0.375</formula>
    </cfRule>
  </conditionalFormatting>
  <conditionalFormatting sqref="AA239:AA275 AA277:AA302">
    <cfRule type="cellIs" dxfId="3420" priority="968" operator="between">
      <formula>0.56251</formula>
      <formula>0.7125</formula>
    </cfRule>
    <cfRule type="cellIs" dxfId="3419" priority="969" operator="between">
      <formula>0.3751</formula>
      <formula>0.5625</formula>
    </cfRule>
    <cfRule type="cellIs" dxfId="3418" priority="970" operator="greaterThan">
      <formula>0.751</formula>
    </cfRule>
    <cfRule type="cellIs" dxfId="3417" priority="971" operator="between">
      <formula>0.71251</formula>
      <formula>0.75</formula>
    </cfRule>
    <cfRule type="cellIs" dxfId="3416" priority="972" stopIfTrue="1" operator="between">
      <formula>0</formula>
      <formula>0.375</formula>
    </cfRule>
  </conditionalFormatting>
  <conditionalFormatting sqref="Z239:Z275 Z277:Z302">
    <cfRule type="cellIs" dxfId="3415" priority="963" operator="between">
      <formula>0.56251</formula>
      <formula>0.7125</formula>
    </cfRule>
    <cfRule type="cellIs" dxfId="3414" priority="964" operator="between">
      <formula>0.3751</formula>
      <formula>0.5625</formula>
    </cfRule>
    <cfRule type="cellIs" dxfId="3413" priority="965" operator="greaterThan">
      <formula>0.751</formula>
    </cfRule>
    <cfRule type="cellIs" dxfId="3412" priority="966" operator="between">
      <formula>0.71251</formula>
      <formula>0.75</formula>
    </cfRule>
    <cfRule type="cellIs" dxfId="3411" priority="967" stopIfTrue="1" operator="between">
      <formula>0</formula>
      <formula>0.375</formula>
    </cfRule>
  </conditionalFormatting>
  <conditionalFormatting sqref="Y228:Y236">
    <cfRule type="cellIs" dxfId="3410" priority="958" operator="between">
      <formula>0.56251</formula>
      <formula>0.7125</formula>
    </cfRule>
    <cfRule type="cellIs" dxfId="3409" priority="959" operator="between">
      <formula>0.3751</formula>
      <formula>0.5625</formula>
    </cfRule>
    <cfRule type="cellIs" dxfId="3408" priority="960" operator="greaterThan">
      <formula>0.751</formula>
    </cfRule>
    <cfRule type="cellIs" dxfId="3407" priority="961" operator="between">
      <formula>0.71251</formula>
      <formula>0.75</formula>
    </cfRule>
    <cfRule type="cellIs" dxfId="3406" priority="962" stopIfTrue="1" operator="between">
      <formula>0</formula>
      <formula>0.375</formula>
    </cfRule>
  </conditionalFormatting>
  <conditionalFormatting sqref="AA228:AA236">
    <cfRule type="cellIs" dxfId="3405" priority="953" operator="between">
      <formula>0.56251</formula>
      <formula>0.7125</formula>
    </cfRule>
    <cfRule type="cellIs" dxfId="3404" priority="954" operator="between">
      <formula>0.3751</formula>
      <formula>0.5625</formula>
    </cfRule>
    <cfRule type="cellIs" dxfId="3403" priority="955" operator="greaterThan">
      <formula>0.751</formula>
    </cfRule>
    <cfRule type="cellIs" dxfId="3402" priority="956" operator="between">
      <formula>0.71251</formula>
      <formula>0.75</formula>
    </cfRule>
    <cfRule type="cellIs" dxfId="3401" priority="957" stopIfTrue="1" operator="between">
      <formula>0</formula>
      <formula>0.375</formula>
    </cfRule>
  </conditionalFormatting>
  <conditionalFormatting sqref="Z228:Z236">
    <cfRule type="cellIs" dxfId="3400" priority="948" operator="between">
      <formula>0.56251</formula>
      <formula>0.7125</formula>
    </cfRule>
    <cfRule type="cellIs" dxfId="3399" priority="949" operator="between">
      <formula>0.3751</formula>
      <formula>0.5625</formula>
    </cfRule>
    <cfRule type="cellIs" dxfId="3398" priority="950" operator="greaterThan">
      <formula>0.751</formula>
    </cfRule>
    <cfRule type="cellIs" dxfId="3397" priority="951" operator="between">
      <formula>0.71251</formula>
      <formula>0.75</formula>
    </cfRule>
    <cfRule type="cellIs" dxfId="3396" priority="952" stopIfTrue="1" operator="between">
      <formula>0</formula>
      <formula>0.375</formula>
    </cfRule>
  </conditionalFormatting>
  <conditionalFormatting sqref="Y216:Y226">
    <cfRule type="cellIs" dxfId="3395" priority="943" operator="between">
      <formula>0.56251</formula>
      <formula>0.7125</formula>
    </cfRule>
    <cfRule type="cellIs" dxfId="3394" priority="944" operator="between">
      <formula>0.3751</formula>
      <formula>0.5625</formula>
    </cfRule>
    <cfRule type="cellIs" dxfId="3393" priority="945" operator="greaterThan">
      <formula>0.751</formula>
    </cfRule>
    <cfRule type="cellIs" dxfId="3392" priority="946" operator="between">
      <formula>0.71251</formula>
      <formula>0.75</formula>
    </cfRule>
    <cfRule type="cellIs" dxfId="3391" priority="947" stopIfTrue="1" operator="between">
      <formula>0</formula>
      <formula>0.375</formula>
    </cfRule>
  </conditionalFormatting>
  <conditionalFormatting sqref="AA216:AA226">
    <cfRule type="cellIs" dxfId="3390" priority="938" operator="between">
      <formula>0.56251</formula>
      <formula>0.7125</formula>
    </cfRule>
    <cfRule type="cellIs" dxfId="3389" priority="939" operator="between">
      <formula>0.3751</formula>
      <formula>0.5625</formula>
    </cfRule>
    <cfRule type="cellIs" dxfId="3388" priority="940" operator="greaterThan">
      <formula>0.751</formula>
    </cfRule>
    <cfRule type="cellIs" dxfId="3387" priority="941" operator="between">
      <formula>0.71251</formula>
      <formula>0.75</formula>
    </cfRule>
    <cfRule type="cellIs" dxfId="3386" priority="942" stopIfTrue="1" operator="between">
      <formula>0</formula>
      <formula>0.375</formula>
    </cfRule>
  </conditionalFormatting>
  <conditionalFormatting sqref="Z216:Z226">
    <cfRule type="cellIs" dxfId="3385" priority="933" operator="between">
      <formula>0.56251</formula>
      <formula>0.7125</formula>
    </cfRule>
    <cfRule type="cellIs" dxfId="3384" priority="934" operator="between">
      <formula>0.3751</formula>
      <formula>0.5625</formula>
    </cfRule>
    <cfRule type="cellIs" dxfId="3383" priority="935" operator="greaterThan">
      <formula>0.751</formula>
    </cfRule>
    <cfRule type="cellIs" dxfId="3382" priority="936" operator="between">
      <formula>0.71251</formula>
      <formula>0.75</formula>
    </cfRule>
    <cfRule type="cellIs" dxfId="3381" priority="937" stopIfTrue="1" operator="between">
      <formula>0</formula>
      <formula>0.375</formula>
    </cfRule>
  </conditionalFormatting>
  <conditionalFormatting sqref="Y207:Y214">
    <cfRule type="cellIs" dxfId="3380" priority="928" operator="between">
      <formula>0.56251</formula>
      <formula>0.7125</formula>
    </cfRule>
    <cfRule type="cellIs" dxfId="3379" priority="929" operator="between">
      <formula>0.3751</formula>
      <formula>0.5625</formula>
    </cfRule>
    <cfRule type="cellIs" dxfId="3378" priority="930" operator="greaterThan">
      <formula>0.751</formula>
    </cfRule>
    <cfRule type="cellIs" dxfId="3377" priority="931" operator="between">
      <formula>0.71251</formula>
      <formula>0.75</formula>
    </cfRule>
    <cfRule type="cellIs" dxfId="3376" priority="932" stopIfTrue="1" operator="between">
      <formula>0</formula>
      <formula>0.375</formula>
    </cfRule>
  </conditionalFormatting>
  <conditionalFormatting sqref="AA207:AA214">
    <cfRule type="cellIs" dxfId="3375" priority="923" operator="between">
      <formula>0.56251</formula>
      <formula>0.7125</formula>
    </cfRule>
    <cfRule type="cellIs" dxfId="3374" priority="924" operator="between">
      <formula>0.3751</formula>
      <formula>0.5625</formula>
    </cfRule>
    <cfRule type="cellIs" dxfId="3373" priority="925" operator="greaterThan">
      <formula>0.751</formula>
    </cfRule>
    <cfRule type="cellIs" dxfId="3372" priority="926" operator="between">
      <formula>0.71251</formula>
      <formula>0.75</formula>
    </cfRule>
    <cfRule type="cellIs" dxfId="3371" priority="927" stopIfTrue="1" operator="between">
      <formula>0</formula>
      <formula>0.375</formula>
    </cfRule>
  </conditionalFormatting>
  <conditionalFormatting sqref="Z207:Z214">
    <cfRule type="cellIs" dxfId="3370" priority="918" operator="between">
      <formula>0.56251</formula>
      <formula>0.7125</formula>
    </cfRule>
    <cfRule type="cellIs" dxfId="3369" priority="919" operator="between">
      <formula>0.3751</formula>
      <formula>0.5625</formula>
    </cfRule>
    <cfRule type="cellIs" dxfId="3368" priority="920" operator="greaterThan">
      <formula>0.751</formula>
    </cfRule>
    <cfRule type="cellIs" dxfId="3367" priority="921" operator="between">
      <formula>0.71251</formula>
      <formula>0.75</formula>
    </cfRule>
    <cfRule type="cellIs" dxfId="3366" priority="922" stopIfTrue="1" operator="between">
      <formula>0</formula>
      <formula>0.375</formula>
    </cfRule>
  </conditionalFormatting>
  <conditionalFormatting sqref="Y184:Y205">
    <cfRule type="cellIs" dxfId="3365" priority="913" operator="between">
      <formula>0.56251</formula>
      <formula>0.7125</formula>
    </cfRule>
    <cfRule type="cellIs" dxfId="3364" priority="914" operator="between">
      <formula>0.3751</formula>
      <formula>0.5625</formula>
    </cfRule>
    <cfRule type="cellIs" dxfId="3363" priority="915" operator="greaterThan">
      <formula>0.751</formula>
    </cfRule>
    <cfRule type="cellIs" dxfId="3362" priority="916" operator="between">
      <formula>0.71251</formula>
      <formula>0.75</formula>
    </cfRule>
    <cfRule type="cellIs" dxfId="3361" priority="917" stopIfTrue="1" operator="between">
      <formula>0</formula>
      <formula>0.375</formula>
    </cfRule>
  </conditionalFormatting>
  <conditionalFormatting sqref="AA184:AA205">
    <cfRule type="cellIs" dxfId="3360" priority="908" operator="between">
      <formula>0.56251</formula>
      <formula>0.7125</formula>
    </cfRule>
    <cfRule type="cellIs" dxfId="3359" priority="909" operator="between">
      <formula>0.3751</formula>
      <formula>0.5625</formula>
    </cfRule>
    <cfRule type="cellIs" dxfId="3358" priority="910" operator="greaterThan">
      <formula>0.751</formula>
    </cfRule>
    <cfRule type="cellIs" dxfId="3357" priority="911" operator="between">
      <formula>0.71251</formula>
      <formula>0.75</formula>
    </cfRule>
    <cfRule type="cellIs" dxfId="3356" priority="912" stopIfTrue="1" operator="between">
      <formula>0</formula>
      <formula>0.375</formula>
    </cfRule>
  </conditionalFormatting>
  <conditionalFormatting sqref="Z184:Z205">
    <cfRule type="cellIs" dxfId="3355" priority="903" operator="between">
      <formula>0.56251</formula>
      <formula>0.7125</formula>
    </cfRule>
    <cfRule type="cellIs" dxfId="3354" priority="904" operator="between">
      <formula>0.3751</formula>
      <formula>0.5625</formula>
    </cfRule>
    <cfRule type="cellIs" dxfId="3353" priority="905" operator="greaterThan">
      <formula>0.751</formula>
    </cfRule>
    <cfRule type="cellIs" dxfId="3352" priority="906" operator="between">
      <formula>0.71251</formula>
      <formula>0.75</formula>
    </cfRule>
    <cfRule type="cellIs" dxfId="3351" priority="907" stopIfTrue="1" operator="between">
      <formula>0</formula>
      <formula>0.375</formula>
    </cfRule>
  </conditionalFormatting>
  <conditionalFormatting sqref="Y120:Y182">
    <cfRule type="cellIs" dxfId="3350" priority="898" operator="between">
      <formula>0.56251</formula>
      <formula>0.7125</formula>
    </cfRule>
    <cfRule type="cellIs" dxfId="3349" priority="899" operator="between">
      <formula>0.3751</formula>
      <formula>0.5625</formula>
    </cfRule>
    <cfRule type="cellIs" dxfId="3348" priority="900" operator="greaterThan">
      <formula>0.751</formula>
    </cfRule>
    <cfRule type="cellIs" dxfId="3347" priority="901" operator="between">
      <formula>0.71251</formula>
      <formula>0.75</formula>
    </cfRule>
    <cfRule type="cellIs" dxfId="3346" priority="902" stopIfTrue="1" operator="between">
      <formula>0</formula>
      <formula>0.375</formula>
    </cfRule>
  </conditionalFormatting>
  <conditionalFormatting sqref="AA120:AA182">
    <cfRule type="cellIs" dxfId="3345" priority="893" operator="between">
      <formula>0.56251</formula>
      <formula>0.7125</formula>
    </cfRule>
    <cfRule type="cellIs" dxfId="3344" priority="894" operator="between">
      <formula>0.3751</formula>
      <formula>0.5625</formula>
    </cfRule>
    <cfRule type="cellIs" dxfId="3343" priority="895" operator="greaterThan">
      <formula>0.751</formula>
    </cfRule>
    <cfRule type="cellIs" dxfId="3342" priority="896" operator="between">
      <formula>0.71251</formula>
      <formula>0.75</formula>
    </cfRule>
    <cfRule type="cellIs" dxfId="3341" priority="897" stopIfTrue="1" operator="between">
      <formula>0</formula>
      <formula>0.375</formula>
    </cfRule>
  </conditionalFormatting>
  <conditionalFormatting sqref="Z120:Z182">
    <cfRule type="cellIs" dxfId="3340" priority="888" operator="between">
      <formula>0.56251</formula>
      <formula>0.7125</formula>
    </cfRule>
    <cfRule type="cellIs" dxfId="3339" priority="889" operator="between">
      <formula>0.3751</formula>
      <formula>0.5625</formula>
    </cfRule>
    <cfRule type="cellIs" dxfId="3338" priority="890" operator="greaterThan">
      <formula>0.751</formula>
    </cfRule>
    <cfRule type="cellIs" dxfId="3337" priority="891" operator="between">
      <formula>0.71251</formula>
      <formula>0.75</formula>
    </cfRule>
    <cfRule type="cellIs" dxfId="3336" priority="892" stopIfTrue="1" operator="between">
      <formula>0</formula>
      <formula>0.375</formula>
    </cfRule>
  </conditionalFormatting>
  <conditionalFormatting sqref="Y110:Y114 Y116:Y117">
    <cfRule type="cellIs" dxfId="3335" priority="883" operator="between">
      <formula>0.56251</formula>
      <formula>0.7125</formula>
    </cfRule>
    <cfRule type="cellIs" dxfId="3334" priority="884" operator="between">
      <formula>0.3751</formula>
      <formula>0.5625</formula>
    </cfRule>
    <cfRule type="cellIs" dxfId="3333" priority="885" operator="greaterThan">
      <formula>0.751</formula>
    </cfRule>
    <cfRule type="cellIs" dxfId="3332" priority="886" operator="between">
      <formula>0.71251</formula>
      <formula>0.75</formula>
    </cfRule>
    <cfRule type="cellIs" dxfId="3331" priority="887" stopIfTrue="1" operator="between">
      <formula>0</formula>
      <formula>0.375</formula>
    </cfRule>
  </conditionalFormatting>
  <conditionalFormatting sqref="AA110:AA114 AA116:AA117">
    <cfRule type="cellIs" dxfId="3330" priority="878" operator="between">
      <formula>0.56251</formula>
      <formula>0.7125</formula>
    </cfRule>
    <cfRule type="cellIs" dxfId="3329" priority="879" operator="between">
      <formula>0.3751</formula>
      <formula>0.5625</formula>
    </cfRule>
    <cfRule type="cellIs" dxfId="3328" priority="880" operator="greaterThan">
      <formula>0.751</formula>
    </cfRule>
    <cfRule type="cellIs" dxfId="3327" priority="881" operator="between">
      <formula>0.71251</formula>
      <formula>0.75</formula>
    </cfRule>
    <cfRule type="cellIs" dxfId="3326" priority="882" stopIfTrue="1" operator="between">
      <formula>0</formula>
      <formula>0.375</formula>
    </cfRule>
  </conditionalFormatting>
  <conditionalFormatting sqref="Z110:Z114 Z116:Z117">
    <cfRule type="cellIs" dxfId="3325" priority="873" operator="between">
      <formula>0.56251</formula>
      <formula>0.7125</formula>
    </cfRule>
    <cfRule type="cellIs" dxfId="3324" priority="874" operator="between">
      <formula>0.3751</formula>
      <formula>0.5625</formula>
    </cfRule>
    <cfRule type="cellIs" dxfId="3323" priority="875" operator="greaterThan">
      <formula>0.751</formula>
    </cfRule>
    <cfRule type="cellIs" dxfId="3322" priority="876" operator="between">
      <formula>0.71251</formula>
      <formula>0.75</formula>
    </cfRule>
    <cfRule type="cellIs" dxfId="3321" priority="877" stopIfTrue="1" operator="between">
      <formula>0</formula>
      <formula>0.375</formula>
    </cfRule>
  </conditionalFormatting>
  <conditionalFormatting sqref="Y86:Y94 Y98:Y99 Y102:Y104 Y106:Y108">
    <cfRule type="cellIs" dxfId="3320" priority="868" operator="between">
      <formula>0.56251</formula>
      <formula>0.7125</formula>
    </cfRule>
    <cfRule type="cellIs" dxfId="3319" priority="869" operator="between">
      <formula>0.3751</formula>
      <formula>0.5625</formula>
    </cfRule>
    <cfRule type="cellIs" dxfId="3318" priority="870" operator="greaterThan">
      <formula>0.751</formula>
    </cfRule>
    <cfRule type="cellIs" dxfId="3317" priority="871" operator="between">
      <formula>0.71251</formula>
      <formula>0.75</formula>
    </cfRule>
    <cfRule type="cellIs" dxfId="3316" priority="872" stopIfTrue="1" operator="between">
      <formula>0</formula>
      <formula>0.375</formula>
    </cfRule>
  </conditionalFormatting>
  <conditionalFormatting sqref="AA86:AA94 AA98:AA99 AA102:AA104 AA106:AA108">
    <cfRule type="cellIs" dxfId="3315" priority="863" operator="between">
      <formula>0.56251</formula>
      <formula>0.7125</formula>
    </cfRule>
    <cfRule type="cellIs" dxfId="3314" priority="864" operator="between">
      <formula>0.3751</formula>
      <formula>0.5625</formula>
    </cfRule>
    <cfRule type="cellIs" dxfId="3313" priority="865" operator="greaterThan">
      <formula>0.751</formula>
    </cfRule>
    <cfRule type="cellIs" dxfId="3312" priority="866" operator="between">
      <formula>0.71251</formula>
      <formula>0.75</formula>
    </cfRule>
    <cfRule type="cellIs" dxfId="3311" priority="867" stopIfTrue="1" operator="between">
      <formula>0</formula>
      <formula>0.375</formula>
    </cfRule>
  </conditionalFormatting>
  <conditionalFormatting sqref="Z86:Z94 Z98:Z99 Z102:Z104 Z106:Z108">
    <cfRule type="cellIs" dxfId="3310" priority="858" operator="between">
      <formula>0.56251</formula>
      <formula>0.7125</formula>
    </cfRule>
    <cfRule type="cellIs" dxfId="3309" priority="859" operator="between">
      <formula>0.3751</formula>
      <formula>0.5625</formula>
    </cfRule>
    <cfRule type="cellIs" dxfId="3308" priority="860" operator="greaterThan">
      <formula>0.751</formula>
    </cfRule>
    <cfRule type="cellIs" dxfId="3307" priority="861" operator="between">
      <formula>0.71251</formula>
      <formula>0.75</formula>
    </cfRule>
    <cfRule type="cellIs" dxfId="3306" priority="862" stopIfTrue="1" operator="between">
      <formula>0</formula>
      <formula>0.375</formula>
    </cfRule>
  </conditionalFormatting>
  <conditionalFormatting sqref="Y71:Y79 Y83">
    <cfRule type="cellIs" dxfId="3305" priority="853" operator="between">
      <formula>0.56251</formula>
      <formula>0.7125</formula>
    </cfRule>
    <cfRule type="cellIs" dxfId="3304" priority="854" operator="between">
      <formula>0.3751</formula>
      <formula>0.5625</formula>
    </cfRule>
    <cfRule type="cellIs" dxfId="3303" priority="855" operator="greaterThan">
      <formula>0.751</formula>
    </cfRule>
    <cfRule type="cellIs" dxfId="3302" priority="856" operator="between">
      <formula>0.71251</formula>
      <formula>0.75</formula>
    </cfRule>
    <cfRule type="cellIs" dxfId="3301" priority="857" stopIfTrue="1" operator="between">
      <formula>0</formula>
      <formula>0.375</formula>
    </cfRule>
  </conditionalFormatting>
  <conditionalFormatting sqref="AA71:AA79 AA83">
    <cfRule type="cellIs" dxfId="3300" priority="848" operator="between">
      <formula>0.56251</formula>
      <formula>0.7125</formula>
    </cfRule>
    <cfRule type="cellIs" dxfId="3299" priority="849" operator="between">
      <formula>0.3751</formula>
      <formula>0.5625</formula>
    </cfRule>
    <cfRule type="cellIs" dxfId="3298" priority="850" operator="greaterThan">
      <formula>0.751</formula>
    </cfRule>
    <cfRule type="cellIs" dxfId="3297" priority="851" operator="between">
      <formula>0.71251</formula>
      <formula>0.75</formula>
    </cfRule>
    <cfRule type="cellIs" dxfId="3296" priority="852" stopIfTrue="1" operator="between">
      <formula>0</formula>
      <formula>0.375</formula>
    </cfRule>
  </conditionalFormatting>
  <conditionalFormatting sqref="Z71:Z79 Z83">
    <cfRule type="cellIs" dxfId="3295" priority="843" operator="between">
      <formula>0.56251</formula>
      <formula>0.7125</formula>
    </cfRule>
    <cfRule type="cellIs" dxfId="3294" priority="844" operator="between">
      <formula>0.3751</formula>
      <formula>0.5625</formula>
    </cfRule>
    <cfRule type="cellIs" dxfId="3293" priority="845" operator="greaterThan">
      <formula>0.751</formula>
    </cfRule>
    <cfRule type="cellIs" dxfId="3292" priority="846" operator="between">
      <formula>0.71251</formula>
      <formula>0.75</formula>
    </cfRule>
    <cfRule type="cellIs" dxfId="3291" priority="847" stopIfTrue="1" operator="between">
      <formula>0</formula>
      <formula>0.375</formula>
    </cfRule>
  </conditionalFormatting>
  <conditionalFormatting sqref="Y40:Y42">
    <cfRule type="cellIs" dxfId="3290" priority="823" operator="between">
      <formula>0.56251</formula>
      <formula>0.7125</formula>
    </cfRule>
    <cfRule type="cellIs" dxfId="3289" priority="824" operator="between">
      <formula>0.3751</formula>
      <formula>0.5625</formula>
    </cfRule>
    <cfRule type="cellIs" dxfId="3288" priority="825" operator="greaterThan">
      <formula>0.751</formula>
    </cfRule>
    <cfRule type="cellIs" dxfId="3287" priority="826" operator="between">
      <formula>0.71251</formula>
      <formula>0.75</formula>
    </cfRule>
    <cfRule type="cellIs" dxfId="3286" priority="827" stopIfTrue="1" operator="between">
      <formula>0</formula>
      <formula>0.375</formula>
    </cfRule>
  </conditionalFormatting>
  <conditionalFormatting sqref="AA40:AA42">
    <cfRule type="cellIs" dxfId="3285" priority="818" operator="between">
      <formula>0.56251</formula>
      <formula>0.7125</formula>
    </cfRule>
    <cfRule type="cellIs" dxfId="3284" priority="819" operator="between">
      <formula>0.3751</formula>
      <formula>0.5625</formula>
    </cfRule>
    <cfRule type="cellIs" dxfId="3283" priority="820" operator="greaterThan">
      <formula>0.751</formula>
    </cfRule>
    <cfRule type="cellIs" dxfId="3282" priority="821" operator="between">
      <formula>0.71251</formula>
      <formula>0.75</formula>
    </cfRule>
    <cfRule type="cellIs" dxfId="3281" priority="822" stopIfTrue="1" operator="between">
      <formula>0</formula>
      <formula>0.375</formula>
    </cfRule>
  </conditionalFormatting>
  <conditionalFormatting sqref="Z40:Z42">
    <cfRule type="cellIs" dxfId="3280" priority="813" operator="between">
      <formula>0.56251</formula>
      <formula>0.7125</formula>
    </cfRule>
    <cfRule type="cellIs" dxfId="3279" priority="814" operator="between">
      <formula>0.3751</formula>
      <formula>0.5625</formula>
    </cfRule>
    <cfRule type="cellIs" dxfId="3278" priority="815" operator="greaterThan">
      <formula>0.751</formula>
    </cfRule>
    <cfRule type="cellIs" dxfId="3277" priority="816" operator="between">
      <formula>0.71251</formula>
      <formula>0.75</formula>
    </cfRule>
    <cfRule type="cellIs" dxfId="3276" priority="817" stopIfTrue="1" operator="between">
      <formula>0</formula>
      <formula>0.375</formula>
    </cfRule>
  </conditionalFormatting>
  <conditionalFormatting sqref="Y332">
    <cfRule type="cellIs" dxfId="3275" priority="808" operator="between">
      <formula>0.56251</formula>
      <formula>0.7125</formula>
    </cfRule>
    <cfRule type="cellIs" dxfId="3274" priority="809" operator="between">
      <formula>0.3751</formula>
      <formula>0.5625</formula>
    </cfRule>
    <cfRule type="cellIs" dxfId="3273" priority="810" operator="greaterThan">
      <formula>0.751</formula>
    </cfRule>
    <cfRule type="cellIs" dxfId="3272" priority="811" operator="between">
      <formula>0.71251</formula>
      <formula>0.75</formula>
    </cfRule>
    <cfRule type="cellIs" dxfId="3271" priority="812" stopIfTrue="1" operator="between">
      <formula>0</formula>
      <formula>0.375</formula>
    </cfRule>
  </conditionalFormatting>
  <conditionalFormatting sqref="AA332">
    <cfRule type="cellIs" dxfId="3270" priority="803" operator="between">
      <formula>0.56251</formula>
      <formula>0.7125</formula>
    </cfRule>
    <cfRule type="cellIs" dxfId="3269" priority="804" operator="between">
      <formula>0.3751</formula>
      <formula>0.5625</formula>
    </cfRule>
    <cfRule type="cellIs" dxfId="3268" priority="805" operator="greaterThan">
      <formula>0.751</formula>
    </cfRule>
    <cfRule type="cellIs" dxfId="3267" priority="806" operator="between">
      <formula>0.71251</formula>
      <formula>0.75</formula>
    </cfRule>
    <cfRule type="cellIs" dxfId="3266" priority="807" stopIfTrue="1" operator="between">
      <formula>0</formula>
      <formula>0.375</formula>
    </cfRule>
  </conditionalFormatting>
  <conditionalFormatting sqref="Z332">
    <cfRule type="cellIs" dxfId="3265" priority="798" operator="between">
      <formula>0.56251</formula>
      <formula>0.7125</formula>
    </cfRule>
    <cfRule type="cellIs" dxfId="3264" priority="799" operator="between">
      <formula>0.3751</formula>
      <formula>0.5625</formula>
    </cfRule>
    <cfRule type="cellIs" dxfId="3263" priority="800" operator="greaterThan">
      <formula>0.751</formula>
    </cfRule>
    <cfRule type="cellIs" dxfId="3262" priority="801" operator="between">
      <formula>0.71251</formula>
      <formula>0.75</formula>
    </cfRule>
    <cfRule type="cellIs" dxfId="3261" priority="802" stopIfTrue="1" operator="between">
      <formula>0</formula>
      <formula>0.375</formula>
    </cfRule>
  </conditionalFormatting>
  <conditionalFormatting sqref="Y307">
    <cfRule type="cellIs" dxfId="3260" priority="793" operator="between">
      <formula>0.56251</formula>
      <formula>0.7125</formula>
    </cfRule>
    <cfRule type="cellIs" dxfId="3259" priority="794" operator="between">
      <formula>0.3751</formula>
      <formula>0.5625</formula>
    </cfRule>
    <cfRule type="cellIs" dxfId="3258" priority="795" operator="greaterThan">
      <formula>0.751</formula>
    </cfRule>
    <cfRule type="cellIs" dxfId="3257" priority="796" operator="between">
      <formula>0.71251</formula>
      <formula>0.75</formula>
    </cfRule>
    <cfRule type="cellIs" dxfId="3256" priority="797" stopIfTrue="1" operator="between">
      <formula>0</formula>
      <formula>0.375</formula>
    </cfRule>
  </conditionalFormatting>
  <conditionalFormatting sqref="AA307">
    <cfRule type="cellIs" dxfId="3255" priority="788" operator="between">
      <formula>0.56251</formula>
      <formula>0.7125</formula>
    </cfRule>
    <cfRule type="cellIs" dxfId="3254" priority="789" operator="between">
      <formula>0.3751</formula>
      <formula>0.5625</formula>
    </cfRule>
    <cfRule type="cellIs" dxfId="3253" priority="790" operator="greaterThan">
      <formula>0.751</formula>
    </cfRule>
    <cfRule type="cellIs" dxfId="3252" priority="791" operator="between">
      <formula>0.71251</formula>
      <formula>0.75</formula>
    </cfRule>
    <cfRule type="cellIs" dxfId="3251" priority="792" stopIfTrue="1" operator="between">
      <formula>0</formula>
      <formula>0.375</formula>
    </cfRule>
  </conditionalFormatting>
  <conditionalFormatting sqref="Z307">
    <cfRule type="cellIs" dxfId="3250" priority="783" operator="between">
      <formula>0.56251</formula>
      <formula>0.7125</formula>
    </cfRule>
    <cfRule type="cellIs" dxfId="3249" priority="784" operator="between">
      <formula>0.3751</formula>
      <formula>0.5625</formula>
    </cfRule>
    <cfRule type="cellIs" dxfId="3248" priority="785" operator="greaterThan">
      <formula>0.751</formula>
    </cfRule>
    <cfRule type="cellIs" dxfId="3247" priority="786" operator="between">
      <formula>0.71251</formula>
      <formula>0.75</formula>
    </cfRule>
    <cfRule type="cellIs" dxfId="3246" priority="787" stopIfTrue="1" operator="between">
      <formula>0</formula>
      <formula>0.375</formula>
    </cfRule>
  </conditionalFormatting>
  <conditionalFormatting sqref="Y303">
    <cfRule type="cellIs" dxfId="3245" priority="778" operator="between">
      <formula>0.56251</formula>
      <formula>0.7125</formula>
    </cfRule>
    <cfRule type="cellIs" dxfId="3244" priority="779" operator="between">
      <formula>0.3751</formula>
      <formula>0.5625</formula>
    </cfRule>
    <cfRule type="cellIs" dxfId="3243" priority="780" operator="greaterThan">
      <formula>0.751</formula>
    </cfRule>
    <cfRule type="cellIs" dxfId="3242" priority="781" operator="between">
      <formula>0.71251</formula>
      <formula>0.75</formula>
    </cfRule>
    <cfRule type="cellIs" dxfId="3241" priority="782" stopIfTrue="1" operator="between">
      <formula>0</formula>
      <formula>0.375</formula>
    </cfRule>
  </conditionalFormatting>
  <conditionalFormatting sqref="AA303">
    <cfRule type="cellIs" dxfId="3240" priority="773" operator="between">
      <formula>0.56251</formula>
      <formula>0.7125</formula>
    </cfRule>
    <cfRule type="cellIs" dxfId="3239" priority="774" operator="between">
      <formula>0.3751</formula>
      <formula>0.5625</formula>
    </cfRule>
    <cfRule type="cellIs" dxfId="3238" priority="775" operator="greaterThan">
      <formula>0.751</formula>
    </cfRule>
    <cfRule type="cellIs" dxfId="3237" priority="776" operator="between">
      <formula>0.71251</formula>
      <formula>0.75</formula>
    </cfRule>
    <cfRule type="cellIs" dxfId="3236" priority="777" stopIfTrue="1" operator="between">
      <formula>0</formula>
      <formula>0.375</formula>
    </cfRule>
  </conditionalFormatting>
  <conditionalFormatting sqref="Z303">
    <cfRule type="cellIs" dxfId="3235" priority="768" operator="between">
      <formula>0.56251</formula>
      <formula>0.7125</formula>
    </cfRule>
    <cfRule type="cellIs" dxfId="3234" priority="769" operator="between">
      <formula>0.3751</formula>
      <formula>0.5625</formula>
    </cfRule>
    <cfRule type="cellIs" dxfId="3233" priority="770" operator="greaterThan">
      <formula>0.751</formula>
    </cfRule>
    <cfRule type="cellIs" dxfId="3232" priority="771" operator="between">
      <formula>0.71251</formula>
      <formula>0.75</formula>
    </cfRule>
    <cfRule type="cellIs" dxfId="3231" priority="772" stopIfTrue="1" operator="between">
      <formula>0</formula>
      <formula>0.375</formula>
    </cfRule>
  </conditionalFormatting>
  <conditionalFormatting sqref="Y237">
    <cfRule type="cellIs" dxfId="3230" priority="763" operator="between">
      <formula>0.56251</formula>
      <formula>0.7125</formula>
    </cfRule>
    <cfRule type="cellIs" dxfId="3229" priority="764" operator="between">
      <formula>0.3751</formula>
      <formula>0.5625</formula>
    </cfRule>
    <cfRule type="cellIs" dxfId="3228" priority="765" operator="greaterThan">
      <formula>0.751</formula>
    </cfRule>
    <cfRule type="cellIs" dxfId="3227" priority="766" operator="between">
      <formula>0.71251</formula>
      <formula>0.75</formula>
    </cfRule>
    <cfRule type="cellIs" dxfId="3226" priority="767" stopIfTrue="1" operator="between">
      <formula>0</formula>
      <formula>0.375</formula>
    </cfRule>
  </conditionalFormatting>
  <conditionalFormatting sqref="AA237">
    <cfRule type="cellIs" dxfId="3225" priority="758" operator="between">
      <formula>0.56251</formula>
      <formula>0.7125</formula>
    </cfRule>
    <cfRule type="cellIs" dxfId="3224" priority="759" operator="between">
      <formula>0.3751</formula>
      <formula>0.5625</formula>
    </cfRule>
    <cfRule type="cellIs" dxfId="3223" priority="760" operator="greaterThan">
      <formula>0.751</formula>
    </cfRule>
    <cfRule type="cellIs" dxfId="3222" priority="761" operator="between">
      <formula>0.71251</formula>
      <formula>0.75</formula>
    </cfRule>
    <cfRule type="cellIs" dxfId="3221" priority="762" stopIfTrue="1" operator="between">
      <formula>0</formula>
      <formula>0.375</formula>
    </cfRule>
  </conditionalFormatting>
  <conditionalFormatting sqref="Z237">
    <cfRule type="cellIs" dxfId="3220" priority="753" operator="between">
      <formula>0.56251</formula>
      <formula>0.7125</formula>
    </cfRule>
    <cfRule type="cellIs" dxfId="3219" priority="754" operator="between">
      <formula>0.3751</formula>
      <formula>0.5625</formula>
    </cfRule>
    <cfRule type="cellIs" dxfId="3218" priority="755" operator="greaterThan">
      <formula>0.751</formula>
    </cfRule>
    <cfRule type="cellIs" dxfId="3217" priority="756" operator="between">
      <formula>0.71251</formula>
      <formula>0.75</formula>
    </cfRule>
    <cfRule type="cellIs" dxfId="3216" priority="757" stopIfTrue="1" operator="between">
      <formula>0</formula>
      <formula>0.375</formula>
    </cfRule>
  </conditionalFormatting>
  <conditionalFormatting sqref="Y215">
    <cfRule type="cellIs" dxfId="3215" priority="748" operator="between">
      <formula>0.56251</formula>
      <formula>0.7125</formula>
    </cfRule>
    <cfRule type="cellIs" dxfId="3214" priority="749" operator="between">
      <formula>0.3751</formula>
      <formula>0.5625</formula>
    </cfRule>
    <cfRule type="cellIs" dxfId="3213" priority="750" operator="greaterThan">
      <formula>0.751</formula>
    </cfRule>
    <cfRule type="cellIs" dxfId="3212" priority="751" operator="between">
      <formula>0.71251</formula>
      <formula>0.75</formula>
    </cfRule>
    <cfRule type="cellIs" dxfId="3211" priority="752" stopIfTrue="1" operator="between">
      <formula>0</formula>
      <formula>0.375</formula>
    </cfRule>
  </conditionalFormatting>
  <conditionalFormatting sqref="AA215">
    <cfRule type="cellIs" dxfId="3210" priority="743" operator="between">
      <formula>0.56251</formula>
      <formula>0.7125</formula>
    </cfRule>
    <cfRule type="cellIs" dxfId="3209" priority="744" operator="between">
      <formula>0.3751</formula>
      <formula>0.5625</formula>
    </cfRule>
    <cfRule type="cellIs" dxfId="3208" priority="745" operator="greaterThan">
      <formula>0.751</formula>
    </cfRule>
    <cfRule type="cellIs" dxfId="3207" priority="746" operator="between">
      <formula>0.71251</formula>
      <formula>0.75</formula>
    </cfRule>
    <cfRule type="cellIs" dxfId="3206" priority="747" stopIfTrue="1" operator="between">
      <formula>0</formula>
      <formula>0.375</formula>
    </cfRule>
  </conditionalFormatting>
  <conditionalFormatting sqref="Z215">
    <cfRule type="cellIs" dxfId="3205" priority="738" operator="between">
      <formula>0.56251</formula>
      <formula>0.7125</formula>
    </cfRule>
    <cfRule type="cellIs" dxfId="3204" priority="739" operator="between">
      <formula>0.3751</formula>
      <formula>0.5625</formula>
    </cfRule>
    <cfRule type="cellIs" dxfId="3203" priority="740" operator="greaterThan">
      <formula>0.751</formula>
    </cfRule>
    <cfRule type="cellIs" dxfId="3202" priority="741" operator="between">
      <formula>0.71251</formula>
      <formula>0.75</formula>
    </cfRule>
    <cfRule type="cellIs" dxfId="3201" priority="742" stopIfTrue="1" operator="between">
      <formula>0</formula>
      <formula>0.375</formula>
    </cfRule>
  </conditionalFormatting>
  <conditionalFormatting sqref="Y206">
    <cfRule type="cellIs" dxfId="3200" priority="733" operator="between">
      <formula>0.56251</formula>
      <formula>0.7125</formula>
    </cfRule>
    <cfRule type="cellIs" dxfId="3199" priority="734" operator="between">
      <formula>0.3751</formula>
      <formula>0.5625</formula>
    </cfRule>
    <cfRule type="cellIs" dxfId="3198" priority="735" operator="greaterThan">
      <formula>0.751</formula>
    </cfRule>
    <cfRule type="cellIs" dxfId="3197" priority="736" operator="between">
      <formula>0.71251</formula>
      <formula>0.75</formula>
    </cfRule>
    <cfRule type="cellIs" dxfId="3196" priority="737" stopIfTrue="1" operator="between">
      <formula>0</formula>
      <formula>0.375</formula>
    </cfRule>
  </conditionalFormatting>
  <conditionalFormatting sqref="AA206">
    <cfRule type="cellIs" dxfId="3195" priority="728" operator="between">
      <formula>0.56251</formula>
      <formula>0.7125</formula>
    </cfRule>
    <cfRule type="cellIs" dxfId="3194" priority="729" operator="between">
      <formula>0.3751</formula>
      <formula>0.5625</formula>
    </cfRule>
    <cfRule type="cellIs" dxfId="3193" priority="730" operator="greaterThan">
      <formula>0.751</formula>
    </cfRule>
    <cfRule type="cellIs" dxfId="3192" priority="731" operator="between">
      <formula>0.71251</formula>
      <formula>0.75</formula>
    </cfRule>
    <cfRule type="cellIs" dxfId="3191" priority="732" stopIfTrue="1" operator="between">
      <formula>0</formula>
      <formula>0.375</formula>
    </cfRule>
  </conditionalFormatting>
  <conditionalFormatting sqref="Z206">
    <cfRule type="cellIs" dxfId="3190" priority="723" operator="between">
      <formula>0.56251</formula>
      <formula>0.7125</formula>
    </cfRule>
    <cfRule type="cellIs" dxfId="3189" priority="724" operator="between">
      <formula>0.3751</formula>
      <formula>0.5625</formula>
    </cfRule>
    <cfRule type="cellIs" dxfId="3188" priority="725" operator="greaterThan">
      <formula>0.751</formula>
    </cfRule>
    <cfRule type="cellIs" dxfId="3187" priority="726" operator="between">
      <formula>0.71251</formula>
      <formula>0.75</formula>
    </cfRule>
    <cfRule type="cellIs" dxfId="3186" priority="727" stopIfTrue="1" operator="between">
      <formula>0</formula>
      <formula>0.375</formula>
    </cfRule>
  </conditionalFormatting>
  <conditionalFormatting sqref="Y183">
    <cfRule type="cellIs" dxfId="3185" priority="718" operator="between">
      <formula>0.56251</formula>
      <formula>0.7125</formula>
    </cfRule>
    <cfRule type="cellIs" dxfId="3184" priority="719" operator="between">
      <formula>0.3751</formula>
      <formula>0.5625</formula>
    </cfRule>
    <cfRule type="cellIs" dxfId="3183" priority="720" operator="greaterThan">
      <formula>0.751</formula>
    </cfRule>
    <cfRule type="cellIs" dxfId="3182" priority="721" operator="between">
      <formula>0.71251</formula>
      <formula>0.75</formula>
    </cfRule>
    <cfRule type="cellIs" dxfId="3181" priority="722" stopIfTrue="1" operator="between">
      <formula>0</formula>
      <formula>0.375</formula>
    </cfRule>
  </conditionalFormatting>
  <conditionalFormatting sqref="AA183">
    <cfRule type="cellIs" dxfId="3180" priority="713" operator="between">
      <formula>0.56251</formula>
      <formula>0.7125</formula>
    </cfRule>
    <cfRule type="cellIs" dxfId="3179" priority="714" operator="between">
      <formula>0.3751</formula>
      <formula>0.5625</formula>
    </cfRule>
    <cfRule type="cellIs" dxfId="3178" priority="715" operator="greaterThan">
      <formula>0.751</formula>
    </cfRule>
    <cfRule type="cellIs" dxfId="3177" priority="716" operator="between">
      <formula>0.71251</formula>
      <formula>0.75</formula>
    </cfRule>
    <cfRule type="cellIs" dxfId="3176" priority="717" stopIfTrue="1" operator="between">
      <formula>0</formula>
      <formula>0.375</formula>
    </cfRule>
  </conditionalFormatting>
  <conditionalFormatting sqref="Z183">
    <cfRule type="cellIs" dxfId="3175" priority="708" operator="between">
      <formula>0.56251</formula>
      <formula>0.7125</formula>
    </cfRule>
    <cfRule type="cellIs" dxfId="3174" priority="709" operator="between">
      <formula>0.3751</formula>
      <formula>0.5625</formula>
    </cfRule>
    <cfRule type="cellIs" dxfId="3173" priority="710" operator="greaterThan">
      <formula>0.751</formula>
    </cfRule>
    <cfRule type="cellIs" dxfId="3172" priority="711" operator="between">
      <formula>0.71251</formula>
      <formula>0.75</formula>
    </cfRule>
    <cfRule type="cellIs" dxfId="3171" priority="712" stopIfTrue="1" operator="between">
      <formula>0</formula>
      <formula>0.375</formula>
    </cfRule>
  </conditionalFormatting>
  <conditionalFormatting sqref="Y118">
    <cfRule type="cellIs" dxfId="3170" priority="703" operator="between">
      <formula>0.56251</formula>
      <formula>0.7125</formula>
    </cfRule>
    <cfRule type="cellIs" dxfId="3169" priority="704" operator="between">
      <formula>0.3751</formula>
      <formula>0.5625</formula>
    </cfRule>
    <cfRule type="cellIs" dxfId="3168" priority="705" operator="greaterThan">
      <formula>0.751</formula>
    </cfRule>
    <cfRule type="cellIs" dxfId="3167" priority="706" operator="between">
      <formula>0.71251</formula>
      <formula>0.75</formula>
    </cfRule>
    <cfRule type="cellIs" dxfId="3166" priority="707" stopIfTrue="1" operator="between">
      <formula>0</formula>
      <formula>0.375</formula>
    </cfRule>
  </conditionalFormatting>
  <conditionalFormatting sqref="AA118">
    <cfRule type="cellIs" dxfId="3165" priority="698" operator="between">
      <formula>0.56251</formula>
      <formula>0.7125</formula>
    </cfRule>
    <cfRule type="cellIs" dxfId="3164" priority="699" operator="between">
      <formula>0.3751</formula>
      <formula>0.5625</formula>
    </cfRule>
    <cfRule type="cellIs" dxfId="3163" priority="700" operator="greaterThan">
      <formula>0.751</formula>
    </cfRule>
    <cfRule type="cellIs" dxfId="3162" priority="701" operator="between">
      <formula>0.71251</formula>
      <formula>0.75</formula>
    </cfRule>
    <cfRule type="cellIs" dxfId="3161" priority="702" stopIfTrue="1" operator="between">
      <formula>0</formula>
      <formula>0.375</formula>
    </cfRule>
  </conditionalFormatting>
  <conditionalFormatting sqref="Z118">
    <cfRule type="cellIs" dxfId="3160" priority="693" operator="between">
      <formula>0.56251</formula>
      <formula>0.7125</formula>
    </cfRule>
    <cfRule type="cellIs" dxfId="3159" priority="694" operator="between">
      <formula>0.3751</formula>
      <formula>0.5625</formula>
    </cfRule>
    <cfRule type="cellIs" dxfId="3158" priority="695" operator="greaterThan">
      <formula>0.751</formula>
    </cfRule>
    <cfRule type="cellIs" dxfId="3157" priority="696" operator="between">
      <formula>0.71251</formula>
      <formula>0.75</formula>
    </cfRule>
    <cfRule type="cellIs" dxfId="3156" priority="697" stopIfTrue="1" operator="between">
      <formula>0</formula>
      <formula>0.375</formula>
    </cfRule>
  </conditionalFormatting>
  <conditionalFormatting sqref="Y109">
    <cfRule type="cellIs" dxfId="3155" priority="673" operator="between">
      <formula>0.56251</formula>
      <formula>0.7125</formula>
    </cfRule>
    <cfRule type="cellIs" dxfId="3154" priority="674" operator="between">
      <formula>0.3751</formula>
      <formula>0.5625</formula>
    </cfRule>
    <cfRule type="cellIs" dxfId="3153" priority="675" operator="greaterThan">
      <formula>0.751</formula>
    </cfRule>
    <cfRule type="cellIs" dxfId="3152" priority="676" operator="between">
      <formula>0.71251</formula>
      <formula>0.75</formula>
    </cfRule>
    <cfRule type="cellIs" dxfId="3151" priority="677" stopIfTrue="1" operator="between">
      <formula>0</formula>
      <formula>0.375</formula>
    </cfRule>
  </conditionalFormatting>
  <conditionalFormatting sqref="AA109">
    <cfRule type="cellIs" dxfId="3150" priority="668" operator="between">
      <formula>0.56251</formula>
      <formula>0.7125</formula>
    </cfRule>
    <cfRule type="cellIs" dxfId="3149" priority="669" operator="between">
      <formula>0.3751</formula>
      <formula>0.5625</formula>
    </cfRule>
    <cfRule type="cellIs" dxfId="3148" priority="670" operator="greaterThan">
      <formula>0.751</formula>
    </cfRule>
    <cfRule type="cellIs" dxfId="3147" priority="671" operator="between">
      <formula>0.71251</formula>
      <formula>0.75</formula>
    </cfRule>
    <cfRule type="cellIs" dxfId="3146" priority="672" stopIfTrue="1" operator="between">
      <formula>0</formula>
      <formula>0.375</formula>
    </cfRule>
  </conditionalFormatting>
  <conditionalFormatting sqref="Z109">
    <cfRule type="cellIs" dxfId="3145" priority="663" operator="between">
      <formula>0.56251</formula>
      <formula>0.7125</formula>
    </cfRule>
    <cfRule type="cellIs" dxfId="3144" priority="664" operator="between">
      <formula>0.3751</formula>
      <formula>0.5625</formula>
    </cfRule>
    <cfRule type="cellIs" dxfId="3143" priority="665" operator="greaterThan">
      <formula>0.751</formula>
    </cfRule>
    <cfRule type="cellIs" dxfId="3142" priority="666" operator="between">
      <formula>0.71251</formula>
      <formula>0.75</formula>
    </cfRule>
    <cfRule type="cellIs" dxfId="3141" priority="667" stopIfTrue="1" operator="between">
      <formula>0</formula>
      <formula>0.375</formula>
    </cfRule>
  </conditionalFormatting>
  <conditionalFormatting sqref="Y70">
    <cfRule type="cellIs" dxfId="3140" priority="643" operator="between">
      <formula>0.56251</formula>
      <formula>0.7125</formula>
    </cfRule>
    <cfRule type="cellIs" dxfId="3139" priority="644" operator="between">
      <formula>0.3751</formula>
      <formula>0.5625</formula>
    </cfRule>
    <cfRule type="cellIs" dxfId="3138" priority="645" operator="greaterThan">
      <formula>0.751</formula>
    </cfRule>
    <cfRule type="cellIs" dxfId="3137" priority="646" operator="between">
      <formula>0.71251</formula>
      <formula>0.75</formula>
    </cfRule>
    <cfRule type="cellIs" dxfId="3136" priority="647" stopIfTrue="1" operator="between">
      <formula>0</formula>
      <formula>0.375</formula>
    </cfRule>
  </conditionalFormatting>
  <conditionalFormatting sqref="AA70">
    <cfRule type="cellIs" dxfId="3135" priority="638" operator="between">
      <formula>0.56251</formula>
      <formula>0.7125</formula>
    </cfRule>
    <cfRule type="cellIs" dxfId="3134" priority="639" operator="between">
      <formula>0.3751</formula>
      <formula>0.5625</formula>
    </cfRule>
    <cfRule type="cellIs" dxfId="3133" priority="640" operator="greaterThan">
      <formula>0.751</formula>
    </cfRule>
    <cfRule type="cellIs" dxfId="3132" priority="641" operator="between">
      <formula>0.71251</formula>
      <formula>0.75</formula>
    </cfRule>
    <cfRule type="cellIs" dxfId="3131" priority="642" stopIfTrue="1" operator="between">
      <formula>0</formula>
      <formula>0.375</formula>
    </cfRule>
  </conditionalFormatting>
  <conditionalFormatting sqref="Z70">
    <cfRule type="cellIs" dxfId="3130" priority="633" operator="between">
      <formula>0.56251</formula>
      <formula>0.7125</formula>
    </cfRule>
    <cfRule type="cellIs" dxfId="3129" priority="634" operator="between">
      <formula>0.3751</formula>
      <formula>0.5625</formula>
    </cfRule>
    <cfRule type="cellIs" dxfId="3128" priority="635" operator="greaterThan">
      <formula>0.751</formula>
    </cfRule>
    <cfRule type="cellIs" dxfId="3127" priority="636" operator="between">
      <formula>0.71251</formula>
      <formula>0.75</formula>
    </cfRule>
    <cfRule type="cellIs" dxfId="3126" priority="637" stopIfTrue="1" operator="between">
      <formula>0</formula>
      <formula>0.375</formula>
    </cfRule>
  </conditionalFormatting>
  <conditionalFormatting sqref="Y43">
    <cfRule type="cellIs" dxfId="3125" priority="628" operator="between">
      <formula>0.56251</formula>
      <formula>0.7125</formula>
    </cfRule>
    <cfRule type="cellIs" dxfId="3124" priority="629" operator="between">
      <formula>0.3751</formula>
      <formula>0.5625</formula>
    </cfRule>
    <cfRule type="cellIs" dxfId="3123" priority="630" operator="greaterThan">
      <formula>0.751</formula>
    </cfRule>
    <cfRule type="cellIs" dxfId="3122" priority="631" operator="between">
      <formula>0.71251</formula>
      <formula>0.75</formula>
    </cfRule>
    <cfRule type="cellIs" dxfId="3121" priority="632" stopIfTrue="1" operator="between">
      <formula>0</formula>
      <formula>0.375</formula>
    </cfRule>
  </conditionalFormatting>
  <conditionalFormatting sqref="AA43">
    <cfRule type="cellIs" dxfId="3120" priority="623" operator="between">
      <formula>0.56251</formula>
      <formula>0.7125</formula>
    </cfRule>
    <cfRule type="cellIs" dxfId="3119" priority="624" operator="between">
      <formula>0.3751</formula>
      <formula>0.5625</formula>
    </cfRule>
    <cfRule type="cellIs" dxfId="3118" priority="625" operator="greaterThan">
      <formula>0.751</formula>
    </cfRule>
    <cfRule type="cellIs" dxfId="3117" priority="626" operator="between">
      <formula>0.71251</formula>
      <formula>0.75</formula>
    </cfRule>
    <cfRule type="cellIs" dxfId="3116" priority="627" stopIfTrue="1" operator="between">
      <formula>0</formula>
      <formula>0.375</formula>
    </cfRule>
  </conditionalFormatting>
  <conditionalFormatting sqref="Z43">
    <cfRule type="cellIs" dxfId="3115" priority="618" operator="between">
      <formula>0.56251</formula>
      <formula>0.7125</formula>
    </cfRule>
    <cfRule type="cellIs" dxfId="3114" priority="619" operator="between">
      <formula>0.3751</formula>
      <formula>0.5625</formula>
    </cfRule>
    <cfRule type="cellIs" dxfId="3113" priority="620" operator="greaterThan">
      <formula>0.751</formula>
    </cfRule>
    <cfRule type="cellIs" dxfId="3112" priority="621" operator="between">
      <formula>0.71251</formula>
      <formula>0.75</formula>
    </cfRule>
    <cfRule type="cellIs" dxfId="3111" priority="622" stopIfTrue="1" operator="between">
      <formula>0</formula>
      <formula>0.375</formula>
    </cfRule>
  </conditionalFormatting>
  <conditionalFormatting sqref="Y333">
    <cfRule type="cellIs" dxfId="3110" priority="613" operator="between">
      <formula>0.56251</formula>
      <formula>0.7125</formula>
    </cfRule>
    <cfRule type="cellIs" dxfId="3109" priority="614" operator="between">
      <formula>0.3751</formula>
      <formula>0.5625</formula>
    </cfRule>
    <cfRule type="cellIs" dxfId="3108" priority="615" operator="greaterThan">
      <formula>0.751</formula>
    </cfRule>
    <cfRule type="cellIs" dxfId="3107" priority="616" operator="between">
      <formula>0.71251</formula>
      <formula>0.75</formula>
    </cfRule>
    <cfRule type="cellIs" dxfId="3106" priority="617" stopIfTrue="1" operator="between">
      <formula>0</formula>
      <formula>0.375</formula>
    </cfRule>
  </conditionalFormatting>
  <conditionalFormatting sqref="Z333">
    <cfRule type="cellIs" dxfId="3105" priority="608" operator="between">
      <formula>0.56251</formula>
      <formula>0.7125</formula>
    </cfRule>
    <cfRule type="cellIs" dxfId="3104" priority="609" operator="between">
      <formula>0.3751</formula>
      <formula>0.5625</formula>
    </cfRule>
    <cfRule type="cellIs" dxfId="3103" priority="610" operator="greaterThan">
      <formula>0.751</formula>
    </cfRule>
    <cfRule type="cellIs" dxfId="3102" priority="611" operator="between">
      <formula>0.71251</formula>
      <formula>0.75</formula>
    </cfRule>
    <cfRule type="cellIs" dxfId="3101" priority="612" stopIfTrue="1" operator="between">
      <formula>0</formula>
      <formula>0.375</formula>
    </cfRule>
  </conditionalFormatting>
  <conditionalFormatting sqref="AA333">
    <cfRule type="cellIs" dxfId="3100" priority="603" operator="between">
      <formula>0.56251</formula>
      <formula>0.7125</formula>
    </cfRule>
    <cfRule type="cellIs" dxfId="3099" priority="604" operator="between">
      <formula>0.3751</formula>
      <formula>0.5625</formula>
    </cfRule>
    <cfRule type="cellIs" dxfId="3098" priority="605" operator="greaterThan">
      <formula>0.751</formula>
    </cfRule>
    <cfRule type="cellIs" dxfId="3097" priority="606" operator="between">
      <formula>0.71251</formula>
      <formula>0.75</formula>
    </cfRule>
    <cfRule type="cellIs" dxfId="3096" priority="607" stopIfTrue="1" operator="between">
      <formula>0</formula>
      <formula>0.375</formula>
    </cfRule>
  </conditionalFormatting>
  <conditionalFormatting sqref="Y119">
    <cfRule type="cellIs" dxfId="3095" priority="598" operator="between">
      <formula>0.56251</formula>
      <formula>0.7125</formula>
    </cfRule>
    <cfRule type="cellIs" dxfId="3094" priority="599" operator="between">
      <formula>0.3751</formula>
      <formula>0.5625</formula>
    </cfRule>
    <cfRule type="cellIs" dxfId="3093" priority="600" operator="greaterThan">
      <formula>0.751</formula>
    </cfRule>
    <cfRule type="cellIs" dxfId="3092" priority="601" operator="between">
      <formula>0.71251</formula>
      <formula>0.75</formula>
    </cfRule>
    <cfRule type="cellIs" dxfId="3091" priority="602" stopIfTrue="1" operator="between">
      <formula>0</formula>
      <formula>0.375</formula>
    </cfRule>
  </conditionalFormatting>
  <conditionalFormatting sqref="Z119">
    <cfRule type="cellIs" dxfId="3090" priority="593" operator="between">
      <formula>0.56251</formula>
      <formula>0.7125</formula>
    </cfRule>
    <cfRule type="cellIs" dxfId="3089" priority="594" operator="between">
      <formula>0.3751</formula>
      <formula>0.5625</formula>
    </cfRule>
    <cfRule type="cellIs" dxfId="3088" priority="595" operator="greaterThan">
      <formula>0.751</formula>
    </cfRule>
    <cfRule type="cellIs" dxfId="3087" priority="596" operator="between">
      <formula>0.71251</formula>
      <formula>0.75</formula>
    </cfRule>
    <cfRule type="cellIs" dxfId="3086" priority="597" stopIfTrue="1" operator="between">
      <formula>0</formula>
      <formula>0.375</formula>
    </cfRule>
  </conditionalFormatting>
  <conditionalFormatting sqref="AA119">
    <cfRule type="cellIs" dxfId="3085" priority="588" operator="between">
      <formula>0.56251</formula>
      <formula>0.7125</formula>
    </cfRule>
    <cfRule type="cellIs" dxfId="3084" priority="589" operator="between">
      <formula>0.3751</formula>
      <formula>0.5625</formula>
    </cfRule>
    <cfRule type="cellIs" dxfId="3083" priority="590" operator="greaterThan">
      <formula>0.751</formula>
    </cfRule>
    <cfRule type="cellIs" dxfId="3082" priority="591" operator="between">
      <formula>0.71251</formula>
      <formula>0.75</formula>
    </cfRule>
    <cfRule type="cellIs" dxfId="3081" priority="592" stopIfTrue="1" operator="between">
      <formula>0</formula>
      <formula>0.375</formula>
    </cfRule>
  </conditionalFormatting>
  <conditionalFormatting sqref="J80">
    <cfRule type="cellIs" dxfId="3080" priority="583" operator="between">
      <formula>0.76</formula>
      <formula>0.95</formula>
    </cfRule>
    <cfRule type="cellIs" dxfId="3079" priority="584" operator="between">
      <formula>0.51</formula>
      <formula>0.75</formula>
    </cfRule>
    <cfRule type="cellIs" dxfId="3078" priority="585" operator="greaterThan">
      <formula>1</formula>
    </cfRule>
    <cfRule type="cellIs" dxfId="3077" priority="586" operator="between">
      <formula>0.95</formula>
      <formula>1</formula>
    </cfRule>
    <cfRule type="cellIs" dxfId="3076" priority="587" stopIfTrue="1" operator="between">
      <formula>0</formula>
      <formula>0.5</formula>
    </cfRule>
  </conditionalFormatting>
  <conditionalFormatting sqref="Q80">
    <cfRule type="cellIs" dxfId="3075" priority="578" operator="between">
      <formula>0.76</formula>
      <formula>0.95</formula>
    </cfRule>
    <cfRule type="cellIs" dxfId="3074" priority="579" operator="between">
      <formula>0.51</formula>
      <formula>0.75</formula>
    </cfRule>
    <cfRule type="cellIs" dxfId="3073" priority="580" operator="greaterThan">
      <formula>1</formula>
    </cfRule>
    <cfRule type="cellIs" dxfId="3072" priority="581" operator="between">
      <formula>0.95</formula>
      <formula>1</formula>
    </cfRule>
    <cfRule type="cellIs" dxfId="3071" priority="582" stopIfTrue="1" operator="between">
      <formula>0</formula>
      <formula>0.5</formula>
    </cfRule>
  </conditionalFormatting>
  <conditionalFormatting sqref="L80:M80">
    <cfRule type="cellIs" dxfId="3070" priority="573" operator="between">
      <formula>0.191</formula>
      <formula>0.24</formula>
    </cfRule>
    <cfRule type="cellIs" dxfId="3069" priority="574" operator="between">
      <formula>0.1251</formula>
      <formula>0.19</formula>
    </cfRule>
    <cfRule type="cellIs" dxfId="3068" priority="575" operator="greaterThan">
      <formula>0.2601</formula>
    </cfRule>
    <cfRule type="cellIs" dxfId="3067" priority="576" operator="between">
      <formula>0.2401</formula>
      <formula>0.26</formula>
    </cfRule>
    <cfRule type="cellIs" dxfId="3066" priority="577" stopIfTrue="1" operator="between">
      <formula>0</formula>
      <formula>0.125</formula>
    </cfRule>
  </conditionalFormatting>
  <conditionalFormatting sqref="I80">
    <cfRule type="cellIs" dxfId="3065" priority="568" operator="between">
      <formula>0.76</formula>
      <formula>0.95</formula>
    </cfRule>
    <cfRule type="cellIs" dxfId="3064" priority="569" operator="between">
      <formula>0.51</formula>
      <formula>0.75</formula>
    </cfRule>
    <cfRule type="cellIs" dxfId="3063" priority="570" operator="greaterThan">
      <formula>1</formula>
    </cfRule>
    <cfRule type="cellIs" dxfId="3062" priority="571" operator="between">
      <formula>0.95</formula>
      <formula>1</formula>
    </cfRule>
    <cfRule type="cellIs" dxfId="3061" priority="572" stopIfTrue="1" operator="between">
      <formula>0</formula>
      <formula>0.5</formula>
    </cfRule>
  </conditionalFormatting>
  <conditionalFormatting sqref="K80">
    <cfRule type="cellIs" dxfId="3060" priority="563" operator="between">
      <formula>0.191</formula>
      <formula>0.24</formula>
    </cfRule>
    <cfRule type="cellIs" dxfId="3059" priority="564" operator="between">
      <formula>0.1251</formula>
      <formula>0.19</formula>
    </cfRule>
    <cfRule type="cellIs" dxfId="3058" priority="565" operator="greaterThan">
      <formula>0.2601</formula>
    </cfRule>
    <cfRule type="cellIs" dxfId="3057" priority="566" operator="between">
      <formula>0.2401</formula>
      <formula>0.26</formula>
    </cfRule>
    <cfRule type="cellIs" dxfId="3056" priority="567" stopIfTrue="1" operator="between">
      <formula>0</formula>
      <formula>0.125</formula>
    </cfRule>
  </conditionalFormatting>
  <conditionalFormatting sqref="P80">
    <cfRule type="cellIs" dxfId="3055" priority="558" operator="between">
      <formula>0.76</formula>
      <formula>0.95</formula>
    </cfRule>
    <cfRule type="cellIs" dxfId="3054" priority="559" operator="between">
      <formula>0.51</formula>
      <formula>0.75</formula>
    </cfRule>
    <cfRule type="cellIs" dxfId="3053" priority="560" operator="greaterThan">
      <formula>1</formula>
    </cfRule>
    <cfRule type="cellIs" dxfId="3052" priority="561" operator="between">
      <formula>0.95</formula>
      <formula>1</formula>
    </cfRule>
    <cfRule type="cellIs" dxfId="3051" priority="562" stopIfTrue="1" operator="between">
      <formula>0</formula>
      <formula>0.5</formula>
    </cfRule>
  </conditionalFormatting>
  <conditionalFormatting sqref="W80">
    <cfRule type="cellIs" dxfId="3050" priority="553" operator="between">
      <formula>0.76</formula>
      <formula>0.95</formula>
    </cfRule>
    <cfRule type="cellIs" dxfId="3049" priority="554" operator="between">
      <formula>0.51</formula>
      <formula>0.75</formula>
    </cfRule>
    <cfRule type="cellIs" dxfId="3048" priority="555" operator="greaterThan">
      <formula>1</formula>
    </cfRule>
    <cfRule type="cellIs" dxfId="3047" priority="556" operator="between">
      <formula>0.95</formula>
      <formula>1</formula>
    </cfRule>
    <cfRule type="cellIs" dxfId="3046" priority="557" stopIfTrue="1" operator="between">
      <formula>0</formula>
      <formula>0.5</formula>
    </cfRule>
  </conditionalFormatting>
  <conditionalFormatting sqref="AD80">
    <cfRule type="cellIs" dxfId="3045" priority="548" operator="between">
      <formula>0.76</formula>
      <formula>0.95</formula>
    </cfRule>
    <cfRule type="cellIs" dxfId="3044" priority="549" operator="between">
      <formula>0.51</formula>
      <formula>0.75</formula>
    </cfRule>
    <cfRule type="cellIs" dxfId="3043" priority="550" operator="greaterThan">
      <formula>1</formula>
    </cfRule>
    <cfRule type="cellIs" dxfId="3042" priority="551" operator="between">
      <formula>0.95</formula>
      <formula>1</formula>
    </cfRule>
    <cfRule type="cellIs" dxfId="3041" priority="552" stopIfTrue="1" operator="between">
      <formula>0</formula>
      <formula>0.5</formula>
    </cfRule>
  </conditionalFormatting>
  <conditionalFormatting sqref="AF80">
    <cfRule type="cellIs" dxfId="3040" priority="543" operator="between">
      <formula>0.76</formula>
      <formula>0.95</formula>
    </cfRule>
    <cfRule type="cellIs" dxfId="3039" priority="544" operator="between">
      <formula>0.51</formula>
      <formula>0.75</formula>
    </cfRule>
    <cfRule type="cellIs" dxfId="3038" priority="545" operator="greaterThan">
      <formula>1</formula>
    </cfRule>
    <cfRule type="cellIs" dxfId="3037" priority="546" operator="between">
      <formula>0.95</formula>
      <formula>1</formula>
    </cfRule>
    <cfRule type="cellIs" dxfId="3036" priority="547" stopIfTrue="1" operator="between">
      <formula>0</formula>
      <formula>0.5</formula>
    </cfRule>
  </conditionalFormatting>
  <conditionalFormatting sqref="R80">
    <cfRule type="cellIs" dxfId="3035" priority="538" operator="between">
      <formula>0.3751</formula>
      <formula>0.475</formula>
    </cfRule>
    <cfRule type="cellIs" dxfId="3034" priority="539" operator="between">
      <formula>0.2551</formula>
      <formula>0.375</formula>
    </cfRule>
    <cfRule type="cellIs" dxfId="3033" priority="540" operator="greaterThan">
      <formula>0.505</formula>
    </cfRule>
    <cfRule type="cellIs" dxfId="3032" priority="541" operator="between">
      <formula>0.48</formula>
      <formula>0.5</formula>
    </cfRule>
    <cfRule type="cellIs" dxfId="3031" priority="542" stopIfTrue="1" operator="between">
      <formula>0</formula>
      <formula>0.255</formula>
    </cfRule>
  </conditionalFormatting>
  <conditionalFormatting sqref="S80">
    <cfRule type="cellIs" dxfId="3030" priority="533" operator="between">
      <formula>0.376</formula>
      <formula>0.475</formula>
    </cfRule>
    <cfRule type="cellIs" dxfId="3029" priority="534" operator="between">
      <formula>0.2551</formula>
      <formula>0.3751</formula>
    </cfRule>
    <cfRule type="cellIs" dxfId="3028" priority="535" operator="greaterThan">
      <formula>0.505</formula>
    </cfRule>
    <cfRule type="cellIs" dxfId="3027" priority="536" operator="between">
      <formula>0.48</formula>
      <formula>0.5</formula>
    </cfRule>
    <cfRule type="cellIs" dxfId="3026" priority="537" stopIfTrue="1" operator="between">
      <formula>0</formula>
      <formula>0.255</formula>
    </cfRule>
  </conditionalFormatting>
  <conditionalFormatting sqref="X80">
    <cfRule type="cellIs" dxfId="3025" priority="528" operator="between">
      <formula>0.76</formula>
      <formula>0.95</formula>
    </cfRule>
    <cfRule type="cellIs" dxfId="3024" priority="529" operator="between">
      <formula>0.51</formula>
      <formula>0.75</formula>
    </cfRule>
    <cfRule type="cellIs" dxfId="3023" priority="530" operator="greaterThan">
      <formula>1</formula>
    </cfRule>
    <cfRule type="cellIs" dxfId="3022" priority="531" operator="between">
      <formula>0.95</formula>
      <formula>1</formula>
    </cfRule>
    <cfRule type="cellIs" dxfId="3021" priority="532" stopIfTrue="1" operator="between">
      <formula>0</formula>
      <formula>0.5</formula>
    </cfRule>
  </conditionalFormatting>
  <conditionalFormatting sqref="AE80">
    <cfRule type="cellIs" dxfId="3020" priority="523" operator="between">
      <formula>0.76</formula>
      <formula>0.95</formula>
    </cfRule>
    <cfRule type="cellIs" dxfId="3019" priority="524" operator="between">
      <formula>0.51</formula>
      <formula>0.75</formula>
    </cfRule>
    <cfRule type="cellIs" dxfId="3018" priority="525" operator="greaterThan">
      <formula>1</formula>
    </cfRule>
    <cfRule type="cellIs" dxfId="3017" priority="526" operator="between">
      <formula>0.95</formula>
      <formula>1</formula>
    </cfRule>
    <cfRule type="cellIs" dxfId="3016" priority="527" stopIfTrue="1" operator="between">
      <formula>0</formula>
      <formula>0.5</formula>
    </cfRule>
  </conditionalFormatting>
  <conditionalFormatting sqref="AG80">
    <cfRule type="cellIs" dxfId="3015" priority="518" operator="between">
      <formula>0.76</formula>
      <formula>0.95</formula>
    </cfRule>
    <cfRule type="cellIs" dxfId="3014" priority="519" operator="between">
      <formula>0.51</formula>
      <formula>0.75</formula>
    </cfRule>
    <cfRule type="cellIs" dxfId="3013" priority="520" operator="greaterThan">
      <formula>1</formula>
    </cfRule>
    <cfRule type="cellIs" dxfId="3012" priority="521" operator="between">
      <formula>0.95</formula>
      <formula>1</formula>
    </cfRule>
    <cfRule type="cellIs" dxfId="3011" priority="522" stopIfTrue="1" operator="between">
      <formula>0</formula>
      <formula>0.5</formula>
    </cfRule>
  </conditionalFormatting>
  <conditionalFormatting sqref="Y80">
    <cfRule type="cellIs" dxfId="3010" priority="513" operator="between">
      <formula>0.56251</formula>
      <formula>0.7125</formula>
    </cfRule>
    <cfRule type="cellIs" dxfId="3009" priority="514" operator="between">
      <formula>0.3751</formula>
      <formula>0.5625</formula>
    </cfRule>
    <cfRule type="cellIs" dxfId="3008" priority="515" operator="greaterThan">
      <formula>0.751</formula>
    </cfRule>
    <cfRule type="cellIs" dxfId="3007" priority="516" operator="between">
      <formula>0.71251</formula>
      <formula>0.75</formula>
    </cfRule>
    <cfRule type="cellIs" dxfId="3006" priority="517" stopIfTrue="1" operator="between">
      <formula>0</formula>
      <formula>0.375</formula>
    </cfRule>
  </conditionalFormatting>
  <conditionalFormatting sqref="AA80">
    <cfRule type="cellIs" dxfId="3005" priority="508" operator="between">
      <formula>0.56251</formula>
      <formula>0.7125</formula>
    </cfRule>
    <cfRule type="cellIs" dxfId="3004" priority="509" operator="between">
      <formula>0.3751</formula>
      <formula>0.5625</formula>
    </cfRule>
    <cfRule type="cellIs" dxfId="3003" priority="510" operator="greaterThan">
      <formula>0.751</formula>
    </cfRule>
    <cfRule type="cellIs" dxfId="3002" priority="511" operator="between">
      <formula>0.71251</formula>
      <formula>0.75</formula>
    </cfRule>
    <cfRule type="cellIs" dxfId="3001" priority="512" stopIfTrue="1" operator="between">
      <formula>0</formula>
      <formula>0.375</formula>
    </cfRule>
  </conditionalFormatting>
  <conditionalFormatting sqref="Z80">
    <cfRule type="cellIs" dxfId="3000" priority="503" operator="between">
      <formula>0.56251</formula>
      <formula>0.7125</formula>
    </cfRule>
    <cfRule type="cellIs" dxfId="2999" priority="504" operator="between">
      <formula>0.3751</formula>
      <formula>0.5625</formula>
    </cfRule>
    <cfRule type="cellIs" dxfId="2998" priority="505" operator="greaterThan">
      <formula>0.751</formula>
    </cfRule>
    <cfRule type="cellIs" dxfId="2997" priority="506" operator="between">
      <formula>0.71251</formula>
      <formula>0.75</formula>
    </cfRule>
    <cfRule type="cellIs" dxfId="2996" priority="507" stopIfTrue="1" operator="between">
      <formula>0</formula>
      <formula>0.375</formula>
    </cfRule>
  </conditionalFormatting>
  <conditionalFormatting sqref="T80">
    <cfRule type="cellIs" dxfId="2995" priority="486" operator="between">
      <formula>0.376</formula>
      <formula>0.475</formula>
    </cfRule>
    <cfRule type="cellIs" dxfId="2994" priority="487" operator="between">
      <formula>0.2551</formula>
      <formula>0.3751</formula>
    </cfRule>
    <cfRule type="cellIs" dxfId="2993" priority="488" operator="greaterThan">
      <formula>0.505</formula>
    </cfRule>
    <cfRule type="cellIs" dxfId="2992" priority="489" operator="between">
      <formula>0.48</formula>
      <formula>0.5</formula>
    </cfRule>
    <cfRule type="cellIs" dxfId="2991" priority="490" stopIfTrue="1" operator="between">
      <formula>0</formula>
      <formula>0.255</formula>
    </cfRule>
  </conditionalFormatting>
  <conditionalFormatting sqref="J81:J82">
    <cfRule type="cellIs" dxfId="2990" priority="481" operator="between">
      <formula>0.76</formula>
      <formula>0.95</formula>
    </cfRule>
    <cfRule type="cellIs" dxfId="2989" priority="482" operator="between">
      <formula>0.51</formula>
      <formula>0.75</formula>
    </cfRule>
    <cfRule type="cellIs" dxfId="2988" priority="483" operator="greaterThan">
      <formula>1</formula>
    </cfRule>
    <cfRule type="cellIs" dxfId="2987" priority="484" operator="between">
      <formula>0.95</formula>
      <formula>1</formula>
    </cfRule>
    <cfRule type="cellIs" dxfId="2986" priority="485" stopIfTrue="1" operator="between">
      <formula>0</formula>
      <formula>0.5</formula>
    </cfRule>
  </conditionalFormatting>
  <conditionalFormatting sqref="Q81:Q82">
    <cfRule type="cellIs" dxfId="2985" priority="476" operator="between">
      <formula>0.76</formula>
      <formula>0.95</formula>
    </cfRule>
    <cfRule type="cellIs" dxfId="2984" priority="477" operator="between">
      <formula>0.51</formula>
      <formula>0.75</formula>
    </cfRule>
    <cfRule type="cellIs" dxfId="2983" priority="478" operator="greaterThan">
      <formula>1</formula>
    </cfRule>
    <cfRule type="cellIs" dxfId="2982" priority="479" operator="between">
      <formula>0.95</formula>
      <formula>1</formula>
    </cfRule>
    <cfRule type="cellIs" dxfId="2981" priority="480" stopIfTrue="1" operator="between">
      <formula>0</formula>
      <formula>0.5</formula>
    </cfRule>
  </conditionalFormatting>
  <conditionalFormatting sqref="L81:M82">
    <cfRule type="cellIs" dxfId="2980" priority="471" operator="between">
      <formula>0.191</formula>
      <formula>0.24</formula>
    </cfRule>
    <cfRule type="cellIs" dxfId="2979" priority="472" operator="between">
      <formula>0.1251</formula>
      <formula>0.19</formula>
    </cfRule>
    <cfRule type="cellIs" dxfId="2978" priority="473" operator="greaterThan">
      <formula>0.2601</formula>
    </cfRule>
    <cfRule type="cellIs" dxfId="2977" priority="474" operator="between">
      <formula>0.2401</formula>
      <formula>0.26</formula>
    </cfRule>
    <cfRule type="cellIs" dxfId="2976" priority="475" stopIfTrue="1" operator="between">
      <formula>0</formula>
      <formula>0.125</formula>
    </cfRule>
  </conditionalFormatting>
  <conditionalFormatting sqref="I81:I82">
    <cfRule type="cellIs" dxfId="2975" priority="466" operator="between">
      <formula>0.76</formula>
      <formula>0.95</formula>
    </cfRule>
    <cfRule type="cellIs" dxfId="2974" priority="467" operator="between">
      <formula>0.51</formula>
      <formula>0.75</formula>
    </cfRule>
    <cfRule type="cellIs" dxfId="2973" priority="468" operator="greaterThan">
      <formula>1</formula>
    </cfRule>
    <cfRule type="cellIs" dxfId="2972" priority="469" operator="between">
      <formula>0.95</formula>
      <formula>1</formula>
    </cfRule>
    <cfRule type="cellIs" dxfId="2971" priority="470" stopIfTrue="1" operator="between">
      <formula>0</formula>
      <formula>0.5</formula>
    </cfRule>
  </conditionalFormatting>
  <conditionalFormatting sqref="K81:K82">
    <cfRule type="cellIs" dxfId="2970" priority="461" operator="between">
      <formula>0.191</formula>
      <formula>0.24</formula>
    </cfRule>
    <cfRule type="cellIs" dxfId="2969" priority="462" operator="between">
      <formula>0.1251</formula>
      <formula>0.19</formula>
    </cfRule>
    <cfRule type="cellIs" dxfId="2968" priority="463" operator="greaterThan">
      <formula>0.2601</formula>
    </cfRule>
    <cfRule type="cellIs" dxfId="2967" priority="464" operator="between">
      <formula>0.2401</formula>
      <formula>0.26</formula>
    </cfRule>
    <cfRule type="cellIs" dxfId="2966" priority="465" stopIfTrue="1" operator="between">
      <formula>0</formula>
      <formula>0.125</formula>
    </cfRule>
  </conditionalFormatting>
  <conditionalFormatting sqref="P81:P82">
    <cfRule type="cellIs" dxfId="2965" priority="456" operator="between">
      <formula>0.76</formula>
      <formula>0.95</formula>
    </cfRule>
    <cfRule type="cellIs" dxfId="2964" priority="457" operator="between">
      <formula>0.51</formula>
      <formula>0.75</formula>
    </cfRule>
    <cfRule type="cellIs" dxfId="2963" priority="458" operator="greaterThan">
      <formula>1</formula>
    </cfRule>
    <cfRule type="cellIs" dxfId="2962" priority="459" operator="between">
      <formula>0.95</formula>
      <formula>1</formula>
    </cfRule>
    <cfRule type="cellIs" dxfId="2961" priority="460" stopIfTrue="1" operator="between">
      <formula>0</formula>
      <formula>0.5</formula>
    </cfRule>
  </conditionalFormatting>
  <conditionalFormatting sqref="W81:W82">
    <cfRule type="cellIs" dxfId="2960" priority="451" operator="between">
      <formula>0.76</formula>
      <formula>0.95</formula>
    </cfRule>
    <cfRule type="cellIs" dxfId="2959" priority="452" operator="between">
      <formula>0.51</formula>
      <formula>0.75</formula>
    </cfRule>
    <cfRule type="cellIs" dxfId="2958" priority="453" operator="greaterThan">
      <formula>1</formula>
    </cfRule>
    <cfRule type="cellIs" dxfId="2957" priority="454" operator="between">
      <formula>0.95</formula>
      <formula>1</formula>
    </cfRule>
    <cfRule type="cellIs" dxfId="2956" priority="455" stopIfTrue="1" operator="between">
      <formula>0</formula>
      <formula>0.5</formula>
    </cfRule>
  </conditionalFormatting>
  <conditionalFormatting sqref="AD81:AD82">
    <cfRule type="cellIs" dxfId="2955" priority="446" operator="between">
      <formula>0.76</formula>
      <formula>0.95</formula>
    </cfRule>
    <cfRule type="cellIs" dxfId="2954" priority="447" operator="between">
      <formula>0.51</formula>
      <formula>0.75</formula>
    </cfRule>
    <cfRule type="cellIs" dxfId="2953" priority="448" operator="greaterThan">
      <formula>1</formula>
    </cfRule>
    <cfRule type="cellIs" dxfId="2952" priority="449" operator="between">
      <formula>0.95</formula>
      <formula>1</formula>
    </cfRule>
    <cfRule type="cellIs" dxfId="2951" priority="450" stopIfTrue="1" operator="between">
      <formula>0</formula>
      <formula>0.5</formula>
    </cfRule>
  </conditionalFormatting>
  <conditionalFormatting sqref="AF81:AF82">
    <cfRule type="cellIs" dxfId="2950" priority="441" operator="between">
      <formula>0.76</formula>
      <formula>0.95</formula>
    </cfRule>
    <cfRule type="cellIs" dxfId="2949" priority="442" operator="between">
      <formula>0.51</formula>
      <formula>0.75</formula>
    </cfRule>
    <cfRule type="cellIs" dxfId="2948" priority="443" operator="greaterThan">
      <formula>1</formula>
    </cfRule>
    <cfRule type="cellIs" dxfId="2947" priority="444" operator="between">
      <formula>0.95</formula>
      <formula>1</formula>
    </cfRule>
    <cfRule type="cellIs" dxfId="2946" priority="445" stopIfTrue="1" operator="between">
      <formula>0</formula>
      <formula>0.5</formula>
    </cfRule>
  </conditionalFormatting>
  <conditionalFormatting sqref="R81:R82">
    <cfRule type="cellIs" dxfId="2945" priority="436" operator="between">
      <formula>0.3751</formula>
      <formula>0.475</formula>
    </cfRule>
    <cfRule type="cellIs" dxfId="2944" priority="437" operator="between">
      <formula>0.2551</formula>
      <formula>0.375</formula>
    </cfRule>
    <cfRule type="cellIs" dxfId="2943" priority="438" operator="greaterThan">
      <formula>0.505</formula>
    </cfRule>
    <cfRule type="cellIs" dxfId="2942" priority="439" operator="between">
      <formula>0.48</formula>
      <formula>0.5</formula>
    </cfRule>
    <cfRule type="cellIs" dxfId="2941" priority="440" stopIfTrue="1" operator="between">
      <formula>0</formula>
      <formula>0.255</formula>
    </cfRule>
  </conditionalFormatting>
  <conditionalFormatting sqref="S81:S82">
    <cfRule type="cellIs" dxfId="2940" priority="431" operator="between">
      <formula>0.376</formula>
      <formula>0.475</formula>
    </cfRule>
    <cfRule type="cellIs" dxfId="2939" priority="432" operator="between">
      <formula>0.2551</formula>
      <formula>0.3751</formula>
    </cfRule>
    <cfRule type="cellIs" dxfId="2938" priority="433" operator="greaterThan">
      <formula>0.505</formula>
    </cfRule>
    <cfRule type="cellIs" dxfId="2937" priority="434" operator="between">
      <formula>0.48</formula>
      <formula>0.5</formula>
    </cfRule>
    <cfRule type="cellIs" dxfId="2936" priority="435" stopIfTrue="1" operator="between">
      <formula>0</formula>
      <formula>0.255</formula>
    </cfRule>
  </conditionalFormatting>
  <conditionalFormatting sqref="X81:X82">
    <cfRule type="cellIs" dxfId="2935" priority="426" operator="between">
      <formula>0.76</formula>
      <formula>0.95</formula>
    </cfRule>
    <cfRule type="cellIs" dxfId="2934" priority="427" operator="between">
      <formula>0.51</formula>
      <formula>0.75</formula>
    </cfRule>
    <cfRule type="cellIs" dxfId="2933" priority="428" operator="greaterThan">
      <formula>1</formula>
    </cfRule>
    <cfRule type="cellIs" dxfId="2932" priority="429" operator="between">
      <formula>0.95</formula>
      <formula>1</formula>
    </cfRule>
    <cfRule type="cellIs" dxfId="2931" priority="430" stopIfTrue="1" operator="between">
      <formula>0</formula>
      <formula>0.5</formula>
    </cfRule>
  </conditionalFormatting>
  <conditionalFormatting sqref="AE81:AE82">
    <cfRule type="cellIs" dxfId="2930" priority="421" operator="between">
      <formula>0.76</formula>
      <formula>0.95</formula>
    </cfRule>
    <cfRule type="cellIs" dxfId="2929" priority="422" operator="between">
      <formula>0.51</formula>
      <formula>0.75</formula>
    </cfRule>
    <cfRule type="cellIs" dxfId="2928" priority="423" operator="greaterThan">
      <formula>1</formula>
    </cfRule>
    <cfRule type="cellIs" dxfId="2927" priority="424" operator="between">
      <formula>0.95</formula>
      <formula>1</formula>
    </cfRule>
    <cfRule type="cellIs" dxfId="2926" priority="425" stopIfTrue="1" operator="between">
      <formula>0</formula>
      <formula>0.5</formula>
    </cfRule>
  </conditionalFormatting>
  <conditionalFormatting sqref="AG81:AG82">
    <cfRule type="cellIs" dxfId="2925" priority="416" operator="between">
      <formula>0.76</formula>
      <formula>0.95</formula>
    </cfRule>
    <cfRule type="cellIs" dxfId="2924" priority="417" operator="between">
      <formula>0.51</formula>
      <formula>0.75</formula>
    </cfRule>
    <cfRule type="cellIs" dxfId="2923" priority="418" operator="greaterThan">
      <formula>1</formula>
    </cfRule>
    <cfRule type="cellIs" dxfId="2922" priority="419" operator="between">
      <formula>0.95</formula>
      <formula>1</formula>
    </cfRule>
    <cfRule type="cellIs" dxfId="2921" priority="420" stopIfTrue="1" operator="between">
      <formula>0</formula>
      <formula>0.5</formula>
    </cfRule>
  </conditionalFormatting>
  <conditionalFormatting sqref="Y81:Y82">
    <cfRule type="cellIs" dxfId="2920" priority="411" operator="between">
      <formula>0.56251</formula>
      <formula>0.7125</formula>
    </cfRule>
    <cfRule type="cellIs" dxfId="2919" priority="412" operator="between">
      <formula>0.3751</formula>
      <formula>0.5625</formula>
    </cfRule>
    <cfRule type="cellIs" dxfId="2918" priority="413" operator="greaterThan">
      <formula>0.751</formula>
    </cfRule>
    <cfRule type="cellIs" dxfId="2917" priority="414" operator="between">
      <formula>0.71251</formula>
      <formula>0.75</formula>
    </cfRule>
    <cfRule type="cellIs" dxfId="2916" priority="415" stopIfTrue="1" operator="between">
      <formula>0</formula>
      <formula>0.375</formula>
    </cfRule>
  </conditionalFormatting>
  <conditionalFormatting sqref="AA81:AA82">
    <cfRule type="cellIs" dxfId="2915" priority="406" operator="between">
      <formula>0.56251</formula>
      <formula>0.7125</formula>
    </cfRule>
    <cfRule type="cellIs" dxfId="2914" priority="407" operator="between">
      <formula>0.3751</formula>
      <formula>0.5625</formula>
    </cfRule>
    <cfRule type="cellIs" dxfId="2913" priority="408" operator="greaterThan">
      <formula>0.751</formula>
    </cfRule>
    <cfRule type="cellIs" dxfId="2912" priority="409" operator="between">
      <formula>0.71251</formula>
      <formula>0.75</formula>
    </cfRule>
    <cfRule type="cellIs" dxfId="2911" priority="410" stopIfTrue="1" operator="between">
      <formula>0</formula>
      <formula>0.375</formula>
    </cfRule>
  </conditionalFormatting>
  <conditionalFormatting sqref="Z81:Z82">
    <cfRule type="cellIs" dxfId="2910" priority="401" operator="between">
      <formula>0.56251</formula>
      <formula>0.7125</formula>
    </cfRule>
    <cfRule type="cellIs" dxfId="2909" priority="402" operator="between">
      <formula>0.3751</formula>
      <formula>0.5625</formula>
    </cfRule>
    <cfRule type="cellIs" dxfId="2908" priority="403" operator="greaterThan">
      <formula>0.751</formula>
    </cfRule>
    <cfRule type="cellIs" dxfId="2907" priority="404" operator="between">
      <formula>0.71251</formula>
      <formula>0.75</formula>
    </cfRule>
    <cfRule type="cellIs" dxfId="2906" priority="405" stopIfTrue="1" operator="between">
      <formula>0</formula>
      <formula>0.375</formula>
    </cfRule>
  </conditionalFormatting>
  <conditionalFormatting sqref="T81:T82">
    <cfRule type="cellIs" dxfId="2905" priority="384" operator="between">
      <formula>0.376</formula>
      <formula>0.475</formula>
    </cfRule>
    <cfRule type="cellIs" dxfId="2904" priority="385" operator="between">
      <formula>0.2551</formula>
      <formula>0.3751</formula>
    </cfRule>
    <cfRule type="cellIs" dxfId="2903" priority="386" operator="greaterThan">
      <formula>0.505</formula>
    </cfRule>
    <cfRule type="cellIs" dxfId="2902" priority="387" operator="between">
      <formula>0.48</formula>
      <formula>0.5</formula>
    </cfRule>
    <cfRule type="cellIs" dxfId="2901" priority="388" stopIfTrue="1" operator="between">
      <formula>0</formula>
      <formula>0.255</formula>
    </cfRule>
  </conditionalFormatting>
  <conditionalFormatting sqref="L276">
    <cfRule type="cellIs" dxfId="2900" priority="379" operator="between">
      <formula>0.191</formula>
      <formula>0.24</formula>
    </cfRule>
    <cfRule type="cellIs" dxfId="2899" priority="380" operator="between">
      <formula>0.1251</formula>
      <formula>0.19</formula>
    </cfRule>
    <cfRule type="cellIs" dxfId="2898" priority="381" operator="greaterThan">
      <formula>0.2601</formula>
    </cfRule>
    <cfRule type="cellIs" dxfId="2897" priority="382" operator="between">
      <formula>0.2401</formula>
      <formula>0.26</formula>
    </cfRule>
    <cfRule type="cellIs" dxfId="2896" priority="383" stopIfTrue="1" operator="between">
      <formula>0</formula>
      <formula>0.125</formula>
    </cfRule>
  </conditionalFormatting>
  <conditionalFormatting sqref="S276">
    <cfRule type="cellIs" dxfId="2895" priority="374" operator="between">
      <formula>0.376</formula>
      <formula>0.475</formula>
    </cfRule>
    <cfRule type="cellIs" dxfId="2894" priority="375" operator="between">
      <formula>0.2551</formula>
      <formula>0.3751</formula>
    </cfRule>
    <cfRule type="cellIs" dxfId="2893" priority="376" operator="greaterThan">
      <formula>0.505</formula>
    </cfRule>
    <cfRule type="cellIs" dxfId="2892" priority="377" operator="between">
      <formula>0.48</formula>
      <formula>0.5</formula>
    </cfRule>
    <cfRule type="cellIs" dxfId="2891" priority="378" stopIfTrue="1" operator="between">
      <formula>0</formula>
      <formula>0.255</formula>
    </cfRule>
  </conditionalFormatting>
  <conditionalFormatting sqref="AF276">
    <cfRule type="cellIs" dxfId="2890" priority="369" operator="between">
      <formula>0.76</formula>
      <formula>0.95</formula>
    </cfRule>
    <cfRule type="cellIs" dxfId="2889" priority="370" operator="between">
      <formula>0.51</formula>
      <formula>0.75</formula>
    </cfRule>
    <cfRule type="cellIs" dxfId="2888" priority="371" operator="greaterThan">
      <formula>1</formula>
    </cfRule>
    <cfRule type="cellIs" dxfId="2887" priority="372" operator="between">
      <formula>0.95</formula>
      <formula>1</formula>
    </cfRule>
    <cfRule type="cellIs" dxfId="2886" priority="373" stopIfTrue="1" operator="between">
      <formula>0</formula>
      <formula>0.5</formula>
    </cfRule>
  </conditionalFormatting>
  <conditionalFormatting sqref="I276">
    <cfRule type="cellIs" dxfId="2885" priority="364" operator="between">
      <formula>0.76</formula>
      <formula>0.95</formula>
    </cfRule>
    <cfRule type="cellIs" dxfId="2884" priority="365" operator="between">
      <formula>0.51</formula>
      <formula>0.75</formula>
    </cfRule>
    <cfRule type="cellIs" dxfId="2883" priority="366" operator="greaterThan">
      <formula>1</formula>
    </cfRule>
    <cfRule type="cellIs" dxfId="2882" priority="367" operator="between">
      <formula>0.95</formula>
      <formula>1</formula>
    </cfRule>
    <cfRule type="cellIs" dxfId="2881" priority="368" stopIfTrue="1" operator="between">
      <formula>0</formula>
      <formula>0.5</formula>
    </cfRule>
  </conditionalFormatting>
  <conditionalFormatting sqref="K276">
    <cfRule type="cellIs" dxfId="2880" priority="359" operator="between">
      <formula>0.191</formula>
      <formula>0.24</formula>
    </cfRule>
    <cfRule type="cellIs" dxfId="2879" priority="360" operator="between">
      <formula>0.1251</formula>
      <formula>0.19</formula>
    </cfRule>
    <cfRule type="cellIs" dxfId="2878" priority="361" operator="greaterThan">
      <formula>0.2601</formula>
    </cfRule>
    <cfRule type="cellIs" dxfId="2877" priority="362" operator="between">
      <formula>0.2401</formula>
      <formula>0.26</formula>
    </cfRule>
    <cfRule type="cellIs" dxfId="2876" priority="363" stopIfTrue="1" operator="between">
      <formula>0</formula>
      <formula>0.125</formula>
    </cfRule>
  </conditionalFormatting>
  <conditionalFormatting sqref="P276">
    <cfRule type="cellIs" dxfId="2875" priority="354" operator="between">
      <formula>0.76</formula>
      <formula>0.95</formula>
    </cfRule>
    <cfRule type="cellIs" dxfId="2874" priority="355" operator="between">
      <formula>0.51</formula>
      <formula>0.75</formula>
    </cfRule>
    <cfRule type="cellIs" dxfId="2873" priority="356" operator="greaterThan">
      <formula>1</formula>
    </cfRule>
    <cfRule type="cellIs" dxfId="2872" priority="357" operator="between">
      <formula>0.95</formula>
      <formula>1</formula>
    </cfRule>
    <cfRule type="cellIs" dxfId="2871" priority="358" stopIfTrue="1" operator="between">
      <formula>0</formula>
      <formula>0.5</formula>
    </cfRule>
  </conditionalFormatting>
  <conditionalFormatting sqref="W276">
    <cfRule type="cellIs" dxfId="2870" priority="349" operator="between">
      <formula>0.76</formula>
      <formula>0.95</formula>
    </cfRule>
    <cfRule type="cellIs" dxfId="2869" priority="350" operator="between">
      <formula>0.51</formula>
      <formula>0.75</formula>
    </cfRule>
    <cfRule type="cellIs" dxfId="2868" priority="351" operator="greaterThan">
      <formula>1</formula>
    </cfRule>
    <cfRule type="cellIs" dxfId="2867" priority="352" operator="between">
      <formula>0.95</formula>
      <formula>1</formula>
    </cfRule>
    <cfRule type="cellIs" dxfId="2866" priority="353" stopIfTrue="1" operator="between">
      <formula>0</formula>
      <formula>0.5</formula>
    </cfRule>
  </conditionalFormatting>
  <conditionalFormatting sqref="AD276">
    <cfRule type="cellIs" dxfId="2865" priority="344" operator="between">
      <formula>0.76</formula>
      <formula>0.95</formula>
    </cfRule>
    <cfRule type="cellIs" dxfId="2864" priority="345" operator="between">
      <formula>0.51</formula>
      <formula>0.75</formula>
    </cfRule>
    <cfRule type="cellIs" dxfId="2863" priority="346" operator="greaterThan">
      <formula>1</formula>
    </cfRule>
    <cfRule type="cellIs" dxfId="2862" priority="347" operator="between">
      <formula>0.95</formula>
      <formula>1</formula>
    </cfRule>
    <cfRule type="cellIs" dxfId="2861" priority="348" stopIfTrue="1" operator="between">
      <formula>0</formula>
      <formula>0.5</formula>
    </cfRule>
  </conditionalFormatting>
  <conditionalFormatting sqref="R276">
    <cfRule type="cellIs" dxfId="2860" priority="339" operator="between">
      <formula>0.3751</formula>
      <formula>0.475</formula>
    </cfRule>
    <cfRule type="cellIs" dxfId="2859" priority="340" operator="between">
      <formula>0.2551</formula>
      <formula>0.375</formula>
    </cfRule>
    <cfRule type="cellIs" dxfId="2858" priority="341" operator="greaterThan">
      <formula>0.505</formula>
    </cfRule>
    <cfRule type="cellIs" dxfId="2857" priority="342" operator="between">
      <formula>0.48</formula>
      <formula>0.5</formula>
    </cfRule>
    <cfRule type="cellIs" dxfId="2856" priority="343" stopIfTrue="1" operator="between">
      <formula>0</formula>
      <formula>0.255</formula>
    </cfRule>
  </conditionalFormatting>
  <conditionalFormatting sqref="Q276">
    <cfRule type="cellIs" dxfId="2855" priority="334" operator="between">
      <formula>0.76</formula>
      <formula>0.95</formula>
    </cfRule>
    <cfRule type="cellIs" dxfId="2854" priority="335" operator="between">
      <formula>0.51</formula>
      <formula>0.75</formula>
    </cfRule>
    <cfRule type="cellIs" dxfId="2853" priority="336" operator="greaterThan">
      <formula>1</formula>
    </cfRule>
    <cfRule type="cellIs" dxfId="2852" priority="337" operator="between">
      <formula>0.95</formula>
      <formula>1</formula>
    </cfRule>
    <cfRule type="cellIs" dxfId="2851" priority="338" stopIfTrue="1" operator="between">
      <formula>0</formula>
      <formula>0.5</formula>
    </cfRule>
  </conditionalFormatting>
  <conditionalFormatting sqref="AG276">
    <cfRule type="cellIs" dxfId="2850" priority="329" operator="between">
      <formula>0.76</formula>
      <formula>0.95</formula>
    </cfRule>
    <cfRule type="cellIs" dxfId="2849" priority="330" operator="between">
      <formula>0.51</formula>
      <formula>0.75</formula>
    </cfRule>
    <cfRule type="cellIs" dxfId="2848" priority="331" operator="greaterThan">
      <formula>1</formula>
    </cfRule>
    <cfRule type="cellIs" dxfId="2847" priority="332" operator="between">
      <formula>0.95</formula>
      <formula>1</formula>
    </cfRule>
    <cfRule type="cellIs" dxfId="2846" priority="333" stopIfTrue="1" operator="between">
      <formula>0</formula>
      <formula>0.5</formula>
    </cfRule>
  </conditionalFormatting>
  <conditionalFormatting sqref="X276">
    <cfRule type="cellIs" dxfId="2845" priority="324" operator="between">
      <formula>0.76</formula>
      <formula>0.95</formula>
    </cfRule>
    <cfRule type="cellIs" dxfId="2844" priority="325" operator="between">
      <formula>0.51</formula>
      <formula>0.75</formula>
    </cfRule>
    <cfRule type="cellIs" dxfId="2843" priority="326" operator="greaterThan">
      <formula>1</formula>
    </cfRule>
    <cfRule type="cellIs" dxfId="2842" priority="327" operator="between">
      <formula>0.95</formula>
      <formula>1</formula>
    </cfRule>
    <cfRule type="cellIs" dxfId="2841" priority="328" stopIfTrue="1" operator="between">
      <formula>0</formula>
      <formula>0.5</formula>
    </cfRule>
  </conditionalFormatting>
  <conditionalFormatting sqref="T276">
    <cfRule type="cellIs" dxfId="2840" priority="304" operator="between">
      <formula>0.376</formula>
      <formula>0.475</formula>
    </cfRule>
    <cfRule type="cellIs" dxfId="2839" priority="305" operator="between">
      <formula>0.2551</formula>
      <formula>0.3751</formula>
    </cfRule>
    <cfRule type="cellIs" dxfId="2838" priority="306" operator="greaterThan">
      <formula>0.505</formula>
    </cfRule>
    <cfRule type="cellIs" dxfId="2837" priority="307" operator="between">
      <formula>0.48</formula>
      <formula>0.5</formula>
    </cfRule>
    <cfRule type="cellIs" dxfId="2836" priority="308" stopIfTrue="1" operator="between">
      <formula>0</formula>
      <formula>0.255</formula>
    </cfRule>
  </conditionalFormatting>
  <conditionalFormatting sqref="Y276">
    <cfRule type="cellIs" dxfId="2835" priority="299" operator="between">
      <formula>0.56251</formula>
      <formula>0.7125</formula>
    </cfRule>
    <cfRule type="cellIs" dxfId="2834" priority="300" operator="between">
      <formula>0.3751</formula>
      <formula>0.5625</formula>
    </cfRule>
    <cfRule type="cellIs" dxfId="2833" priority="301" operator="greaterThan">
      <formula>0.751</formula>
    </cfRule>
    <cfRule type="cellIs" dxfId="2832" priority="302" operator="between">
      <formula>0.71251</formula>
      <formula>0.75</formula>
    </cfRule>
    <cfRule type="cellIs" dxfId="2831" priority="303" stopIfTrue="1" operator="between">
      <formula>0</formula>
      <formula>0.375</formula>
    </cfRule>
  </conditionalFormatting>
  <conditionalFormatting sqref="AA276">
    <cfRule type="cellIs" dxfId="2830" priority="294" operator="between">
      <formula>0.56251</formula>
      <formula>0.7125</formula>
    </cfRule>
    <cfRule type="cellIs" dxfId="2829" priority="295" operator="between">
      <formula>0.3751</formula>
      <formula>0.5625</formula>
    </cfRule>
    <cfRule type="cellIs" dxfId="2828" priority="296" operator="greaterThan">
      <formula>0.751</formula>
    </cfRule>
    <cfRule type="cellIs" dxfId="2827" priority="297" operator="between">
      <formula>0.71251</formula>
      <formula>0.75</formula>
    </cfRule>
    <cfRule type="cellIs" dxfId="2826" priority="298" stopIfTrue="1" operator="between">
      <formula>0</formula>
      <formula>0.375</formula>
    </cfRule>
  </conditionalFormatting>
  <conditionalFormatting sqref="Z276">
    <cfRule type="cellIs" dxfId="2825" priority="289" operator="between">
      <formula>0.56251</formula>
      <formula>0.7125</formula>
    </cfRule>
    <cfRule type="cellIs" dxfId="2824" priority="290" operator="between">
      <formula>0.3751</formula>
      <formula>0.5625</formula>
    </cfRule>
    <cfRule type="cellIs" dxfId="2823" priority="291" operator="greaterThan">
      <formula>0.751</formula>
    </cfRule>
    <cfRule type="cellIs" dxfId="2822" priority="292" operator="between">
      <formula>0.71251</formula>
      <formula>0.75</formula>
    </cfRule>
    <cfRule type="cellIs" dxfId="2821" priority="293" stopIfTrue="1" operator="between">
      <formula>0</formula>
      <formula>0.375</formula>
    </cfRule>
  </conditionalFormatting>
  <conditionalFormatting sqref="J276">
    <cfRule type="cellIs" dxfId="2820" priority="272" operator="between">
      <formula>0.76</formula>
      <formula>0.95</formula>
    </cfRule>
    <cfRule type="cellIs" dxfId="2819" priority="273" operator="between">
      <formula>0.51</formula>
      <formula>0.75</formula>
    </cfRule>
    <cfRule type="cellIs" dxfId="2818" priority="274" operator="greaterThan">
      <formula>1</formula>
    </cfRule>
    <cfRule type="cellIs" dxfId="2817" priority="275" operator="between">
      <formula>0.95</formula>
      <formula>1</formula>
    </cfRule>
    <cfRule type="cellIs" dxfId="2816" priority="276" stopIfTrue="1" operator="between">
      <formula>0</formula>
      <formula>0.5</formula>
    </cfRule>
  </conditionalFormatting>
  <conditionalFormatting sqref="M276">
    <cfRule type="cellIs" dxfId="2815" priority="267" operator="between">
      <formula>0.191</formula>
      <formula>0.24</formula>
    </cfRule>
    <cfRule type="cellIs" dxfId="2814" priority="268" operator="between">
      <formula>0.1251</formula>
      <formula>0.19</formula>
    </cfRule>
    <cfRule type="cellIs" dxfId="2813" priority="269" operator="greaterThan">
      <formula>0.2601</formula>
    </cfRule>
    <cfRule type="cellIs" dxfId="2812" priority="270" operator="between">
      <formula>0.2401</formula>
      <formula>0.26</formula>
    </cfRule>
    <cfRule type="cellIs" dxfId="2811" priority="271" stopIfTrue="1" operator="between">
      <formula>0</formula>
      <formula>0.125</formula>
    </cfRule>
  </conditionalFormatting>
  <conditionalFormatting sqref="AE276">
    <cfRule type="cellIs" dxfId="2810" priority="262" operator="between">
      <formula>0.76</formula>
      <formula>0.95</formula>
    </cfRule>
    <cfRule type="cellIs" dxfId="2809" priority="263" operator="between">
      <formula>0.51</formula>
      <formula>0.75</formula>
    </cfRule>
    <cfRule type="cellIs" dxfId="2808" priority="264" operator="greaterThan">
      <formula>1</formula>
    </cfRule>
    <cfRule type="cellIs" dxfId="2807" priority="265" operator="between">
      <formula>0.95</formula>
      <formula>1</formula>
    </cfRule>
    <cfRule type="cellIs" dxfId="2806" priority="266" stopIfTrue="1" operator="between">
      <formula>0</formula>
      <formula>0.5</formula>
    </cfRule>
  </conditionalFormatting>
  <conditionalFormatting sqref="J39 Q39 X39 AG39 AE39">
    <cfRule type="cellIs" dxfId="2805" priority="245" operator="between">
      <formula>0.76</formula>
      <formula>0.95</formula>
    </cfRule>
    <cfRule type="cellIs" dxfId="2804" priority="246" operator="between">
      <formula>0.51</formula>
      <formula>0.75</formula>
    </cfRule>
    <cfRule type="cellIs" dxfId="2803" priority="247" operator="greaterThan">
      <formula>1</formula>
    </cfRule>
    <cfRule type="cellIs" dxfId="2802" priority="248" operator="between">
      <formula>0.95</formula>
      <formula>1</formula>
    </cfRule>
    <cfRule type="cellIs" dxfId="2801" priority="249" stopIfTrue="1" operator="between">
      <formula>0</formula>
      <formula>0.5</formula>
    </cfRule>
  </conditionalFormatting>
  <conditionalFormatting sqref="L39:M39">
    <cfRule type="cellIs" dxfId="2800" priority="240" operator="between">
      <formula>0.191</formula>
      <formula>0.24</formula>
    </cfRule>
    <cfRule type="cellIs" dxfId="2799" priority="241" operator="between">
      <formula>0.1251</formula>
      <formula>0.19</formula>
    </cfRule>
    <cfRule type="cellIs" dxfId="2798" priority="242" operator="greaterThan">
      <formula>0.2601</formula>
    </cfRule>
    <cfRule type="cellIs" dxfId="2797" priority="243" operator="between">
      <formula>0.2401</formula>
      <formula>0.26</formula>
    </cfRule>
    <cfRule type="cellIs" dxfId="2796" priority="244" stopIfTrue="1" operator="between">
      <formula>0</formula>
      <formula>0.125</formula>
    </cfRule>
  </conditionalFormatting>
  <conditionalFormatting sqref="I39">
    <cfRule type="cellIs" dxfId="2795" priority="235" operator="between">
      <formula>0.76</formula>
      <formula>0.95</formula>
    </cfRule>
    <cfRule type="cellIs" dxfId="2794" priority="236" operator="between">
      <formula>0.51</formula>
      <formula>0.75</formula>
    </cfRule>
    <cfRule type="cellIs" dxfId="2793" priority="237" operator="greaterThan">
      <formula>1</formula>
    </cfRule>
    <cfRule type="cellIs" dxfId="2792" priority="238" operator="between">
      <formula>0.95</formula>
      <formula>1</formula>
    </cfRule>
    <cfRule type="cellIs" dxfId="2791" priority="239" stopIfTrue="1" operator="between">
      <formula>0</formula>
      <formula>0.5</formula>
    </cfRule>
  </conditionalFormatting>
  <conditionalFormatting sqref="K39">
    <cfRule type="cellIs" dxfId="2790" priority="230" operator="between">
      <formula>0.191</formula>
      <formula>0.24</formula>
    </cfRule>
    <cfRule type="cellIs" dxfId="2789" priority="231" operator="between">
      <formula>0.1251</formula>
      <formula>0.19</formula>
    </cfRule>
    <cfRule type="cellIs" dxfId="2788" priority="232" operator="greaterThan">
      <formula>0.2601</formula>
    </cfRule>
    <cfRule type="cellIs" dxfId="2787" priority="233" operator="between">
      <formula>0.2401</formula>
      <formula>0.26</formula>
    </cfRule>
    <cfRule type="cellIs" dxfId="2786" priority="234" stopIfTrue="1" operator="between">
      <formula>0</formula>
      <formula>0.125</formula>
    </cfRule>
  </conditionalFormatting>
  <conditionalFormatting sqref="P39">
    <cfRule type="cellIs" dxfId="2785" priority="225" operator="between">
      <formula>0.76</formula>
      <formula>0.95</formula>
    </cfRule>
    <cfRule type="cellIs" dxfId="2784" priority="226" operator="between">
      <formula>0.51</formula>
      <formula>0.75</formula>
    </cfRule>
    <cfRule type="cellIs" dxfId="2783" priority="227" operator="greaterThan">
      <formula>1</formula>
    </cfRule>
    <cfRule type="cellIs" dxfId="2782" priority="228" operator="between">
      <formula>0.95</formula>
      <formula>1</formula>
    </cfRule>
    <cfRule type="cellIs" dxfId="2781" priority="229" stopIfTrue="1" operator="between">
      <formula>0</formula>
      <formula>0.5</formula>
    </cfRule>
  </conditionalFormatting>
  <conditionalFormatting sqref="W39">
    <cfRule type="cellIs" dxfId="2780" priority="220" operator="between">
      <formula>0.76</formula>
      <formula>0.95</formula>
    </cfRule>
    <cfRule type="cellIs" dxfId="2779" priority="221" operator="between">
      <formula>0.51</formula>
      <formula>0.75</formula>
    </cfRule>
    <cfRule type="cellIs" dxfId="2778" priority="222" operator="greaterThan">
      <formula>1</formula>
    </cfRule>
    <cfRule type="cellIs" dxfId="2777" priority="223" operator="between">
      <formula>0.95</formula>
      <formula>1</formula>
    </cfRule>
    <cfRule type="cellIs" dxfId="2776" priority="224" stopIfTrue="1" operator="between">
      <formula>0</formula>
      <formula>0.5</formula>
    </cfRule>
  </conditionalFormatting>
  <conditionalFormatting sqref="AD39">
    <cfRule type="cellIs" dxfId="2775" priority="215" operator="between">
      <formula>0.76</formula>
      <formula>0.95</formula>
    </cfRule>
    <cfRule type="cellIs" dxfId="2774" priority="216" operator="between">
      <formula>0.51</formula>
      <formula>0.75</formula>
    </cfRule>
    <cfRule type="cellIs" dxfId="2773" priority="217" operator="greaterThan">
      <formula>1</formula>
    </cfRule>
    <cfRule type="cellIs" dxfId="2772" priority="218" operator="between">
      <formula>0.95</formula>
      <formula>1</formula>
    </cfRule>
    <cfRule type="cellIs" dxfId="2771" priority="219" stopIfTrue="1" operator="between">
      <formula>0</formula>
      <formula>0.5</formula>
    </cfRule>
  </conditionalFormatting>
  <conditionalFormatting sqref="AF39">
    <cfRule type="cellIs" dxfId="2770" priority="210" operator="between">
      <formula>0.76</formula>
      <formula>0.95</formula>
    </cfRule>
    <cfRule type="cellIs" dxfId="2769" priority="211" operator="between">
      <formula>0.51</formula>
      <formula>0.75</formula>
    </cfRule>
    <cfRule type="cellIs" dxfId="2768" priority="212" operator="greaterThan">
      <formula>1</formula>
    </cfRule>
    <cfRule type="cellIs" dxfId="2767" priority="213" operator="between">
      <formula>0.95</formula>
      <formula>1</formula>
    </cfRule>
    <cfRule type="cellIs" dxfId="2766" priority="214" stopIfTrue="1" operator="between">
      <formula>0</formula>
      <formula>0.5</formula>
    </cfRule>
  </conditionalFormatting>
  <conditionalFormatting sqref="R39">
    <cfRule type="cellIs" dxfId="2765" priority="205" operator="between">
      <formula>0.3751</formula>
      <formula>0.475</formula>
    </cfRule>
    <cfRule type="cellIs" dxfId="2764" priority="206" operator="between">
      <formula>0.2551</formula>
      <formula>0.375</formula>
    </cfRule>
    <cfRule type="cellIs" dxfId="2763" priority="207" operator="greaterThan">
      <formula>0.505</formula>
    </cfRule>
    <cfRule type="cellIs" dxfId="2762" priority="208" operator="between">
      <formula>0.48</formula>
      <formula>0.5</formula>
    </cfRule>
    <cfRule type="cellIs" dxfId="2761" priority="209" stopIfTrue="1" operator="between">
      <formula>0</formula>
      <formula>0.255</formula>
    </cfRule>
  </conditionalFormatting>
  <conditionalFormatting sqref="S39:T39">
    <cfRule type="cellIs" dxfId="2760" priority="200" operator="between">
      <formula>0.376</formula>
      <formula>0.475</formula>
    </cfRule>
    <cfRule type="cellIs" dxfId="2759" priority="201" operator="between">
      <formula>0.2551</formula>
      <formula>0.3751</formula>
    </cfRule>
    <cfRule type="cellIs" dxfId="2758" priority="202" operator="greaterThan">
      <formula>0.505</formula>
    </cfRule>
    <cfRule type="cellIs" dxfId="2757" priority="203" operator="between">
      <formula>0.48</formula>
      <formula>0.5</formula>
    </cfRule>
    <cfRule type="cellIs" dxfId="2756" priority="204" stopIfTrue="1" operator="between">
      <formula>0</formula>
      <formula>0.255</formula>
    </cfRule>
  </conditionalFormatting>
  <conditionalFormatting sqref="Y39">
    <cfRule type="cellIs" dxfId="2755" priority="195" operator="between">
      <formula>0.56251</formula>
      <formula>0.7125</formula>
    </cfRule>
    <cfRule type="cellIs" dxfId="2754" priority="196" operator="between">
      <formula>0.3751</formula>
      <formula>0.5625</formula>
    </cfRule>
    <cfRule type="cellIs" dxfId="2753" priority="197" operator="greaterThan">
      <formula>0.751</formula>
    </cfRule>
    <cfRule type="cellIs" dxfId="2752" priority="198" operator="between">
      <formula>0.71251</formula>
      <formula>0.75</formula>
    </cfRule>
    <cfRule type="cellIs" dxfId="2751" priority="199" stopIfTrue="1" operator="between">
      <formula>0</formula>
      <formula>0.375</formula>
    </cfRule>
  </conditionalFormatting>
  <conditionalFormatting sqref="AA39">
    <cfRule type="cellIs" dxfId="2750" priority="190" operator="between">
      <formula>0.56251</formula>
      <formula>0.7125</formula>
    </cfRule>
    <cfRule type="cellIs" dxfId="2749" priority="191" operator="between">
      <formula>0.3751</formula>
      <formula>0.5625</formula>
    </cfRule>
    <cfRule type="cellIs" dxfId="2748" priority="192" operator="greaterThan">
      <formula>0.751</formula>
    </cfRule>
    <cfRule type="cellIs" dxfId="2747" priority="193" operator="between">
      <formula>0.71251</formula>
      <formula>0.75</formula>
    </cfRule>
    <cfRule type="cellIs" dxfId="2746" priority="194" stopIfTrue="1" operator="between">
      <formula>0</formula>
      <formula>0.375</formula>
    </cfRule>
  </conditionalFormatting>
  <conditionalFormatting sqref="Z39">
    <cfRule type="cellIs" dxfId="2745" priority="185" operator="between">
      <formula>0.56251</formula>
      <formula>0.7125</formula>
    </cfRule>
    <cfRule type="cellIs" dxfId="2744" priority="186" operator="between">
      <formula>0.3751</formula>
      <formula>0.5625</formula>
    </cfRule>
    <cfRule type="cellIs" dxfId="2743" priority="187" operator="greaterThan">
      <formula>0.751</formula>
    </cfRule>
    <cfRule type="cellIs" dxfId="2742" priority="188" operator="between">
      <formula>0.71251</formula>
      <formula>0.75</formula>
    </cfRule>
    <cfRule type="cellIs" dxfId="2741" priority="189" stopIfTrue="1" operator="between">
      <formula>0</formula>
      <formula>0.375</formula>
    </cfRule>
  </conditionalFormatting>
  <conditionalFormatting sqref="J16">
    <cfRule type="cellIs" dxfId="2740" priority="180" operator="between">
      <formula>0.76</formula>
      <formula>0.95</formula>
    </cfRule>
    <cfRule type="cellIs" dxfId="2739" priority="181" operator="between">
      <formula>0.51</formula>
      <formula>0.75</formula>
    </cfRule>
    <cfRule type="cellIs" dxfId="2738" priority="182" operator="greaterThan">
      <formula>1</formula>
    </cfRule>
    <cfRule type="cellIs" dxfId="2737" priority="183" operator="between">
      <formula>0.95</formula>
      <formula>1</formula>
    </cfRule>
    <cfRule type="cellIs" dxfId="2736" priority="184" stopIfTrue="1" operator="between">
      <formula>0</formula>
      <formula>0.5</formula>
    </cfRule>
  </conditionalFormatting>
  <conditionalFormatting sqref="AD348">
    <cfRule type="cellIs" dxfId="2735" priority="175" operator="between">
      <formula>0.76</formula>
      <formula>0.95</formula>
    </cfRule>
    <cfRule type="cellIs" dxfId="2734" priority="176" operator="between">
      <formula>0.51</formula>
      <formula>0.75</formula>
    </cfRule>
    <cfRule type="cellIs" dxfId="2733" priority="177" operator="greaterThan">
      <formula>1</formula>
    </cfRule>
    <cfRule type="cellIs" dxfId="2732" priority="178" operator="between">
      <formula>0.95</formula>
      <formula>1</formula>
    </cfRule>
    <cfRule type="cellIs" dxfId="2731" priority="179" stopIfTrue="1" operator="between">
      <formula>0</formula>
      <formula>0.5</formula>
    </cfRule>
  </conditionalFormatting>
  <conditionalFormatting sqref="L305">
    <cfRule type="cellIs" dxfId="2730" priority="158" operator="between">
      <formula>0.191</formula>
      <formula>0.24</formula>
    </cfRule>
    <cfRule type="cellIs" dxfId="2729" priority="159" operator="between">
      <formula>0.1251</formula>
      <formula>0.19</formula>
    </cfRule>
    <cfRule type="cellIs" dxfId="2728" priority="160" operator="greaterThan">
      <formula>0.2601</formula>
    </cfRule>
    <cfRule type="cellIs" dxfId="2727" priority="161" operator="between">
      <formula>0.2401</formula>
      <formula>0.26</formula>
    </cfRule>
    <cfRule type="cellIs" dxfId="2726" priority="162" stopIfTrue="1" operator="between">
      <formula>0</formula>
      <formula>0.125</formula>
    </cfRule>
  </conditionalFormatting>
  <conditionalFormatting sqref="S305">
    <cfRule type="cellIs" dxfId="2725" priority="153" operator="between">
      <formula>0.376</formula>
      <formula>0.475</formula>
    </cfRule>
    <cfRule type="cellIs" dxfId="2724" priority="154" operator="between">
      <formula>0.2551</formula>
      <formula>0.3751</formula>
    </cfRule>
    <cfRule type="cellIs" dxfId="2723" priority="155" operator="greaterThan">
      <formula>0.505</formula>
    </cfRule>
    <cfRule type="cellIs" dxfId="2722" priority="156" operator="between">
      <formula>0.48</formula>
      <formula>0.5</formula>
    </cfRule>
    <cfRule type="cellIs" dxfId="2721" priority="157" stopIfTrue="1" operator="between">
      <formula>0</formula>
      <formula>0.255</formula>
    </cfRule>
  </conditionalFormatting>
  <conditionalFormatting sqref="I305:J305 AD305:AG305 P305 W305">
    <cfRule type="cellIs" dxfId="2720" priority="148" operator="between">
      <formula>0.76</formula>
      <formula>0.95</formula>
    </cfRule>
    <cfRule type="cellIs" dxfId="2719" priority="149" operator="between">
      <formula>0.51</formula>
      <formula>0.75</formula>
    </cfRule>
    <cfRule type="cellIs" dxfId="2718" priority="150" operator="greaterThan">
      <formula>1</formula>
    </cfRule>
    <cfRule type="cellIs" dxfId="2717" priority="151" operator="between">
      <formula>0.95</formula>
      <formula>1</formula>
    </cfRule>
    <cfRule type="cellIs" dxfId="2716" priority="152" stopIfTrue="1" operator="between">
      <formula>0</formula>
      <formula>0.5</formula>
    </cfRule>
  </conditionalFormatting>
  <conditionalFormatting sqref="R305">
    <cfRule type="cellIs" dxfId="2715" priority="143" operator="between">
      <formula>0.3751</formula>
      <formula>0.475</formula>
    </cfRule>
    <cfRule type="cellIs" dxfId="2714" priority="144" operator="between">
      <formula>0.2551</formula>
      <formula>0.375</formula>
    </cfRule>
    <cfRule type="cellIs" dxfId="2713" priority="145" operator="greaterThan">
      <formula>0.505</formula>
    </cfRule>
    <cfRule type="cellIs" dxfId="2712" priority="146" operator="between">
      <formula>0.48</formula>
      <formula>0.5</formula>
    </cfRule>
    <cfRule type="cellIs" dxfId="2711" priority="147" stopIfTrue="1" operator="between">
      <formula>0</formula>
      <formula>0.255</formula>
    </cfRule>
  </conditionalFormatting>
  <conditionalFormatting sqref="K305">
    <cfRule type="cellIs" dxfId="2710" priority="138" operator="between">
      <formula>0.191</formula>
      <formula>0.24</formula>
    </cfRule>
    <cfRule type="cellIs" dxfId="2709" priority="139" operator="between">
      <formula>0.1251</formula>
      <formula>0.19</formula>
    </cfRule>
    <cfRule type="cellIs" dxfId="2708" priority="140" operator="greaterThan">
      <formula>0.2601</formula>
    </cfRule>
    <cfRule type="cellIs" dxfId="2707" priority="141" operator="between">
      <formula>0.2401</formula>
      <formula>0.26</formula>
    </cfRule>
    <cfRule type="cellIs" dxfId="2706" priority="142" stopIfTrue="1" operator="between">
      <formula>0</formula>
      <formula>0.125</formula>
    </cfRule>
  </conditionalFormatting>
  <conditionalFormatting sqref="T305">
    <cfRule type="cellIs" dxfId="2705" priority="133" operator="between">
      <formula>0.376</formula>
      <formula>0.475</formula>
    </cfRule>
    <cfRule type="cellIs" dxfId="2704" priority="134" operator="between">
      <formula>0.2551</formula>
      <formula>0.3751</formula>
    </cfRule>
    <cfRule type="cellIs" dxfId="2703" priority="135" operator="greaterThan">
      <formula>0.505</formula>
    </cfRule>
    <cfRule type="cellIs" dxfId="2702" priority="136" operator="between">
      <formula>0.48</formula>
      <formula>0.5</formula>
    </cfRule>
    <cfRule type="cellIs" dxfId="2701" priority="137" stopIfTrue="1" operator="between">
      <formula>0</formula>
      <formula>0.255</formula>
    </cfRule>
  </conditionalFormatting>
  <conditionalFormatting sqref="Q305">
    <cfRule type="cellIs" dxfId="2700" priority="128" operator="between">
      <formula>0.76</formula>
      <formula>0.95</formula>
    </cfRule>
    <cfRule type="cellIs" dxfId="2699" priority="129" operator="between">
      <formula>0.51</formula>
      <formula>0.75</formula>
    </cfRule>
    <cfRule type="cellIs" dxfId="2698" priority="130" operator="greaterThan">
      <formula>1</formula>
    </cfRule>
    <cfRule type="cellIs" dxfId="2697" priority="131" operator="between">
      <formula>0.95</formula>
      <formula>1</formula>
    </cfRule>
    <cfRule type="cellIs" dxfId="2696" priority="132" stopIfTrue="1" operator="between">
      <formula>0</formula>
      <formula>0.5</formula>
    </cfRule>
  </conditionalFormatting>
  <conditionalFormatting sqref="M305">
    <cfRule type="cellIs" dxfId="2695" priority="118" operator="between">
      <formula>0.191</formula>
      <formula>0.24</formula>
    </cfRule>
    <cfRule type="cellIs" dxfId="2694" priority="119" operator="between">
      <formula>0.1251</formula>
      <formula>0.19</formula>
    </cfRule>
    <cfRule type="cellIs" dxfId="2693" priority="120" operator="greaterThan">
      <formula>0.2601</formula>
    </cfRule>
    <cfRule type="cellIs" dxfId="2692" priority="121" operator="between">
      <formula>0.2401</formula>
      <formula>0.26</formula>
    </cfRule>
    <cfRule type="cellIs" dxfId="2691" priority="122" stopIfTrue="1" operator="between">
      <formula>0</formula>
      <formula>0.125</formula>
    </cfRule>
  </conditionalFormatting>
  <conditionalFormatting sqref="Y305">
    <cfRule type="cellIs" dxfId="2690" priority="113" operator="between">
      <formula>0.56251</formula>
      <formula>0.7125</formula>
    </cfRule>
    <cfRule type="cellIs" dxfId="2689" priority="114" operator="between">
      <formula>0.3751</formula>
      <formula>0.5625</formula>
    </cfRule>
    <cfRule type="cellIs" dxfId="2688" priority="115" operator="greaterThan">
      <formula>0.751</formula>
    </cfRule>
    <cfRule type="cellIs" dxfId="2687" priority="116" operator="between">
      <formula>0.71251</formula>
      <formula>0.75</formula>
    </cfRule>
    <cfRule type="cellIs" dxfId="2686" priority="117" stopIfTrue="1" operator="between">
      <formula>0</formula>
      <formula>0.375</formula>
    </cfRule>
  </conditionalFormatting>
  <conditionalFormatting sqref="AA305">
    <cfRule type="cellIs" dxfId="2685" priority="108" operator="between">
      <formula>0.56251</formula>
      <formula>0.7125</formula>
    </cfRule>
    <cfRule type="cellIs" dxfId="2684" priority="109" operator="between">
      <formula>0.3751</formula>
      <formula>0.5625</formula>
    </cfRule>
    <cfRule type="cellIs" dxfId="2683" priority="110" operator="greaterThan">
      <formula>0.751</formula>
    </cfRule>
    <cfRule type="cellIs" dxfId="2682" priority="111" operator="between">
      <formula>0.71251</formula>
      <formula>0.75</formula>
    </cfRule>
    <cfRule type="cellIs" dxfId="2681" priority="112" stopIfTrue="1" operator="between">
      <formula>0</formula>
      <formula>0.375</formula>
    </cfRule>
  </conditionalFormatting>
  <conditionalFormatting sqref="Z305">
    <cfRule type="cellIs" dxfId="2680" priority="103" operator="between">
      <formula>0.56251</formula>
      <formula>0.7125</formula>
    </cfRule>
    <cfRule type="cellIs" dxfId="2679" priority="104" operator="between">
      <formula>0.3751</formula>
      <formula>0.5625</formula>
    </cfRule>
    <cfRule type="cellIs" dxfId="2678" priority="105" operator="greaterThan">
      <formula>0.751</formula>
    </cfRule>
    <cfRule type="cellIs" dxfId="2677" priority="106" operator="between">
      <formula>0.71251</formula>
      <formula>0.75</formula>
    </cfRule>
    <cfRule type="cellIs" dxfId="2676" priority="107" stopIfTrue="1" operator="between">
      <formula>0</formula>
      <formula>0.375</formula>
    </cfRule>
  </conditionalFormatting>
  <conditionalFormatting sqref="X305">
    <cfRule type="cellIs" dxfId="2675" priority="98" operator="between">
      <formula>0.76</formula>
      <formula>0.95</formula>
    </cfRule>
    <cfRule type="cellIs" dxfId="2674" priority="99" operator="between">
      <formula>0.51</formula>
      <formula>0.75</formula>
    </cfRule>
    <cfRule type="cellIs" dxfId="2673" priority="100" operator="greaterThan">
      <formula>1</formula>
    </cfRule>
    <cfRule type="cellIs" dxfId="2672" priority="101" operator="between">
      <formula>0.95</formula>
      <formula>1</formula>
    </cfRule>
    <cfRule type="cellIs" dxfId="2671" priority="102" stopIfTrue="1" operator="between">
      <formula>0</formula>
      <formula>0.5</formula>
    </cfRule>
  </conditionalFormatting>
  <conditionalFormatting sqref="J115">
    <cfRule type="cellIs" dxfId="2670" priority="90" operator="between">
      <formula>0.76</formula>
      <formula>0.95</formula>
    </cfRule>
    <cfRule type="cellIs" dxfId="2669" priority="91" operator="between">
      <formula>0.51</formula>
      <formula>0.75</formula>
    </cfRule>
    <cfRule type="cellIs" dxfId="2668" priority="92" operator="greaterThan">
      <formula>1</formula>
    </cfRule>
    <cfRule type="cellIs" dxfId="2667" priority="93" operator="between">
      <formula>0.95</formula>
      <formula>1</formula>
    </cfRule>
    <cfRule type="cellIs" dxfId="2666" priority="94" stopIfTrue="1" operator="between">
      <formula>0</formula>
      <formula>0.5</formula>
    </cfRule>
  </conditionalFormatting>
  <conditionalFormatting sqref="Q115">
    <cfRule type="cellIs" dxfId="2665" priority="85" operator="between">
      <formula>0.76</formula>
      <formula>0.95</formula>
    </cfRule>
    <cfRule type="cellIs" dxfId="2664" priority="86" operator="between">
      <formula>0.51</formula>
      <formula>0.75</formula>
    </cfRule>
    <cfRule type="cellIs" dxfId="2663" priority="87" operator="greaterThan">
      <formula>1</formula>
    </cfRule>
    <cfRule type="cellIs" dxfId="2662" priority="88" operator="between">
      <formula>0.95</formula>
      <formula>1</formula>
    </cfRule>
    <cfRule type="cellIs" dxfId="2661" priority="89" stopIfTrue="1" operator="between">
      <formula>0</formula>
      <formula>0.5</formula>
    </cfRule>
  </conditionalFormatting>
  <conditionalFormatting sqref="L115:M115">
    <cfRule type="cellIs" dxfId="2660" priority="71" operator="between">
      <formula>0.191</formula>
      <formula>0.24</formula>
    </cfRule>
    <cfRule type="cellIs" dxfId="2659" priority="72" operator="between">
      <formula>0.1251</formula>
      <formula>0.19</formula>
    </cfRule>
    <cfRule type="cellIs" dxfId="2658" priority="73" operator="greaterThan">
      <formula>0.2601</formula>
    </cfRule>
    <cfRule type="cellIs" dxfId="2657" priority="74" operator="between">
      <formula>0.2401</formula>
      <formula>0.26</formula>
    </cfRule>
    <cfRule type="cellIs" dxfId="2656" priority="75" stopIfTrue="1" operator="between">
      <formula>0</formula>
      <formula>0.125</formula>
    </cfRule>
  </conditionalFormatting>
  <conditionalFormatting sqref="I115">
    <cfRule type="cellIs" dxfId="2655" priority="66" operator="between">
      <formula>0.76</formula>
      <formula>0.95</formula>
    </cfRule>
    <cfRule type="cellIs" dxfId="2654" priority="67" operator="between">
      <formula>0.51</formula>
      <formula>0.75</formula>
    </cfRule>
    <cfRule type="cellIs" dxfId="2653" priority="68" operator="greaterThan">
      <formula>1</formula>
    </cfRule>
    <cfRule type="cellIs" dxfId="2652" priority="69" operator="between">
      <formula>0.95</formula>
      <formula>1</formula>
    </cfRule>
    <cfRule type="cellIs" dxfId="2651" priority="70" stopIfTrue="1" operator="between">
      <formula>0</formula>
      <formula>0.5</formula>
    </cfRule>
  </conditionalFormatting>
  <conditionalFormatting sqref="K115">
    <cfRule type="cellIs" dxfId="2650" priority="61" operator="between">
      <formula>0.191</formula>
      <formula>0.24</formula>
    </cfRule>
    <cfRule type="cellIs" dxfId="2649" priority="62" operator="between">
      <formula>0.1251</formula>
      <formula>0.19</formula>
    </cfRule>
    <cfRule type="cellIs" dxfId="2648" priority="63" operator="greaterThan">
      <formula>0.2601</formula>
    </cfRule>
    <cfRule type="cellIs" dxfId="2647" priority="64" operator="between">
      <formula>0.2401</formula>
      <formula>0.26</formula>
    </cfRule>
    <cfRule type="cellIs" dxfId="2646" priority="65" stopIfTrue="1" operator="between">
      <formula>0</formula>
      <formula>0.125</formula>
    </cfRule>
  </conditionalFormatting>
  <conditionalFormatting sqref="P115">
    <cfRule type="cellIs" dxfId="2645" priority="56" operator="between">
      <formula>0.76</formula>
      <formula>0.95</formula>
    </cfRule>
    <cfRule type="cellIs" dxfId="2644" priority="57" operator="between">
      <formula>0.51</formula>
      <formula>0.75</formula>
    </cfRule>
    <cfRule type="cellIs" dxfId="2643" priority="58" operator="greaterThan">
      <formula>1</formula>
    </cfRule>
    <cfRule type="cellIs" dxfId="2642" priority="59" operator="between">
      <formula>0.95</formula>
      <formula>1</formula>
    </cfRule>
    <cfRule type="cellIs" dxfId="2641" priority="60" stopIfTrue="1" operator="between">
      <formula>0</formula>
      <formula>0.5</formula>
    </cfRule>
  </conditionalFormatting>
  <conditionalFormatting sqref="W115">
    <cfRule type="cellIs" dxfId="2640" priority="51" operator="between">
      <formula>0.76</formula>
      <formula>0.95</formula>
    </cfRule>
    <cfRule type="cellIs" dxfId="2639" priority="52" operator="between">
      <formula>0.51</formula>
      <formula>0.75</formula>
    </cfRule>
    <cfRule type="cellIs" dxfId="2638" priority="53" operator="greaterThan">
      <formula>1</formula>
    </cfRule>
    <cfRule type="cellIs" dxfId="2637" priority="54" operator="between">
      <formula>0.95</formula>
      <formula>1</formula>
    </cfRule>
    <cfRule type="cellIs" dxfId="2636" priority="55" stopIfTrue="1" operator="between">
      <formula>0</formula>
      <formula>0.5</formula>
    </cfRule>
  </conditionalFormatting>
  <conditionalFormatting sqref="AD115">
    <cfRule type="cellIs" dxfId="2635" priority="46" operator="between">
      <formula>0.76</formula>
      <formula>0.95</formula>
    </cfRule>
    <cfRule type="cellIs" dxfId="2634" priority="47" operator="between">
      <formula>0.51</formula>
      <formula>0.75</formula>
    </cfRule>
    <cfRule type="cellIs" dxfId="2633" priority="48" operator="greaterThan">
      <formula>1</formula>
    </cfRule>
    <cfRule type="cellIs" dxfId="2632" priority="49" operator="between">
      <formula>0.95</formula>
      <formula>1</formula>
    </cfRule>
    <cfRule type="cellIs" dxfId="2631" priority="50" stopIfTrue="1" operator="between">
      <formula>0</formula>
      <formula>0.5</formula>
    </cfRule>
  </conditionalFormatting>
  <conditionalFormatting sqref="AF115">
    <cfRule type="cellIs" dxfId="2630" priority="41" operator="between">
      <formula>0.76</formula>
      <formula>0.95</formula>
    </cfRule>
    <cfRule type="cellIs" dxfId="2629" priority="42" operator="between">
      <formula>0.51</formula>
      <formula>0.75</formula>
    </cfRule>
    <cfRule type="cellIs" dxfId="2628" priority="43" operator="greaterThan">
      <formula>1</formula>
    </cfRule>
    <cfRule type="cellIs" dxfId="2627" priority="44" operator="between">
      <formula>0.95</formula>
      <formula>1</formula>
    </cfRule>
    <cfRule type="cellIs" dxfId="2626" priority="45" stopIfTrue="1" operator="between">
      <formula>0</formula>
      <formula>0.5</formula>
    </cfRule>
  </conditionalFormatting>
  <conditionalFormatting sqref="R115">
    <cfRule type="cellIs" dxfId="2625" priority="36" operator="between">
      <formula>0.3751</formula>
      <formula>0.475</formula>
    </cfRule>
    <cfRule type="cellIs" dxfId="2624" priority="37" operator="between">
      <formula>0.2551</formula>
      <formula>0.375</formula>
    </cfRule>
    <cfRule type="cellIs" dxfId="2623" priority="38" operator="greaterThan">
      <formula>0.505</formula>
    </cfRule>
    <cfRule type="cellIs" dxfId="2622" priority="39" operator="between">
      <formula>0.48</formula>
      <formula>0.5</formula>
    </cfRule>
    <cfRule type="cellIs" dxfId="2621" priority="40" stopIfTrue="1" operator="between">
      <formula>0</formula>
      <formula>0.255</formula>
    </cfRule>
  </conditionalFormatting>
  <conditionalFormatting sqref="S115:T115">
    <cfRule type="cellIs" dxfId="2620" priority="31" operator="between">
      <formula>0.376</formula>
      <formula>0.475</formula>
    </cfRule>
    <cfRule type="cellIs" dxfId="2619" priority="32" operator="between">
      <formula>0.2551</formula>
      <formula>0.3751</formula>
    </cfRule>
    <cfRule type="cellIs" dxfId="2618" priority="33" operator="greaterThan">
      <formula>0.505</formula>
    </cfRule>
    <cfRule type="cellIs" dxfId="2617" priority="34" operator="between">
      <formula>0.48</formula>
      <formula>0.5</formula>
    </cfRule>
    <cfRule type="cellIs" dxfId="2616" priority="35" stopIfTrue="1" operator="between">
      <formula>0</formula>
      <formula>0.255</formula>
    </cfRule>
  </conditionalFormatting>
  <conditionalFormatting sqref="X115">
    <cfRule type="cellIs" dxfId="2615" priority="26" operator="between">
      <formula>0.76</formula>
      <formula>0.95</formula>
    </cfRule>
    <cfRule type="cellIs" dxfId="2614" priority="27" operator="between">
      <formula>0.51</formula>
      <formula>0.75</formula>
    </cfRule>
    <cfRule type="cellIs" dxfId="2613" priority="28" operator="greaterThan">
      <formula>1</formula>
    </cfRule>
    <cfRule type="cellIs" dxfId="2612" priority="29" operator="between">
      <formula>0.95</formula>
      <formula>1</formula>
    </cfRule>
    <cfRule type="cellIs" dxfId="2611" priority="30" stopIfTrue="1" operator="between">
      <formula>0</formula>
      <formula>0.5</formula>
    </cfRule>
  </conditionalFormatting>
  <conditionalFormatting sqref="AE115">
    <cfRule type="cellIs" dxfId="2610" priority="21" operator="between">
      <formula>0.76</formula>
      <formula>0.95</formula>
    </cfRule>
    <cfRule type="cellIs" dxfId="2609" priority="22" operator="between">
      <formula>0.51</formula>
      <formula>0.75</formula>
    </cfRule>
    <cfRule type="cellIs" dxfId="2608" priority="23" operator="greaterThan">
      <formula>1</formula>
    </cfRule>
    <cfRule type="cellIs" dxfId="2607" priority="24" operator="between">
      <formula>0.95</formula>
      <formula>1</formula>
    </cfRule>
    <cfRule type="cellIs" dxfId="2606" priority="25" stopIfTrue="1" operator="between">
      <formula>0</formula>
      <formula>0.5</formula>
    </cfRule>
  </conditionalFormatting>
  <conditionalFormatting sqref="AG115">
    <cfRule type="cellIs" dxfId="2605" priority="16" operator="between">
      <formula>0.76</formula>
      <formula>0.95</formula>
    </cfRule>
    <cfRule type="cellIs" dxfId="2604" priority="17" operator="between">
      <formula>0.51</formula>
      <formula>0.75</formula>
    </cfRule>
    <cfRule type="cellIs" dxfId="2603" priority="18" operator="greaterThan">
      <formula>1</formula>
    </cfRule>
    <cfRule type="cellIs" dxfId="2602" priority="19" operator="between">
      <formula>0.95</formula>
      <formula>1</formula>
    </cfRule>
    <cfRule type="cellIs" dxfId="2601" priority="20" stopIfTrue="1" operator="between">
      <formula>0</formula>
      <formula>0.5</formula>
    </cfRule>
  </conditionalFormatting>
  <conditionalFormatting sqref="Y115">
    <cfRule type="cellIs" dxfId="2600" priority="11" operator="between">
      <formula>0.56251</formula>
      <formula>0.7125</formula>
    </cfRule>
    <cfRule type="cellIs" dxfId="2599" priority="12" operator="between">
      <formula>0.3751</formula>
      <formula>0.5625</formula>
    </cfRule>
    <cfRule type="cellIs" dxfId="2598" priority="13" operator="greaterThan">
      <formula>0.751</formula>
    </cfRule>
    <cfRule type="cellIs" dxfId="2597" priority="14" operator="between">
      <formula>0.71251</formula>
      <formula>0.75</formula>
    </cfRule>
    <cfRule type="cellIs" dxfId="2596" priority="15" stopIfTrue="1" operator="between">
      <formula>0</formula>
      <formula>0.375</formula>
    </cfRule>
  </conditionalFormatting>
  <conditionalFormatting sqref="AA115">
    <cfRule type="cellIs" dxfId="2595" priority="6" operator="between">
      <formula>0.56251</formula>
      <formula>0.7125</formula>
    </cfRule>
    <cfRule type="cellIs" dxfId="2594" priority="7" operator="between">
      <formula>0.3751</formula>
      <formula>0.5625</formula>
    </cfRule>
    <cfRule type="cellIs" dxfId="2593" priority="8" operator="greaterThan">
      <formula>0.751</formula>
    </cfRule>
    <cfRule type="cellIs" dxfId="2592" priority="9" operator="between">
      <formula>0.71251</formula>
      <formula>0.75</formula>
    </cfRule>
    <cfRule type="cellIs" dxfId="2591" priority="10" stopIfTrue="1" operator="between">
      <formula>0</formula>
      <formula>0.375</formula>
    </cfRule>
  </conditionalFormatting>
  <conditionalFormatting sqref="Z115">
    <cfRule type="cellIs" dxfId="2590" priority="1" operator="between">
      <formula>0.56251</formula>
      <formula>0.7125</formula>
    </cfRule>
    <cfRule type="cellIs" dxfId="2589" priority="2" operator="between">
      <formula>0.3751</formula>
      <formula>0.5625</formula>
    </cfRule>
    <cfRule type="cellIs" dxfId="2588" priority="3" operator="greaterThan">
      <formula>0.751</formula>
    </cfRule>
    <cfRule type="cellIs" dxfId="2587" priority="4" operator="between">
      <formula>0.71251</formula>
      <formula>0.75</formula>
    </cfRule>
    <cfRule type="cellIs" dxfId="2586" priority="5" stopIfTrue="1" operator="between">
      <formula>0</formula>
      <formula>0.375</formula>
    </cfRule>
  </conditionalFormatting>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1430" id="{7D7DE63B-5E55-4D88-AB07-4FB52BF8C37A}">
            <xm:f>AND(IF(H38&gt;'Plan de Accion 2018'!Y135,H38&lt;&gt;¨N/A¨))</xm:f>
            <x14:dxf>
              <fill>
                <patternFill>
                  <bgColor theme="1" tint="0.499984740745262"/>
                </patternFill>
              </fill>
            </x14:dxf>
          </x14:cfRule>
          <x14:cfRule type="expression" priority="33217" stopIfTrue="1" id="{00000000-000E-0000-0300-0000FA060000}">
            <xm:f>AND(IF(H38='Plan de Accion 2018'!Y135,H38&lt;&gt;"N/A"))</xm:f>
            <x14:dxf>
              <fill>
                <patternFill>
                  <bgColor rgb="FF00B050"/>
                </patternFill>
              </fill>
            </x14:dxf>
          </x14:cfRule>
          <x14:cfRule type="expression" priority="33219" stopIfTrue="1" id="{00000000-000E-0000-0300-0000FC060000}">
            <xm:f>AND(IF(H38&lt;'Plan de Accion 2018'!Y135,H38&lt;&gt;"N/A"))</xm:f>
            <x14:dxf>
              <fill>
                <patternFill>
                  <bgColor indexed="10"/>
                </patternFill>
              </fill>
            </x14:dxf>
          </x14:cfRule>
          <xm:sqref>H86:H89 H38</xm:sqref>
        </x14:conditionalFormatting>
        <x14:conditionalFormatting xmlns:xm="http://schemas.microsoft.com/office/excel/2006/main">
          <x14:cfRule type="expression" priority="31225" id="{374B9984-C349-4B39-BEE8-8E62463B9BB8}">
            <xm:f>AND(IF(H216&gt;'Plan de Accion 2018'!Y159,H216&lt;&gt;¨N/A¨))</xm:f>
            <x14:dxf>
              <fill>
                <patternFill>
                  <bgColor theme="1" tint="0.499984740745262"/>
                </patternFill>
              </fill>
            </x14:dxf>
          </x14:cfRule>
          <x14:cfRule type="expression" priority="31226" stopIfTrue="1" id="{FCA5533B-7C93-4E6E-BD83-04B517DCF5BB}">
            <xm:f>AND(IF(H216='Plan de Accion 2018'!Y159,H216&lt;&gt;"N/A"))</xm:f>
            <x14:dxf>
              <fill>
                <patternFill>
                  <bgColor rgb="FF00B050"/>
                </patternFill>
              </fill>
            </x14:dxf>
          </x14:cfRule>
          <x14:cfRule type="expression" priority="31227" stopIfTrue="1" id="{3917D00B-4063-4310-8EF2-9336F8BAE893}">
            <xm:f>AND(IF(H216&lt;'Plan de Accion 2018'!Y159,H216&lt;&gt;"N/A"))</xm:f>
            <x14:dxf>
              <fill>
                <patternFill>
                  <bgColor indexed="10"/>
                </patternFill>
              </fill>
            </x14:dxf>
          </x14:cfRule>
          <xm:sqref>H216:H219</xm:sqref>
        </x14:conditionalFormatting>
        <x14:conditionalFormatting xmlns:xm="http://schemas.microsoft.com/office/excel/2006/main">
          <x14:cfRule type="expression" priority="31219" id="{15910998-0129-4DFE-A9D7-2A5995B422E7}">
            <xm:f>AND(IF(H42&gt;'Plan de Accion 2018'!Y176,H42&lt;&gt;¨N/A¨))</xm:f>
            <x14:dxf>
              <fill>
                <patternFill>
                  <bgColor theme="1" tint="0.499984740745262"/>
                </patternFill>
              </fill>
            </x14:dxf>
          </x14:cfRule>
          <x14:cfRule type="expression" priority="31220" stopIfTrue="1" id="{4AEC7DDB-9BA9-4EEA-AD17-2A8C5185CF9E}">
            <xm:f>AND(IF(H42='Plan de Accion 2018'!Y176,H42&lt;&gt;"N/A"))</xm:f>
            <x14:dxf>
              <fill>
                <patternFill>
                  <bgColor rgb="FF00B050"/>
                </patternFill>
              </fill>
            </x14:dxf>
          </x14:cfRule>
          <x14:cfRule type="expression" priority="31221" stopIfTrue="1" id="{CC1D1C7A-F5A4-4539-92E8-F46742F4A70A}">
            <xm:f>AND(IF(H42&lt;'Plan de Accion 2018'!Y176,H42&lt;&gt;"N/A"))</xm:f>
            <x14:dxf>
              <fill>
                <patternFill>
                  <bgColor indexed="10"/>
                </patternFill>
              </fill>
            </x14:dxf>
          </x14:cfRule>
          <xm:sqref>H42</xm:sqref>
        </x14:conditionalFormatting>
        <x14:conditionalFormatting xmlns:xm="http://schemas.microsoft.com/office/excel/2006/main">
          <x14:cfRule type="expression" priority="31144" id="{052C392E-AA47-4103-B6F0-E95620724C66}">
            <xm:f>AND(IF(H220&gt;'Plan de Accion 2018'!Y166,H220&lt;&gt;¨N/A¨))</xm:f>
            <x14:dxf>
              <fill>
                <patternFill>
                  <bgColor theme="1" tint="0.499984740745262"/>
                </patternFill>
              </fill>
            </x14:dxf>
          </x14:cfRule>
          <x14:cfRule type="expression" priority="31145" stopIfTrue="1" id="{B72CA923-DECC-40D9-AC7C-4D3A8D6BB28E}">
            <xm:f>AND(IF(H220='Plan de Accion 2018'!Y166,H220&lt;&gt;"N/A"))</xm:f>
            <x14:dxf>
              <fill>
                <patternFill>
                  <bgColor rgb="FF00B050"/>
                </patternFill>
              </fill>
            </x14:dxf>
          </x14:cfRule>
          <x14:cfRule type="expression" priority="31146" stopIfTrue="1" id="{CA3316FF-A988-4480-8E74-B7ABC51372FD}">
            <xm:f>AND(IF(H220&lt;'Plan de Accion 2018'!Y166,H220&lt;&gt;"N/A"))</xm:f>
            <x14:dxf>
              <fill>
                <patternFill>
                  <bgColor indexed="10"/>
                </patternFill>
              </fill>
            </x14:dxf>
          </x14:cfRule>
          <xm:sqref>H220:H222</xm:sqref>
        </x14:conditionalFormatting>
        <x14:conditionalFormatting xmlns:xm="http://schemas.microsoft.com/office/excel/2006/main">
          <x14:cfRule type="expression" priority="31135" id="{C6AADA74-C14F-4565-9C53-5A11C1734B89}">
            <xm:f>AND(IF(H166&gt;'Plan de Accion 2018'!Y175,H166&lt;&gt;¨N/A¨))</xm:f>
            <x14:dxf>
              <fill>
                <patternFill>
                  <bgColor theme="1" tint="0.499984740745262"/>
                </patternFill>
              </fill>
            </x14:dxf>
          </x14:cfRule>
          <x14:cfRule type="expression" priority="31136" stopIfTrue="1" id="{31AC552F-C835-4304-B7F0-F966972CDD16}">
            <xm:f>AND(IF(H166='Plan de Accion 2018'!Y175,H166&lt;&gt;"N/A"))</xm:f>
            <x14:dxf>
              <fill>
                <patternFill>
                  <bgColor rgb="FF00B050"/>
                </patternFill>
              </fill>
            </x14:dxf>
          </x14:cfRule>
          <x14:cfRule type="expression" priority="31137" stopIfTrue="1" id="{1100336D-8668-4BD2-9ED2-A9752E38164B}">
            <xm:f>AND(IF(H166&lt;'Plan de Accion 2018'!Y175,H166&lt;&gt;"N/A"))</xm:f>
            <x14:dxf>
              <fill>
                <patternFill>
                  <bgColor indexed="10"/>
                </patternFill>
              </fill>
            </x14:dxf>
          </x14:cfRule>
          <xm:sqref>H166:H168</xm:sqref>
        </x14:conditionalFormatting>
        <x14:conditionalFormatting xmlns:xm="http://schemas.microsoft.com/office/excel/2006/main">
          <x14:cfRule type="expression" priority="31114" id="{2C3BF7CD-BA0A-480D-9F71-013F402ACC11}">
            <xm:f>AND(IF(H155&gt;'Plan de Accion 2018'!Y153,H155&lt;&gt;¨N/A¨))</xm:f>
            <x14:dxf>
              <fill>
                <patternFill>
                  <bgColor theme="1" tint="0.499984740745262"/>
                </patternFill>
              </fill>
            </x14:dxf>
          </x14:cfRule>
          <x14:cfRule type="expression" priority="31115" stopIfTrue="1" id="{C2FD101A-C2DC-4070-9A97-72B30C81DC95}">
            <xm:f>AND(IF(H155='Plan de Accion 2018'!Y153,H155&lt;&gt;"N/A"))</xm:f>
            <x14:dxf>
              <fill>
                <patternFill>
                  <bgColor rgb="FF00B050"/>
                </patternFill>
              </fill>
            </x14:dxf>
          </x14:cfRule>
          <x14:cfRule type="expression" priority="31116" stopIfTrue="1" id="{43543DB3-9128-4B58-B834-F389D59AC87D}">
            <xm:f>AND(IF(H155&lt;'Plan de Accion 2018'!Y153,H155&lt;&gt;"N/A"))</xm:f>
            <x14:dxf>
              <fill>
                <patternFill>
                  <bgColor indexed="10"/>
                </patternFill>
              </fill>
            </x14:dxf>
          </x14:cfRule>
          <xm:sqref>H155:H162</xm:sqref>
        </x14:conditionalFormatting>
        <x14:conditionalFormatting xmlns:xm="http://schemas.microsoft.com/office/excel/2006/main">
          <x14:cfRule type="expression" priority="31102" id="{F4425813-8481-4FEC-91DF-1C41C861205B}">
            <xm:f>AND(IF(H90&gt;'Plan de Accion 2018'!Y172,H90&lt;&gt;¨N/A¨))</xm:f>
            <x14:dxf>
              <fill>
                <patternFill>
                  <bgColor theme="1" tint="0.499984740745262"/>
                </patternFill>
              </fill>
            </x14:dxf>
          </x14:cfRule>
          <x14:cfRule type="expression" priority="31103" stopIfTrue="1" id="{EE6300BC-3367-4F05-AD5D-B2C0821F2916}">
            <xm:f>AND(IF(H90='Plan de Accion 2018'!Y172,H90&lt;&gt;"N/A"))</xm:f>
            <x14:dxf>
              <fill>
                <patternFill>
                  <bgColor rgb="FF00B050"/>
                </patternFill>
              </fill>
            </x14:dxf>
          </x14:cfRule>
          <x14:cfRule type="expression" priority="31104" stopIfTrue="1" id="{B3E6CC0D-D1AF-4E95-8599-D41B69FACC17}">
            <xm:f>AND(IF(H90&lt;'Plan de Accion 2018'!Y172,H90&lt;&gt;"N/A"))</xm:f>
            <x14:dxf>
              <fill>
                <patternFill>
                  <bgColor indexed="10"/>
                </patternFill>
              </fill>
            </x14:dxf>
          </x14:cfRule>
          <xm:sqref>H90</xm:sqref>
        </x14:conditionalFormatting>
        <x14:conditionalFormatting xmlns:xm="http://schemas.microsoft.com/office/excel/2006/main">
          <x14:cfRule type="expression" priority="31099" id="{AC264CAD-F79B-4650-BEDB-33B13F33182D}">
            <xm:f>AND(IF(H91&gt;'Plan de Accion 2018'!Y180,H91&lt;&gt;¨N/A¨))</xm:f>
            <x14:dxf>
              <fill>
                <patternFill>
                  <bgColor theme="1" tint="0.499984740745262"/>
                </patternFill>
              </fill>
            </x14:dxf>
          </x14:cfRule>
          <x14:cfRule type="expression" priority="31100" stopIfTrue="1" id="{BA43120B-2AF7-4DB2-A25F-3478EC585EFB}">
            <xm:f>AND(IF(H91='Plan de Accion 2018'!Y180,H91&lt;&gt;"N/A"))</xm:f>
            <x14:dxf>
              <fill>
                <patternFill>
                  <bgColor rgb="FF00B050"/>
                </patternFill>
              </fill>
            </x14:dxf>
          </x14:cfRule>
          <x14:cfRule type="expression" priority="31101" stopIfTrue="1" id="{5CCCCB4A-B844-4D5F-A3B5-19214844C1A0}">
            <xm:f>AND(IF(H91&lt;'Plan de Accion 2018'!Y180,H91&lt;&gt;"N/A"))</xm:f>
            <x14:dxf>
              <fill>
                <patternFill>
                  <bgColor indexed="10"/>
                </patternFill>
              </fill>
            </x14:dxf>
          </x14:cfRule>
          <xm:sqref>H91</xm:sqref>
        </x14:conditionalFormatting>
        <x14:conditionalFormatting xmlns:xm="http://schemas.microsoft.com/office/excel/2006/main">
          <x14:cfRule type="expression" priority="31096" id="{A7C81FF8-A132-4BFF-878E-90A32B81EBF7}">
            <xm:f>AND(IF(H92&gt;'Plan de Accion 2018'!Y182,H92&lt;&gt;¨N/A¨))</xm:f>
            <x14:dxf>
              <fill>
                <patternFill>
                  <bgColor theme="1" tint="0.499984740745262"/>
                </patternFill>
              </fill>
            </x14:dxf>
          </x14:cfRule>
          <x14:cfRule type="expression" priority="31097" stopIfTrue="1" id="{717E1B75-2A87-4663-92C8-E16F567F01FE}">
            <xm:f>AND(IF(H92='Plan de Accion 2018'!Y182,H92&lt;&gt;"N/A"))</xm:f>
            <x14:dxf>
              <fill>
                <patternFill>
                  <bgColor rgb="FF00B050"/>
                </patternFill>
              </fill>
            </x14:dxf>
          </x14:cfRule>
          <x14:cfRule type="expression" priority="31098" stopIfTrue="1" id="{47F82822-7888-490A-837C-E954EBC9AA35}">
            <xm:f>AND(IF(H92&lt;'Plan de Accion 2018'!Y182,H92&lt;&gt;"N/A"))</xm:f>
            <x14:dxf>
              <fill>
                <patternFill>
                  <bgColor indexed="10"/>
                </patternFill>
              </fill>
            </x14:dxf>
          </x14:cfRule>
          <xm:sqref>H92</xm:sqref>
        </x14:conditionalFormatting>
        <x14:conditionalFormatting xmlns:xm="http://schemas.microsoft.com/office/excel/2006/main">
          <x14:cfRule type="expression" priority="31093" id="{21F31CE3-215C-4E38-B450-140B239447C0}">
            <xm:f>AND(IF(H93&gt;'Plan de Accion 2018'!Y159,H93&lt;&gt;¨N/A¨))</xm:f>
            <x14:dxf>
              <fill>
                <patternFill>
                  <bgColor theme="1" tint="0.499984740745262"/>
                </patternFill>
              </fill>
            </x14:dxf>
          </x14:cfRule>
          <x14:cfRule type="expression" priority="31094" stopIfTrue="1" id="{07E68019-DB8E-4DC8-B508-FD04BF990408}">
            <xm:f>AND(IF(H93='Plan de Accion 2018'!Y159,H93&lt;&gt;"N/A"))</xm:f>
            <x14:dxf>
              <fill>
                <patternFill>
                  <bgColor rgb="FF00B050"/>
                </patternFill>
              </fill>
            </x14:dxf>
          </x14:cfRule>
          <x14:cfRule type="expression" priority="31095" stopIfTrue="1" id="{DCC7A6F0-0D68-4A63-9AAF-6C1DD5D4D040}">
            <xm:f>AND(IF(H93&lt;'Plan de Accion 2018'!Y159,H93&lt;&gt;"N/A"))</xm:f>
            <x14:dxf>
              <fill>
                <patternFill>
                  <bgColor indexed="10"/>
                </patternFill>
              </fill>
            </x14:dxf>
          </x14:cfRule>
          <xm:sqref>H93:H94 H98</xm:sqref>
        </x14:conditionalFormatting>
        <x14:conditionalFormatting xmlns:xm="http://schemas.microsoft.com/office/excel/2006/main">
          <x14:cfRule type="expression" priority="31087" id="{00EF5851-0F15-4375-9114-B9723C7720BE}">
            <xm:f>AND(IF(H99&gt;'Plan de Accion 2018'!Y166,H99&lt;&gt;¨N/A¨))</xm:f>
            <x14:dxf>
              <fill>
                <patternFill>
                  <bgColor theme="1" tint="0.499984740745262"/>
                </patternFill>
              </fill>
            </x14:dxf>
          </x14:cfRule>
          <x14:cfRule type="expression" priority="31088" stopIfTrue="1" id="{0BF81C28-2FE1-441C-83A7-E7AA41900C95}">
            <xm:f>AND(IF(H99='Plan de Accion 2018'!Y166,H99&lt;&gt;"N/A"))</xm:f>
            <x14:dxf>
              <fill>
                <patternFill>
                  <bgColor rgb="FF00B050"/>
                </patternFill>
              </fill>
            </x14:dxf>
          </x14:cfRule>
          <x14:cfRule type="expression" priority="31089" stopIfTrue="1" id="{8FD98739-80B4-4CC7-874C-B40225B82C6A}">
            <xm:f>AND(IF(H99&lt;'Plan de Accion 2018'!Y166,H99&lt;&gt;"N/A"))</xm:f>
            <x14:dxf>
              <fill>
                <patternFill>
                  <bgColor indexed="10"/>
                </patternFill>
              </fill>
            </x14:dxf>
          </x14:cfRule>
          <xm:sqref>H102 H99</xm:sqref>
        </x14:conditionalFormatting>
        <x14:conditionalFormatting xmlns:xm="http://schemas.microsoft.com/office/excel/2006/main">
          <x14:cfRule type="expression" priority="31081" id="{0E3DE2B6-62E7-4210-A3B8-58B420B5CAC2}">
            <xm:f>AND(IF(H103&gt;'Plan de Accion 2018'!Y173,H103&lt;&gt;¨N/A¨))</xm:f>
            <x14:dxf>
              <fill>
                <patternFill>
                  <bgColor theme="1" tint="0.499984740745262"/>
                </patternFill>
              </fill>
            </x14:dxf>
          </x14:cfRule>
          <x14:cfRule type="expression" priority="31082" stopIfTrue="1" id="{2DD90422-6F43-475B-9E0C-BF9D0DB7D5F6}">
            <xm:f>AND(IF(H103='Plan de Accion 2018'!Y173,H103&lt;&gt;"N/A"))</xm:f>
            <x14:dxf>
              <fill>
                <patternFill>
                  <bgColor rgb="FF00B050"/>
                </patternFill>
              </fill>
            </x14:dxf>
          </x14:cfRule>
          <x14:cfRule type="expression" priority="31083" stopIfTrue="1" id="{043AAF05-0FA7-485D-A836-D329BF1A7CDD}">
            <xm:f>AND(IF(H103&lt;'Plan de Accion 2018'!Y173,H103&lt;&gt;"N/A"))</xm:f>
            <x14:dxf>
              <fill>
                <patternFill>
                  <bgColor indexed="10"/>
                </patternFill>
              </fill>
            </x14:dxf>
          </x14:cfRule>
          <xm:sqref>H103:H104 H106</xm:sqref>
        </x14:conditionalFormatting>
        <x14:conditionalFormatting xmlns:xm="http://schemas.microsoft.com/office/excel/2006/main">
          <x14:cfRule type="expression" priority="31078" id="{12C2E3D7-C6FA-4210-81BC-19D216CF026F}">
            <xm:f>AND(IF(H107&gt;'Plan de Accion 2018'!Y187,H107&lt;&gt;¨N/A¨))</xm:f>
            <x14:dxf>
              <fill>
                <patternFill>
                  <bgColor theme="1" tint="0.499984740745262"/>
                </patternFill>
              </fill>
            </x14:dxf>
          </x14:cfRule>
          <x14:cfRule type="expression" priority="31079" stopIfTrue="1" id="{2948012B-8141-4037-AD13-B1E36B6D1A83}">
            <xm:f>AND(IF(H107='Plan de Accion 2018'!Y187,H107&lt;&gt;"N/A"))</xm:f>
            <x14:dxf>
              <fill>
                <patternFill>
                  <bgColor rgb="FF00B050"/>
                </patternFill>
              </fill>
            </x14:dxf>
          </x14:cfRule>
          <x14:cfRule type="expression" priority="31080" stopIfTrue="1" id="{71594613-5C31-40DB-AE1C-6746266C05EC}">
            <xm:f>AND(IF(H107&lt;'Plan de Accion 2018'!Y187,H107&lt;&gt;"N/A"))</xm:f>
            <x14:dxf>
              <fill>
                <patternFill>
                  <bgColor indexed="10"/>
                </patternFill>
              </fill>
            </x14:dxf>
          </x14:cfRule>
          <xm:sqref>H107</xm:sqref>
        </x14:conditionalFormatting>
        <x14:conditionalFormatting xmlns:xm="http://schemas.microsoft.com/office/excel/2006/main">
          <x14:cfRule type="expression" priority="31075" id="{A32D7933-0464-4EC4-9099-C17E1F1495B2}">
            <xm:f>AND(IF(H223&gt;'Plan de Accion 2018'!Y171,H223&lt;&gt;¨N/A¨))</xm:f>
            <x14:dxf>
              <fill>
                <patternFill>
                  <bgColor theme="1" tint="0.499984740745262"/>
                </patternFill>
              </fill>
            </x14:dxf>
          </x14:cfRule>
          <x14:cfRule type="expression" priority="31076" stopIfTrue="1" id="{03B12C24-5A63-4D21-AEF2-1CA8E641C58E}">
            <xm:f>AND(IF(H223='Plan de Accion 2018'!Y171,H223&lt;&gt;"N/A"))</xm:f>
            <x14:dxf>
              <fill>
                <patternFill>
                  <bgColor rgb="FF00B050"/>
                </patternFill>
              </fill>
            </x14:dxf>
          </x14:cfRule>
          <x14:cfRule type="expression" priority="31077" stopIfTrue="1" id="{77EDED19-638B-4823-9F72-D0B66336C4B0}">
            <xm:f>AND(IF(H223&lt;'Plan de Accion 2018'!Y171,H223&lt;&gt;"N/A"))</xm:f>
            <x14:dxf>
              <fill>
                <patternFill>
                  <bgColor indexed="10"/>
                </patternFill>
              </fill>
            </x14:dxf>
          </x14:cfRule>
          <xm:sqref>H223</xm:sqref>
        </x14:conditionalFormatting>
        <x14:conditionalFormatting xmlns:xm="http://schemas.microsoft.com/office/excel/2006/main">
          <x14:cfRule type="expression" priority="31072" id="{454929CB-B2BE-4B82-8D51-7FFADC28FE7B}">
            <xm:f>AND(IF(H235&gt;'Plan de Accion 2018'!Y156,H235&lt;&gt;¨N/A¨))</xm:f>
            <x14:dxf>
              <fill>
                <patternFill>
                  <bgColor theme="1" tint="0.499984740745262"/>
                </patternFill>
              </fill>
            </x14:dxf>
          </x14:cfRule>
          <x14:cfRule type="expression" priority="31073" stopIfTrue="1" id="{BF072DE8-3409-4472-9505-577D90055B9D}">
            <xm:f>AND(IF(H235='Plan de Accion 2018'!Y156,H235&lt;&gt;"N/A"))</xm:f>
            <x14:dxf>
              <fill>
                <patternFill>
                  <bgColor rgb="FF00B050"/>
                </patternFill>
              </fill>
            </x14:dxf>
          </x14:cfRule>
          <x14:cfRule type="expression" priority="31074" stopIfTrue="1" id="{95D317B6-7C36-4C81-8309-8AC8F818E60E}">
            <xm:f>AND(IF(H235&lt;'Plan de Accion 2018'!Y156,H235&lt;&gt;"N/A"))</xm:f>
            <x14:dxf>
              <fill>
                <patternFill>
                  <bgColor indexed="10"/>
                </patternFill>
              </fill>
            </x14:dxf>
          </x14:cfRule>
          <xm:sqref>H235</xm:sqref>
        </x14:conditionalFormatting>
        <x14:conditionalFormatting xmlns:xm="http://schemas.microsoft.com/office/excel/2006/main">
          <x14:cfRule type="expression" priority="31069" id="{1A5E750C-22FD-4E18-848F-E03322CB1825}">
            <xm:f>AND(IF(H324&gt;'Plan de Accion 2018'!Y163,H324&lt;&gt;¨N/A¨))</xm:f>
            <x14:dxf>
              <fill>
                <patternFill>
                  <bgColor theme="1" tint="0.499984740745262"/>
                </patternFill>
              </fill>
            </x14:dxf>
          </x14:cfRule>
          <x14:cfRule type="expression" priority="31070" stopIfTrue="1" id="{74E6BF35-B43C-478D-BFF7-674776C8FCB0}">
            <xm:f>AND(IF(H324='Plan de Accion 2018'!Y163,H324&lt;&gt;"N/A"))</xm:f>
            <x14:dxf>
              <fill>
                <patternFill>
                  <bgColor rgb="FF00B050"/>
                </patternFill>
              </fill>
            </x14:dxf>
          </x14:cfRule>
          <x14:cfRule type="expression" priority="31071" stopIfTrue="1" id="{FAF7DCED-A3CC-4468-8FD3-D00F5581BA68}">
            <xm:f>AND(IF(H324&lt;'Plan de Accion 2018'!Y163,H324&lt;&gt;"N/A"))</xm:f>
            <x14:dxf>
              <fill>
                <patternFill>
                  <bgColor indexed="10"/>
                </patternFill>
              </fill>
            </x14:dxf>
          </x14:cfRule>
          <xm:sqref>H324:H326</xm:sqref>
        </x14:conditionalFormatting>
        <x14:conditionalFormatting xmlns:xm="http://schemas.microsoft.com/office/excel/2006/main">
          <x14:cfRule type="expression" priority="31063" id="{FDA5AB1A-DB98-41C2-87E0-8D72C86634AF}">
            <xm:f>AND(IF(H236&gt;'Plan de Accion 2018'!Y174,H236&lt;&gt;¨N/A¨))</xm:f>
            <x14:dxf>
              <fill>
                <patternFill>
                  <bgColor theme="1" tint="0.499984740745262"/>
                </patternFill>
              </fill>
            </x14:dxf>
          </x14:cfRule>
          <x14:cfRule type="expression" priority="31064" stopIfTrue="1" id="{0A8C9F66-D696-47A0-A91D-2F189DF17606}">
            <xm:f>AND(IF(H236='Plan de Accion 2018'!Y174,H236&lt;&gt;"N/A"))</xm:f>
            <x14:dxf>
              <fill>
                <patternFill>
                  <bgColor rgb="FF00B050"/>
                </patternFill>
              </fill>
            </x14:dxf>
          </x14:cfRule>
          <x14:cfRule type="expression" priority="31065" stopIfTrue="1" id="{3CC12296-6133-4121-9663-3F2BBF4DE5D2}">
            <xm:f>AND(IF(H236&lt;'Plan de Accion 2018'!Y174,H236&lt;&gt;"N/A"))</xm:f>
            <x14:dxf>
              <fill>
                <patternFill>
                  <bgColor indexed="10"/>
                </patternFill>
              </fill>
            </x14:dxf>
          </x14:cfRule>
          <xm:sqref>H236</xm:sqref>
        </x14:conditionalFormatting>
        <x14:conditionalFormatting xmlns:xm="http://schemas.microsoft.com/office/excel/2006/main">
          <x14:cfRule type="expression" priority="31024" id="{B38DEB0D-32B3-47DF-AB7E-507770066A93}">
            <xm:f>AND(IF(H164&gt;'Plan de Accion 2018'!Y156,H164&lt;&gt;¨N/A¨))</xm:f>
            <x14:dxf>
              <fill>
                <patternFill>
                  <bgColor theme="1" tint="0.499984740745262"/>
                </patternFill>
              </fill>
            </x14:dxf>
          </x14:cfRule>
          <x14:cfRule type="expression" priority="31025" stopIfTrue="1" id="{6959E61F-63EA-40F2-B24D-60F2DCBD0ABB}">
            <xm:f>AND(IF(H164='Plan de Accion 2018'!Y156,H164&lt;&gt;"N/A"))</xm:f>
            <x14:dxf>
              <fill>
                <patternFill>
                  <bgColor rgb="FF00B050"/>
                </patternFill>
              </fill>
            </x14:dxf>
          </x14:cfRule>
          <x14:cfRule type="expression" priority="31026" stopIfTrue="1" id="{33610E02-7E6A-4B48-8812-943F54E97476}">
            <xm:f>AND(IF(H164&lt;'Plan de Accion 2018'!Y156,H164&lt;&gt;"N/A"))</xm:f>
            <x14:dxf>
              <fill>
                <patternFill>
                  <bgColor indexed="10"/>
                </patternFill>
              </fill>
            </x14:dxf>
          </x14:cfRule>
          <xm:sqref>H164:H165</xm:sqref>
        </x14:conditionalFormatting>
        <x14:conditionalFormatting xmlns:xm="http://schemas.microsoft.com/office/excel/2006/main">
          <x14:cfRule type="expression" priority="31018" id="{3C70F423-D9CF-4FC8-B4FC-F6800DF866ED}">
            <xm:f>AND(IF(H144&gt;'Plan de Accion 2018'!Y144,H144&lt;&gt;¨N/A¨))</xm:f>
            <x14:dxf>
              <fill>
                <patternFill>
                  <bgColor theme="1" tint="0.499984740745262"/>
                </patternFill>
              </fill>
            </x14:dxf>
          </x14:cfRule>
          <x14:cfRule type="expression" priority="31019" stopIfTrue="1" id="{46DE1846-4301-49E0-9FD0-3E45119E5A5A}">
            <xm:f>AND(IF(H144='Plan de Accion 2018'!Y144,H144&lt;&gt;"N/A"))</xm:f>
            <x14:dxf>
              <fill>
                <patternFill>
                  <bgColor rgb="FF00B050"/>
                </patternFill>
              </fill>
            </x14:dxf>
          </x14:cfRule>
          <x14:cfRule type="expression" priority="31020" stopIfTrue="1" id="{1AA29CD8-6A7D-4C01-A020-9A1E4E1701E1}">
            <xm:f>AND(IF(H144&lt;'Plan de Accion 2018'!Y144,H144&lt;&gt;"N/A"))</xm:f>
            <x14:dxf>
              <fill>
                <patternFill>
                  <bgColor indexed="10"/>
                </patternFill>
              </fill>
            </x14:dxf>
          </x14:cfRule>
          <xm:sqref>H177:H178 H144:H145</xm:sqref>
        </x14:conditionalFormatting>
        <x14:conditionalFormatting xmlns:xm="http://schemas.microsoft.com/office/excel/2006/main">
          <x14:cfRule type="expression" priority="31015" id="{3F097174-46F5-49A9-9A2F-56D977F79B80}">
            <xm:f>AND(IF(H327&gt;'Plan de Accion 2018'!Y169,H327&lt;&gt;¨N/A¨))</xm:f>
            <x14:dxf>
              <fill>
                <patternFill>
                  <bgColor theme="1" tint="0.499984740745262"/>
                </patternFill>
              </fill>
            </x14:dxf>
          </x14:cfRule>
          <x14:cfRule type="expression" priority="31016" stopIfTrue="1" id="{6AB1EBAD-47AB-46EF-BFC9-023E4C249536}">
            <xm:f>AND(IF(H327='Plan de Accion 2018'!Y169,H327&lt;&gt;"N/A"))</xm:f>
            <x14:dxf>
              <fill>
                <patternFill>
                  <bgColor rgb="FF00B050"/>
                </patternFill>
              </fill>
            </x14:dxf>
          </x14:cfRule>
          <x14:cfRule type="expression" priority="31017" stopIfTrue="1" id="{7537C9B6-6D2B-493F-A2DA-15B8B27AEF45}">
            <xm:f>AND(IF(H327&lt;'Plan de Accion 2018'!Y169,H327&lt;&gt;"N/A"))</xm:f>
            <x14:dxf>
              <fill>
                <patternFill>
                  <bgColor indexed="10"/>
                </patternFill>
              </fill>
            </x14:dxf>
          </x14:cfRule>
          <xm:sqref>H327:H330</xm:sqref>
        </x14:conditionalFormatting>
        <x14:conditionalFormatting xmlns:xm="http://schemas.microsoft.com/office/excel/2006/main">
          <x14:cfRule type="expression" priority="30961" id="{A47C21AC-0A78-4B79-B1F2-2F82C289B401}">
            <xm:f>AND(IF(H203&gt;'Plan de Accion 2018'!Y71,H203&lt;&gt;¨N/A¨))</xm:f>
            <x14:dxf>
              <fill>
                <patternFill>
                  <bgColor theme="1" tint="0.499984740745262"/>
                </patternFill>
              </fill>
            </x14:dxf>
          </x14:cfRule>
          <x14:cfRule type="expression" priority="30962" stopIfTrue="1" id="{4E405A1B-8190-4B03-99A0-3FF87157296E}">
            <xm:f>AND(IF(H203='Plan de Accion 2018'!Y71,H203&lt;&gt;"N/A"))</xm:f>
            <x14:dxf>
              <fill>
                <patternFill>
                  <bgColor rgb="FF00B050"/>
                </patternFill>
              </fill>
            </x14:dxf>
          </x14:cfRule>
          <x14:cfRule type="expression" priority="30963" stopIfTrue="1" id="{A3C20451-2FAA-47AB-B823-74EA3422874D}">
            <xm:f>AND(IF(H203&lt;'Plan de Accion 2018'!Y71,H203&lt;&gt;"N/A"))</xm:f>
            <x14:dxf>
              <fill>
                <patternFill>
                  <bgColor indexed="10"/>
                </patternFill>
              </fill>
            </x14:dxf>
          </x14:cfRule>
          <xm:sqref>H291:H292 H203</xm:sqref>
        </x14:conditionalFormatting>
        <x14:conditionalFormatting xmlns:xm="http://schemas.microsoft.com/office/excel/2006/main">
          <x14:cfRule type="expression" priority="30952" id="{7112DD04-9DCF-4700-9657-8535BBD94AA4}">
            <xm:f>AND(IF(H207&gt;'Plan de Accion 2018'!Y36,H207&lt;&gt;¨N/A¨))</xm:f>
            <x14:dxf>
              <fill>
                <patternFill>
                  <bgColor theme="1" tint="0.499984740745262"/>
                </patternFill>
              </fill>
            </x14:dxf>
          </x14:cfRule>
          <x14:cfRule type="expression" priority="30953" stopIfTrue="1" id="{2AC3BB29-73C9-43C8-B58C-FDE1DB7F2CBF}">
            <xm:f>AND(IF(H207='Plan de Accion 2018'!Y36,H207&lt;&gt;"N/A"))</xm:f>
            <x14:dxf>
              <fill>
                <patternFill>
                  <bgColor rgb="FF00B050"/>
                </patternFill>
              </fill>
            </x14:dxf>
          </x14:cfRule>
          <x14:cfRule type="expression" priority="30954" stopIfTrue="1" id="{17E998D6-26B5-48B0-9BD3-4654C7FE7CA5}">
            <xm:f>AND(IF(H207&lt;'Plan de Accion 2018'!Y36,H207&lt;&gt;"N/A"))</xm:f>
            <x14:dxf>
              <fill>
                <patternFill>
                  <bgColor indexed="10"/>
                </patternFill>
              </fill>
            </x14:dxf>
          </x14:cfRule>
          <xm:sqref>H207:H214</xm:sqref>
        </x14:conditionalFormatting>
        <x14:conditionalFormatting xmlns:xm="http://schemas.microsoft.com/office/excel/2006/main">
          <x14:cfRule type="expression" priority="30904" id="{B029685C-622F-435A-B586-41E1BC6EF941}">
            <xm:f>AND(IF(H113&gt;'Plan de Accion 2018'!Y62,H113&lt;&gt;¨N/A¨))</xm:f>
            <x14:dxf>
              <fill>
                <patternFill>
                  <bgColor theme="1" tint="0.499984740745262"/>
                </patternFill>
              </fill>
            </x14:dxf>
          </x14:cfRule>
          <x14:cfRule type="expression" priority="30905" stopIfTrue="1" id="{1A57AFC5-3E6B-466B-AA3F-E5104E18FF84}">
            <xm:f>AND(IF(H113='Plan de Accion 2018'!Y62,H113&lt;&gt;"N/A"))</xm:f>
            <x14:dxf>
              <fill>
                <patternFill>
                  <bgColor rgb="FF00B050"/>
                </patternFill>
              </fill>
            </x14:dxf>
          </x14:cfRule>
          <x14:cfRule type="expression" priority="30906" stopIfTrue="1" id="{68C851E9-1731-4498-996C-272A7D22BFAB}">
            <xm:f>AND(IF(H113&lt;'Plan de Accion 2018'!Y62,H113&lt;&gt;"N/A"))</xm:f>
            <x14:dxf>
              <fill>
                <patternFill>
                  <bgColor indexed="10"/>
                </patternFill>
              </fill>
            </x14:dxf>
          </x14:cfRule>
          <xm:sqref>H224 H113:H115</xm:sqref>
        </x14:conditionalFormatting>
        <x14:conditionalFormatting xmlns:xm="http://schemas.microsoft.com/office/excel/2006/main">
          <x14:cfRule type="expression" priority="30901" id="{198CFA15-456B-402B-957E-336E4FCAE566}">
            <xm:f>AND(IF(H225&gt;'Plan de Accion 2018'!Y179,H225&lt;&gt;¨N/A¨))</xm:f>
            <x14:dxf>
              <fill>
                <patternFill>
                  <bgColor theme="1" tint="0.499984740745262"/>
                </patternFill>
              </fill>
            </x14:dxf>
          </x14:cfRule>
          <x14:cfRule type="expression" priority="30902" stopIfTrue="1" id="{08BF8517-64CB-47CE-859A-15218208A6D4}">
            <xm:f>AND(IF(H225='Plan de Accion 2018'!Y179,H225&lt;&gt;"N/A"))</xm:f>
            <x14:dxf>
              <fill>
                <patternFill>
                  <bgColor rgb="FF00B050"/>
                </patternFill>
              </fill>
            </x14:dxf>
          </x14:cfRule>
          <x14:cfRule type="expression" priority="30903" stopIfTrue="1" id="{3315B617-F03F-4F4B-B8FA-E23BB2B7E8FD}">
            <xm:f>AND(IF(H225&lt;'Plan de Accion 2018'!Y179,H225&lt;&gt;"N/A"))</xm:f>
            <x14:dxf>
              <fill>
                <patternFill>
                  <bgColor indexed="10"/>
                </patternFill>
              </fill>
            </x14:dxf>
          </x14:cfRule>
          <xm:sqref>H225</xm:sqref>
        </x14:conditionalFormatting>
        <x14:conditionalFormatting xmlns:xm="http://schemas.microsoft.com/office/excel/2006/main">
          <x14:cfRule type="expression" priority="30898" id="{1D929EC8-F9DF-49AF-9C13-9A5E16DFD238}">
            <xm:f>AND(IF(H226&gt;'Plan de Accion 2018'!Y181,H226&lt;&gt;¨N/A¨))</xm:f>
            <x14:dxf>
              <fill>
                <patternFill>
                  <bgColor theme="1" tint="0.499984740745262"/>
                </patternFill>
              </fill>
            </x14:dxf>
          </x14:cfRule>
          <x14:cfRule type="expression" priority="30899" stopIfTrue="1" id="{182BC988-84B7-455E-B687-E26B6540210A}">
            <xm:f>AND(IF(H226='Plan de Accion 2018'!Y181,H226&lt;&gt;"N/A"))</xm:f>
            <x14:dxf>
              <fill>
                <patternFill>
                  <bgColor rgb="FF00B050"/>
                </patternFill>
              </fill>
            </x14:dxf>
          </x14:cfRule>
          <x14:cfRule type="expression" priority="30900" stopIfTrue="1" id="{FFE27CDF-D07F-48C5-A518-51586D4CFE6B}">
            <xm:f>AND(IF(H226&lt;'Plan de Accion 2018'!Y181,H226&lt;&gt;"N/A"))</xm:f>
            <x14:dxf>
              <fill>
                <patternFill>
                  <bgColor indexed="10"/>
                </patternFill>
              </fill>
            </x14:dxf>
          </x14:cfRule>
          <xm:sqref>H226</xm:sqref>
        </x14:conditionalFormatting>
        <x14:conditionalFormatting xmlns:xm="http://schemas.microsoft.com/office/excel/2006/main">
          <x14:cfRule type="expression" priority="30895" id="{7A463BFC-EAD1-4356-A630-6375A654D3C2}">
            <xm:f>AND(IF(H334&gt;'Plan de Accion 2018'!Y111,H334&lt;&gt;¨N/A¨))</xm:f>
            <x14:dxf>
              <fill>
                <patternFill>
                  <bgColor theme="1" tint="0.499984740745262"/>
                </patternFill>
              </fill>
            </x14:dxf>
          </x14:cfRule>
          <x14:cfRule type="expression" priority="30896" stopIfTrue="1" id="{0642DF62-FA69-4129-AACA-FB565F841B36}">
            <xm:f>AND(IF(H334='Plan de Accion 2018'!Y111,H334&lt;&gt;"N/A"))</xm:f>
            <x14:dxf>
              <fill>
                <patternFill>
                  <bgColor rgb="FF00B050"/>
                </patternFill>
              </fill>
            </x14:dxf>
          </x14:cfRule>
          <x14:cfRule type="expression" priority="30897" stopIfTrue="1" id="{1126386E-685D-4659-A9D8-242AAB13D0C3}">
            <xm:f>AND(IF(H334&lt;'Plan de Accion 2018'!Y111,H334&lt;&gt;"N/A"))</xm:f>
            <x14:dxf>
              <fill>
                <patternFill>
                  <bgColor indexed="10"/>
                </patternFill>
              </fill>
            </x14:dxf>
          </x14:cfRule>
          <xm:sqref>H334:H355 H380:H381</xm:sqref>
        </x14:conditionalFormatting>
        <x14:conditionalFormatting xmlns:xm="http://schemas.microsoft.com/office/excel/2006/main">
          <x14:cfRule type="expression" priority="30889" id="{4934C3D5-C484-4DE7-9A01-9306A8F2B71F}">
            <xm:f>AND(IF(H376&gt;'Plan de Accion 2018'!Y136,H376&lt;&gt;¨N/A¨))</xm:f>
            <x14:dxf>
              <fill>
                <patternFill>
                  <bgColor theme="1" tint="0.499984740745262"/>
                </patternFill>
              </fill>
            </x14:dxf>
          </x14:cfRule>
          <x14:cfRule type="expression" priority="30890" stopIfTrue="1" id="{7CAC8ABC-7131-4AC2-A39A-773EBE645EE7}">
            <xm:f>AND(IF(H376='Plan de Accion 2018'!Y136,H376&lt;&gt;"N/A"))</xm:f>
            <x14:dxf>
              <fill>
                <patternFill>
                  <bgColor rgb="FF00B050"/>
                </patternFill>
              </fill>
            </x14:dxf>
          </x14:cfRule>
          <x14:cfRule type="expression" priority="30891" stopIfTrue="1" id="{846CD198-E04F-4FE7-968A-90233F88EC9E}">
            <xm:f>AND(IF(H376&lt;'Plan de Accion 2018'!Y136,H376&lt;&gt;"N/A"))</xm:f>
            <x14:dxf>
              <fill>
                <patternFill>
                  <bgColor indexed="10"/>
                </patternFill>
              </fill>
            </x14:dxf>
          </x14:cfRule>
          <xm:sqref>H376:H377</xm:sqref>
        </x14:conditionalFormatting>
        <x14:conditionalFormatting xmlns:xm="http://schemas.microsoft.com/office/excel/2006/main">
          <x14:cfRule type="expression" priority="30886" id="{89C6EAC4-CF03-499D-9B3A-06491B65196B}">
            <xm:f>AND(IF(H231&gt;'Plan de Accion 2018'!Y63,H231&lt;&gt;¨N/A¨))</xm:f>
            <x14:dxf>
              <fill>
                <patternFill>
                  <bgColor theme="1" tint="0.499984740745262"/>
                </patternFill>
              </fill>
            </x14:dxf>
          </x14:cfRule>
          <x14:cfRule type="expression" priority="30887" stopIfTrue="1" id="{53296D92-3942-4674-AD25-8764EB63CDE7}">
            <xm:f>AND(IF(H231='Plan de Accion 2018'!Y63,H231&lt;&gt;"N/A"))</xm:f>
            <x14:dxf>
              <fill>
                <patternFill>
                  <bgColor rgb="FF00B050"/>
                </patternFill>
              </fill>
            </x14:dxf>
          </x14:cfRule>
          <x14:cfRule type="expression" priority="30888" stopIfTrue="1" id="{514C06CF-66E1-4705-8C2A-F5C6FE8B88B8}">
            <xm:f>AND(IF(H231&lt;'Plan de Accion 2018'!Y63,H231&lt;&gt;"N/A"))</xm:f>
            <x14:dxf>
              <fill>
                <patternFill>
                  <bgColor indexed="10"/>
                </patternFill>
              </fill>
            </x14:dxf>
          </x14:cfRule>
          <xm:sqref>H231</xm:sqref>
        </x14:conditionalFormatting>
        <x14:conditionalFormatting xmlns:xm="http://schemas.microsoft.com/office/excel/2006/main">
          <x14:cfRule type="expression" priority="30877" id="{A48A741E-2335-4636-8D08-7B27C3E4956C}">
            <xm:f>AND(IF(H331&gt;'Plan de Accion 2018'!Y187,H331&lt;&gt;¨N/A¨))</xm:f>
            <x14:dxf>
              <fill>
                <patternFill>
                  <bgColor theme="1" tint="0.499984740745262"/>
                </patternFill>
              </fill>
            </x14:dxf>
          </x14:cfRule>
          <x14:cfRule type="expression" priority="30878" stopIfTrue="1" id="{00EE595D-D89E-431F-BE3A-5343A63E1EDB}">
            <xm:f>AND(IF(H331='Plan de Accion 2018'!Y187,H331&lt;&gt;"N/A"))</xm:f>
            <x14:dxf>
              <fill>
                <patternFill>
                  <bgColor rgb="FF00B050"/>
                </patternFill>
              </fill>
            </x14:dxf>
          </x14:cfRule>
          <x14:cfRule type="expression" priority="30879" stopIfTrue="1" id="{52C94201-6FC1-4E11-B07B-06A0F9B26529}">
            <xm:f>AND(IF(H331&lt;'Plan de Accion 2018'!Y187,H331&lt;&gt;"N/A"))</xm:f>
            <x14:dxf>
              <fill>
                <patternFill>
                  <bgColor indexed="10"/>
                </patternFill>
              </fill>
            </x14:dxf>
          </x14:cfRule>
          <xm:sqref>H331</xm:sqref>
        </x14:conditionalFormatting>
        <x14:conditionalFormatting xmlns:xm="http://schemas.microsoft.com/office/excel/2006/main">
          <x14:cfRule type="expression" priority="30868" id="{1523E02A-3925-41A3-BF96-39A403EB014B}">
            <xm:f>AND(IF(H323&gt;'Plan de Accion 2018'!Y72,H323&lt;&gt;¨N/A¨))</xm:f>
            <x14:dxf>
              <fill>
                <patternFill>
                  <bgColor theme="1" tint="0.499984740745262"/>
                </patternFill>
              </fill>
            </x14:dxf>
          </x14:cfRule>
          <x14:cfRule type="expression" priority="30869" stopIfTrue="1" id="{7B1800F9-DF49-4379-A2FC-B91DB3005E14}">
            <xm:f>AND(IF(H323='Plan de Accion 2018'!Y72,H323&lt;&gt;"N/A"))</xm:f>
            <x14:dxf>
              <fill>
                <patternFill>
                  <bgColor rgb="FF00B050"/>
                </patternFill>
              </fill>
            </x14:dxf>
          </x14:cfRule>
          <x14:cfRule type="expression" priority="30870" stopIfTrue="1" id="{471274C0-72AA-4AA8-9629-F75AC9BB3108}">
            <xm:f>AND(IF(H323&lt;'Plan de Accion 2018'!Y72,H323&lt;&gt;"N/A"))</xm:f>
            <x14:dxf>
              <fill>
                <patternFill>
                  <bgColor indexed="10"/>
                </patternFill>
              </fill>
            </x14:dxf>
          </x14:cfRule>
          <xm:sqref>H323</xm:sqref>
        </x14:conditionalFormatting>
        <x14:conditionalFormatting xmlns:xm="http://schemas.microsoft.com/office/excel/2006/main">
          <x14:cfRule type="expression" priority="30862" id="{857D2DFE-5120-4DA2-BFBD-F094B9746C61}">
            <xm:f>AND(IF(H356&gt;'Plan de Accion 2018'!Y112,H356&lt;&gt;¨N/A¨))</xm:f>
            <x14:dxf>
              <fill>
                <patternFill>
                  <bgColor theme="1" tint="0.499984740745262"/>
                </patternFill>
              </fill>
            </x14:dxf>
          </x14:cfRule>
          <x14:cfRule type="expression" priority="30863" stopIfTrue="1" id="{D1215E61-DCE0-41A8-B2C2-63E9F380E1B9}">
            <xm:f>AND(IF(H356='Plan de Accion 2018'!Y112,H356&lt;&gt;"N/A"))</xm:f>
            <x14:dxf>
              <fill>
                <patternFill>
                  <bgColor rgb="FF00B050"/>
                </patternFill>
              </fill>
            </x14:dxf>
          </x14:cfRule>
          <x14:cfRule type="expression" priority="30864" stopIfTrue="1" id="{539F6F78-0917-4A71-B585-8A3C938771FA}">
            <xm:f>AND(IF(H356&lt;'Plan de Accion 2018'!Y112,H356&lt;&gt;"N/A"))</xm:f>
            <x14:dxf>
              <fill>
                <patternFill>
                  <bgColor indexed="10"/>
                </patternFill>
              </fill>
            </x14:dxf>
          </x14:cfRule>
          <xm:sqref>H356:H362</xm:sqref>
        </x14:conditionalFormatting>
        <x14:conditionalFormatting xmlns:xm="http://schemas.microsoft.com/office/excel/2006/main">
          <x14:cfRule type="expression" priority="30856" id="{0069D929-6632-4C0E-8162-795C48046B7A}">
            <xm:f>AND(IF(H247&gt;'Plan de Accion 2018'!Y64,H247&lt;&gt;¨N/A¨))</xm:f>
            <x14:dxf>
              <fill>
                <patternFill>
                  <bgColor theme="1" tint="0.499984740745262"/>
                </patternFill>
              </fill>
            </x14:dxf>
          </x14:cfRule>
          <x14:cfRule type="expression" priority="30857" stopIfTrue="1" id="{CD7B24CE-2B0E-421E-B345-729E2C962CF9}">
            <xm:f>AND(IF(H247='Plan de Accion 2018'!Y64,H247&lt;&gt;"N/A"))</xm:f>
            <x14:dxf>
              <fill>
                <patternFill>
                  <bgColor rgb="FF00B050"/>
                </patternFill>
              </fill>
            </x14:dxf>
          </x14:cfRule>
          <x14:cfRule type="expression" priority="30858" stopIfTrue="1" id="{1882F5F0-E435-4220-B4B2-BE8AABB4BFF8}">
            <xm:f>AND(IF(H247&lt;'Plan de Accion 2018'!Y64,H247&lt;&gt;"N/A"))</xm:f>
            <x14:dxf>
              <fill>
                <patternFill>
                  <bgColor indexed="10"/>
                </patternFill>
              </fill>
            </x14:dxf>
          </x14:cfRule>
          <xm:sqref>H247:H250</xm:sqref>
        </x14:conditionalFormatting>
        <x14:conditionalFormatting xmlns:xm="http://schemas.microsoft.com/office/excel/2006/main">
          <x14:cfRule type="expression" priority="30823" id="{5FA449BC-EE6F-40D2-9144-36B927DA06E1}">
            <xm:f>AND(IF(H282&gt;'Plan de Accion 2018'!Y154,H282&lt;&gt;¨N/A¨))</xm:f>
            <x14:dxf>
              <fill>
                <patternFill>
                  <bgColor theme="1" tint="0.499984740745262"/>
                </patternFill>
              </fill>
            </x14:dxf>
          </x14:cfRule>
          <x14:cfRule type="expression" priority="30824" stopIfTrue="1" id="{91DC5159-9D8B-4D20-9D1F-2A9EFAA0B302}">
            <xm:f>AND(IF(H282='Plan de Accion 2018'!Y154,H282&lt;&gt;"N/A"))</xm:f>
            <x14:dxf>
              <fill>
                <patternFill>
                  <bgColor rgb="FF00B050"/>
                </patternFill>
              </fill>
            </x14:dxf>
          </x14:cfRule>
          <x14:cfRule type="expression" priority="30825" stopIfTrue="1" id="{7B0C2ABA-7D7D-413F-BF92-614259B8F00F}">
            <xm:f>AND(IF(H282&lt;'Plan de Accion 2018'!Y154,H282&lt;&gt;"N/A"))</xm:f>
            <x14:dxf>
              <fill>
                <patternFill>
                  <bgColor indexed="10"/>
                </patternFill>
              </fill>
            </x14:dxf>
          </x14:cfRule>
          <xm:sqref>H378:H379 H299:H302 H282:H285 H305</xm:sqref>
        </x14:conditionalFormatting>
        <x14:conditionalFormatting xmlns:xm="http://schemas.microsoft.com/office/excel/2006/main">
          <x14:cfRule type="expression" priority="30802" id="{FCC5F5C9-0F99-41E5-AD69-B1974889B1A6}">
            <xm:f>AND(IF(H304&gt;'Plan de Accion 2018'!Y62,H304&lt;&gt;¨N/A¨))</xm:f>
            <x14:dxf>
              <fill>
                <patternFill>
                  <bgColor theme="1" tint="0.499984740745262"/>
                </patternFill>
              </fill>
            </x14:dxf>
          </x14:cfRule>
          <x14:cfRule type="expression" priority="30803" stopIfTrue="1" id="{C6BB74E2-453A-4136-BA3A-A287D4E7D4AC}">
            <xm:f>AND(IF(H304='Plan de Accion 2018'!Y62,H304&lt;&gt;"N/A"))</xm:f>
            <x14:dxf>
              <fill>
                <patternFill>
                  <bgColor rgb="FF00B050"/>
                </patternFill>
              </fill>
            </x14:dxf>
          </x14:cfRule>
          <x14:cfRule type="expression" priority="30804" stopIfTrue="1" id="{9BB417B0-6A47-4056-A209-EEA9D54D2D7A}">
            <xm:f>AND(IF(H304&lt;'Plan de Accion 2018'!Y62,H304&lt;&gt;"N/A"))</xm:f>
            <x14:dxf>
              <fill>
                <patternFill>
                  <bgColor indexed="10"/>
                </patternFill>
              </fill>
            </x14:dxf>
          </x14:cfRule>
          <xm:sqref>H304</xm:sqref>
        </x14:conditionalFormatting>
        <x14:conditionalFormatting xmlns:xm="http://schemas.microsoft.com/office/excel/2006/main">
          <x14:cfRule type="expression" priority="30796" id="{055B1447-593F-4605-B776-EE96019A85D2}">
            <xm:f>AND(IF(H308&gt;'Plan de Accion 2018'!Y78,H308&lt;&gt;¨N/A¨))</xm:f>
            <x14:dxf>
              <fill>
                <patternFill>
                  <bgColor theme="1" tint="0.499984740745262"/>
                </patternFill>
              </fill>
            </x14:dxf>
          </x14:cfRule>
          <x14:cfRule type="expression" priority="30797" stopIfTrue="1" id="{499F616C-0424-47D3-8894-714B4E3A8FEA}">
            <xm:f>AND(IF(H308='Plan de Accion 2018'!Y78,H308&lt;&gt;"N/A"))</xm:f>
            <x14:dxf>
              <fill>
                <patternFill>
                  <bgColor rgb="FF00B050"/>
                </patternFill>
              </fill>
            </x14:dxf>
          </x14:cfRule>
          <x14:cfRule type="expression" priority="30798" stopIfTrue="1" id="{42DD10BB-C61F-420D-A18F-67A8F5399298}">
            <xm:f>AND(IF(H308&lt;'Plan de Accion 2018'!Y78,H308&lt;&gt;"N/A"))</xm:f>
            <x14:dxf>
              <fill>
                <patternFill>
                  <bgColor indexed="10"/>
                </patternFill>
              </fill>
            </x14:dxf>
          </x14:cfRule>
          <xm:sqref>H308:H319</xm:sqref>
        </x14:conditionalFormatting>
        <x14:conditionalFormatting xmlns:xm="http://schemas.microsoft.com/office/excel/2006/main">
          <x14:cfRule type="expression" priority="30757" id="{9635B60D-3B78-43AA-94BF-3F988CFCC799}">
            <xm:f>AND(IF(O38&gt;'Plan de Accion 2018'!AI135,O38&lt;&gt;¨N/A¨))</xm:f>
            <x14:dxf>
              <fill>
                <patternFill>
                  <bgColor theme="1" tint="0.499984740745262"/>
                </patternFill>
              </fill>
            </x14:dxf>
          </x14:cfRule>
          <x14:cfRule type="expression" priority="30761" stopIfTrue="1" id="{404F032B-48CE-458A-9249-84803D96C9EB}">
            <xm:f>AND(IF(O38='Plan de Accion 2018'!AI135,O38&lt;&gt;"N/A"))</xm:f>
            <x14:dxf>
              <fill>
                <patternFill>
                  <bgColor rgb="FF00B050"/>
                </patternFill>
              </fill>
            </x14:dxf>
          </x14:cfRule>
          <x14:cfRule type="expression" priority="30762" stopIfTrue="1" id="{E83C4961-5DDE-4A21-9CED-7232A00AC2BA}">
            <xm:f>AND(IF(O38&lt;'Plan de Accion 2018'!AI135,O38&lt;&gt;"N/A"))</xm:f>
            <x14:dxf>
              <fill>
                <patternFill>
                  <bgColor indexed="10"/>
                </patternFill>
              </fill>
            </x14:dxf>
          </x14:cfRule>
          <xm:sqref>O86:O89 O38</xm:sqref>
        </x14:conditionalFormatting>
        <x14:conditionalFormatting xmlns:xm="http://schemas.microsoft.com/office/excel/2006/main">
          <x14:cfRule type="expression" priority="31264" id="{FF3327D0-3CA5-4BF8-BF9E-AA8F2E33D7D9}">
            <xm:f>AND(IF(O18&gt;'Plan de Accion 2018'!AI178,O18&lt;&gt;¨N/A¨))</xm:f>
            <x14:dxf>
              <fill>
                <patternFill>
                  <bgColor theme="1" tint="0.499984740745262"/>
                </patternFill>
              </fill>
            </x14:dxf>
          </x14:cfRule>
          <x14:cfRule type="expression" priority="31265" stopIfTrue="1" id="{74B96E61-3F95-4149-A368-671CAEF4AAD2}">
            <xm:f>AND(IF(O18='Plan de Accion 2018'!AI178,O18&lt;&gt;"N/A"))</xm:f>
            <x14:dxf>
              <fill>
                <patternFill>
                  <bgColor rgb="FF00B050"/>
                </patternFill>
              </fill>
            </x14:dxf>
          </x14:cfRule>
          <x14:cfRule type="expression" priority="31266" stopIfTrue="1" id="{64BB88DA-4785-40D0-A052-D8AAFD5FFE70}">
            <xm:f>AND(IF(O18&lt;'Plan de Accion 2018'!AI178,O18&lt;&gt;"N/A"))</xm:f>
            <x14:dxf>
              <fill>
                <patternFill>
                  <bgColor indexed="10"/>
                </patternFill>
              </fill>
            </x14:dxf>
          </x14:cfRule>
          <xm:sqref>O18</xm:sqref>
        </x14:conditionalFormatting>
        <x14:conditionalFormatting xmlns:xm="http://schemas.microsoft.com/office/excel/2006/main">
          <x14:cfRule type="expression" priority="31261" id="{A3D87421-0B65-4F98-BBBF-FD1995679A4C}">
            <xm:f>AND(IF(O19&gt;'Plan de Accion 2018'!AI136,O19&lt;&gt;¨N/A¨))</xm:f>
            <x14:dxf>
              <fill>
                <patternFill>
                  <bgColor theme="1" tint="0.499984740745262"/>
                </patternFill>
              </fill>
            </x14:dxf>
          </x14:cfRule>
          <x14:cfRule type="expression" priority="31262" stopIfTrue="1" id="{41B26356-30DE-489A-AD26-15FD34136A65}">
            <xm:f>AND(IF(O19='Plan de Accion 2018'!AI136,O19&lt;&gt;"N/A"))</xm:f>
            <x14:dxf>
              <fill>
                <patternFill>
                  <bgColor rgb="FF00B050"/>
                </patternFill>
              </fill>
            </x14:dxf>
          </x14:cfRule>
          <x14:cfRule type="expression" priority="31263" stopIfTrue="1" id="{B0F10322-ECD8-4A2B-9C00-7C06EA305AD3}">
            <xm:f>AND(IF(O19&lt;'Plan de Accion 2018'!AI136,O19&lt;&gt;"N/A"))</xm:f>
            <x14:dxf>
              <fill>
                <patternFill>
                  <bgColor indexed="10"/>
                </patternFill>
              </fill>
            </x14:dxf>
          </x14:cfRule>
          <xm:sqref>O19</xm:sqref>
        </x14:conditionalFormatting>
        <x14:conditionalFormatting xmlns:xm="http://schemas.microsoft.com/office/excel/2006/main">
          <x14:cfRule type="expression" priority="31258" id="{AA37A142-6D08-42A2-8963-970C3FA27596}">
            <xm:f>AND(IF(O20&gt;'Plan de Accion 2018'!AI141,O20&lt;&gt;¨N/A¨))</xm:f>
            <x14:dxf>
              <fill>
                <patternFill>
                  <bgColor theme="1" tint="0.499984740745262"/>
                </patternFill>
              </fill>
            </x14:dxf>
          </x14:cfRule>
          <x14:cfRule type="expression" priority="31259" stopIfTrue="1" id="{AC4644A6-B025-4CEE-9F4C-5F0E6E9D54F5}">
            <xm:f>AND(IF(O20='Plan de Accion 2018'!AI141,O20&lt;&gt;"N/A"))</xm:f>
            <x14:dxf>
              <fill>
                <patternFill>
                  <bgColor rgb="FF00B050"/>
                </patternFill>
              </fill>
            </x14:dxf>
          </x14:cfRule>
          <x14:cfRule type="expression" priority="31260" stopIfTrue="1" id="{60E2013D-6E47-4232-BF6D-021E4B9F87DE}">
            <xm:f>AND(IF(O20&lt;'Plan de Accion 2018'!AI141,O20&lt;&gt;"N/A"))</xm:f>
            <x14:dxf>
              <fill>
                <patternFill>
                  <bgColor indexed="10"/>
                </patternFill>
              </fill>
            </x14:dxf>
          </x14:cfRule>
          <xm:sqref>O20:O21</xm:sqref>
        </x14:conditionalFormatting>
        <x14:conditionalFormatting xmlns:xm="http://schemas.microsoft.com/office/excel/2006/main">
          <x14:cfRule type="expression" priority="18196" id="{FBAFFB69-B454-4AA9-9773-EBC6F4EFEDCC}">
            <xm:f>AND(IF(H18&gt;'Plan de Accion 2018'!Y178,H18&lt;&gt;¨N/A¨))</xm:f>
            <x14:dxf>
              <fill>
                <patternFill>
                  <bgColor theme="1" tint="0.499984740745262"/>
                </patternFill>
              </fill>
            </x14:dxf>
          </x14:cfRule>
          <x14:cfRule type="expression" priority="18197" stopIfTrue="1" id="{55212332-4A62-4D93-A4D3-6231801C5518}">
            <xm:f>AND(IF(H18='Plan de Accion 2018'!Y178,H18&lt;&gt;"N/A"))</xm:f>
            <x14:dxf>
              <fill>
                <patternFill>
                  <bgColor rgb="FF00B050"/>
                </patternFill>
              </fill>
            </x14:dxf>
          </x14:cfRule>
          <x14:cfRule type="expression" priority="18198" stopIfTrue="1" id="{0B55D040-E2D1-49E3-B167-DD13749BBA17}">
            <xm:f>AND(IF(H18&lt;'Plan de Accion 2018'!Y178,H18&lt;&gt;"N/A"))</xm:f>
            <x14:dxf>
              <fill>
                <patternFill>
                  <bgColor indexed="10"/>
                </patternFill>
              </fill>
            </x14:dxf>
          </x14:cfRule>
          <xm:sqref>H18</xm:sqref>
        </x14:conditionalFormatting>
        <x14:conditionalFormatting xmlns:xm="http://schemas.microsoft.com/office/excel/2006/main">
          <x14:cfRule type="expression" priority="18193" id="{8A556E88-A320-4F1B-B4C0-5F37C3CE23CC}">
            <xm:f>AND(IF(H19&gt;'Plan de Accion 2018'!Y136,H19&lt;&gt;¨N/A¨))</xm:f>
            <x14:dxf>
              <fill>
                <patternFill>
                  <bgColor theme="1" tint="0.499984740745262"/>
                </patternFill>
              </fill>
            </x14:dxf>
          </x14:cfRule>
          <x14:cfRule type="expression" priority="18194" stopIfTrue="1" id="{E03999B2-AC49-4FAD-ADDA-0338539F0084}">
            <xm:f>AND(IF(H19='Plan de Accion 2018'!Y136,H19&lt;&gt;"N/A"))</xm:f>
            <x14:dxf>
              <fill>
                <patternFill>
                  <bgColor rgb="FF00B050"/>
                </patternFill>
              </fill>
            </x14:dxf>
          </x14:cfRule>
          <x14:cfRule type="expression" priority="18195" stopIfTrue="1" id="{FB06060B-BB0E-4E8B-8A60-87532D0DA861}">
            <xm:f>AND(IF(H19&lt;'Plan de Accion 2018'!Y136,H19&lt;&gt;"N/A"))</xm:f>
            <x14:dxf>
              <fill>
                <patternFill>
                  <bgColor indexed="10"/>
                </patternFill>
              </fill>
            </x14:dxf>
          </x14:cfRule>
          <xm:sqref>H19 H40:H41</xm:sqref>
        </x14:conditionalFormatting>
        <x14:conditionalFormatting xmlns:xm="http://schemas.microsoft.com/office/excel/2006/main">
          <x14:cfRule type="expression" priority="18190" id="{204D33F6-BAF1-4CC8-8C60-D1EC4849DBD6}">
            <xm:f>AND(IF(H24&gt;'Plan de Accion 2018'!Y146,H24&lt;&gt;¨N/A¨))</xm:f>
            <x14:dxf>
              <fill>
                <patternFill>
                  <bgColor theme="1" tint="0.499984740745262"/>
                </patternFill>
              </fill>
            </x14:dxf>
          </x14:cfRule>
          <x14:cfRule type="expression" priority="18191" stopIfTrue="1" id="{BA32F0F2-A339-46A8-8F2B-C5E08664781A}">
            <xm:f>AND(IF(H24='Plan de Accion 2018'!Y146,H24&lt;&gt;"N/A"))</xm:f>
            <x14:dxf>
              <fill>
                <patternFill>
                  <bgColor rgb="FF00B050"/>
                </patternFill>
              </fill>
            </x14:dxf>
          </x14:cfRule>
          <x14:cfRule type="expression" priority="18192" stopIfTrue="1" id="{79AEA6CD-0C2A-4A07-84FF-2EF94F816B6F}">
            <xm:f>AND(IF(H24&lt;'Plan de Accion 2018'!Y146,H24&lt;&gt;"N/A"))</xm:f>
            <x14:dxf>
              <fill>
                <patternFill>
                  <bgColor indexed="10"/>
                </patternFill>
              </fill>
            </x14:dxf>
          </x14:cfRule>
          <xm:sqref>H24 H28:H33</xm:sqref>
        </x14:conditionalFormatting>
        <x14:conditionalFormatting xmlns:xm="http://schemas.microsoft.com/office/excel/2006/main">
          <x14:cfRule type="expression" priority="18184" id="{DB5BCAF0-D8EA-4608-B38D-3A272641E62B}">
            <xm:f>AND(IF(O22&gt;'Plan de Accion 2018'!AI146,O22&lt;&gt;¨N/A¨))</xm:f>
            <x14:dxf>
              <fill>
                <patternFill>
                  <bgColor theme="1" tint="0.499984740745262"/>
                </patternFill>
              </fill>
            </x14:dxf>
          </x14:cfRule>
          <x14:cfRule type="expression" priority="18185" stopIfTrue="1" id="{86696DC8-4807-4128-8290-F698F5DE6A76}">
            <xm:f>AND(IF(O22='Plan de Accion 2018'!AI146,O22&lt;&gt;"N/A"))</xm:f>
            <x14:dxf>
              <fill>
                <patternFill>
                  <bgColor rgb="FF00B050"/>
                </patternFill>
              </fill>
            </x14:dxf>
          </x14:cfRule>
          <x14:cfRule type="expression" priority="18186" stopIfTrue="1" id="{03777559-2D0F-44DF-A9EE-AC921DF473FA}">
            <xm:f>AND(IF(O22&lt;'Plan de Accion 2018'!AI146,O22&lt;&gt;"N/A"))</xm:f>
            <x14:dxf>
              <fill>
                <patternFill>
                  <bgColor indexed="10"/>
                </patternFill>
              </fill>
            </x14:dxf>
          </x14:cfRule>
          <xm:sqref>O22</xm:sqref>
        </x14:conditionalFormatting>
        <x14:conditionalFormatting xmlns:xm="http://schemas.microsoft.com/office/excel/2006/main">
          <x14:cfRule type="expression" priority="18169" id="{3049FA28-690B-4E60-9E9B-3501B5749827}">
            <xm:f>AND(IF(O28&gt;'Plan de Accion 2018'!AI143,O28&lt;&gt;¨N/A¨))</xm:f>
            <x14:dxf>
              <fill>
                <patternFill>
                  <bgColor theme="1" tint="0.499984740745262"/>
                </patternFill>
              </fill>
            </x14:dxf>
          </x14:cfRule>
          <x14:cfRule type="expression" priority="18170" stopIfTrue="1" id="{BD52468C-2751-44C4-9903-938ABE42300C}">
            <xm:f>AND(IF(O28='Plan de Accion 2018'!AI143,O28&lt;&gt;"N/A"))</xm:f>
            <x14:dxf>
              <fill>
                <patternFill>
                  <bgColor rgb="FF00B050"/>
                </patternFill>
              </fill>
            </x14:dxf>
          </x14:cfRule>
          <x14:cfRule type="expression" priority="18171" stopIfTrue="1" id="{17D199E1-925A-4D47-8EDD-EE40681D7315}">
            <xm:f>AND(IF(O28&lt;'Plan de Accion 2018'!AI143,O28&lt;&gt;"N/A"))</xm:f>
            <x14:dxf>
              <fill>
                <patternFill>
                  <bgColor indexed="10"/>
                </patternFill>
              </fill>
            </x14:dxf>
          </x14:cfRule>
          <xm:sqref>O28:O29 O31:O33</xm:sqref>
        </x14:conditionalFormatting>
        <x14:conditionalFormatting xmlns:xm="http://schemas.microsoft.com/office/excel/2006/main">
          <x14:cfRule type="expression" priority="18157" id="{5DAAA9D6-611E-420E-BA41-6F1197435023}">
            <xm:f>AND(IF(O216&gt;'Plan de Accion 2018'!AI159,O216&lt;&gt;¨N/A¨))</xm:f>
            <x14:dxf>
              <fill>
                <patternFill>
                  <bgColor theme="1" tint="0.499984740745262"/>
                </patternFill>
              </fill>
            </x14:dxf>
          </x14:cfRule>
          <x14:cfRule type="expression" priority="18158" stopIfTrue="1" id="{1B368F98-C71B-4981-81AA-3E5440ABFB0E}">
            <xm:f>AND(IF(O216='Plan de Accion 2018'!AI159,O216&lt;&gt;"N/A"))</xm:f>
            <x14:dxf>
              <fill>
                <patternFill>
                  <bgColor rgb="FF00B050"/>
                </patternFill>
              </fill>
            </x14:dxf>
          </x14:cfRule>
          <x14:cfRule type="expression" priority="18159" stopIfTrue="1" id="{CEC7039C-E6BA-416B-A60C-EA6C218342B2}">
            <xm:f>AND(IF(O216&lt;'Plan de Accion 2018'!AI159,O216&lt;&gt;"N/A"))</xm:f>
            <x14:dxf>
              <fill>
                <patternFill>
                  <bgColor indexed="10"/>
                </patternFill>
              </fill>
            </x14:dxf>
          </x14:cfRule>
          <xm:sqref>O216:O219</xm:sqref>
        </x14:conditionalFormatting>
        <x14:conditionalFormatting xmlns:xm="http://schemas.microsoft.com/office/excel/2006/main">
          <x14:cfRule type="expression" priority="18151" id="{6B66A804-738B-44F3-89C5-0844C9039C46}">
            <xm:f>AND(IF(O42&gt;'Plan de Accion 2018'!AI176,O42&lt;&gt;¨N/A¨))</xm:f>
            <x14:dxf>
              <fill>
                <patternFill>
                  <bgColor theme="1" tint="0.499984740745262"/>
                </patternFill>
              </fill>
            </x14:dxf>
          </x14:cfRule>
          <x14:cfRule type="expression" priority="18152" stopIfTrue="1" id="{D95B2FE5-83AC-4572-B2FB-DCC54BDE753C}">
            <xm:f>AND(IF(O42='Plan de Accion 2018'!AI176,O42&lt;&gt;"N/A"))</xm:f>
            <x14:dxf>
              <fill>
                <patternFill>
                  <bgColor rgb="FF00B050"/>
                </patternFill>
              </fill>
            </x14:dxf>
          </x14:cfRule>
          <x14:cfRule type="expression" priority="18153" stopIfTrue="1" id="{3B585B20-5F12-4895-A52B-14775EC3F589}">
            <xm:f>AND(IF(O42&lt;'Plan de Accion 2018'!AI176,O42&lt;&gt;"N/A"))</xm:f>
            <x14:dxf>
              <fill>
                <patternFill>
                  <bgColor indexed="10"/>
                </patternFill>
              </fill>
            </x14:dxf>
          </x14:cfRule>
          <xm:sqref>O42</xm:sqref>
        </x14:conditionalFormatting>
        <x14:conditionalFormatting xmlns:xm="http://schemas.microsoft.com/office/excel/2006/main">
          <x14:cfRule type="expression" priority="18073" id="{4ADAEF9A-97BE-43FD-AE29-E691B36732D3}">
            <xm:f>AND(IF(O220&gt;'Plan de Accion 2018'!AI166,O220&lt;&gt;¨N/A¨))</xm:f>
            <x14:dxf>
              <fill>
                <patternFill>
                  <bgColor theme="1" tint="0.499984740745262"/>
                </patternFill>
              </fill>
            </x14:dxf>
          </x14:cfRule>
          <x14:cfRule type="expression" priority="18074" stopIfTrue="1" id="{83211002-5080-4940-81C7-34A114938341}">
            <xm:f>AND(IF(O220='Plan de Accion 2018'!AI166,O220&lt;&gt;"N/A"))</xm:f>
            <x14:dxf>
              <fill>
                <patternFill>
                  <bgColor rgb="FF00B050"/>
                </patternFill>
              </fill>
            </x14:dxf>
          </x14:cfRule>
          <x14:cfRule type="expression" priority="18075" stopIfTrue="1" id="{F325A5CF-76AD-48A0-A2DB-2FF4BEAE7C04}">
            <xm:f>AND(IF(O220&lt;'Plan de Accion 2018'!AI166,O220&lt;&gt;"N/A"))</xm:f>
            <x14:dxf>
              <fill>
                <patternFill>
                  <bgColor indexed="10"/>
                </patternFill>
              </fill>
            </x14:dxf>
          </x14:cfRule>
          <xm:sqref>O220:O222</xm:sqref>
        </x14:conditionalFormatting>
        <x14:conditionalFormatting xmlns:xm="http://schemas.microsoft.com/office/excel/2006/main">
          <x14:cfRule type="expression" priority="18064" id="{56E75D71-1ABA-4F65-97A4-1E078D63727A}">
            <xm:f>AND(IF(O166&gt;'Plan de Accion 2018'!AI175,O166&lt;&gt;¨N/A¨))</xm:f>
            <x14:dxf>
              <fill>
                <patternFill>
                  <bgColor theme="1" tint="0.499984740745262"/>
                </patternFill>
              </fill>
            </x14:dxf>
          </x14:cfRule>
          <x14:cfRule type="expression" priority="18065" stopIfTrue="1" id="{5E12CC76-D9D3-4493-A3C0-1BA4F89881D7}">
            <xm:f>AND(IF(O166='Plan de Accion 2018'!AI175,O166&lt;&gt;"N/A"))</xm:f>
            <x14:dxf>
              <fill>
                <patternFill>
                  <bgColor rgb="FF00B050"/>
                </patternFill>
              </fill>
            </x14:dxf>
          </x14:cfRule>
          <x14:cfRule type="expression" priority="18066" stopIfTrue="1" id="{84F2C4BC-698E-4170-ABCF-125EFAC77CB7}">
            <xm:f>AND(IF(O166&lt;'Plan de Accion 2018'!AI175,O166&lt;&gt;"N/A"))</xm:f>
            <x14:dxf>
              <fill>
                <patternFill>
                  <bgColor indexed="10"/>
                </patternFill>
              </fill>
            </x14:dxf>
          </x14:cfRule>
          <xm:sqref>O166:O168</xm:sqref>
        </x14:conditionalFormatting>
        <x14:conditionalFormatting xmlns:xm="http://schemas.microsoft.com/office/excel/2006/main">
          <x14:cfRule type="expression" priority="18043" id="{122827AB-C2DA-4014-A31E-79FFFD81A07C}">
            <xm:f>AND(IF(O155&gt;'Plan de Accion 2018'!AI153,O155&lt;&gt;¨N/A¨))</xm:f>
            <x14:dxf>
              <fill>
                <patternFill>
                  <bgColor theme="1" tint="0.499984740745262"/>
                </patternFill>
              </fill>
            </x14:dxf>
          </x14:cfRule>
          <x14:cfRule type="expression" priority="18044" stopIfTrue="1" id="{B103A0E4-EDA4-4573-93C4-A81B0A8488C7}">
            <xm:f>AND(IF(O155='Plan de Accion 2018'!AI153,O155&lt;&gt;"N/A"))</xm:f>
            <x14:dxf>
              <fill>
                <patternFill>
                  <bgColor rgb="FF00B050"/>
                </patternFill>
              </fill>
            </x14:dxf>
          </x14:cfRule>
          <x14:cfRule type="expression" priority="18045" stopIfTrue="1" id="{6E2246C5-588D-486D-B973-F137402F6620}">
            <xm:f>AND(IF(O155&lt;'Plan de Accion 2018'!AI153,O155&lt;&gt;"N/A"))</xm:f>
            <x14:dxf>
              <fill>
                <patternFill>
                  <bgColor indexed="10"/>
                </patternFill>
              </fill>
            </x14:dxf>
          </x14:cfRule>
          <xm:sqref>O155:O162</xm:sqref>
        </x14:conditionalFormatting>
        <x14:conditionalFormatting xmlns:xm="http://schemas.microsoft.com/office/excel/2006/main">
          <x14:cfRule type="expression" priority="18031" id="{78D0C1AC-DAF9-4A2D-8201-D62CDF668C9A}">
            <xm:f>AND(IF(O90&gt;'Plan de Accion 2018'!AI172,O90&lt;&gt;¨N/A¨))</xm:f>
            <x14:dxf>
              <fill>
                <patternFill>
                  <bgColor theme="1" tint="0.499984740745262"/>
                </patternFill>
              </fill>
            </x14:dxf>
          </x14:cfRule>
          <x14:cfRule type="expression" priority="18032" stopIfTrue="1" id="{DF5B2C3C-D659-4BDD-B160-7881856FE24B}">
            <xm:f>AND(IF(O90='Plan de Accion 2018'!AI172,O90&lt;&gt;"N/A"))</xm:f>
            <x14:dxf>
              <fill>
                <patternFill>
                  <bgColor rgb="FF00B050"/>
                </patternFill>
              </fill>
            </x14:dxf>
          </x14:cfRule>
          <x14:cfRule type="expression" priority="18033" stopIfTrue="1" id="{89D2CDD5-9DA5-4EDB-8963-AD875CAF5B49}">
            <xm:f>AND(IF(O90&lt;'Plan de Accion 2018'!AI172,O90&lt;&gt;"N/A"))</xm:f>
            <x14:dxf>
              <fill>
                <patternFill>
                  <bgColor indexed="10"/>
                </patternFill>
              </fill>
            </x14:dxf>
          </x14:cfRule>
          <xm:sqref>O90</xm:sqref>
        </x14:conditionalFormatting>
        <x14:conditionalFormatting xmlns:xm="http://schemas.microsoft.com/office/excel/2006/main">
          <x14:cfRule type="expression" priority="18028" id="{907A2460-573E-47B4-B71D-52A2C317F7E7}">
            <xm:f>AND(IF(O91&gt;'Plan de Accion 2018'!AI180,O91&lt;&gt;¨N/A¨))</xm:f>
            <x14:dxf>
              <fill>
                <patternFill>
                  <bgColor theme="1" tint="0.499984740745262"/>
                </patternFill>
              </fill>
            </x14:dxf>
          </x14:cfRule>
          <x14:cfRule type="expression" priority="18029" stopIfTrue="1" id="{FBD84BD2-917A-471F-ABFD-C688EFB61A36}">
            <xm:f>AND(IF(O91='Plan de Accion 2018'!AI180,O91&lt;&gt;"N/A"))</xm:f>
            <x14:dxf>
              <fill>
                <patternFill>
                  <bgColor rgb="FF00B050"/>
                </patternFill>
              </fill>
            </x14:dxf>
          </x14:cfRule>
          <x14:cfRule type="expression" priority="18030" stopIfTrue="1" id="{0200101A-2BD2-4D7C-B7F6-66CB84DE470C}">
            <xm:f>AND(IF(O91&lt;'Plan de Accion 2018'!AI180,O91&lt;&gt;"N/A"))</xm:f>
            <x14:dxf>
              <fill>
                <patternFill>
                  <bgColor indexed="10"/>
                </patternFill>
              </fill>
            </x14:dxf>
          </x14:cfRule>
          <xm:sqref>O91</xm:sqref>
        </x14:conditionalFormatting>
        <x14:conditionalFormatting xmlns:xm="http://schemas.microsoft.com/office/excel/2006/main">
          <x14:cfRule type="expression" priority="18025" id="{D40D2791-6E3A-4CB9-AB1F-A9D549BC1A5A}">
            <xm:f>AND(IF(O92&gt;'Plan de Accion 2018'!AI182,O92&lt;&gt;¨N/A¨))</xm:f>
            <x14:dxf>
              <fill>
                <patternFill>
                  <bgColor theme="1" tint="0.499984740745262"/>
                </patternFill>
              </fill>
            </x14:dxf>
          </x14:cfRule>
          <x14:cfRule type="expression" priority="18026" stopIfTrue="1" id="{88BC69E5-34F1-4905-9894-189C812CC190}">
            <xm:f>AND(IF(O92='Plan de Accion 2018'!AI182,O92&lt;&gt;"N/A"))</xm:f>
            <x14:dxf>
              <fill>
                <patternFill>
                  <bgColor rgb="FF00B050"/>
                </patternFill>
              </fill>
            </x14:dxf>
          </x14:cfRule>
          <x14:cfRule type="expression" priority="18027" stopIfTrue="1" id="{C7406445-98D7-4926-A18A-14741C5313E1}">
            <xm:f>AND(IF(O92&lt;'Plan de Accion 2018'!AI182,O92&lt;&gt;"N/A"))</xm:f>
            <x14:dxf>
              <fill>
                <patternFill>
                  <bgColor indexed="10"/>
                </patternFill>
              </fill>
            </x14:dxf>
          </x14:cfRule>
          <xm:sqref>O92</xm:sqref>
        </x14:conditionalFormatting>
        <x14:conditionalFormatting xmlns:xm="http://schemas.microsoft.com/office/excel/2006/main">
          <x14:cfRule type="expression" priority="18022" id="{7EF59270-B4F3-42FD-9660-0F499B9C1742}">
            <xm:f>AND(IF(O93&gt;'Plan de Accion 2018'!AI159,O93&lt;&gt;¨N/A¨))</xm:f>
            <x14:dxf>
              <fill>
                <patternFill>
                  <bgColor theme="1" tint="0.499984740745262"/>
                </patternFill>
              </fill>
            </x14:dxf>
          </x14:cfRule>
          <x14:cfRule type="expression" priority="18023" stopIfTrue="1" id="{5168D849-BCE5-484E-87DC-DB96EB8E4FA3}">
            <xm:f>AND(IF(O93='Plan de Accion 2018'!AI159,O93&lt;&gt;"N/A"))</xm:f>
            <x14:dxf>
              <fill>
                <patternFill>
                  <bgColor rgb="FF00B050"/>
                </patternFill>
              </fill>
            </x14:dxf>
          </x14:cfRule>
          <x14:cfRule type="expression" priority="18024" stopIfTrue="1" id="{A3D525FA-225B-41E8-97C5-1290E342EDEC}">
            <xm:f>AND(IF(O93&lt;'Plan de Accion 2018'!AI159,O93&lt;&gt;"N/A"))</xm:f>
            <x14:dxf>
              <fill>
                <patternFill>
                  <bgColor indexed="10"/>
                </patternFill>
              </fill>
            </x14:dxf>
          </x14:cfRule>
          <xm:sqref>O93:O94 O98</xm:sqref>
        </x14:conditionalFormatting>
        <x14:conditionalFormatting xmlns:xm="http://schemas.microsoft.com/office/excel/2006/main">
          <x14:cfRule type="expression" priority="18016" id="{94A0FC93-87AF-4F43-AAE3-571B6E3E2B8A}">
            <xm:f>AND(IF(O99&gt;'Plan de Accion 2018'!AI166,O99&lt;&gt;¨N/A¨))</xm:f>
            <x14:dxf>
              <fill>
                <patternFill>
                  <bgColor theme="1" tint="0.499984740745262"/>
                </patternFill>
              </fill>
            </x14:dxf>
          </x14:cfRule>
          <x14:cfRule type="expression" priority="18017" stopIfTrue="1" id="{9034BFF1-EB50-4CA3-B8D2-0FFB0D0938B2}">
            <xm:f>AND(IF(O99='Plan de Accion 2018'!AI166,O99&lt;&gt;"N/A"))</xm:f>
            <x14:dxf>
              <fill>
                <patternFill>
                  <bgColor rgb="FF00B050"/>
                </patternFill>
              </fill>
            </x14:dxf>
          </x14:cfRule>
          <x14:cfRule type="expression" priority="18018" stopIfTrue="1" id="{79190DA4-A6EC-453C-9B6B-77F0F59BD7E9}">
            <xm:f>AND(IF(O99&lt;'Plan de Accion 2018'!AI166,O99&lt;&gt;"N/A"))</xm:f>
            <x14:dxf>
              <fill>
                <patternFill>
                  <bgColor indexed="10"/>
                </patternFill>
              </fill>
            </x14:dxf>
          </x14:cfRule>
          <xm:sqref>O102 O99</xm:sqref>
        </x14:conditionalFormatting>
        <x14:conditionalFormatting xmlns:xm="http://schemas.microsoft.com/office/excel/2006/main">
          <x14:cfRule type="expression" priority="18010" id="{665B4EDB-2CEC-40EE-9C66-E7615C1D14CF}">
            <xm:f>AND(IF(O103&gt;'Plan de Accion 2018'!AI173,O103&lt;&gt;¨N/A¨))</xm:f>
            <x14:dxf>
              <fill>
                <patternFill>
                  <bgColor theme="1" tint="0.499984740745262"/>
                </patternFill>
              </fill>
            </x14:dxf>
          </x14:cfRule>
          <x14:cfRule type="expression" priority="18011" stopIfTrue="1" id="{29D5088B-611A-463A-9E47-2F26D952C9E3}">
            <xm:f>AND(IF(O103='Plan de Accion 2018'!AI173,O103&lt;&gt;"N/A"))</xm:f>
            <x14:dxf>
              <fill>
                <patternFill>
                  <bgColor rgb="FF00B050"/>
                </patternFill>
              </fill>
            </x14:dxf>
          </x14:cfRule>
          <x14:cfRule type="expression" priority="18012" stopIfTrue="1" id="{C3D75909-5143-4DB9-BC36-66B262AFD942}">
            <xm:f>AND(IF(O103&lt;'Plan de Accion 2018'!AI173,O103&lt;&gt;"N/A"))</xm:f>
            <x14:dxf>
              <fill>
                <patternFill>
                  <bgColor indexed="10"/>
                </patternFill>
              </fill>
            </x14:dxf>
          </x14:cfRule>
          <xm:sqref>O103:O104 O106</xm:sqref>
        </x14:conditionalFormatting>
        <x14:conditionalFormatting xmlns:xm="http://schemas.microsoft.com/office/excel/2006/main">
          <x14:cfRule type="expression" priority="18007" id="{CDB04BB5-8C82-4239-937D-1122E9A03B80}">
            <xm:f>AND(IF(O107&gt;'Plan de Accion 2018'!AI187,O107&lt;&gt;¨N/A¨))</xm:f>
            <x14:dxf>
              <fill>
                <patternFill>
                  <bgColor theme="1" tint="0.499984740745262"/>
                </patternFill>
              </fill>
            </x14:dxf>
          </x14:cfRule>
          <x14:cfRule type="expression" priority="18008" stopIfTrue="1" id="{DFF67972-1BFC-4961-8765-734874F3EAC1}">
            <xm:f>AND(IF(O107='Plan de Accion 2018'!AI187,O107&lt;&gt;"N/A"))</xm:f>
            <x14:dxf>
              <fill>
                <patternFill>
                  <bgColor rgb="FF00B050"/>
                </patternFill>
              </fill>
            </x14:dxf>
          </x14:cfRule>
          <x14:cfRule type="expression" priority="18009" stopIfTrue="1" id="{A1CEA115-F5AE-4A97-9AC6-836C37ECACBB}">
            <xm:f>AND(IF(O107&lt;'Plan de Accion 2018'!AI187,O107&lt;&gt;"N/A"))</xm:f>
            <x14:dxf>
              <fill>
                <patternFill>
                  <bgColor indexed="10"/>
                </patternFill>
              </fill>
            </x14:dxf>
          </x14:cfRule>
          <xm:sqref>O107</xm:sqref>
        </x14:conditionalFormatting>
        <x14:conditionalFormatting xmlns:xm="http://schemas.microsoft.com/office/excel/2006/main">
          <x14:cfRule type="expression" priority="18004" id="{FBB5C317-AB1E-4F43-B1F8-A7B4682AD7BF}">
            <xm:f>AND(IF(O223&gt;'Plan de Accion 2018'!AI171,O223&lt;&gt;¨N/A¨))</xm:f>
            <x14:dxf>
              <fill>
                <patternFill>
                  <bgColor theme="1" tint="0.499984740745262"/>
                </patternFill>
              </fill>
            </x14:dxf>
          </x14:cfRule>
          <x14:cfRule type="expression" priority="18005" stopIfTrue="1" id="{129F5EAC-2681-4D74-B97C-0363A873E61D}">
            <xm:f>AND(IF(O223='Plan de Accion 2018'!AI171,O223&lt;&gt;"N/A"))</xm:f>
            <x14:dxf>
              <fill>
                <patternFill>
                  <bgColor rgb="FF00B050"/>
                </patternFill>
              </fill>
            </x14:dxf>
          </x14:cfRule>
          <x14:cfRule type="expression" priority="18006" stopIfTrue="1" id="{E9742D4D-0A11-4AB6-9D1B-30530E79BB86}">
            <xm:f>AND(IF(O223&lt;'Plan de Accion 2018'!AI171,O223&lt;&gt;"N/A"))</xm:f>
            <x14:dxf>
              <fill>
                <patternFill>
                  <bgColor indexed="10"/>
                </patternFill>
              </fill>
            </x14:dxf>
          </x14:cfRule>
          <xm:sqref>O223</xm:sqref>
        </x14:conditionalFormatting>
        <x14:conditionalFormatting xmlns:xm="http://schemas.microsoft.com/office/excel/2006/main">
          <x14:cfRule type="expression" priority="18001" id="{D98485B0-A829-4DD7-85D9-8DA6D7CCC5BA}">
            <xm:f>AND(IF(O235&gt;'Plan de Accion 2018'!AI156,O235&lt;&gt;¨N/A¨))</xm:f>
            <x14:dxf>
              <fill>
                <patternFill>
                  <bgColor theme="1" tint="0.499984740745262"/>
                </patternFill>
              </fill>
            </x14:dxf>
          </x14:cfRule>
          <x14:cfRule type="expression" priority="18002" stopIfTrue="1" id="{9307B8D1-B8E1-4DBB-B56C-2F037F4C94A1}">
            <xm:f>AND(IF(O235='Plan de Accion 2018'!AI156,O235&lt;&gt;"N/A"))</xm:f>
            <x14:dxf>
              <fill>
                <patternFill>
                  <bgColor rgb="FF00B050"/>
                </patternFill>
              </fill>
            </x14:dxf>
          </x14:cfRule>
          <x14:cfRule type="expression" priority="18003" stopIfTrue="1" id="{7B74C219-9C67-4EB3-AE05-4E03690C1723}">
            <xm:f>AND(IF(O235&lt;'Plan de Accion 2018'!AI156,O235&lt;&gt;"N/A"))</xm:f>
            <x14:dxf>
              <fill>
                <patternFill>
                  <bgColor indexed="10"/>
                </patternFill>
              </fill>
            </x14:dxf>
          </x14:cfRule>
          <xm:sqref>O235</xm:sqref>
        </x14:conditionalFormatting>
        <x14:conditionalFormatting xmlns:xm="http://schemas.microsoft.com/office/excel/2006/main">
          <x14:cfRule type="expression" priority="17998" id="{1506753E-0D88-48A0-8094-602CB52C1104}">
            <xm:f>AND(IF(O324&gt;'Plan de Accion 2018'!AI163,O324&lt;&gt;¨N/A¨))</xm:f>
            <x14:dxf>
              <fill>
                <patternFill>
                  <bgColor theme="1" tint="0.499984740745262"/>
                </patternFill>
              </fill>
            </x14:dxf>
          </x14:cfRule>
          <x14:cfRule type="expression" priority="17999" stopIfTrue="1" id="{D36463E3-0050-4A80-A44D-4F41A5C83B4C}">
            <xm:f>AND(IF(O324='Plan de Accion 2018'!AI163,O324&lt;&gt;"N/A"))</xm:f>
            <x14:dxf>
              <fill>
                <patternFill>
                  <bgColor rgb="FF00B050"/>
                </patternFill>
              </fill>
            </x14:dxf>
          </x14:cfRule>
          <x14:cfRule type="expression" priority="18000" stopIfTrue="1" id="{708D4647-EC86-4804-A4F9-8911AD6BBC21}">
            <xm:f>AND(IF(O324&lt;'Plan de Accion 2018'!AI163,O324&lt;&gt;"N/A"))</xm:f>
            <x14:dxf>
              <fill>
                <patternFill>
                  <bgColor indexed="10"/>
                </patternFill>
              </fill>
            </x14:dxf>
          </x14:cfRule>
          <xm:sqref>O324:O326</xm:sqref>
        </x14:conditionalFormatting>
        <x14:conditionalFormatting xmlns:xm="http://schemas.microsoft.com/office/excel/2006/main">
          <x14:cfRule type="expression" priority="17992" id="{6FE6F1DC-5B60-4FFC-A32B-4AC03BB0B437}">
            <xm:f>AND(IF(O236&gt;'Plan de Accion 2018'!AI174,O236&lt;&gt;¨N/A¨))</xm:f>
            <x14:dxf>
              <fill>
                <patternFill>
                  <bgColor theme="1" tint="0.499984740745262"/>
                </patternFill>
              </fill>
            </x14:dxf>
          </x14:cfRule>
          <x14:cfRule type="expression" priority="17993" stopIfTrue="1" id="{5EF8E481-CD7A-448E-806A-B5EC9462C4C4}">
            <xm:f>AND(IF(O236='Plan de Accion 2018'!AI174,O236&lt;&gt;"N/A"))</xm:f>
            <x14:dxf>
              <fill>
                <patternFill>
                  <bgColor rgb="FF00B050"/>
                </patternFill>
              </fill>
            </x14:dxf>
          </x14:cfRule>
          <x14:cfRule type="expression" priority="17994" stopIfTrue="1" id="{20FD009A-300D-4A6E-A765-364B863A31E9}">
            <xm:f>AND(IF(O236&lt;'Plan de Accion 2018'!AI174,O236&lt;&gt;"N/A"))</xm:f>
            <x14:dxf>
              <fill>
                <patternFill>
                  <bgColor indexed="10"/>
                </patternFill>
              </fill>
            </x14:dxf>
          </x14:cfRule>
          <xm:sqref>O236</xm:sqref>
        </x14:conditionalFormatting>
        <x14:conditionalFormatting xmlns:xm="http://schemas.microsoft.com/office/excel/2006/main">
          <x14:cfRule type="expression" priority="17962" id="{BFD469F7-0A1A-4274-8A68-F7F2BB789863}">
            <xm:f>AND(IF(O334&gt;'Plan de Accion 2018'!AI111,O334&lt;&gt;¨N/A¨))</xm:f>
            <x14:dxf>
              <fill>
                <patternFill>
                  <bgColor theme="1" tint="0.499984740745262"/>
                </patternFill>
              </fill>
            </x14:dxf>
          </x14:cfRule>
          <x14:cfRule type="expression" priority="17963" stopIfTrue="1" id="{27FEA089-7B80-48AC-B3DE-7B6EA4C1C3F9}">
            <xm:f>AND(IF(O334='Plan de Accion 2018'!AI111,O334&lt;&gt;"N/A"))</xm:f>
            <x14:dxf>
              <fill>
                <patternFill>
                  <bgColor rgb="FF00B050"/>
                </patternFill>
              </fill>
            </x14:dxf>
          </x14:cfRule>
          <x14:cfRule type="expression" priority="17964" stopIfTrue="1" id="{EE7586B8-52AB-4CA1-8884-4C2164FBC7C9}">
            <xm:f>AND(IF(O334&lt;'Plan de Accion 2018'!AI111,O334&lt;&gt;"N/A"))</xm:f>
            <x14:dxf>
              <fill>
                <patternFill>
                  <bgColor indexed="10"/>
                </patternFill>
              </fill>
            </x14:dxf>
          </x14:cfRule>
          <xm:sqref>O380:O381 O334:O355</xm:sqref>
        </x14:conditionalFormatting>
        <x14:conditionalFormatting xmlns:xm="http://schemas.microsoft.com/office/excel/2006/main">
          <x14:cfRule type="expression" priority="17953" id="{E4499E52-20A3-4463-889E-0688E2754676}">
            <xm:f>AND(IF(O164&gt;'Plan de Accion 2018'!AI156,O164&lt;&gt;¨N/A¨))</xm:f>
            <x14:dxf>
              <fill>
                <patternFill>
                  <bgColor theme="1" tint="0.499984740745262"/>
                </patternFill>
              </fill>
            </x14:dxf>
          </x14:cfRule>
          <x14:cfRule type="expression" priority="17954" stopIfTrue="1" id="{0D5A4AAE-5860-4B7A-9558-56E2DD5465EF}">
            <xm:f>AND(IF(O164='Plan de Accion 2018'!AI156,O164&lt;&gt;"N/A"))</xm:f>
            <x14:dxf>
              <fill>
                <patternFill>
                  <bgColor rgb="FF00B050"/>
                </patternFill>
              </fill>
            </x14:dxf>
          </x14:cfRule>
          <x14:cfRule type="expression" priority="17955" stopIfTrue="1" id="{170322DD-7147-413D-9027-9CFC0FF7AF9D}">
            <xm:f>AND(IF(O164&lt;'Plan de Accion 2018'!AI156,O164&lt;&gt;"N/A"))</xm:f>
            <x14:dxf>
              <fill>
                <patternFill>
                  <bgColor indexed="10"/>
                </patternFill>
              </fill>
            </x14:dxf>
          </x14:cfRule>
          <xm:sqref>O164:O165</xm:sqref>
        </x14:conditionalFormatting>
        <x14:conditionalFormatting xmlns:xm="http://schemas.microsoft.com/office/excel/2006/main">
          <x14:cfRule type="expression" priority="17947" id="{E0D3DDAF-85D0-421A-ADCB-2F5CB48558A4}">
            <xm:f>AND(IF(O144&gt;'Plan de Accion 2018'!AI144,O144&lt;&gt;¨N/A¨))</xm:f>
            <x14:dxf>
              <fill>
                <patternFill>
                  <bgColor theme="1" tint="0.499984740745262"/>
                </patternFill>
              </fill>
            </x14:dxf>
          </x14:cfRule>
          <x14:cfRule type="expression" priority="17948" stopIfTrue="1" id="{5584E8C4-FD3F-4714-ADE2-16976ADC6838}">
            <xm:f>AND(IF(O144='Plan de Accion 2018'!AI144,O144&lt;&gt;"N/A"))</xm:f>
            <x14:dxf>
              <fill>
                <patternFill>
                  <bgColor rgb="FF00B050"/>
                </patternFill>
              </fill>
            </x14:dxf>
          </x14:cfRule>
          <x14:cfRule type="expression" priority="17949" stopIfTrue="1" id="{18ECD560-4079-4A92-9754-918253889A55}">
            <xm:f>AND(IF(O144&lt;'Plan de Accion 2018'!AI144,O144&lt;&gt;"N/A"))</xm:f>
            <x14:dxf>
              <fill>
                <patternFill>
                  <bgColor indexed="10"/>
                </patternFill>
              </fill>
            </x14:dxf>
          </x14:cfRule>
          <xm:sqref>O177:O178 O144:O145</xm:sqref>
        </x14:conditionalFormatting>
        <x14:conditionalFormatting xmlns:xm="http://schemas.microsoft.com/office/excel/2006/main">
          <x14:cfRule type="expression" priority="17938" id="{7E161275-247C-4DB8-BD6A-E08C157FD714}">
            <xm:f>AND(IF(O327&gt;'Plan de Accion 2018'!AI169,O327&lt;&gt;¨N/A¨))</xm:f>
            <x14:dxf>
              <fill>
                <patternFill>
                  <bgColor theme="1" tint="0.499984740745262"/>
                </patternFill>
              </fill>
            </x14:dxf>
          </x14:cfRule>
          <x14:cfRule type="expression" priority="17939" stopIfTrue="1" id="{6A7F13AD-306E-4D00-A2CC-AA0F8C12D183}">
            <xm:f>AND(IF(O327='Plan de Accion 2018'!AI169,O327&lt;&gt;"N/A"))</xm:f>
            <x14:dxf>
              <fill>
                <patternFill>
                  <bgColor rgb="FF00B050"/>
                </patternFill>
              </fill>
            </x14:dxf>
          </x14:cfRule>
          <x14:cfRule type="expression" priority="17940" stopIfTrue="1" id="{4B452FC1-90BB-4624-A6F2-FE094EB34D6B}">
            <xm:f>AND(IF(O327&lt;'Plan de Accion 2018'!AI169,O327&lt;&gt;"N/A"))</xm:f>
            <x14:dxf>
              <fill>
                <patternFill>
                  <bgColor indexed="10"/>
                </patternFill>
              </fill>
            </x14:dxf>
          </x14:cfRule>
          <xm:sqref>O327:O330</xm:sqref>
        </x14:conditionalFormatting>
        <x14:conditionalFormatting xmlns:xm="http://schemas.microsoft.com/office/excel/2006/main">
          <x14:cfRule type="expression" priority="17890" id="{0D5E9AE7-4BF4-4895-B6F5-E36E4EBF6CD8}">
            <xm:f>AND(IF(O203&gt;'Plan de Accion 2018'!AI71,O203&lt;&gt;¨N/A¨))</xm:f>
            <x14:dxf>
              <fill>
                <patternFill>
                  <bgColor theme="1" tint="0.499984740745262"/>
                </patternFill>
              </fill>
            </x14:dxf>
          </x14:cfRule>
          <x14:cfRule type="expression" priority="17891" stopIfTrue="1" id="{02B2DB94-55DA-48BE-8394-32506226B26E}">
            <xm:f>AND(IF(O203='Plan de Accion 2018'!AI71,O203&lt;&gt;"N/A"))</xm:f>
            <x14:dxf>
              <fill>
                <patternFill>
                  <bgColor rgb="FF00B050"/>
                </patternFill>
              </fill>
            </x14:dxf>
          </x14:cfRule>
          <x14:cfRule type="expression" priority="17892" stopIfTrue="1" id="{62ECDF26-C3D0-4A4D-A623-10BF6469D388}">
            <xm:f>AND(IF(O203&lt;'Plan de Accion 2018'!AI71,O203&lt;&gt;"N/A"))</xm:f>
            <x14:dxf>
              <fill>
                <patternFill>
                  <bgColor indexed="10"/>
                </patternFill>
              </fill>
            </x14:dxf>
          </x14:cfRule>
          <xm:sqref>O291:O292 O203</xm:sqref>
        </x14:conditionalFormatting>
        <x14:conditionalFormatting xmlns:xm="http://schemas.microsoft.com/office/excel/2006/main">
          <x14:cfRule type="expression" priority="17794" id="{D06420E3-CF30-4DD2-8280-E6FBC9305FCD}">
            <xm:f>AND(IF(O113&gt;'Plan de Accion 2018'!AI62,O113&lt;&gt;¨N/A¨))</xm:f>
            <x14:dxf>
              <fill>
                <patternFill>
                  <bgColor theme="1" tint="0.499984740745262"/>
                </patternFill>
              </fill>
            </x14:dxf>
          </x14:cfRule>
          <x14:cfRule type="expression" priority="17795" stopIfTrue="1" id="{E9A6D6B5-AAA3-43C6-9844-572A7B925557}">
            <xm:f>AND(IF(O113='Plan de Accion 2018'!AI62,O113&lt;&gt;"N/A"))</xm:f>
            <x14:dxf>
              <fill>
                <patternFill>
                  <bgColor rgb="FF00B050"/>
                </patternFill>
              </fill>
            </x14:dxf>
          </x14:cfRule>
          <x14:cfRule type="expression" priority="17796" stopIfTrue="1" id="{524635D6-4978-4420-B178-33C242E99282}">
            <xm:f>AND(IF(O113&lt;'Plan de Accion 2018'!AI62,O113&lt;&gt;"N/A"))</xm:f>
            <x14:dxf>
              <fill>
                <patternFill>
                  <bgColor indexed="10"/>
                </patternFill>
              </fill>
            </x14:dxf>
          </x14:cfRule>
          <xm:sqref>O224 O113:O115</xm:sqref>
        </x14:conditionalFormatting>
        <x14:conditionalFormatting xmlns:xm="http://schemas.microsoft.com/office/excel/2006/main">
          <x14:cfRule type="expression" priority="17791" id="{37341CEB-788A-42E9-B0A6-840E87374D72}">
            <xm:f>AND(IF(O225&gt;'Plan de Accion 2018'!AI179,O225&lt;&gt;¨N/A¨))</xm:f>
            <x14:dxf>
              <fill>
                <patternFill>
                  <bgColor theme="1" tint="0.499984740745262"/>
                </patternFill>
              </fill>
            </x14:dxf>
          </x14:cfRule>
          <x14:cfRule type="expression" priority="17792" stopIfTrue="1" id="{53F7CBE0-D564-4055-92EE-0E4404225001}">
            <xm:f>AND(IF(O225='Plan de Accion 2018'!AI179,O225&lt;&gt;"N/A"))</xm:f>
            <x14:dxf>
              <fill>
                <patternFill>
                  <bgColor rgb="FF00B050"/>
                </patternFill>
              </fill>
            </x14:dxf>
          </x14:cfRule>
          <x14:cfRule type="expression" priority="17793" stopIfTrue="1" id="{15524A94-0D43-433A-B1DF-22CF36BB057E}">
            <xm:f>AND(IF(O225&lt;'Plan de Accion 2018'!AI179,O225&lt;&gt;"N/A"))</xm:f>
            <x14:dxf>
              <fill>
                <patternFill>
                  <bgColor indexed="10"/>
                </patternFill>
              </fill>
            </x14:dxf>
          </x14:cfRule>
          <xm:sqref>O225</xm:sqref>
        </x14:conditionalFormatting>
        <x14:conditionalFormatting xmlns:xm="http://schemas.microsoft.com/office/excel/2006/main">
          <x14:cfRule type="expression" priority="17788" id="{68447B59-877A-404D-B0AE-6151A52F064E}">
            <xm:f>AND(IF(O226&gt;'Plan de Accion 2018'!AI181,O226&lt;&gt;¨N/A¨))</xm:f>
            <x14:dxf>
              <fill>
                <patternFill>
                  <bgColor theme="1" tint="0.499984740745262"/>
                </patternFill>
              </fill>
            </x14:dxf>
          </x14:cfRule>
          <x14:cfRule type="expression" priority="17789" stopIfTrue="1" id="{86D1D90E-1DA7-4627-AF54-12442DEC13E0}">
            <xm:f>AND(IF(O226='Plan de Accion 2018'!AI181,O226&lt;&gt;"N/A"))</xm:f>
            <x14:dxf>
              <fill>
                <patternFill>
                  <bgColor rgb="FF00B050"/>
                </patternFill>
              </fill>
            </x14:dxf>
          </x14:cfRule>
          <x14:cfRule type="expression" priority="17790" stopIfTrue="1" id="{A80BE1DC-0B93-4799-B9BC-F5F13F898DEA}">
            <xm:f>AND(IF(O226&lt;'Plan de Accion 2018'!AI181,O226&lt;&gt;"N/A"))</xm:f>
            <x14:dxf>
              <fill>
                <patternFill>
                  <bgColor indexed="10"/>
                </patternFill>
              </fill>
            </x14:dxf>
          </x14:cfRule>
          <xm:sqref>O226</xm:sqref>
        </x14:conditionalFormatting>
        <x14:conditionalFormatting xmlns:xm="http://schemas.microsoft.com/office/excel/2006/main">
          <x14:cfRule type="expression" priority="17779" id="{4B18CF23-D3C9-47F9-9221-8EF09B2AEC88}">
            <xm:f>AND(IF(O363&gt;'Plan de Accion 2018'!AI122,O363&lt;&gt;¨N/A¨))</xm:f>
            <x14:dxf>
              <fill>
                <patternFill>
                  <bgColor theme="1" tint="0.499984740745262"/>
                </patternFill>
              </fill>
            </x14:dxf>
          </x14:cfRule>
          <x14:cfRule type="expression" priority="17780" stopIfTrue="1" id="{A6FFD223-9227-41E5-B1C3-BB1447044B0C}">
            <xm:f>AND(IF(O363='Plan de Accion 2018'!AI122,O363&lt;&gt;"N/A"))</xm:f>
            <x14:dxf>
              <fill>
                <patternFill>
                  <bgColor rgb="FF00B050"/>
                </patternFill>
              </fill>
            </x14:dxf>
          </x14:cfRule>
          <x14:cfRule type="expression" priority="17781" stopIfTrue="1" id="{E424C868-A04A-45BB-BADD-E2F2ED4B29A2}">
            <xm:f>AND(IF(O363&lt;'Plan de Accion 2018'!AI122,O363&lt;&gt;"N/A"))</xm:f>
            <x14:dxf>
              <fill>
                <patternFill>
                  <bgColor indexed="10"/>
                </patternFill>
              </fill>
            </x14:dxf>
          </x14:cfRule>
          <xm:sqref>O363:O375</xm:sqref>
        </x14:conditionalFormatting>
        <x14:conditionalFormatting xmlns:xm="http://schemas.microsoft.com/office/excel/2006/main">
          <x14:cfRule type="expression" priority="17776" id="{246632F1-7C03-489A-AE92-80E02045F584}">
            <xm:f>AND(IF(O231&gt;'Plan de Accion 2018'!AI63,O231&lt;&gt;¨N/A¨))</xm:f>
            <x14:dxf>
              <fill>
                <patternFill>
                  <bgColor theme="1" tint="0.499984740745262"/>
                </patternFill>
              </fill>
            </x14:dxf>
          </x14:cfRule>
          <x14:cfRule type="expression" priority="17777" stopIfTrue="1" id="{51DA99E1-18DB-44AC-AF36-11D3D4C398CF}">
            <xm:f>AND(IF(O231='Plan de Accion 2018'!AI63,O231&lt;&gt;"N/A"))</xm:f>
            <x14:dxf>
              <fill>
                <patternFill>
                  <bgColor rgb="FF00B050"/>
                </patternFill>
              </fill>
            </x14:dxf>
          </x14:cfRule>
          <x14:cfRule type="expression" priority="17778" stopIfTrue="1" id="{D616F941-2CD4-4A6C-8107-CB9BC7F858F4}">
            <xm:f>AND(IF(O231&lt;'Plan de Accion 2018'!AI63,O231&lt;&gt;"N/A"))</xm:f>
            <x14:dxf>
              <fill>
                <patternFill>
                  <bgColor indexed="10"/>
                </patternFill>
              </fill>
            </x14:dxf>
          </x14:cfRule>
          <xm:sqref>O231</xm:sqref>
        </x14:conditionalFormatting>
        <x14:conditionalFormatting xmlns:xm="http://schemas.microsoft.com/office/excel/2006/main">
          <x14:cfRule type="expression" priority="17767" id="{65B77048-8EBB-4671-A11F-AA4AB698F6A3}">
            <xm:f>AND(IF(O331&gt;'Plan de Accion 2018'!AI187,O331&lt;&gt;¨N/A¨))</xm:f>
            <x14:dxf>
              <fill>
                <patternFill>
                  <bgColor theme="1" tint="0.499984740745262"/>
                </patternFill>
              </fill>
            </x14:dxf>
          </x14:cfRule>
          <x14:cfRule type="expression" priority="17768" stopIfTrue="1" id="{6B01A7A2-E4EE-4493-B0F4-5ABBD6CC3620}">
            <xm:f>AND(IF(O331='Plan de Accion 2018'!AI187,O331&lt;&gt;"N/A"))</xm:f>
            <x14:dxf>
              <fill>
                <patternFill>
                  <bgColor rgb="FF00B050"/>
                </patternFill>
              </fill>
            </x14:dxf>
          </x14:cfRule>
          <x14:cfRule type="expression" priority="17769" stopIfTrue="1" id="{783DC5D6-163E-4602-ABB9-EEC214A0FB42}">
            <xm:f>AND(IF(O331&lt;'Plan de Accion 2018'!AI187,O331&lt;&gt;"N/A"))</xm:f>
            <x14:dxf>
              <fill>
                <patternFill>
                  <bgColor indexed="10"/>
                </patternFill>
              </fill>
            </x14:dxf>
          </x14:cfRule>
          <xm:sqref>O331</xm:sqref>
        </x14:conditionalFormatting>
        <x14:conditionalFormatting xmlns:xm="http://schemas.microsoft.com/office/excel/2006/main">
          <x14:cfRule type="expression" priority="17758" id="{F7A7F0F4-6C05-4526-B6F9-6FC8074B4BE6}">
            <xm:f>AND(IF(O323&gt;'Plan de Accion 2018'!AI72,O323&lt;&gt;¨N/A¨))</xm:f>
            <x14:dxf>
              <fill>
                <patternFill>
                  <bgColor theme="1" tint="0.499984740745262"/>
                </patternFill>
              </fill>
            </x14:dxf>
          </x14:cfRule>
          <x14:cfRule type="expression" priority="17759" stopIfTrue="1" id="{BFFBE208-63E2-4893-8342-F953A6979207}">
            <xm:f>AND(IF(O323='Plan de Accion 2018'!AI72,O323&lt;&gt;"N/A"))</xm:f>
            <x14:dxf>
              <fill>
                <patternFill>
                  <bgColor rgb="FF00B050"/>
                </patternFill>
              </fill>
            </x14:dxf>
          </x14:cfRule>
          <x14:cfRule type="expression" priority="17760" stopIfTrue="1" id="{292AE63C-09EE-499E-A316-3A14F301385D}">
            <xm:f>AND(IF(O323&lt;'Plan de Accion 2018'!AI72,O323&lt;&gt;"N/A"))</xm:f>
            <x14:dxf>
              <fill>
                <patternFill>
                  <bgColor indexed="10"/>
                </patternFill>
              </fill>
            </x14:dxf>
          </x14:cfRule>
          <xm:sqref>O323</xm:sqref>
        </x14:conditionalFormatting>
        <x14:conditionalFormatting xmlns:xm="http://schemas.microsoft.com/office/excel/2006/main">
          <x14:cfRule type="expression" priority="17752" id="{3C4CF5C5-1B9E-485E-A95C-7160C621E01B}">
            <xm:f>AND(IF(O356&gt;'Plan de Accion 2018'!AI112,O356&lt;&gt;¨N/A¨))</xm:f>
            <x14:dxf>
              <fill>
                <patternFill>
                  <bgColor theme="1" tint="0.499984740745262"/>
                </patternFill>
              </fill>
            </x14:dxf>
          </x14:cfRule>
          <x14:cfRule type="expression" priority="17753" stopIfTrue="1" id="{D0DD3133-5EC8-4E7B-8B8B-48B857CF7EF1}">
            <xm:f>AND(IF(O356='Plan de Accion 2018'!AI112,O356&lt;&gt;"N/A"))</xm:f>
            <x14:dxf>
              <fill>
                <patternFill>
                  <bgColor rgb="FF00B050"/>
                </patternFill>
              </fill>
            </x14:dxf>
          </x14:cfRule>
          <x14:cfRule type="expression" priority="17754" stopIfTrue="1" id="{2ED0208C-35B2-4E51-BB0F-9ED5D461BAA6}">
            <xm:f>AND(IF(O356&lt;'Plan de Accion 2018'!AI112,O356&lt;&gt;"N/A"))</xm:f>
            <x14:dxf>
              <fill>
                <patternFill>
                  <bgColor indexed="10"/>
                </patternFill>
              </fill>
            </x14:dxf>
          </x14:cfRule>
          <xm:sqref>O356:O362</xm:sqref>
        </x14:conditionalFormatting>
        <x14:conditionalFormatting xmlns:xm="http://schemas.microsoft.com/office/excel/2006/main">
          <x14:cfRule type="expression" priority="17713" id="{14142AA0-DF71-42F5-A751-99335CD5EC05}">
            <xm:f>AND(IF(O282&gt;'Plan de Accion 2018'!AI154,O282&lt;&gt;¨N/A¨))</xm:f>
            <x14:dxf>
              <fill>
                <patternFill>
                  <bgColor theme="1" tint="0.499984740745262"/>
                </patternFill>
              </fill>
            </x14:dxf>
          </x14:cfRule>
          <x14:cfRule type="expression" priority="17714" stopIfTrue="1" id="{1B564A17-ED10-4DD2-A0A8-FADEECB7CCF5}">
            <xm:f>AND(IF(O282='Plan de Accion 2018'!AI154,O282&lt;&gt;"N/A"))</xm:f>
            <x14:dxf>
              <fill>
                <patternFill>
                  <bgColor rgb="FF00B050"/>
                </patternFill>
              </fill>
            </x14:dxf>
          </x14:cfRule>
          <x14:cfRule type="expression" priority="17715" stopIfTrue="1" id="{D3366F6E-EEC0-4121-89CE-1B0C0AA75AAC}">
            <xm:f>AND(IF(O282&lt;'Plan de Accion 2018'!AI154,O282&lt;&gt;"N/A"))</xm:f>
            <x14:dxf>
              <fill>
                <patternFill>
                  <bgColor indexed="10"/>
                </patternFill>
              </fill>
            </x14:dxf>
          </x14:cfRule>
          <xm:sqref>O378:O379 O299:O302 O282:O285 O305</xm:sqref>
        </x14:conditionalFormatting>
        <x14:conditionalFormatting xmlns:xm="http://schemas.microsoft.com/office/excel/2006/main">
          <x14:cfRule type="expression" priority="17692" id="{1F2EC599-4B16-48F9-B02D-34F2E440CF93}">
            <xm:f>AND(IF(O304&gt;'Plan de Accion 2018'!AI62,O304&lt;&gt;¨N/A¨))</xm:f>
            <x14:dxf>
              <fill>
                <patternFill>
                  <bgColor theme="1" tint="0.499984740745262"/>
                </patternFill>
              </fill>
            </x14:dxf>
          </x14:cfRule>
          <x14:cfRule type="expression" priority="17693" stopIfTrue="1" id="{01894C9A-82C1-452C-9179-94E5F3BF6068}">
            <xm:f>AND(IF(O304='Plan de Accion 2018'!AI62,O304&lt;&gt;"N/A"))</xm:f>
            <x14:dxf>
              <fill>
                <patternFill>
                  <bgColor rgb="FF00B050"/>
                </patternFill>
              </fill>
            </x14:dxf>
          </x14:cfRule>
          <x14:cfRule type="expression" priority="17694" stopIfTrue="1" id="{8C939E41-33DE-4B9D-931F-810A9F2AE403}">
            <xm:f>AND(IF(O304&lt;'Plan de Accion 2018'!AI62,O304&lt;&gt;"N/A"))</xm:f>
            <x14:dxf>
              <fill>
                <patternFill>
                  <bgColor indexed="10"/>
                </patternFill>
              </fill>
            </x14:dxf>
          </x14:cfRule>
          <xm:sqref>O304</xm:sqref>
        </x14:conditionalFormatting>
        <x14:conditionalFormatting xmlns:xm="http://schemas.microsoft.com/office/excel/2006/main">
          <x14:cfRule type="expression" priority="17686" id="{78CCB6B2-466D-4D27-A6B1-C17EBC82C0AA}">
            <xm:f>AND(IF(O308&gt;'Plan de Accion 2018'!AI78,O308&lt;&gt;¨N/A¨))</xm:f>
            <x14:dxf>
              <fill>
                <patternFill>
                  <bgColor theme="1" tint="0.499984740745262"/>
                </patternFill>
              </fill>
            </x14:dxf>
          </x14:cfRule>
          <x14:cfRule type="expression" priority="17687" stopIfTrue="1" id="{260393C6-A83A-4FCD-B6B1-6F07869E18D3}">
            <xm:f>AND(IF(O308='Plan de Accion 2018'!AI78,O308&lt;&gt;"N/A"))</xm:f>
            <x14:dxf>
              <fill>
                <patternFill>
                  <bgColor rgb="FF00B050"/>
                </patternFill>
              </fill>
            </x14:dxf>
          </x14:cfRule>
          <x14:cfRule type="expression" priority="17688" stopIfTrue="1" id="{E43A1C0A-FA9C-43B5-97DA-0A89C1832DC6}">
            <xm:f>AND(IF(O308&lt;'Plan de Accion 2018'!AI78,O308&lt;&gt;"N/A"))</xm:f>
            <x14:dxf>
              <fill>
                <patternFill>
                  <bgColor indexed="10"/>
                </patternFill>
              </fill>
            </x14:dxf>
          </x14:cfRule>
          <xm:sqref>O308:O319</xm:sqref>
        </x14:conditionalFormatting>
        <x14:conditionalFormatting xmlns:xm="http://schemas.microsoft.com/office/excel/2006/main">
          <x14:cfRule type="expression" priority="17653" id="{9AACE797-51CB-4031-A1AD-EAB404204988}">
            <xm:f>AND(IF(O376&gt;'Plan de Accion 2018'!AI155,O376&lt;&gt;¨N/A¨))</xm:f>
            <x14:dxf>
              <fill>
                <patternFill>
                  <bgColor theme="1" tint="0.499984740745262"/>
                </patternFill>
              </fill>
            </x14:dxf>
          </x14:cfRule>
          <x14:cfRule type="expression" priority="17654" stopIfTrue="1" id="{CE20B04A-7A2B-4EA3-B378-71D1BAE8D37C}">
            <xm:f>AND(IF(O376='Plan de Accion 2018'!AI155,O376&lt;&gt;"N/A"))</xm:f>
            <x14:dxf>
              <fill>
                <patternFill>
                  <bgColor rgb="FF00B050"/>
                </patternFill>
              </fill>
            </x14:dxf>
          </x14:cfRule>
          <x14:cfRule type="expression" priority="17655" stopIfTrue="1" id="{9B107B35-DB0E-4D8C-8D30-A5369EE88043}">
            <xm:f>AND(IF(O376&lt;'Plan de Accion 2018'!AI155,O376&lt;&gt;"N/A"))</xm:f>
            <x14:dxf>
              <fill>
                <patternFill>
                  <bgColor indexed="10"/>
                </patternFill>
              </fill>
            </x14:dxf>
          </x14:cfRule>
          <xm:sqref>O376:O377</xm:sqref>
        </x14:conditionalFormatting>
        <x14:conditionalFormatting xmlns:xm="http://schemas.microsoft.com/office/excel/2006/main">
          <x14:cfRule type="expression" priority="17650" id="{1E9D69AB-0694-4271-A68A-4C2AB9749529}">
            <xm:f>AND(IF(V38&gt;'Plan de Accion 2018'!AS135,V38&lt;&gt;¨N/A¨))</xm:f>
            <x14:dxf>
              <fill>
                <patternFill>
                  <bgColor theme="1" tint="0.499984740745262"/>
                </patternFill>
              </fill>
            </x14:dxf>
          </x14:cfRule>
          <x14:cfRule type="expression" priority="17651" stopIfTrue="1" id="{4E1C9FBB-41B3-44CB-8BA4-A08122D92C7D}">
            <xm:f>AND(IF(V38='Plan de Accion 2018'!AS135,V38&lt;&gt;"N/A"))</xm:f>
            <x14:dxf>
              <fill>
                <patternFill>
                  <bgColor rgb="FF00B050"/>
                </patternFill>
              </fill>
            </x14:dxf>
          </x14:cfRule>
          <x14:cfRule type="expression" priority="17652" stopIfTrue="1" id="{D99BA996-213D-4FC8-8A8E-4DBA63D9A2A4}">
            <xm:f>AND(IF(V38&lt;'Plan de Accion 2018'!AS135,V38&lt;&gt;"N/A"))</xm:f>
            <x14:dxf>
              <fill>
                <patternFill>
                  <bgColor indexed="10"/>
                </patternFill>
              </fill>
            </x14:dxf>
          </x14:cfRule>
          <xm:sqref>V86:V89 V38</xm:sqref>
        </x14:conditionalFormatting>
        <x14:conditionalFormatting xmlns:xm="http://schemas.microsoft.com/office/excel/2006/main">
          <x14:cfRule type="expression" priority="17647" id="{2FFED81D-AD1A-4481-837F-6CA01CE302AC}">
            <xm:f>AND(IF(AC38&gt;'Plan de Accion 2018'!BC135,AC38&lt;&gt;¨N/A¨))</xm:f>
            <x14:dxf>
              <fill>
                <patternFill>
                  <bgColor theme="1" tint="0.499984740745262"/>
                </patternFill>
              </fill>
            </x14:dxf>
          </x14:cfRule>
          <x14:cfRule type="expression" priority="17648" stopIfTrue="1" id="{0FEA846A-70C0-400C-BAA0-0FD9AE5191E1}">
            <xm:f>AND(IF(AC38='Plan de Accion 2018'!BC135,AC38&lt;&gt;"N/A"))</xm:f>
            <x14:dxf>
              <fill>
                <patternFill>
                  <bgColor rgb="FF00B050"/>
                </patternFill>
              </fill>
            </x14:dxf>
          </x14:cfRule>
          <x14:cfRule type="expression" priority="17649" stopIfTrue="1" id="{EB7A37DA-053C-4544-BFEF-0EEE9C93918E}">
            <xm:f>AND(IF(AC38&lt;'Plan de Accion 2018'!BC135,AC38&lt;&gt;"N/A"))</xm:f>
            <x14:dxf>
              <fill>
                <patternFill>
                  <bgColor indexed="10"/>
                </patternFill>
              </fill>
            </x14:dxf>
          </x14:cfRule>
          <xm:sqref>AC86:AC89 AC38</xm:sqref>
        </x14:conditionalFormatting>
        <x14:conditionalFormatting xmlns:xm="http://schemas.microsoft.com/office/excel/2006/main">
          <x14:cfRule type="expression" priority="17629" id="{D1CB3311-D836-41E6-B3AB-7678E78BDC55}">
            <xm:f>AND(IF(V18&gt;'Plan de Accion 2018'!AS178,V18&lt;&gt;¨N/A¨))</xm:f>
            <x14:dxf>
              <fill>
                <patternFill>
                  <bgColor theme="1" tint="0.499984740745262"/>
                </patternFill>
              </fill>
            </x14:dxf>
          </x14:cfRule>
          <x14:cfRule type="expression" priority="17630" stopIfTrue="1" id="{55B111B2-4E59-4451-82EB-0C191B9BC210}">
            <xm:f>AND(IF(V18='Plan de Accion 2018'!AS178,V18&lt;&gt;"N/A"))</xm:f>
            <x14:dxf>
              <fill>
                <patternFill>
                  <bgColor rgb="FF00B050"/>
                </patternFill>
              </fill>
            </x14:dxf>
          </x14:cfRule>
          <x14:cfRule type="expression" priority="17631" stopIfTrue="1" id="{ECB205B8-E0C7-4EA9-A0AC-6997DB31D9ED}">
            <xm:f>AND(IF(V18&lt;'Plan de Accion 2018'!AS178,V18&lt;&gt;"N/A"))</xm:f>
            <x14:dxf>
              <fill>
                <patternFill>
                  <bgColor indexed="10"/>
                </patternFill>
              </fill>
            </x14:dxf>
          </x14:cfRule>
          <xm:sqref>V18</xm:sqref>
        </x14:conditionalFormatting>
        <x14:conditionalFormatting xmlns:xm="http://schemas.microsoft.com/office/excel/2006/main">
          <x14:cfRule type="expression" priority="17626" id="{20CED6E8-6615-4E2C-9AEA-CD1A439C0C91}">
            <xm:f>AND(IF(V19&gt;'Plan de Accion 2018'!AS136,V19&lt;&gt;¨N/A¨))</xm:f>
            <x14:dxf>
              <fill>
                <patternFill>
                  <bgColor theme="1" tint="0.499984740745262"/>
                </patternFill>
              </fill>
            </x14:dxf>
          </x14:cfRule>
          <x14:cfRule type="expression" priority="17627" stopIfTrue="1" id="{63C3187A-EA12-4E37-8DBE-12D9DA5B6AF1}">
            <xm:f>AND(IF(V19='Plan de Accion 2018'!AS136,V19&lt;&gt;"N/A"))</xm:f>
            <x14:dxf>
              <fill>
                <patternFill>
                  <bgColor rgb="FF00B050"/>
                </patternFill>
              </fill>
            </x14:dxf>
          </x14:cfRule>
          <x14:cfRule type="expression" priority="17628" stopIfTrue="1" id="{AE0DF9C7-65D7-4679-90FA-977FB463C6A3}">
            <xm:f>AND(IF(V19&lt;'Plan de Accion 2018'!AS136,V19&lt;&gt;"N/A"))</xm:f>
            <x14:dxf>
              <fill>
                <patternFill>
                  <bgColor indexed="10"/>
                </patternFill>
              </fill>
            </x14:dxf>
          </x14:cfRule>
          <xm:sqref>V19</xm:sqref>
        </x14:conditionalFormatting>
        <x14:conditionalFormatting xmlns:xm="http://schemas.microsoft.com/office/excel/2006/main">
          <x14:cfRule type="expression" priority="17623" id="{005B194A-89AF-48EB-A777-A38E0E98A52D}">
            <xm:f>AND(IF(V20&gt;'Plan de Accion 2018'!AS141,V20&lt;&gt;¨N/A¨))</xm:f>
            <x14:dxf>
              <fill>
                <patternFill>
                  <bgColor theme="1" tint="0.499984740745262"/>
                </patternFill>
              </fill>
            </x14:dxf>
          </x14:cfRule>
          <x14:cfRule type="expression" priority="17624" stopIfTrue="1" id="{531E85F9-CD52-4078-A056-79717E7F7CA8}">
            <xm:f>AND(IF(V20='Plan de Accion 2018'!AS141,V20&lt;&gt;"N/A"))</xm:f>
            <x14:dxf>
              <fill>
                <patternFill>
                  <bgColor rgb="FF00B050"/>
                </patternFill>
              </fill>
            </x14:dxf>
          </x14:cfRule>
          <x14:cfRule type="expression" priority="17625" stopIfTrue="1" id="{4A73A318-2AC9-46EB-B853-696DC940C9CF}">
            <xm:f>AND(IF(V20&lt;'Plan de Accion 2018'!AS141,V20&lt;&gt;"N/A"))</xm:f>
            <x14:dxf>
              <fill>
                <patternFill>
                  <bgColor indexed="10"/>
                </patternFill>
              </fill>
            </x14:dxf>
          </x14:cfRule>
          <xm:sqref>V20:V21</xm:sqref>
        </x14:conditionalFormatting>
        <x14:conditionalFormatting xmlns:xm="http://schemas.microsoft.com/office/excel/2006/main">
          <x14:cfRule type="expression" priority="17617" id="{C70C1D6A-B4DE-47B3-80BD-9A18C91A56F4}">
            <xm:f>AND(IF(V22&gt;'Plan de Accion 2018'!AS146,V22&lt;&gt;¨N/A¨))</xm:f>
            <x14:dxf>
              <fill>
                <patternFill>
                  <bgColor theme="1" tint="0.499984740745262"/>
                </patternFill>
              </fill>
            </x14:dxf>
          </x14:cfRule>
          <x14:cfRule type="expression" priority="17618" stopIfTrue="1" id="{A3F2AE33-D399-4F76-B3AA-6876B78E98A1}">
            <xm:f>AND(IF(V22='Plan de Accion 2018'!AS146,V22&lt;&gt;"N/A"))</xm:f>
            <x14:dxf>
              <fill>
                <patternFill>
                  <bgColor rgb="FF00B050"/>
                </patternFill>
              </fill>
            </x14:dxf>
          </x14:cfRule>
          <x14:cfRule type="expression" priority="17619" stopIfTrue="1" id="{5C4AD753-92A9-4A33-86E7-14C63F80DE03}">
            <xm:f>AND(IF(V22&lt;'Plan de Accion 2018'!AS146,V22&lt;&gt;"N/A"))</xm:f>
            <x14:dxf>
              <fill>
                <patternFill>
                  <bgColor indexed="10"/>
                </patternFill>
              </fill>
            </x14:dxf>
          </x14:cfRule>
          <xm:sqref>V22</xm:sqref>
        </x14:conditionalFormatting>
        <x14:conditionalFormatting xmlns:xm="http://schemas.microsoft.com/office/excel/2006/main">
          <x14:cfRule type="expression" priority="17602" id="{E2AF93F4-8EA9-4460-AC38-B85743843E85}">
            <xm:f>AND(IF(V28&gt;'Plan de Accion 2018'!AS143,V28&lt;&gt;¨N/A¨))</xm:f>
            <x14:dxf>
              <fill>
                <patternFill>
                  <bgColor theme="1" tint="0.499984740745262"/>
                </patternFill>
              </fill>
            </x14:dxf>
          </x14:cfRule>
          <x14:cfRule type="expression" priority="17603" stopIfTrue="1" id="{A1E6F794-B957-4B81-BCF8-307C25972A31}">
            <xm:f>AND(IF(V28='Plan de Accion 2018'!AS143,V28&lt;&gt;"N/A"))</xm:f>
            <x14:dxf>
              <fill>
                <patternFill>
                  <bgColor rgb="FF00B050"/>
                </patternFill>
              </fill>
            </x14:dxf>
          </x14:cfRule>
          <x14:cfRule type="expression" priority="17604" stopIfTrue="1" id="{9EC8FCF7-B7BF-4CCE-AF5D-5D16E4718096}">
            <xm:f>AND(IF(V28&lt;'Plan de Accion 2018'!AS143,V28&lt;&gt;"N/A"))</xm:f>
            <x14:dxf>
              <fill>
                <patternFill>
                  <bgColor indexed="10"/>
                </patternFill>
              </fill>
            </x14:dxf>
          </x14:cfRule>
          <xm:sqref>V28:V29 V31:V33</xm:sqref>
        </x14:conditionalFormatting>
        <x14:conditionalFormatting xmlns:xm="http://schemas.microsoft.com/office/excel/2006/main">
          <x14:cfRule type="expression" priority="17590" id="{BF0B6E22-C3CC-4C42-9795-C057E74E35B4}">
            <xm:f>AND(IF(V216&gt;'Plan de Accion 2018'!AS159,V216&lt;&gt;¨N/A¨))</xm:f>
            <x14:dxf>
              <fill>
                <patternFill>
                  <bgColor theme="1" tint="0.499984740745262"/>
                </patternFill>
              </fill>
            </x14:dxf>
          </x14:cfRule>
          <x14:cfRule type="expression" priority="17591" stopIfTrue="1" id="{F7F13A01-E500-42DC-A464-DBA4E4165846}">
            <xm:f>AND(IF(V216='Plan de Accion 2018'!AS159,V216&lt;&gt;"N/A"))</xm:f>
            <x14:dxf>
              <fill>
                <patternFill>
                  <bgColor rgb="FF00B050"/>
                </patternFill>
              </fill>
            </x14:dxf>
          </x14:cfRule>
          <x14:cfRule type="expression" priority="17592" stopIfTrue="1" id="{D632523A-3DAB-4891-8B8A-AF2BA91F875F}">
            <xm:f>AND(IF(V216&lt;'Plan de Accion 2018'!AS159,V216&lt;&gt;"N/A"))</xm:f>
            <x14:dxf>
              <fill>
                <patternFill>
                  <bgColor indexed="10"/>
                </patternFill>
              </fill>
            </x14:dxf>
          </x14:cfRule>
          <xm:sqref>V216:V219</xm:sqref>
        </x14:conditionalFormatting>
        <x14:conditionalFormatting xmlns:xm="http://schemas.microsoft.com/office/excel/2006/main">
          <x14:cfRule type="expression" priority="17584" id="{ADE71894-A4CD-489D-ABA0-427EFB165093}">
            <xm:f>AND(IF(V42&gt;'Plan de Accion 2018'!AS176,V42&lt;&gt;¨N/A¨))</xm:f>
            <x14:dxf>
              <fill>
                <patternFill>
                  <bgColor theme="1" tint="0.499984740745262"/>
                </patternFill>
              </fill>
            </x14:dxf>
          </x14:cfRule>
          <x14:cfRule type="expression" priority="17585" stopIfTrue="1" id="{BDAA8F36-C6DB-4F9D-9DB5-6B86DD7252C8}">
            <xm:f>AND(IF(V42='Plan de Accion 2018'!AS176,V42&lt;&gt;"N/A"))</xm:f>
            <x14:dxf>
              <fill>
                <patternFill>
                  <bgColor rgb="FF00B050"/>
                </patternFill>
              </fill>
            </x14:dxf>
          </x14:cfRule>
          <x14:cfRule type="expression" priority="17586" stopIfTrue="1" id="{6F942E34-5ECC-40CA-A81D-25B062776FC3}">
            <xm:f>AND(IF(V42&lt;'Plan de Accion 2018'!AS176,V42&lt;&gt;"N/A"))</xm:f>
            <x14:dxf>
              <fill>
                <patternFill>
                  <bgColor indexed="10"/>
                </patternFill>
              </fill>
            </x14:dxf>
          </x14:cfRule>
          <xm:sqref>V42</xm:sqref>
        </x14:conditionalFormatting>
        <x14:conditionalFormatting xmlns:xm="http://schemas.microsoft.com/office/excel/2006/main">
          <x14:cfRule type="expression" priority="17509" id="{CBD4CABE-BD69-41CA-A75A-267E0931AD82}">
            <xm:f>AND(IF(V220&gt;'Plan de Accion 2018'!AS166,V220&lt;&gt;¨N/A¨))</xm:f>
            <x14:dxf>
              <fill>
                <patternFill>
                  <bgColor theme="1" tint="0.499984740745262"/>
                </patternFill>
              </fill>
            </x14:dxf>
          </x14:cfRule>
          <x14:cfRule type="expression" priority="17510" stopIfTrue="1" id="{EA243B99-C1ED-4CFC-891F-3EB62BFCC292}">
            <xm:f>AND(IF(V220='Plan de Accion 2018'!AS166,V220&lt;&gt;"N/A"))</xm:f>
            <x14:dxf>
              <fill>
                <patternFill>
                  <bgColor rgb="FF00B050"/>
                </patternFill>
              </fill>
            </x14:dxf>
          </x14:cfRule>
          <x14:cfRule type="expression" priority="17511" stopIfTrue="1" id="{1EF57BF8-53CA-42FA-95BF-87753B17536F}">
            <xm:f>AND(IF(V220&lt;'Plan de Accion 2018'!AS166,V220&lt;&gt;"N/A"))</xm:f>
            <x14:dxf>
              <fill>
                <patternFill>
                  <bgColor indexed="10"/>
                </patternFill>
              </fill>
            </x14:dxf>
          </x14:cfRule>
          <xm:sqref>V220:V222</xm:sqref>
        </x14:conditionalFormatting>
        <x14:conditionalFormatting xmlns:xm="http://schemas.microsoft.com/office/excel/2006/main">
          <x14:cfRule type="expression" priority="17500" id="{1F3DE2B5-A54D-4475-A3E6-C7E9D18323ED}">
            <xm:f>AND(IF(V164&gt;'Plan de Accion 2018'!AS156,V164&lt;&gt;¨N/A¨))</xm:f>
            <x14:dxf>
              <fill>
                <patternFill>
                  <bgColor theme="1" tint="0.499984740745262"/>
                </patternFill>
              </fill>
            </x14:dxf>
          </x14:cfRule>
          <x14:cfRule type="expression" priority="17501" stopIfTrue="1" id="{84D24D04-D58F-42BA-8550-283B3EABAEB2}">
            <xm:f>AND(IF(V164='Plan de Accion 2018'!AS156,V164&lt;&gt;"N/A"))</xm:f>
            <x14:dxf>
              <fill>
                <patternFill>
                  <bgColor rgb="FF00B050"/>
                </patternFill>
              </fill>
            </x14:dxf>
          </x14:cfRule>
          <x14:cfRule type="expression" priority="17502" stopIfTrue="1" id="{5B2623EA-C437-49AC-96DD-0EC5EF9260D7}">
            <xm:f>AND(IF(V164&lt;'Plan de Accion 2018'!AS156,V164&lt;&gt;"N/A"))</xm:f>
            <x14:dxf>
              <fill>
                <patternFill>
                  <bgColor indexed="10"/>
                </patternFill>
              </fill>
            </x14:dxf>
          </x14:cfRule>
          <xm:sqref>V164:V165</xm:sqref>
        </x14:conditionalFormatting>
        <x14:conditionalFormatting xmlns:xm="http://schemas.microsoft.com/office/excel/2006/main">
          <x14:cfRule type="expression" priority="17491" id="{5AA9FA82-88C6-47B4-A9C5-AB62C4C976BB}">
            <xm:f>AND(IF(V166&gt;'Plan de Accion 2018'!AS175,V166&lt;&gt;¨N/A¨))</xm:f>
            <x14:dxf>
              <fill>
                <patternFill>
                  <bgColor theme="1" tint="0.499984740745262"/>
                </patternFill>
              </fill>
            </x14:dxf>
          </x14:cfRule>
          <x14:cfRule type="expression" priority="17492" stopIfTrue="1" id="{5DE29CBC-7262-432B-97FD-F5512263C894}">
            <xm:f>AND(IF(V166='Plan de Accion 2018'!AS175,V166&lt;&gt;"N/A"))</xm:f>
            <x14:dxf>
              <fill>
                <patternFill>
                  <bgColor rgb="FF00B050"/>
                </patternFill>
              </fill>
            </x14:dxf>
          </x14:cfRule>
          <x14:cfRule type="expression" priority="17493" stopIfTrue="1" id="{BDF1E6F5-9B70-4727-A8E1-3D3ADC259AA9}">
            <xm:f>AND(IF(V166&lt;'Plan de Accion 2018'!AS175,V166&lt;&gt;"N/A"))</xm:f>
            <x14:dxf>
              <fill>
                <patternFill>
                  <bgColor indexed="10"/>
                </patternFill>
              </fill>
            </x14:dxf>
          </x14:cfRule>
          <xm:sqref>V166:V168</xm:sqref>
        </x14:conditionalFormatting>
        <x14:conditionalFormatting xmlns:xm="http://schemas.microsoft.com/office/excel/2006/main">
          <x14:cfRule type="expression" priority="17467" id="{938DC9C6-9122-47A7-8C53-26337052D67A}">
            <xm:f>AND(IF(V90&gt;'Plan de Accion 2018'!AS172,V90&lt;&gt;¨N/A¨))</xm:f>
            <x14:dxf>
              <fill>
                <patternFill>
                  <bgColor theme="1" tint="0.499984740745262"/>
                </patternFill>
              </fill>
            </x14:dxf>
          </x14:cfRule>
          <x14:cfRule type="expression" priority="17468" stopIfTrue="1" id="{96158919-75C2-43C1-B95F-F4C5C31BFAAC}">
            <xm:f>AND(IF(V90='Plan de Accion 2018'!AS172,V90&lt;&gt;"N/A"))</xm:f>
            <x14:dxf>
              <fill>
                <patternFill>
                  <bgColor rgb="FF00B050"/>
                </patternFill>
              </fill>
            </x14:dxf>
          </x14:cfRule>
          <x14:cfRule type="expression" priority="17469" stopIfTrue="1" id="{D0D1BA5D-501E-4566-8C22-EEFC52B65192}">
            <xm:f>AND(IF(V90&lt;'Plan de Accion 2018'!AS172,V90&lt;&gt;"N/A"))</xm:f>
            <x14:dxf>
              <fill>
                <patternFill>
                  <bgColor indexed="10"/>
                </patternFill>
              </fill>
            </x14:dxf>
          </x14:cfRule>
          <xm:sqref>V90</xm:sqref>
        </x14:conditionalFormatting>
        <x14:conditionalFormatting xmlns:xm="http://schemas.microsoft.com/office/excel/2006/main">
          <x14:cfRule type="expression" priority="17464" id="{7214446E-AFA4-4AF2-9034-B7F1E2C2CB7C}">
            <xm:f>AND(IF(V91&gt;'Plan de Accion 2018'!AS180,V91&lt;&gt;¨N/A¨))</xm:f>
            <x14:dxf>
              <fill>
                <patternFill>
                  <bgColor theme="1" tint="0.499984740745262"/>
                </patternFill>
              </fill>
            </x14:dxf>
          </x14:cfRule>
          <x14:cfRule type="expression" priority="17465" stopIfTrue="1" id="{44323CC4-0625-474B-89F1-706E902740AF}">
            <xm:f>AND(IF(V91='Plan de Accion 2018'!AS180,V91&lt;&gt;"N/A"))</xm:f>
            <x14:dxf>
              <fill>
                <patternFill>
                  <bgColor rgb="FF00B050"/>
                </patternFill>
              </fill>
            </x14:dxf>
          </x14:cfRule>
          <x14:cfRule type="expression" priority="17466" stopIfTrue="1" id="{D9CD71BD-775E-431B-8899-E5C8564B8809}">
            <xm:f>AND(IF(V91&lt;'Plan de Accion 2018'!AS180,V91&lt;&gt;"N/A"))</xm:f>
            <x14:dxf>
              <fill>
                <patternFill>
                  <bgColor indexed="10"/>
                </patternFill>
              </fill>
            </x14:dxf>
          </x14:cfRule>
          <xm:sqref>V91</xm:sqref>
        </x14:conditionalFormatting>
        <x14:conditionalFormatting xmlns:xm="http://schemas.microsoft.com/office/excel/2006/main">
          <x14:cfRule type="expression" priority="17461" id="{3B8999C0-4D6E-49FF-A3AD-AFAE071A9D3A}">
            <xm:f>AND(IF(V92&gt;'Plan de Accion 2018'!AS182,V92&lt;&gt;¨N/A¨))</xm:f>
            <x14:dxf>
              <fill>
                <patternFill>
                  <bgColor theme="1" tint="0.499984740745262"/>
                </patternFill>
              </fill>
            </x14:dxf>
          </x14:cfRule>
          <x14:cfRule type="expression" priority="17462" stopIfTrue="1" id="{50540924-E524-48A7-8938-8A92EB5EE45E}">
            <xm:f>AND(IF(V92='Plan de Accion 2018'!AS182,V92&lt;&gt;"N/A"))</xm:f>
            <x14:dxf>
              <fill>
                <patternFill>
                  <bgColor rgb="FF00B050"/>
                </patternFill>
              </fill>
            </x14:dxf>
          </x14:cfRule>
          <x14:cfRule type="expression" priority="17463" stopIfTrue="1" id="{7C45E433-A13F-4264-B9E4-9619E99EEF11}">
            <xm:f>AND(IF(V92&lt;'Plan de Accion 2018'!AS182,V92&lt;&gt;"N/A"))</xm:f>
            <x14:dxf>
              <fill>
                <patternFill>
                  <bgColor indexed="10"/>
                </patternFill>
              </fill>
            </x14:dxf>
          </x14:cfRule>
          <xm:sqref>V92</xm:sqref>
        </x14:conditionalFormatting>
        <x14:conditionalFormatting xmlns:xm="http://schemas.microsoft.com/office/excel/2006/main">
          <x14:cfRule type="expression" priority="17452" id="{7CAFB880-63C1-45F2-AE0D-C5FDDD53FA52}">
            <xm:f>AND(IF(V99&gt;'Plan de Accion 2018'!AS166,V99&lt;&gt;¨N/A¨))</xm:f>
            <x14:dxf>
              <fill>
                <patternFill>
                  <bgColor theme="1" tint="0.499984740745262"/>
                </patternFill>
              </fill>
            </x14:dxf>
          </x14:cfRule>
          <x14:cfRule type="expression" priority="17453" stopIfTrue="1" id="{F4BFE419-C8B3-40F3-BD37-8574935B65B1}">
            <xm:f>AND(IF(V99='Plan de Accion 2018'!AS166,V99&lt;&gt;"N/A"))</xm:f>
            <x14:dxf>
              <fill>
                <patternFill>
                  <bgColor rgb="FF00B050"/>
                </patternFill>
              </fill>
            </x14:dxf>
          </x14:cfRule>
          <x14:cfRule type="expression" priority="17454" stopIfTrue="1" id="{64151501-E84D-472A-865D-D4FE2F6C0D68}">
            <xm:f>AND(IF(V99&lt;'Plan de Accion 2018'!AS166,V99&lt;&gt;"N/A"))</xm:f>
            <x14:dxf>
              <fill>
                <patternFill>
                  <bgColor indexed="10"/>
                </patternFill>
              </fill>
            </x14:dxf>
          </x14:cfRule>
          <xm:sqref>V102 V99</xm:sqref>
        </x14:conditionalFormatting>
        <x14:conditionalFormatting xmlns:xm="http://schemas.microsoft.com/office/excel/2006/main">
          <x14:cfRule type="expression" priority="17441" id="{8289A572-244A-4381-BF93-BA2425C8B1FD}">
            <xm:f>AND(IF(V103&gt;'Plan de Accion 2018'!AS173,V103&lt;&gt;¨N/A¨))</xm:f>
            <x14:dxf>
              <fill>
                <patternFill>
                  <bgColor theme="1" tint="0.499984740745262"/>
                </patternFill>
              </fill>
            </x14:dxf>
          </x14:cfRule>
          <x14:cfRule type="expression" priority="17442" stopIfTrue="1" id="{05FF23D4-05A8-4770-A180-709299238506}">
            <xm:f>AND(IF(V103='Plan de Accion 2018'!AS173,V103&lt;&gt;"N/A"))</xm:f>
            <x14:dxf>
              <fill>
                <patternFill>
                  <bgColor rgb="FF00B050"/>
                </patternFill>
              </fill>
            </x14:dxf>
          </x14:cfRule>
          <x14:cfRule type="expression" priority="17443" stopIfTrue="1" id="{B9FB368F-5EAF-48DE-A6EB-7AA7914485C5}">
            <xm:f>AND(IF(V103&lt;'Plan de Accion 2018'!AS173,V103&lt;&gt;"N/A"))</xm:f>
            <x14:dxf>
              <fill>
                <patternFill>
                  <bgColor indexed="10"/>
                </patternFill>
              </fill>
            </x14:dxf>
          </x14:cfRule>
          <xm:sqref>V103:V104 V106</xm:sqref>
        </x14:conditionalFormatting>
        <x14:conditionalFormatting xmlns:xm="http://schemas.microsoft.com/office/excel/2006/main">
          <x14:cfRule type="expression" priority="17438" id="{FC618A84-395D-487C-B617-358218306A70}">
            <xm:f>AND(IF(V107&gt;'Plan de Accion 2018'!AS187,V107&lt;&gt;¨N/A¨))</xm:f>
            <x14:dxf>
              <fill>
                <patternFill>
                  <bgColor theme="1" tint="0.499984740745262"/>
                </patternFill>
              </fill>
            </x14:dxf>
          </x14:cfRule>
          <x14:cfRule type="expression" priority="17439" stopIfTrue="1" id="{638FA9B6-1473-4139-A07B-F6FD00261AB3}">
            <xm:f>AND(IF(V107='Plan de Accion 2018'!AS187,V107&lt;&gt;"N/A"))</xm:f>
            <x14:dxf>
              <fill>
                <patternFill>
                  <bgColor rgb="FF00B050"/>
                </patternFill>
              </fill>
            </x14:dxf>
          </x14:cfRule>
          <x14:cfRule type="expression" priority="17440" stopIfTrue="1" id="{D9366432-46FB-4F29-A57C-3C9403C854BE}">
            <xm:f>AND(IF(V107&lt;'Plan de Accion 2018'!AS187,V107&lt;&gt;"N/A"))</xm:f>
            <x14:dxf>
              <fill>
                <patternFill>
                  <bgColor indexed="10"/>
                </patternFill>
              </fill>
            </x14:dxf>
          </x14:cfRule>
          <xm:sqref>V107</xm:sqref>
        </x14:conditionalFormatting>
        <x14:conditionalFormatting xmlns:xm="http://schemas.microsoft.com/office/excel/2006/main">
          <x14:cfRule type="expression" priority="17435" id="{E3B1094F-0559-4BB0-9196-0E49F5D61E2F}">
            <xm:f>AND(IF(V223&gt;'Plan de Accion 2018'!AS171,V223&lt;&gt;¨N/A¨))</xm:f>
            <x14:dxf>
              <fill>
                <patternFill>
                  <bgColor theme="1" tint="0.499984740745262"/>
                </patternFill>
              </fill>
            </x14:dxf>
          </x14:cfRule>
          <x14:cfRule type="expression" priority="17436" stopIfTrue="1" id="{81B9F6A5-EA9B-4A4A-AA47-5D15D17C8ADC}">
            <xm:f>AND(IF(V223='Plan de Accion 2018'!AS171,V223&lt;&gt;"N/A"))</xm:f>
            <x14:dxf>
              <fill>
                <patternFill>
                  <bgColor rgb="FF00B050"/>
                </patternFill>
              </fill>
            </x14:dxf>
          </x14:cfRule>
          <x14:cfRule type="expression" priority="17437" stopIfTrue="1" id="{ADD318B2-7436-4371-AC4C-1F23F281412D}">
            <xm:f>AND(IF(V223&lt;'Plan de Accion 2018'!AS171,V223&lt;&gt;"N/A"))</xm:f>
            <x14:dxf>
              <fill>
                <patternFill>
                  <bgColor indexed="10"/>
                </patternFill>
              </fill>
            </x14:dxf>
          </x14:cfRule>
          <xm:sqref>V223</xm:sqref>
        </x14:conditionalFormatting>
        <x14:conditionalFormatting xmlns:xm="http://schemas.microsoft.com/office/excel/2006/main">
          <x14:cfRule type="expression" priority="17432" id="{65AF48CA-FC9D-4E42-AECB-8D612DC1476F}">
            <xm:f>AND(IF(V235&gt;'Plan de Accion 2018'!AS156,V235&lt;&gt;¨N/A¨))</xm:f>
            <x14:dxf>
              <fill>
                <patternFill>
                  <bgColor theme="1" tint="0.499984740745262"/>
                </patternFill>
              </fill>
            </x14:dxf>
          </x14:cfRule>
          <x14:cfRule type="expression" priority="17433" stopIfTrue="1" id="{DE3A9B37-2057-47BE-832F-CD31597234B4}">
            <xm:f>AND(IF(V235='Plan de Accion 2018'!AS156,V235&lt;&gt;"N/A"))</xm:f>
            <x14:dxf>
              <fill>
                <patternFill>
                  <bgColor rgb="FF00B050"/>
                </patternFill>
              </fill>
            </x14:dxf>
          </x14:cfRule>
          <x14:cfRule type="expression" priority="17434" stopIfTrue="1" id="{01F47C49-371A-4783-8FE8-9CF46627B5B5}">
            <xm:f>AND(IF(V235&lt;'Plan de Accion 2018'!AS156,V235&lt;&gt;"N/A"))</xm:f>
            <x14:dxf>
              <fill>
                <patternFill>
                  <bgColor indexed="10"/>
                </patternFill>
              </fill>
            </x14:dxf>
          </x14:cfRule>
          <xm:sqref>V235</xm:sqref>
        </x14:conditionalFormatting>
        <x14:conditionalFormatting xmlns:xm="http://schemas.microsoft.com/office/excel/2006/main">
          <x14:cfRule type="expression" priority="17429" id="{0D36FE22-0FDB-4241-BB49-96303E25525B}">
            <xm:f>AND(IF(V324&gt;'Plan de Accion 2018'!AS163,V324&lt;&gt;¨N/A¨))</xm:f>
            <x14:dxf>
              <fill>
                <patternFill>
                  <bgColor theme="1" tint="0.499984740745262"/>
                </patternFill>
              </fill>
            </x14:dxf>
          </x14:cfRule>
          <x14:cfRule type="expression" priority="17430" stopIfTrue="1" id="{60095CD0-FCDC-4DF7-BCD0-00F76F562D0D}">
            <xm:f>AND(IF(V324='Plan de Accion 2018'!AS163,V324&lt;&gt;"N/A"))</xm:f>
            <x14:dxf>
              <fill>
                <patternFill>
                  <bgColor rgb="FF00B050"/>
                </patternFill>
              </fill>
            </x14:dxf>
          </x14:cfRule>
          <x14:cfRule type="expression" priority="17431" stopIfTrue="1" id="{2AEF51C4-238A-4048-8D17-C94978C5FFDB}">
            <xm:f>AND(IF(V324&lt;'Plan de Accion 2018'!AS163,V324&lt;&gt;"N/A"))</xm:f>
            <x14:dxf>
              <fill>
                <patternFill>
                  <bgColor indexed="10"/>
                </patternFill>
              </fill>
            </x14:dxf>
          </x14:cfRule>
          <xm:sqref>V324:V326</xm:sqref>
        </x14:conditionalFormatting>
        <x14:conditionalFormatting xmlns:xm="http://schemas.microsoft.com/office/excel/2006/main">
          <x14:cfRule type="expression" priority="17423" id="{783911D8-9EF2-4D5A-885F-0DDF05A50B67}">
            <xm:f>AND(IF(V236&gt;'Plan de Accion 2018'!AS174,V236&lt;&gt;¨N/A¨))</xm:f>
            <x14:dxf>
              <fill>
                <patternFill>
                  <bgColor theme="1" tint="0.499984740745262"/>
                </patternFill>
              </fill>
            </x14:dxf>
          </x14:cfRule>
          <x14:cfRule type="expression" priority="17424" stopIfTrue="1" id="{43523738-6B31-4AE3-9245-DB653413721F}">
            <xm:f>AND(IF(V236='Plan de Accion 2018'!AS174,V236&lt;&gt;"N/A"))</xm:f>
            <x14:dxf>
              <fill>
                <patternFill>
                  <bgColor rgb="FF00B050"/>
                </patternFill>
              </fill>
            </x14:dxf>
          </x14:cfRule>
          <x14:cfRule type="expression" priority="17425" stopIfTrue="1" id="{B4054167-7606-4444-A94E-20AA063E3A15}">
            <xm:f>AND(IF(V236&lt;'Plan de Accion 2018'!AS174,V236&lt;&gt;"N/A"))</xm:f>
            <x14:dxf>
              <fill>
                <patternFill>
                  <bgColor indexed="10"/>
                </patternFill>
              </fill>
            </x14:dxf>
          </x14:cfRule>
          <xm:sqref>V236</xm:sqref>
        </x14:conditionalFormatting>
        <x14:conditionalFormatting xmlns:xm="http://schemas.microsoft.com/office/excel/2006/main">
          <x14:cfRule type="expression" priority="17393" id="{39F45714-7368-4451-852B-2769B81067F3}">
            <xm:f>AND(IF(V334&gt;'Plan de Accion 2018'!AS111,V334&lt;&gt;¨N/A¨))</xm:f>
            <x14:dxf>
              <fill>
                <patternFill>
                  <bgColor theme="1" tint="0.499984740745262"/>
                </patternFill>
              </fill>
            </x14:dxf>
          </x14:cfRule>
          <x14:cfRule type="expression" priority="17394" stopIfTrue="1" id="{A21E42F5-E188-4917-864F-7929ABE4FEAF}">
            <xm:f>AND(IF(V334='Plan de Accion 2018'!AS111,V334&lt;&gt;"N/A"))</xm:f>
            <x14:dxf>
              <fill>
                <patternFill>
                  <bgColor rgb="FF00B050"/>
                </patternFill>
              </fill>
            </x14:dxf>
          </x14:cfRule>
          <x14:cfRule type="expression" priority="17395" stopIfTrue="1" id="{54CAC44D-0D31-4D12-9F3C-D27FA10142B9}">
            <xm:f>AND(IF(V334&lt;'Plan de Accion 2018'!AS111,V334&lt;&gt;"N/A"))</xm:f>
            <x14:dxf>
              <fill>
                <patternFill>
                  <bgColor indexed="10"/>
                </patternFill>
              </fill>
            </x14:dxf>
          </x14:cfRule>
          <xm:sqref>V334:V355</xm:sqref>
        </x14:conditionalFormatting>
        <x14:conditionalFormatting xmlns:xm="http://schemas.microsoft.com/office/excel/2006/main">
          <x14:cfRule type="expression" priority="17378" id="{03D6D65B-04D5-4182-BE80-CFD5DDDDC102}">
            <xm:f>AND(IF(V177&gt;'Plan de Accion 2018'!AS177,V177&lt;&gt;¨N/A¨))</xm:f>
            <x14:dxf>
              <fill>
                <patternFill>
                  <bgColor theme="1" tint="0.499984740745262"/>
                </patternFill>
              </fill>
            </x14:dxf>
          </x14:cfRule>
          <x14:cfRule type="expression" priority="17379" stopIfTrue="1" id="{F9557300-0DBD-46A2-B266-D83B13EAE9B8}">
            <xm:f>AND(IF(V177='Plan de Accion 2018'!AS177,V177&lt;&gt;"N/A"))</xm:f>
            <x14:dxf>
              <fill>
                <patternFill>
                  <bgColor rgb="FF00B050"/>
                </patternFill>
              </fill>
            </x14:dxf>
          </x14:cfRule>
          <x14:cfRule type="expression" priority="17380" stopIfTrue="1" id="{C752509E-8738-4CB7-9153-B4F2B3F8EA79}">
            <xm:f>AND(IF(V177&lt;'Plan de Accion 2018'!AS177,V177&lt;&gt;"N/A"))</xm:f>
            <x14:dxf>
              <fill>
                <patternFill>
                  <bgColor indexed="10"/>
                </patternFill>
              </fill>
            </x14:dxf>
          </x14:cfRule>
          <xm:sqref>V177:V178</xm:sqref>
        </x14:conditionalFormatting>
        <x14:conditionalFormatting xmlns:xm="http://schemas.microsoft.com/office/excel/2006/main">
          <x14:cfRule type="expression" priority="17327" id="{8B10F846-51BE-4414-B35D-153C5ED0ED4B}">
            <xm:f>AND(IF(V327&gt;'Plan de Accion 2018'!AS169,V327&lt;&gt;¨N/A¨))</xm:f>
            <x14:dxf>
              <fill>
                <patternFill>
                  <bgColor theme="1" tint="0.499984740745262"/>
                </patternFill>
              </fill>
            </x14:dxf>
          </x14:cfRule>
          <x14:cfRule type="expression" priority="17328" stopIfTrue="1" id="{411A602E-D103-4E99-AF72-DC51F9713946}">
            <xm:f>AND(IF(V327='Plan de Accion 2018'!AS169,V327&lt;&gt;"N/A"))</xm:f>
            <x14:dxf>
              <fill>
                <patternFill>
                  <bgColor rgb="FF00B050"/>
                </patternFill>
              </fill>
            </x14:dxf>
          </x14:cfRule>
          <x14:cfRule type="expression" priority="17329" stopIfTrue="1" id="{C51B46F2-26D0-4BE4-8F48-FCAECD5160C6}">
            <xm:f>AND(IF(V327&lt;'Plan de Accion 2018'!AS169,V327&lt;&gt;"N/A"))</xm:f>
            <x14:dxf>
              <fill>
                <patternFill>
                  <bgColor indexed="10"/>
                </patternFill>
              </fill>
            </x14:dxf>
          </x14:cfRule>
          <xm:sqref>V327:V330</xm:sqref>
        </x14:conditionalFormatting>
        <x14:conditionalFormatting xmlns:xm="http://schemas.microsoft.com/office/excel/2006/main">
          <x14:cfRule type="expression" priority="17318" id="{CE17D25D-F00B-41B1-A419-F87437BB7CA5}">
            <xm:f>AND(IF(V203&gt;'Plan de Accion 2018'!AS71,V203&lt;&gt;¨N/A¨))</xm:f>
            <x14:dxf>
              <fill>
                <patternFill>
                  <bgColor theme="1" tint="0.499984740745262"/>
                </patternFill>
              </fill>
            </x14:dxf>
          </x14:cfRule>
          <x14:cfRule type="expression" priority="17319" stopIfTrue="1" id="{B8BEC380-8065-4DFC-942B-08184E60BDB4}">
            <xm:f>AND(IF(V203='Plan de Accion 2018'!AS71,V203&lt;&gt;"N/A"))</xm:f>
            <x14:dxf>
              <fill>
                <patternFill>
                  <bgColor rgb="FF00B050"/>
                </patternFill>
              </fill>
            </x14:dxf>
          </x14:cfRule>
          <x14:cfRule type="expression" priority="17320" stopIfTrue="1" id="{A8855E53-288C-4EF5-BC08-364DA3984A1C}">
            <xm:f>AND(IF(V203&lt;'Plan de Accion 2018'!AS71,V203&lt;&gt;"N/A"))</xm:f>
            <x14:dxf>
              <fill>
                <patternFill>
                  <bgColor indexed="10"/>
                </patternFill>
              </fill>
            </x14:dxf>
          </x14:cfRule>
          <xm:sqref>V291:V292 V203</xm:sqref>
        </x14:conditionalFormatting>
        <x14:conditionalFormatting xmlns:xm="http://schemas.microsoft.com/office/excel/2006/main">
          <x14:cfRule type="expression" priority="17258" id="{FED11198-6B63-4F33-B83E-0CDF00E72654}">
            <xm:f>AND(IF(V113&gt;'Plan de Accion 2018'!AS62,V113&lt;&gt;¨N/A¨))</xm:f>
            <x14:dxf>
              <fill>
                <patternFill>
                  <bgColor theme="1" tint="0.499984740745262"/>
                </patternFill>
              </fill>
            </x14:dxf>
          </x14:cfRule>
          <x14:cfRule type="expression" priority="17259" stopIfTrue="1" id="{A20BA1EB-D4E3-4AA8-A2C0-3787A26DFE80}">
            <xm:f>AND(IF(V113='Plan de Accion 2018'!AS62,V113&lt;&gt;"N/A"))</xm:f>
            <x14:dxf>
              <fill>
                <patternFill>
                  <bgColor rgb="FF00B050"/>
                </patternFill>
              </fill>
            </x14:dxf>
          </x14:cfRule>
          <x14:cfRule type="expression" priority="17260" stopIfTrue="1" id="{47B853B9-3C06-44C8-997D-37D77C5D9C16}">
            <xm:f>AND(IF(V113&lt;'Plan de Accion 2018'!AS62,V113&lt;&gt;"N/A"))</xm:f>
            <x14:dxf>
              <fill>
                <patternFill>
                  <bgColor indexed="10"/>
                </patternFill>
              </fill>
            </x14:dxf>
          </x14:cfRule>
          <xm:sqref>V224 V113:V115</xm:sqref>
        </x14:conditionalFormatting>
        <x14:conditionalFormatting xmlns:xm="http://schemas.microsoft.com/office/excel/2006/main">
          <x14:cfRule type="expression" priority="17255" id="{747A0A57-DFCE-443B-9B57-650BDDBCF14B}">
            <xm:f>AND(IF(V225&gt;'Plan de Accion 2018'!AS179,V225&lt;&gt;¨N/A¨))</xm:f>
            <x14:dxf>
              <fill>
                <patternFill>
                  <bgColor theme="1" tint="0.499984740745262"/>
                </patternFill>
              </fill>
            </x14:dxf>
          </x14:cfRule>
          <x14:cfRule type="expression" priority="17256" stopIfTrue="1" id="{01E1F1EF-8B53-4381-8E72-635E59F650E3}">
            <xm:f>AND(IF(V225='Plan de Accion 2018'!AS179,V225&lt;&gt;"N/A"))</xm:f>
            <x14:dxf>
              <fill>
                <patternFill>
                  <bgColor rgb="FF00B050"/>
                </patternFill>
              </fill>
            </x14:dxf>
          </x14:cfRule>
          <x14:cfRule type="expression" priority="17257" stopIfTrue="1" id="{89AF6C20-31B2-4568-9618-4C819F02A339}">
            <xm:f>AND(IF(V225&lt;'Plan de Accion 2018'!AS179,V225&lt;&gt;"N/A"))</xm:f>
            <x14:dxf>
              <fill>
                <patternFill>
                  <bgColor indexed="10"/>
                </patternFill>
              </fill>
            </x14:dxf>
          </x14:cfRule>
          <xm:sqref>V225</xm:sqref>
        </x14:conditionalFormatting>
        <x14:conditionalFormatting xmlns:xm="http://schemas.microsoft.com/office/excel/2006/main">
          <x14:cfRule type="expression" priority="17252" id="{20FD569D-676D-457E-8814-F3226C6D75A1}">
            <xm:f>AND(IF(V226&gt;'Plan de Accion 2018'!AS181,V226&lt;&gt;¨N/A¨))</xm:f>
            <x14:dxf>
              <fill>
                <patternFill>
                  <bgColor theme="1" tint="0.499984740745262"/>
                </patternFill>
              </fill>
            </x14:dxf>
          </x14:cfRule>
          <x14:cfRule type="expression" priority="17253" stopIfTrue="1" id="{39189770-CF5A-4E54-B2E9-BAB9DA82A94C}">
            <xm:f>AND(IF(V226='Plan de Accion 2018'!AS181,V226&lt;&gt;"N/A"))</xm:f>
            <x14:dxf>
              <fill>
                <patternFill>
                  <bgColor rgb="FF00B050"/>
                </patternFill>
              </fill>
            </x14:dxf>
          </x14:cfRule>
          <x14:cfRule type="expression" priority="17254" stopIfTrue="1" id="{3CB8A752-16A7-46D3-A91D-2F0FF96CB602}">
            <xm:f>AND(IF(V226&lt;'Plan de Accion 2018'!AS181,V226&lt;&gt;"N/A"))</xm:f>
            <x14:dxf>
              <fill>
                <patternFill>
                  <bgColor indexed="10"/>
                </patternFill>
              </fill>
            </x14:dxf>
          </x14:cfRule>
          <xm:sqref>V226</xm:sqref>
        </x14:conditionalFormatting>
        <x14:conditionalFormatting xmlns:xm="http://schemas.microsoft.com/office/excel/2006/main">
          <x14:cfRule type="expression" priority="17249" id="{0093050E-9B02-4C8B-B72C-9D10F3B585D9}">
            <xm:f>AND(IF(V376&gt;'Plan de Accion 2018'!AS136,V376&lt;&gt;¨N/A¨))</xm:f>
            <x14:dxf>
              <fill>
                <patternFill>
                  <bgColor theme="1" tint="0.499984740745262"/>
                </patternFill>
              </fill>
            </x14:dxf>
          </x14:cfRule>
          <x14:cfRule type="expression" priority="17250" stopIfTrue="1" id="{C7CB7423-69F4-46D9-90FC-7E531F4B3C1C}">
            <xm:f>AND(IF(V376='Plan de Accion 2018'!AS136,V376&lt;&gt;"N/A"))</xm:f>
            <x14:dxf>
              <fill>
                <patternFill>
                  <bgColor rgb="FF00B050"/>
                </patternFill>
              </fill>
            </x14:dxf>
          </x14:cfRule>
          <x14:cfRule type="expression" priority="17251" stopIfTrue="1" id="{B714F7BD-34F9-49FB-B14A-825173BE5014}">
            <xm:f>AND(IF(V376&lt;'Plan de Accion 2018'!AS136,V376&lt;&gt;"N/A"))</xm:f>
            <x14:dxf>
              <fill>
                <patternFill>
                  <bgColor indexed="10"/>
                </patternFill>
              </fill>
            </x14:dxf>
          </x14:cfRule>
          <xm:sqref>V376:V377</xm:sqref>
        </x14:conditionalFormatting>
        <x14:conditionalFormatting xmlns:xm="http://schemas.microsoft.com/office/excel/2006/main">
          <x14:cfRule type="expression" priority="17240" id="{3CB22836-FE56-4603-9AF8-C954F93BEDC9}">
            <xm:f>AND(IF(V231&gt;'Plan de Accion 2018'!AS63,V231&lt;&gt;¨N/A¨))</xm:f>
            <x14:dxf>
              <fill>
                <patternFill>
                  <bgColor theme="1" tint="0.499984740745262"/>
                </patternFill>
              </fill>
            </x14:dxf>
          </x14:cfRule>
          <x14:cfRule type="expression" priority="17241" stopIfTrue="1" id="{5C73FD31-B063-4949-ABD4-80465FACA59A}">
            <xm:f>AND(IF(V231='Plan de Accion 2018'!AS63,V231&lt;&gt;"N/A"))</xm:f>
            <x14:dxf>
              <fill>
                <patternFill>
                  <bgColor rgb="FF00B050"/>
                </patternFill>
              </fill>
            </x14:dxf>
          </x14:cfRule>
          <x14:cfRule type="expression" priority="17242" stopIfTrue="1" id="{3350EFD4-123A-4356-88D7-929593B29394}">
            <xm:f>AND(IF(V231&lt;'Plan de Accion 2018'!AS63,V231&lt;&gt;"N/A"))</xm:f>
            <x14:dxf>
              <fill>
                <patternFill>
                  <bgColor indexed="10"/>
                </patternFill>
              </fill>
            </x14:dxf>
          </x14:cfRule>
          <xm:sqref>V231</xm:sqref>
        </x14:conditionalFormatting>
        <x14:conditionalFormatting xmlns:xm="http://schemas.microsoft.com/office/excel/2006/main">
          <x14:cfRule type="expression" priority="17231" id="{101D77A3-05AE-4959-8A32-DD9C91F7F4CB}">
            <xm:f>AND(IF(V331&gt;'Plan de Accion 2018'!AS187,V331&lt;&gt;¨N/A¨))</xm:f>
            <x14:dxf>
              <fill>
                <patternFill>
                  <bgColor theme="1" tint="0.499984740745262"/>
                </patternFill>
              </fill>
            </x14:dxf>
          </x14:cfRule>
          <x14:cfRule type="expression" priority="17232" stopIfTrue="1" id="{52D6CCA1-3C6E-40BA-A293-2ACFCEE97573}">
            <xm:f>AND(IF(V331='Plan de Accion 2018'!AS187,V331&lt;&gt;"N/A"))</xm:f>
            <x14:dxf>
              <fill>
                <patternFill>
                  <bgColor rgb="FF00B050"/>
                </patternFill>
              </fill>
            </x14:dxf>
          </x14:cfRule>
          <x14:cfRule type="expression" priority="17233" stopIfTrue="1" id="{D3647766-93EF-40A7-A578-C77F2485DDFE}">
            <xm:f>AND(IF(V331&lt;'Plan de Accion 2018'!AS187,V331&lt;&gt;"N/A"))</xm:f>
            <x14:dxf>
              <fill>
                <patternFill>
                  <bgColor indexed="10"/>
                </patternFill>
              </fill>
            </x14:dxf>
          </x14:cfRule>
          <xm:sqref>V331</xm:sqref>
        </x14:conditionalFormatting>
        <x14:conditionalFormatting xmlns:xm="http://schemas.microsoft.com/office/excel/2006/main">
          <x14:cfRule type="expression" priority="17222" id="{4CE72EB7-3790-4299-A5CE-18CDF786FDFF}">
            <xm:f>AND(IF(V323&gt;'Plan de Accion 2018'!AS72,V323&lt;&gt;¨N/A¨))</xm:f>
            <x14:dxf>
              <fill>
                <patternFill>
                  <bgColor theme="1" tint="0.499984740745262"/>
                </patternFill>
              </fill>
            </x14:dxf>
          </x14:cfRule>
          <x14:cfRule type="expression" priority="17223" stopIfTrue="1" id="{78001223-06BC-4316-954D-D35160F3D0B2}">
            <xm:f>AND(IF(V323='Plan de Accion 2018'!AS72,V323&lt;&gt;"N/A"))</xm:f>
            <x14:dxf>
              <fill>
                <patternFill>
                  <bgColor rgb="FF00B050"/>
                </patternFill>
              </fill>
            </x14:dxf>
          </x14:cfRule>
          <x14:cfRule type="expression" priority="17224" stopIfTrue="1" id="{EDAF408B-AC99-46D1-A55C-05515FB950EB}">
            <xm:f>AND(IF(V323&lt;'Plan de Accion 2018'!AS72,V323&lt;&gt;"N/A"))</xm:f>
            <x14:dxf>
              <fill>
                <patternFill>
                  <bgColor indexed="10"/>
                </patternFill>
              </fill>
            </x14:dxf>
          </x14:cfRule>
          <xm:sqref>V323</xm:sqref>
        </x14:conditionalFormatting>
        <x14:conditionalFormatting xmlns:xm="http://schemas.microsoft.com/office/excel/2006/main">
          <x14:cfRule type="expression" priority="17216" id="{85D27FD3-230F-4B73-A37F-EAF5799485C4}">
            <xm:f>AND(IF(V356&gt;'Plan de Accion 2018'!AS112,V356&lt;&gt;¨N/A¨))</xm:f>
            <x14:dxf>
              <fill>
                <patternFill>
                  <bgColor theme="1" tint="0.499984740745262"/>
                </patternFill>
              </fill>
            </x14:dxf>
          </x14:cfRule>
          <x14:cfRule type="expression" priority="17217" stopIfTrue="1" id="{340FEBC7-9F4A-4512-8CC9-1214706CEF0E}">
            <xm:f>AND(IF(V356='Plan de Accion 2018'!AS112,V356&lt;&gt;"N/A"))</xm:f>
            <x14:dxf>
              <fill>
                <patternFill>
                  <bgColor rgb="FF00B050"/>
                </patternFill>
              </fill>
            </x14:dxf>
          </x14:cfRule>
          <x14:cfRule type="expression" priority="17218" stopIfTrue="1" id="{975397B7-5CD1-4695-864E-C6CE4947878B}">
            <xm:f>AND(IF(V356&lt;'Plan de Accion 2018'!AS112,V356&lt;&gt;"N/A"))</xm:f>
            <x14:dxf>
              <fill>
                <patternFill>
                  <bgColor indexed="10"/>
                </patternFill>
              </fill>
            </x14:dxf>
          </x14:cfRule>
          <xm:sqref>V356:V362</xm:sqref>
        </x14:conditionalFormatting>
        <x14:conditionalFormatting xmlns:xm="http://schemas.microsoft.com/office/excel/2006/main">
          <x14:cfRule type="expression" priority="17177" id="{CEE550D8-B190-410C-8443-EB67CC8CB876}">
            <xm:f>AND(IF(V282&gt;'Plan de Accion 2018'!AS154,V282&lt;&gt;¨N/A¨))</xm:f>
            <x14:dxf>
              <fill>
                <patternFill>
                  <bgColor theme="1" tint="0.499984740745262"/>
                </patternFill>
              </fill>
            </x14:dxf>
          </x14:cfRule>
          <x14:cfRule type="expression" priority="17178" stopIfTrue="1" id="{1ADA769B-C43D-4CD4-90A6-72168FD15D1E}">
            <xm:f>AND(IF(V282='Plan de Accion 2018'!AS154,V282&lt;&gt;"N/A"))</xm:f>
            <x14:dxf>
              <fill>
                <patternFill>
                  <bgColor rgb="FF00B050"/>
                </patternFill>
              </fill>
            </x14:dxf>
          </x14:cfRule>
          <x14:cfRule type="expression" priority="17179" stopIfTrue="1" id="{ED4A7763-D171-4EF9-93F0-9B8C8350DF9F}">
            <xm:f>AND(IF(V282&lt;'Plan de Accion 2018'!AS154,V282&lt;&gt;"N/A"))</xm:f>
            <x14:dxf>
              <fill>
                <patternFill>
                  <bgColor indexed="10"/>
                </patternFill>
              </fill>
            </x14:dxf>
          </x14:cfRule>
          <xm:sqref>V378:V379 V299:V302 V282:V285 V305</xm:sqref>
        </x14:conditionalFormatting>
        <x14:conditionalFormatting xmlns:xm="http://schemas.microsoft.com/office/excel/2006/main">
          <x14:cfRule type="expression" priority="17156" id="{2B10CB12-2E8C-40FB-8733-D490235C8494}">
            <xm:f>AND(IF(V304&gt;'Plan de Accion 2018'!AS62,V304&lt;&gt;¨N/A¨))</xm:f>
            <x14:dxf>
              <fill>
                <patternFill>
                  <bgColor theme="1" tint="0.499984740745262"/>
                </patternFill>
              </fill>
            </x14:dxf>
          </x14:cfRule>
          <x14:cfRule type="expression" priority="17157" stopIfTrue="1" id="{6598EF9D-A416-44C8-8889-69C41D232E93}">
            <xm:f>AND(IF(V304='Plan de Accion 2018'!AS62,V304&lt;&gt;"N/A"))</xm:f>
            <x14:dxf>
              <fill>
                <patternFill>
                  <bgColor rgb="FF00B050"/>
                </patternFill>
              </fill>
            </x14:dxf>
          </x14:cfRule>
          <x14:cfRule type="expression" priority="17158" stopIfTrue="1" id="{5CA65FA1-5CC4-42E7-8705-2CC0D6CB9BF7}">
            <xm:f>AND(IF(V304&lt;'Plan de Accion 2018'!AS62,V304&lt;&gt;"N/A"))</xm:f>
            <x14:dxf>
              <fill>
                <patternFill>
                  <bgColor indexed="10"/>
                </patternFill>
              </fill>
            </x14:dxf>
          </x14:cfRule>
          <xm:sqref>V380:V381 V304</xm:sqref>
        </x14:conditionalFormatting>
        <x14:conditionalFormatting xmlns:xm="http://schemas.microsoft.com/office/excel/2006/main">
          <x14:cfRule type="expression" priority="17150" id="{9AFDBDE2-1A63-4B30-9E1E-C6407DF021A9}">
            <xm:f>AND(IF(V308&gt;'Plan de Accion 2018'!AS78,V308&lt;&gt;¨N/A¨))</xm:f>
            <x14:dxf>
              <fill>
                <patternFill>
                  <bgColor theme="1" tint="0.499984740745262"/>
                </patternFill>
              </fill>
            </x14:dxf>
          </x14:cfRule>
          <x14:cfRule type="expression" priority="17151" stopIfTrue="1" id="{5EC3DE53-5B93-41D5-BFA8-FD558E2371AE}">
            <xm:f>AND(IF(V308='Plan de Accion 2018'!AS78,V308&lt;&gt;"N/A"))</xm:f>
            <x14:dxf>
              <fill>
                <patternFill>
                  <bgColor rgb="FF00B050"/>
                </patternFill>
              </fill>
            </x14:dxf>
          </x14:cfRule>
          <x14:cfRule type="expression" priority="17152" stopIfTrue="1" id="{B63A31A8-CB46-47F2-BB67-CC095816BD5D}">
            <xm:f>AND(IF(V308&lt;'Plan de Accion 2018'!AS78,V308&lt;&gt;"N/A"))</xm:f>
            <x14:dxf>
              <fill>
                <patternFill>
                  <bgColor indexed="10"/>
                </patternFill>
              </fill>
            </x14:dxf>
          </x14:cfRule>
          <xm:sqref>V308:V319</xm:sqref>
        </x14:conditionalFormatting>
        <x14:conditionalFormatting xmlns:xm="http://schemas.microsoft.com/office/excel/2006/main">
          <x14:cfRule type="expression" priority="17099" id="{43E12CD1-1B85-4B6D-8419-2AF18B8FB1FE}">
            <xm:f>AND(IF(AC18&gt;'Plan de Accion 2018'!BC178,AC18&lt;&gt;¨N/A¨))</xm:f>
            <x14:dxf>
              <fill>
                <patternFill>
                  <bgColor theme="1" tint="0.499984740745262"/>
                </patternFill>
              </fill>
            </x14:dxf>
          </x14:cfRule>
          <x14:cfRule type="expression" priority="17100" stopIfTrue="1" id="{A0B20F42-BDC1-4B4B-8FF9-BDE9020A2C94}">
            <xm:f>AND(IF(AC18='Plan de Accion 2018'!BC178,AC18&lt;&gt;"N/A"))</xm:f>
            <x14:dxf>
              <fill>
                <patternFill>
                  <bgColor rgb="FF00B050"/>
                </patternFill>
              </fill>
            </x14:dxf>
          </x14:cfRule>
          <x14:cfRule type="expression" priority="17101" stopIfTrue="1" id="{7DB5BB64-AD6D-4269-8651-FEB763EA6929}">
            <xm:f>AND(IF(AC18&lt;'Plan de Accion 2018'!BC178,AC18&lt;&gt;"N/A"))</xm:f>
            <x14:dxf>
              <fill>
                <patternFill>
                  <bgColor indexed="10"/>
                </patternFill>
              </fill>
            </x14:dxf>
          </x14:cfRule>
          <xm:sqref>AC18</xm:sqref>
        </x14:conditionalFormatting>
        <x14:conditionalFormatting xmlns:xm="http://schemas.microsoft.com/office/excel/2006/main">
          <x14:cfRule type="expression" priority="17096" id="{4D29586C-CB71-418D-AD3C-7F72B69F7657}">
            <xm:f>AND(IF(AC19&gt;'Plan de Accion 2018'!BC136,AC19&lt;&gt;¨N/A¨))</xm:f>
            <x14:dxf>
              <fill>
                <patternFill>
                  <bgColor theme="1" tint="0.499984740745262"/>
                </patternFill>
              </fill>
            </x14:dxf>
          </x14:cfRule>
          <x14:cfRule type="expression" priority="17097" stopIfTrue="1" id="{E0E33144-0848-4152-8164-C32048E32DD9}">
            <xm:f>AND(IF(AC19='Plan de Accion 2018'!BC136,AC19&lt;&gt;"N/A"))</xm:f>
            <x14:dxf>
              <fill>
                <patternFill>
                  <bgColor rgb="FF00B050"/>
                </patternFill>
              </fill>
            </x14:dxf>
          </x14:cfRule>
          <x14:cfRule type="expression" priority="17098" stopIfTrue="1" id="{AEDFE661-7F17-4A35-9F09-957B2F7011FF}">
            <xm:f>AND(IF(AC19&lt;'Plan de Accion 2018'!BC136,AC19&lt;&gt;"N/A"))</xm:f>
            <x14:dxf>
              <fill>
                <patternFill>
                  <bgColor indexed="10"/>
                </patternFill>
              </fill>
            </x14:dxf>
          </x14:cfRule>
          <xm:sqref>AC19</xm:sqref>
        </x14:conditionalFormatting>
        <x14:conditionalFormatting xmlns:xm="http://schemas.microsoft.com/office/excel/2006/main">
          <x14:cfRule type="expression" priority="17093" id="{932BC42F-22AF-4A73-AF18-EDFB13B78127}">
            <xm:f>AND(IF(AC20&gt;'Plan de Accion 2018'!BC141,AC20&lt;&gt;¨N/A¨))</xm:f>
            <x14:dxf>
              <fill>
                <patternFill>
                  <bgColor theme="1" tint="0.499984740745262"/>
                </patternFill>
              </fill>
            </x14:dxf>
          </x14:cfRule>
          <x14:cfRule type="expression" priority="17094" stopIfTrue="1" id="{28093278-00B3-49ED-A557-C9F0D354E007}">
            <xm:f>AND(IF(AC20='Plan de Accion 2018'!BC141,AC20&lt;&gt;"N/A"))</xm:f>
            <x14:dxf>
              <fill>
                <patternFill>
                  <bgColor rgb="FF00B050"/>
                </patternFill>
              </fill>
            </x14:dxf>
          </x14:cfRule>
          <x14:cfRule type="expression" priority="17095" stopIfTrue="1" id="{DDB8731F-9637-490F-BCBD-355C5E42120F}">
            <xm:f>AND(IF(AC20&lt;'Plan de Accion 2018'!BC141,AC20&lt;&gt;"N/A"))</xm:f>
            <x14:dxf>
              <fill>
                <patternFill>
                  <bgColor indexed="10"/>
                </patternFill>
              </fill>
            </x14:dxf>
          </x14:cfRule>
          <xm:sqref>AC20:AC21</xm:sqref>
        </x14:conditionalFormatting>
        <x14:conditionalFormatting xmlns:xm="http://schemas.microsoft.com/office/excel/2006/main">
          <x14:cfRule type="expression" priority="17087" id="{8A8990B3-40DA-4A1F-9F7A-76082058B2E3}">
            <xm:f>AND(IF(AC22&gt;'Plan de Accion 2018'!BC146,AC22&lt;&gt;¨N/A¨))</xm:f>
            <x14:dxf>
              <fill>
                <patternFill>
                  <bgColor theme="1" tint="0.499984740745262"/>
                </patternFill>
              </fill>
            </x14:dxf>
          </x14:cfRule>
          <x14:cfRule type="expression" priority="17088" stopIfTrue="1" id="{BCAE20C7-FADB-4CC7-898D-86AB90BD2072}">
            <xm:f>AND(IF(AC22='Plan de Accion 2018'!BC146,AC22&lt;&gt;"N/A"))</xm:f>
            <x14:dxf>
              <fill>
                <patternFill>
                  <bgColor rgb="FF00B050"/>
                </patternFill>
              </fill>
            </x14:dxf>
          </x14:cfRule>
          <x14:cfRule type="expression" priority="17089" stopIfTrue="1" id="{13466565-A595-4D32-9FD4-CBEA8CA005B4}">
            <xm:f>AND(IF(AC22&lt;'Plan de Accion 2018'!BC146,AC22&lt;&gt;"N/A"))</xm:f>
            <x14:dxf>
              <fill>
                <patternFill>
                  <bgColor indexed="10"/>
                </patternFill>
              </fill>
            </x14:dxf>
          </x14:cfRule>
          <xm:sqref>AC22</xm:sqref>
        </x14:conditionalFormatting>
        <x14:conditionalFormatting xmlns:xm="http://schemas.microsoft.com/office/excel/2006/main">
          <x14:cfRule type="expression" priority="17072" id="{EF91FFB7-73FE-4E00-A85C-9930A2E457B8}">
            <xm:f>AND(IF(AC28&gt;'Plan de Accion 2018'!BC143,AC28&lt;&gt;¨N/A¨))</xm:f>
            <x14:dxf>
              <fill>
                <patternFill>
                  <bgColor theme="1" tint="0.499984740745262"/>
                </patternFill>
              </fill>
            </x14:dxf>
          </x14:cfRule>
          <x14:cfRule type="expression" priority="17073" stopIfTrue="1" id="{E660BA31-4813-4C7E-989E-6563B904DEBE}">
            <xm:f>AND(IF(AC28='Plan de Accion 2018'!BC143,AC28&lt;&gt;"N/A"))</xm:f>
            <x14:dxf>
              <fill>
                <patternFill>
                  <bgColor rgb="FF00B050"/>
                </patternFill>
              </fill>
            </x14:dxf>
          </x14:cfRule>
          <x14:cfRule type="expression" priority="17074" stopIfTrue="1" id="{5F36C6BC-55DB-447A-A65C-7B808C15CBCA}">
            <xm:f>AND(IF(AC28&lt;'Plan de Accion 2018'!BC143,AC28&lt;&gt;"N/A"))</xm:f>
            <x14:dxf>
              <fill>
                <patternFill>
                  <bgColor indexed="10"/>
                </patternFill>
              </fill>
            </x14:dxf>
          </x14:cfRule>
          <xm:sqref>AC28:AC29 AC31:AC33</xm:sqref>
        </x14:conditionalFormatting>
        <x14:conditionalFormatting xmlns:xm="http://schemas.microsoft.com/office/excel/2006/main">
          <x14:cfRule type="expression" priority="17060" id="{2837BB7E-420C-49ED-B9A1-CBA32BD07DFA}">
            <xm:f>AND(IF(AC216&gt;'Plan de Accion 2018'!BC159,AC216&lt;&gt;¨N/A¨))</xm:f>
            <x14:dxf>
              <fill>
                <patternFill>
                  <bgColor theme="1" tint="0.499984740745262"/>
                </patternFill>
              </fill>
            </x14:dxf>
          </x14:cfRule>
          <x14:cfRule type="expression" priority="17061" stopIfTrue="1" id="{D13AEA9A-B98C-4254-9E17-6D08574C0136}">
            <xm:f>AND(IF(AC216='Plan de Accion 2018'!BC159,AC216&lt;&gt;"N/A"))</xm:f>
            <x14:dxf>
              <fill>
                <patternFill>
                  <bgColor rgb="FF00B050"/>
                </patternFill>
              </fill>
            </x14:dxf>
          </x14:cfRule>
          <x14:cfRule type="expression" priority="17062" stopIfTrue="1" id="{1D4B924E-9FC7-4DAC-AFD8-08653AAD98CF}">
            <xm:f>AND(IF(AC216&lt;'Plan de Accion 2018'!BC159,AC216&lt;&gt;"N/A"))</xm:f>
            <x14:dxf>
              <fill>
                <patternFill>
                  <bgColor indexed="10"/>
                </patternFill>
              </fill>
            </x14:dxf>
          </x14:cfRule>
          <xm:sqref>AC216:AC219</xm:sqref>
        </x14:conditionalFormatting>
        <x14:conditionalFormatting xmlns:xm="http://schemas.microsoft.com/office/excel/2006/main">
          <x14:cfRule type="expression" priority="17054" id="{A5B72F2B-F1F0-4BF0-A4CF-C2A53293F2B5}">
            <xm:f>AND(IF(AC42&gt;'Plan de Accion 2018'!BC176,AC42&lt;&gt;¨N/A¨))</xm:f>
            <x14:dxf>
              <fill>
                <patternFill>
                  <bgColor theme="1" tint="0.499984740745262"/>
                </patternFill>
              </fill>
            </x14:dxf>
          </x14:cfRule>
          <x14:cfRule type="expression" priority="17055" stopIfTrue="1" id="{2B535A83-EE66-4896-B871-01E3801CD721}">
            <xm:f>AND(IF(AC42='Plan de Accion 2018'!BC176,AC42&lt;&gt;"N/A"))</xm:f>
            <x14:dxf>
              <fill>
                <patternFill>
                  <bgColor rgb="FF00B050"/>
                </patternFill>
              </fill>
            </x14:dxf>
          </x14:cfRule>
          <x14:cfRule type="expression" priority="17056" stopIfTrue="1" id="{167D038F-4ACB-4583-A8BA-A78B28C10F87}">
            <xm:f>AND(IF(AC42&lt;'Plan de Accion 2018'!BC176,AC42&lt;&gt;"N/A"))</xm:f>
            <x14:dxf>
              <fill>
                <patternFill>
                  <bgColor indexed="10"/>
                </patternFill>
              </fill>
            </x14:dxf>
          </x14:cfRule>
          <xm:sqref>AC42</xm:sqref>
        </x14:conditionalFormatting>
        <x14:conditionalFormatting xmlns:xm="http://schemas.microsoft.com/office/excel/2006/main">
          <x14:cfRule type="expression" priority="16979" id="{2EC01AA9-18E7-4713-844C-C138CD3CC750}">
            <xm:f>AND(IF(AC220&gt;'Plan de Accion 2018'!BC166,AC220&lt;&gt;¨N/A¨))</xm:f>
            <x14:dxf>
              <fill>
                <patternFill>
                  <bgColor theme="1" tint="0.499984740745262"/>
                </patternFill>
              </fill>
            </x14:dxf>
          </x14:cfRule>
          <x14:cfRule type="expression" priority="16980" stopIfTrue="1" id="{A5BA991E-B542-4B17-B359-415EC248DC6B}">
            <xm:f>AND(IF(AC220='Plan de Accion 2018'!BC166,AC220&lt;&gt;"N/A"))</xm:f>
            <x14:dxf>
              <fill>
                <patternFill>
                  <bgColor rgb="FF00B050"/>
                </patternFill>
              </fill>
            </x14:dxf>
          </x14:cfRule>
          <x14:cfRule type="expression" priority="16981" stopIfTrue="1" id="{4DCAA399-3F92-4452-998A-37E2B7F58234}">
            <xm:f>AND(IF(AC220&lt;'Plan de Accion 2018'!BC166,AC220&lt;&gt;"N/A"))</xm:f>
            <x14:dxf>
              <fill>
                <patternFill>
                  <bgColor indexed="10"/>
                </patternFill>
              </fill>
            </x14:dxf>
          </x14:cfRule>
          <xm:sqref>AC220:AC222</xm:sqref>
        </x14:conditionalFormatting>
        <x14:conditionalFormatting xmlns:xm="http://schemas.microsoft.com/office/excel/2006/main">
          <x14:cfRule type="expression" priority="16970" id="{E171D575-4916-46E8-9CED-4E91E080EEC6}">
            <xm:f>AND(IF(AC166&gt;'Plan de Accion 2018'!BC175,AC166&lt;&gt;¨N/A¨))</xm:f>
            <x14:dxf>
              <fill>
                <patternFill>
                  <bgColor theme="1" tint="0.499984740745262"/>
                </patternFill>
              </fill>
            </x14:dxf>
          </x14:cfRule>
          <x14:cfRule type="expression" priority="16971" stopIfTrue="1" id="{2901BD21-3A4D-487B-9740-516ED0B78149}">
            <xm:f>AND(IF(AC166='Plan de Accion 2018'!BC175,AC166&lt;&gt;"N/A"))</xm:f>
            <x14:dxf>
              <fill>
                <patternFill>
                  <bgColor rgb="FF00B050"/>
                </patternFill>
              </fill>
            </x14:dxf>
          </x14:cfRule>
          <x14:cfRule type="expression" priority="16972" stopIfTrue="1" id="{2320B366-CCC8-4A6E-A914-F9472073C436}">
            <xm:f>AND(IF(AC166&lt;'Plan de Accion 2018'!BC175,AC166&lt;&gt;"N/A"))</xm:f>
            <x14:dxf>
              <fill>
                <patternFill>
                  <bgColor indexed="10"/>
                </patternFill>
              </fill>
            </x14:dxf>
          </x14:cfRule>
          <xm:sqref>AC166:AC168</xm:sqref>
        </x14:conditionalFormatting>
        <x14:conditionalFormatting xmlns:xm="http://schemas.microsoft.com/office/excel/2006/main">
          <x14:cfRule type="expression" priority="16949" id="{F09C6FF2-96CA-4B92-AE8B-5B29E6BDA046}">
            <xm:f>AND(IF(AC155&gt;'Plan de Accion 2018'!BC153,AC155&lt;&gt;¨N/A¨))</xm:f>
            <x14:dxf>
              <fill>
                <patternFill>
                  <bgColor theme="1" tint="0.499984740745262"/>
                </patternFill>
              </fill>
            </x14:dxf>
          </x14:cfRule>
          <x14:cfRule type="expression" priority="16950" stopIfTrue="1" id="{B3AA813A-56BA-4A22-805A-2504BD1BED2D}">
            <xm:f>AND(IF(AC155='Plan de Accion 2018'!BC153,AC155&lt;&gt;"N/A"))</xm:f>
            <x14:dxf>
              <fill>
                <patternFill>
                  <bgColor rgb="FF00B050"/>
                </patternFill>
              </fill>
            </x14:dxf>
          </x14:cfRule>
          <x14:cfRule type="expression" priority="16951" stopIfTrue="1" id="{435456D3-AFDD-41D9-93A9-D3194211FDAC}">
            <xm:f>AND(IF(AC155&lt;'Plan de Accion 2018'!BC153,AC155&lt;&gt;"N/A"))</xm:f>
            <x14:dxf>
              <fill>
                <patternFill>
                  <bgColor indexed="10"/>
                </patternFill>
              </fill>
            </x14:dxf>
          </x14:cfRule>
          <xm:sqref>AC155:AC162</xm:sqref>
        </x14:conditionalFormatting>
        <x14:conditionalFormatting xmlns:xm="http://schemas.microsoft.com/office/excel/2006/main">
          <x14:cfRule type="expression" priority="16937" id="{9A6F7F1C-8C66-4D8D-98C2-C49B449EE471}">
            <xm:f>AND(IF(AC90&gt;'Plan de Accion 2018'!BC172,AC90&lt;&gt;¨N/A¨))</xm:f>
            <x14:dxf>
              <fill>
                <patternFill>
                  <bgColor theme="1" tint="0.499984740745262"/>
                </patternFill>
              </fill>
            </x14:dxf>
          </x14:cfRule>
          <x14:cfRule type="expression" priority="16938" stopIfTrue="1" id="{42FF941A-019E-4B5E-A04E-92BFA72B2614}">
            <xm:f>AND(IF(AC90='Plan de Accion 2018'!BC172,AC90&lt;&gt;"N/A"))</xm:f>
            <x14:dxf>
              <fill>
                <patternFill>
                  <bgColor rgb="FF00B050"/>
                </patternFill>
              </fill>
            </x14:dxf>
          </x14:cfRule>
          <x14:cfRule type="expression" priority="16939" stopIfTrue="1" id="{9B34089B-C1F8-4695-896B-AEF4F26D7B63}">
            <xm:f>AND(IF(AC90&lt;'Plan de Accion 2018'!BC172,AC90&lt;&gt;"N/A"))</xm:f>
            <x14:dxf>
              <fill>
                <patternFill>
                  <bgColor indexed="10"/>
                </patternFill>
              </fill>
            </x14:dxf>
          </x14:cfRule>
          <xm:sqref>AC90</xm:sqref>
        </x14:conditionalFormatting>
        <x14:conditionalFormatting xmlns:xm="http://schemas.microsoft.com/office/excel/2006/main">
          <x14:cfRule type="expression" priority="16931" id="{540EA212-494B-4E38-AE8A-4300C4437491}">
            <xm:f>AND(IF(AC91&gt;'Plan de Accion 2018'!BC180,AC91&lt;&gt;¨N/A¨))</xm:f>
            <x14:dxf>
              <fill>
                <patternFill>
                  <bgColor theme="1" tint="0.499984740745262"/>
                </patternFill>
              </fill>
            </x14:dxf>
          </x14:cfRule>
          <x14:cfRule type="expression" priority="16932" stopIfTrue="1" id="{EA466755-9953-499F-B967-CCA99FB004BC}">
            <xm:f>AND(IF(AC91='Plan de Accion 2018'!BC180,AC91&lt;&gt;"N/A"))</xm:f>
            <x14:dxf>
              <fill>
                <patternFill>
                  <bgColor rgb="FF00B050"/>
                </patternFill>
              </fill>
            </x14:dxf>
          </x14:cfRule>
          <x14:cfRule type="expression" priority="16933" stopIfTrue="1" id="{949FF891-CCF2-4C27-816F-6606D37CEEC3}">
            <xm:f>AND(IF(AC91&lt;'Plan de Accion 2018'!BC180,AC91&lt;&gt;"N/A"))</xm:f>
            <x14:dxf>
              <fill>
                <patternFill>
                  <bgColor indexed="10"/>
                </patternFill>
              </fill>
            </x14:dxf>
          </x14:cfRule>
          <xm:sqref>AC91</xm:sqref>
        </x14:conditionalFormatting>
        <x14:conditionalFormatting xmlns:xm="http://schemas.microsoft.com/office/excel/2006/main">
          <x14:cfRule type="expression" priority="16928" id="{7CF30F22-EEB2-4DF7-86CC-4BAC39D15B4F}">
            <xm:f>AND(IF(AC92&gt;'Plan de Accion 2018'!BC182,AC92&lt;&gt;¨N/A¨))</xm:f>
            <x14:dxf>
              <fill>
                <patternFill>
                  <bgColor theme="1" tint="0.499984740745262"/>
                </patternFill>
              </fill>
            </x14:dxf>
          </x14:cfRule>
          <x14:cfRule type="expression" priority="16929" stopIfTrue="1" id="{3F6BF28B-F5C1-44E5-B06A-E9AD1501B96D}">
            <xm:f>AND(IF(AC92='Plan de Accion 2018'!BC182,AC92&lt;&gt;"N/A"))</xm:f>
            <x14:dxf>
              <fill>
                <patternFill>
                  <bgColor rgb="FF00B050"/>
                </patternFill>
              </fill>
            </x14:dxf>
          </x14:cfRule>
          <x14:cfRule type="expression" priority="16930" stopIfTrue="1" id="{A4331090-5CE7-4C23-A710-52265AC79352}">
            <xm:f>AND(IF(AC92&lt;'Plan de Accion 2018'!BC182,AC92&lt;&gt;"N/A"))</xm:f>
            <x14:dxf>
              <fill>
                <patternFill>
                  <bgColor indexed="10"/>
                </patternFill>
              </fill>
            </x14:dxf>
          </x14:cfRule>
          <xm:sqref>AC92</xm:sqref>
        </x14:conditionalFormatting>
        <x14:conditionalFormatting xmlns:xm="http://schemas.microsoft.com/office/excel/2006/main">
          <x14:cfRule type="expression" priority="16925" id="{D5D5755F-68F2-48FF-95BC-ACD825924274}">
            <xm:f>AND(IF(AC93&gt;'Plan de Accion 2018'!BC159,AC93&lt;&gt;¨N/A¨))</xm:f>
            <x14:dxf>
              <fill>
                <patternFill>
                  <bgColor theme="1" tint="0.499984740745262"/>
                </patternFill>
              </fill>
            </x14:dxf>
          </x14:cfRule>
          <x14:cfRule type="expression" priority="16926" stopIfTrue="1" id="{189C78F4-BCF8-447C-9EDA-1903EA1BE458}">
            <xm:f>AND(IF(AC93='Plan de Accion 2018'!BC159,AC93&lt;&gt;"N/A"))</xm:f>
            <x14:dxf>
              <fill>
                <patternFill>
                  <bgColor rgb="FF00B050"/>
                </patternFill>
              </fill>
            </x14:dxf>
          </x14:cfRule>
          <x14:cfRule type="expression" priority="16927" stopIfTrue="1" id="{270E8914-F7A9-4B25-9DC1-B48080DB7DA1}">
            <xm:f>AND(IF(AC93&lt;'Plan de Accion 2018'!BC159,AC93&lt;&gt;"N/A"))</xm:f>
            <x14:dxf>
              <fill>
                <patternFill>
                  <bgColor indexed="10"/>
                </patternFill>
              </fill>
            </x14:dxf>
          </x14:cfRule>
          <xm:sqref>AC93:AC94 AC98</xm:sqref>
        </x14:conditionalFormatting>
        <x14:conditionalFormatting xmlns:xm="http://schemas.microsoft.com/office/excel/2006/main">
          <x14:cfRule type="expression" priority="16919" id="{43CB3B66-0B6F-4761-9CDB-4B10CF1C8AAE}">
            <xm:f>AND(IF(AC99&gt;'Plan de Accion 2018'!BC166,AC99&lt;&gt;¨N/A¨))</xm:f>
            <x14:dxf>
              <fill>
                <patternFill>
                  <bgColor theme="1" tint="0.499984740745262"/>
                </patternFill>
              </fill>
            </x14:dxf>
          </x14:cfRule>
          <x14:cfRule type="expression" priority="16920" stopIfTrue="1" id="{554B9490-8BFA-4768-A6E2-3B948446AB09}">
            <xm:f>AND(IF(AC99='Plan de Accion 2018'!BC166,AC99&lt;&gt;"N/A"))</xm:f>
            <x14:dxf>
              <fill>
                <patternFill>
                  <bgColor rgb="FF00B050"/>
                </patternFill>
              </fill>
            </x14:dxf>
          </x14:cfRule>
          <x14:cfRule type="expression" priority="16921" stopIfTrue="1" id="{AFFE676B-4C5C-4F02-8780-3DEE1BA9A295}">
            <xm:f>AND(IF(AC99&lt;'Plan de Accion 2018'!BC166,AC99&lt;&gt;"N/A"))</xm:f>
            <x14:dxf>
              <fill>
                <patternFill>
                  <bgColor indexed="10"/>
                </patternFill>
              </fill>
            </x14:dxf>
          </x14:cfRule>
          <xm:sqref>AC102 AC99</xm:sqref>
        </x14:conditionalFormatting>
        <x14:conditionalFormatting xmlns:xm="http://schemas.microsoft.com/office/excel/2006/main">
          <x14:cfRule type="expression" priority="16913" id="{E175395C-0823-4BAF-960C-501F3DF051BA}">
            <xm:f>AND(IF(AC103&gt;'Plan de Accion 2018'!BC173,AC103&lt;&gt;¨N/A¨))</xm:f>
            <x14:dxf>
              <fill>
                <patternFill>
                  <bgColor theme="1" tint="0.499984740745262"/>
                </patternFill>
              </fill>
            </x14:dxf>
          </x14:cfRule>
          <x14:cfRule type="expression" priority="16914" stopIfTrue="1" id="{51626130-7ACD-45D9-9C4A-B261B1AFB2D7}">
            <xm:f>AND(IF(AC103='Plan de Accion 2018'!BC173,AC103&lt;&gt;"N/A"))</xm:f>
            <x14:dxf>
              <fill>
                <patternFill>
                  <bgColor rgb="FF00B050"/>
                </patternFill>
              </fill>
            </x14:dxf>
          </x14:cfRule>
          <x14:cfRule type="expression" priority="16915" stopIfTrue="1" id="{D6ACAD17-37F7-4651-95B0-83D27B414808}">
            <xm:f>AND(IF(AC103&lt;'Plan de Accion 2018'!BC173,AC103&lt;&gt;"N/A"))</xm:f>
            <x14:dxf>
              <fill>
                <patternFill>
                  <bgColor indexed="10"/>
                </patternFill>
              </fill>
            </x14:dxf>
          </x14:cfRule>
          <xm:sqref>AC103:AC104 AC106</xm:sqref>
        </x14:conditionalFormatting>
        <x14:conditionalFormatting xmlns:xm="http://schemas.microsoft.com/office/excel/2006/main">
          <x14:cfRule type="expression" priority="16910" id="{D21822B9-11BE-45BA-A568-CE7248CF65F6}">
            <xm:f>AND(IF(AC107&gt;'Plan de Accion 2018'!BC187,AC107&lt;&gt;¨N/A¨))</xm:f>
            <x14:dxf>
              <fill>
                <patternFill>
                  <bgColor theme="1" tint="0.499984740745262"/>
                </patternFill>
              </fill>
            </x14:dxf>
          </x14:cfRule>
          <x14:cfRule type="expression" priority="16911" stopIfTrue="1" id="{0A821F0F-C72D-4F0A-A250-223F0B9E951B}">
            <xm:f>AND(IF(AC107='Plan de Accion 2018'!BC187,AC107&lt;&gt;"N/A"))</xm:f>
            <x14:dxf>
              <fill>
                <patternFill>
                  <bgColor rgb="FF00B050"/>
                </patternFill>
              </fill>
            </x14:dxf>
          </x14:cfRule>
          <x14:cfRule type="expression" priority="16912" stopIfTrue="1" id="{D044250D-4D93-4F22-8220-68AAA9C4431F}">
            <xm:f>AND(IF(AC107&lt;'Plan de Accion 2018'!BC187,AC107&lt;&gt;"N/A"))</xm:f>
            <x14:dxf>
              <fill>
                <patternFill>
                  <bgColor indexed="10"/>
                </patternFill>
              </fill>
            </x14:dxf>
          </x14:cfRule>
          <xm:sqref>AC107</xm:sqref>
        </x14:conditionalFormatting>
        <x14:conditionalFormatting xmlns:xm="http://schemas.microsoft.com/office/excel/2006/main">
          <x14:cfRule type="expression" priority="16907" id="{6E1D04E1-2C78-4608-9673-B7A426C56749}">
            <xm:f>AND(IF(AC223&gt;'Plan de Accion 2018'!BC171,AC223&lt;&gt;¨N/A¨))</xm:f>
            <x14:dxf>
              <fill>
                <patternFill>
                  <bgColor theme="1" tint="0.499984740745262"/>
                </patternFill>
              </fill>
            </x14:dxf>
          </x14:cfRule>
          <x14:cfRule type="expression" priority="16908" stopIfTrue="1" id="{05354935-4351-4328-9AC3-CD3C7B3277AD}">
            <xm:f>AND(IF(AC223='Plan de Accion 2018'!BC171,AC223&lt;&gt;"N/A"))</xm:f>
            <x14:dxf>
              <fill>
                <patternFill>
                  <bgColor rgb="FF00B050"/>
                </patternFill>
              </fill>
            </x14:dxf>
          </x14:cfRule>
          <x14:cfRule type="expression" priority="16909" stopIfTrue="1" id="{E1D9787B-9993-4508-BABB-E97010597B51}">
            <xm:f>AND(IF(AC223&lt;'Plan de Accion 2018'!BC171,AC223&lt;&gt;"N/A"))</xm:f>
            <x14:dxf>
              <fill>
                <patternFill>
                  <bgColor indexed="10"/>
                </patternFill>
              </fill>
            </x14:dxf>
          </x14:cfRule>
          <xm:sqref>AC223</xm:sqref>
        </x14:conditionalFormatting>
        <x14:conditionalFormatting xmlns:xm="http://schemas.microsoft.com/office/excel/2006/main">
          <x14:cfRule type="expression" priority="16904" id="{6D896BDB-6D5B-4222-93E6-E0259719579B}">
            <xm:f>AND(IF(AC235&gt;'Plan de Accion 2018'!BC156,AC235&lt;&gt;¨N/A¨))</xm:f>
            <x14:dxf>
              <fill>
                <patternFill>
                  <bgColor theme="1" tint="0.499984740745262"/>
                </patternFill>
              </fill>
            </x14:dxf>
          </x14:cfRule>
          <x14:cfRule type="expression" priority="16905" stopIfTrue="1" id="{2CA64479-C4F8-459E-9FDD-2B5B5F34A102}">
            <xm:f>AND(IF(AC235='Plan de Accion 2018'!BC156,AC235&lt;&gt;"N/A"))</xm:f>
            <x14:dxf>
              <fill>
                <patternFill>
                  <bgColor rgb="FF00B050"/>
                </patternFill>
              </fill>
            </x14:dxf>
          </x14:cfRule>
          <x14:cfRule type="expression" priority="16906" stopIfTrue="1" id="{2121FBCC-C566-4579-BB83-8963027BF904}">
            <xm:f>AND(IF(AC235&lt;'Plan de Accion 2018'!BC156,AC235&lt;&gt;"N/A"))</xm:f>
            <x14:dxf>
              <fill>
                <patternFill>
                  <bgColor indexed="10"/>
                </patternFill>
              </fill>
            </x14:dxf>
          </x14:cfRule>
          <xm:sqref>AC235</xm:sqref>
        </x14:conditionalFormatting>
        <x14:conditionalFormatting xmlns:xm="http://schemas.microsoft.com/office/excel/2006/main">
          <x14:cfRule type="expression" priority="16901" id="{39C31298-ABB6-4768-8024-9B7ECC712D22}">
            <xm:f>AND(IF(AC324&gt;'Plan de Accion 2018'!BC163,AC324&lt;&gt;¨N/A¨))</xm:f>
            <x14:dxf>
              <fill>
                <patternFill>
                  <bgColor theme="1" tint="0.499984740745262"/>
                </patternFill>
              </fill>
            </x14:dxf>
          </x14:cfRule>
          <x14:cfRule type="expression" priority="16902" stopIfTrue="1" id="{E8068A5C-54A3-47DB-BF80-834F9D92D8C9}">
            <xm:f>AND(IF(AC324='Plan de Accion 2018'!BC163,AC324&lt;&gt;"N/A"))</xm:f>
            <x14:dxf>
              <fill>
                <patternFill>
                  <bgColor rgb="FF00B050"/>
                </patternFill>
              </fill>
            </x14:dxf>
          </x14:cfRule>
          <x14:cfRule type="expression" priority="16903" stopIfTrue="1" id="{E0832979-7FDC-4D84-BF3A-4F6DF461BAB5}">
            <xm:f>AND(IF(AC324&lt;'Plan de Accion 2018'!BC163,AC324&lt;&gt;"N/A"))</xm:f>
            <x14:dxf>
              <fill>
                <patternFill>
                  <bgColor indexed="10"/>
                </patternFill>
              </fill>
            </x14:dxf>
          </x14:cfRule>
          <xm:sqref>AC324:AC326</xm:sqref>
        </x14:conditionalFormatting>
        <x14:conditionalFormatting xmlns:xm="http://schemas.microsoft.com/office/excel/2006/main">
          <x14:cfRule type="expression" priority="16895" id="{0DE65955-29D3-467E-9D7E-461E0D1F6796}">
            <xm:f>AND(IF(AC236&gt;'Plan de Accion 2018'!BC174,AC236&lt;&gt;¨N/A¨))</xm:f>
            <x14:dxf>
              <fill>
                <patternFill>
                  <bgColor theme="1" tint="0.499984740745262"/>
                </patternFill>
              </fill>
            </x14:dxf>
          </x14:cfRule>
          <x14:cfRule type="expression" priority="16896" stopIfTrue="1" id="{8591A951-24EA-452A-9E87-65F197BFDAAB}">
            <xm:f>AND(IF(AC236='Plan de Accion 2018'!BC174,AC236&lt;&gt;"N/A"))</xm:f>
            <x14:dxf>
              <fill>
                <patternFill>
                  <bgColor rgb="FF00B050"/>
                </patternFill>
              </fill>
            </x14:dxf>
          </x14:cfRule>
          <x14:cfRule type="expression" priority="16897" stopIfTrue="1" id="{7A9B458C-E1E5-488A-8D6D-C27A5A025779}">
            <xm:f>AND(IF(AC236&lt;'Plan de Accion 2018'!BC174,AC236&lt;&gt;"N/A"))</xm:f>
            <x14:dxf>
              <fill>
                <patternFill>
                  <bgColor indexed="10"/>
                </patternFill>
              </fill>
            </x14:dxf>
          </x14:cfRule>
          <xm:sqref>AC236</xm:sqref>
        </x14:conditionalFormatting>
        <x14:conditionalFormatting xmlns:xm="http://schemas.microsoft.com/office/excel/2006/main">
          <x14:cfRule type="expression" priority="16865" id="{5073F1AF-3CD9-4F21-8B84-D3DD5F5D1943}">
            <xm:f>AND(IF(AC334&gt;'Plan de Accion 2018'!BC111,AC334&lt;&gt;¨N/A¨))</xm:f>
            <x14:dxf>
              <fill>
                <patternFill>
                  <bgColor theme="1" tint="0.499984740745262"/>
                </patternFill>
              </fill>
            </x14:dxf>
          </x14:cfRule>
          <x14:cfRule type="expression" priority="16866" stopIfTrue="1" id="{767518DC-8C31-42E8-A090-0551748A2987}">
            <xm:f>AND(IF(AC334='Plan de Accion 2018'!BC111,AC334&lt;&gt;"N/A"))</xm:f>
            <x14:dxf>
              <fill>
                <patternFill>
                  <bgColor rgb="FF00B050"/>
                </patternFill>
              </fill>
            </x14:dxf>
          </x14:cfRule>
          <x14:cfRule type="expression" priority="16867" stopIfTrue="1" id="{44B32A7A-BD11-49C1-8FEF-7804C43A49B9}">
            <xm:f>AND(IF(AC334&lt;'Plan de Accion 2018'!BC111,AC334&lt;&gt;"N/A"))</xm:f>
            <x14:dxf>
              <fill>
                <patternFill>
                  <bgColor indexed="10"/>
                </patternFill>
              </fill>
            </x14:dxf>
          </x14:cfRule>
          <xm:sqref>AC380:AC381 AC334:AC355</xm:sqref>
        </x14:conditionalFormatting>
        <x14:conditionalFormatting xmlns:xm="http://schemas.microsoft.com/office/excel/2006/main">
          <x14:cfRule type="expression" priority="16853" id="{7820C9B1-7D13-4F43-81D5-428B63264697}">
            <xm:f>AND(IF(AC164&gt;'Plan de Accion 2018'!BC156,AC164&lt;&gt;¨N/A¨))</xm:f>
            <x14:dxf>
              <fill>
                <patternFill>
                  <bgColor theme="1" tint="0.499984740745262"/>
                </patternFill>
              </fill>
            </x14:dxf>
          </x14:cfRule>
          <x14:cfRule type="expression" priority="16854" stopIfTrue="1" id="{FC8C08A1-2453-4282-9C85-CC1C89743B34}">
            <xm:f>AND(IF(AC164='Plan de Accion 2018'!BC156,AC164&lt;&gt;"N/A"))</xm:f>
            <x14:dxf>
              <fill>
                <patternFill>
                  <bgColor rgb="FF00B050"/>
                </patternFill>
              </fill>
            </x14:dxf>
          </x14:cfRule>
          <x14:cfRule type="expression" priority="16855" stopIfTrue="1" id="{F58CE29C-2839-43BF-A068-CDBAD0C581EF}">
            <xm:f>AND(IF(AC164&lt;'Plan de Accion 2018'!BC156,AC164&lt;&gt;"N/A"))</xm:f>
            <x14:dxf>
              <fill>
                <patternFill>
                  <bgColor indexed="10"/>
                </patternFill>
              </fill>
            </x14:dxf>
          </x14:cfRule>
          <xm:sqref>AC164:AC165</xm:sqref>
        </x14:conditionalFormatting>
        <x14:conditionalFormatting xmlns:xm="http://schemas.microsoft.com/office/excel/2006/main">
          <x14:cfRule type="expression" priority="16847" id="{4D94821D-4E8E-43B0-9CF5-545C0AF0A0D7}">
            <xm:f>AND(IF(AC144&gt;'Plan de Accion 2018'!BC144,AC144&lt;&gt;¨N/A¨))</xm:f>
            <x14:dxf>
              <fill>
                <patternFill>
                  <bgColor theme="1" tint="0.499984740745262"/>
                </patternFill>
              </fill>
            </x14:dxf>
          </x14:cfRule>
          <x14:cfRule type="expression" priority="16848" stopIfTrue="1" id="{38DE079F-6BE3-47AB-8C9F-636CC3D2612E}">
            <xm:f>AND(IF(AC144='Plan de Accion 2018'!BC144,AC144&lt;&gt;"N/A"))</xm:f>
            <x14:dxf>
              <fill>
                <patternFill>
                  <bgColor rgb="FF00B050"/>
                </patternFill>
              </fill>
            </x14:dxf>
          </x14:cfRule>
          <x14:cfRule type="expression" priority="16849" stopIfTrue="1" id="{82B6F224-6814-4D88-849D-5C23B776C0CF}">
            <xm:f>AND(IF(AC144&lt;'Plan de Accion 2018'!BC144,AC144&lt;&gt;"N/A"))</xm:f>
            <x14:dxf>
              <fill>
                <patternFill>
                  <bgColor indexed="10"/>
                </patternFill>
              </fill>
            </x14:dxf>
          </x14:cfRule>
          <xm:sqref>AC177:AC178 AC144:AC145</xm:sqref>
        </x14:conditionalFormatting>
        <x14:conditionalFormatting xmlns:xm="http://schemas.microsoft.com/office/excel/2006/main">
          <x14:cfRule type="expression" priority="16844" id="{D738C595-0AB1-410B-A82F-B93BCE90122F}">
            <xm:f>AND(IF(AC327&gt;'Plan de Accion 2018'!BC169,AC327&lt;&gt;¨N/A¨))</xm:f>
            <x14:dxf>
              <fill>
                <patternFill>
                  <bgColor theme="1" tint="0.499984740745262"/>
                </patternFill>
              </fill>
            </x14:dxf>
          </x14:cfRule>
          <x14:cfRule type="expression" priority="16845" stopIfTrue="1" id="{8B858AC2-8231-453C-A5E2-30898E1005DB}">
            <xm:f>AND(IF(AC327='Plan de Accion 2018'!BC169,AC327&lt;&gt;"N/A"))</xm:f>
            <x14:dxf>
              <fill>
                <patternFill>
                  <bgColor rgb="FF00B050"/>
                </patternFill>
              </fill>
            </x14:dxf>
          </x14:cfRule>
          <x14:cfRule type="expression" priority="16846" stopIfTrue="1" id="{E92F9A76-B53A-40C2-9813-3DB56118F4F4}">
            <xm:f>AND(IF(AC327&lt;'Plan de Accion 2018'!BC169,AC327&lt;&gt;"N/A"))</xm:f>
            <x14:dxf>
              <fill>
                <patternFill>
                  <bgColor indexed="10"/>
                </patternFill>
              </fill>
            </x14:dxf>
          </x14:cfRule>
          <xm:sqref>AC327:AC330</xm:sqref>
        </x14:conditionalFormatting>
        <x14:conditionalFormatting xmlns:xm="http://schemas.microsoft.com/office/excel/2006/main">
          <x14:cfRule type="expression" priority="16790" id="{FDA65EEB-C2CF-4D14-B21D-64EEFDFE10EA}">
            <xm:f>AND(IF(AC203&gt;'Plan de Accion 2018'!BC71,AC203&lt;&gt;¨N/A¨))</xm:f>
            <x14:dxf>
              <fill>
                <patternFill>
                  <bgColor theme="1" tint="0.499984740745262"/>
                </patternFill>
              </fill>
            </x14:dxf>
          </x14:cfRule>
          <x14:cfRule type="expression" priority="16791" stopIfTrue="1" id="{23205572-B7FA-4C76-BC9E-33A54BDB8B80}">
            <xm:f>AND(IF(AC203='Plan de Accion 2018'!BC71,AC203&lt;&gt;"N/A"))</xm:f>
            <x14:dxf>
              <fill>
                <patternFill>
                  <bgColor rgb="FF00B050"/>
                </patternFill>
              </fill>
            </x14:dxf>
          </x14:cfRule>
          <x14:cfRule type="expression" priority="16792" stopIfTrue="1" id="{B50BA2C5-DC7F-470E-86A2-0B4D5002FFDD}">
            <xm:f>AND(IF(AC203&lt;'Plan de Accion 2018'!BC71,AC203&lt;&gt;"N/A"))</xm:f>
            <x14:dxf>
              <fill>
                <patternFill>
                  <bgColor indexed="10"/>
                </patternFill>
              </fill>
            </x14:dxf>
          </x14:cfRule>
          <xm:sqref>AC291:AC292 AC203</xm:sqref>
        </x14:conditionalFormatting>
        <x14:conditionalFormatting xmlns:xm="http://schemas.microsoft.com/office/excel/2006/main">
          <x14:cfRule type="expression" priority="16733" id="{14A93AE5-ED2E-4884-BC84-1B891A3FE589}">
            <xm:f>AND(IF(AC113&gt;'Plan de Accion 2018'!BC62,AC113&lt;&gt;¨N/A¨))</xm:f>
            <x14:dxf>
              <fill>
                <patternFill>
                  <bgColor theme="1" tint="0.499984740745262"/>
                </patternFill>
              </fill>
            </x14:dxf>
          </x14:cfRule>
          <x14:cfRule type="expression" priority="16734" stopIfTrue="1" id="{9B4ACB93-8A5C-45BB-B3D4-3969B0A634E6}">
            <xm:f>AND(IF(AC113='Plan de Accion 2018'!BC62,AC113&lt;&gt;"N/A"))</xm:f>
            <x14:dxf>
              <fill>
                <patternFill>
                  <bgColor rgb="FF00B050"/>
                </patternFill>
              </fill>
            </x14:dxf>
          </x14:cfRule>
          <x14:cfRule type="expression" priority="16735" stopIfTrue="1" id="{1ED4C1D7-BA09-43C1-8B94-5AB7D5EE5FE3}">
            <xm:f>AND(IF(AC113&lt;'Plan de Accion 2018'!BC62,AC113&lt;&gt;"N/A"))</xm:f>
            <x14:dxf>
              <fill>
                <patternFill>
                  <bgColor indexed="10"/>
                </patternFill>
              </fill>
            </x14:dxf>
          </x14:cfRule>
          <xm:sqref>AC224 AC113:AC115</xm:sqref>
        </x14:conditionalFormatting>
        <x14:conditionalFormatting xmlns:xm="http://schemas.microsoft.com/office/excel/2006/main">
          <x14:cfRule type="expression" priority="16730" id="{2E284A69-B7BF-49BF-A941-5FD010AA5E02}">
            <xm:f>AND(IF(AC225&gt;'Plan de Accion 2018'!BC179,AC225&lt;&gt;¨N/A¨))</xm:f>
            <x14:dxf>
              <fill>
                <patternFill>
                  <bgColor theme="1" tint="0.499984740745262"/>
                </patternFill>
              </fill>
            </x14:dxf>
          </x14:cfRule>
          <x14:cfRule type="expression" priority="16731" stopIfTrue="1" id="{115E902F-2E27-4385-8A32-992FC00EC1A1}">
            <xm:f>AND(IF(AC225='Plan de Accion 2018'!BC179,AC225&lt;&gt;"N/A"))</xm:f>
            <x14:dxf>
              <fill>
                <patternFill>
                  <bgColor rgb="FF00B050"/>
                </patternFill>
              </fill>
            </x14:dxf>
          </x14:cfRule>
          <x14:cfRule type="expression" priority="16732" stopIfTrue="1" id="{0BE7342E-6A32-49AC-BE43-56C38193D1E5}">
            <xm:f>AND(IF(AC225&lt;'Plan de Accion 2018'!BC179,AC225&lt;&gt;"N/A"))</xm:f>
            <x14:dxf>
              <fill>
                <patternFill>
                  <bgColor indexed="10"/>
                </patternFill>
              </fill>
            </x14:dxf>
          </x14:cfRule>
          <xm:sqref>AC225</xm:sqref>
        </x14:conditionalFormatting>
        <x14:conditionalFormatting xmlns:xm="http://schemas.microsoft.com/office/excel/2006/main">
          <x14:cfRule type="expression" priority="16727" id="{C8BC9AD3-5E42-4012-9028-A686F27317F4}">
            <xm:f>AND(IF(AC226&gt;'Plan de Accion 2018'!BC181,AC226&lt;&gt;¨N/A¨))</xm:f>
            <x14:dxf>
              <fill>
                <patternFill>
                  <bgColor theme="1" tint="0.499984740745262"/>
                </patternFill>
              </fill>
            </x14:dxf>
          </x14:cfRule>
          <x14:cfRule type="expression" priority="16728" stopIfTrue="1" id="{38851E1B-BFFB-4141-91E6-687AC0D491F1}">
            <xm:f>AND(IF(AC226='Plan de Accion 2018'!BC181,AC226&lt;&gt;"N/A"))</xm:f>
            <x14:dxf>
              <fill>
                <patternFill>
                  <bgColor rgb="FF00B050"/>
                </patternFill>
              </fill>
            </x14:dxf>
          </x14:cfRule>
          <x14:cfRule type="expression" priority="16729" stopIfTrue="1" id="{9DB65B02-FB47-41DA-A360-4E11A5FB8964}">
            <xm:f>AND(IF(AC226&lt;'Plan de Accion 2018'!BC181,AC226&lt;&gt;"N/A"))</xm:f>
            <x14:dxf>
              <fill>
                <patternFill>
                  <bgColor indexed="10"/>
                </patternFill>
              </fill>
            </x14:dxf>
          </x14:cfRule>
          <xm:sqref>AC226</xm:sqref>
        </x14:conditionalFormatting>
        <x14:conditionalFormatting xmlns:xm="http://schemas.microsoft.com/office/excel/2006/main">
          <x14:cfRule type="expression" priority="16718" id="{DD01C612-E410-4B92-B07F-A0B814644322}">
            <xm:f>AND(IF(AC363&gt;'Plan de Accion 2018'!BC122,AC363&lt;&gt;¨N/A¨))</xm:f>
            <x14:dxf>
              <fill>
                <patternFill>
                  <bgColor theme="1" tint="0.499984740745262"/>
                </patternFill>
              </fill>
            </x14:dxf>
          </x14:cfRule>
          <x14:cfRule type="expression" priority="16719" stopIfTrue="1" id="{FED7A9C4-1396-48CD-9E33-4E4182380692}">
            <xm:f>AND(IF(AC363='Plan de Accion 2018'!BC122,AC363&lt;&gt;"N/A"))</xm:f>
            <x14:dxf>
              <fill>
                <patternFill>
                  <bgColor rgb="FF00B050"/>
                </patternFill>
              </fill>
            </x14:dxf>
          </x14:cfRule>
          <x14:cfRule type="expression" priority="16720" stopIfTrue="1" id="{D4EE01C8-25FB-4155-9CFA-7F461DBBC86F}">
            <xm:f>AND(IF(AC363&lt;'Plan de Accion 2018'!BC122,AC363&lt;&gt;"N/A"))</xm:f>
            <x14:dxf>
              <fill>
                <patternFill>
                  <bgColor indexed="10"/>
                </patternFill>
              </fill>
            </x14:dxf>
          </x14:cfRule>
          <xm:sqref>AC363:AC375</xm:sqref>
        </x14:conditionalFormatting>
        <x14:conditionalFormatting xmlns:xm="http://schemas.microsoft.com/office/excel/2006/main">
          <x14:cfRule type="expression" priority="16715" id="{AE741588-269F-492F-BC96-7B6018A3FD30}">
            <xm:f>AND(IF(AC231&gt;'Plan de Accion 2018'!BC63,AC231&lt;&gt;¨N/A¨))</xm:f>
            <x14:dxf>
              <fill>
                <patternFill>
                  <bgColor theme="1" tint="0.499984740745262"/>
                </patternFill>
              </fill>
            </x14:dxf>
          </x14:cfRule>
          <x14:cfRule type="expression" priority="16716" stopIfTrue="1" id="{4394C028-0DEE-4E4C-9BB6-53BC56D7E3A0}">
            <xm:f>AND(IF(AC231='Plan de Accion 2018'!BC63,AC231&lt;&gt;"N/A"))</xm:f>
            <x14:dxf>
              <fill>
                <patternFill>
                  <bgColor rgb="FF00B050"/>
                </patternFill>
              </fill>
            </x14:dxf>
          </x14:cfRule>
          <x14:cfRule type="expression" priority="16717" stopIfTrue="1" id="{8C73DCC2-7536-480F-A917-A4B6AD64037D}">
            <xm:f>AND(IF(AC231&lt;'Plan de Accion 2018'!BC63,AC231&lt;&gt;"N/A"))</xm:f>
            <x14:dxf>
              <fill>
                <patternFill>
                  <bgColor indexed="10"/>
                </patternFill>
              </fill>
            </x14:dxf>
          </x14:cfRule>
          <xm:sqref>AC231</xm:sqref>
        </x14:conditionalFormatting>
        <x14:conditionalFormatting xmlns:xm="http://schemas.microsoft.com/office/excel/2006/main">
          <x14:cfRule type="expression" priority="16706" id="{B7BFF239-E33D-4118-A834-DF22EF33402C}">
            <xm:f>AND(IF(AC331&gt;'Plan de Accion 2018'!BC187,AC331&lt;&gt;¨N/A¨))</xm:f>
            <x14:dxf>
              <fill>
                <patternFill>
                  <bgColor theme="1" tint="0.499984740745262"/>
                </patternFill>
              </fill>
            </x14:dxf>
          </x14:cfRule>
          <x14:cfRule type="expression" priority="16707" stopIfTrue="1" id="{03A8B7B2-6348-43C6-9B2D-64B57D795C84}">
            <xm:f>AND(IF(AC331='Plan de Accion 2018'!BC187,AC331&lt;&gt;"N/A"))</xm:f>
            <x14:dxf>
              <fill>
                <patternFill>
                  <bgColor rgb="FF00B050"/>
                </patternFill>
              </fill>
            </x14:dxf>
          </x14:cfRule>
          <x14:cfRule type="expression" priority="16708" stopIfTrue="1" id="{F61726E2-2D36-41F9-84D0-F2F96F885312}">
            <xm:f>AND(IF(AC331&lt;'Plan de Accion 2018'!BC187,AC331&lt;&gt;"N/A"))</xm:f>
            <x14:dxf>
              <fill>
                <patternFill>
                  <bgColor indexed="10"/>
                </patternFill>
              </fill>
            </x14:dxf>
          </x14:cfRule>
          <xm:sqref>AC331</xm:sqref>
        </x14:conditionalFormatting>
        <x14:conditionalFormatting xmlns:xm="http://schemas.microsoft.com/office/excel/2006/main">
          <x14:cfRule type="expression" priority="16697" id="{95801731-701E-4E5B-9A17-163A89DAA4BC}">
            <xm:f>AND(IF(AC323&gt;'Plan de Accion 2018'!BC72,AC323&lt;&gt;¨N/A¨))</xm:f>
            <x14:dxf>
              <fill>
                <patternFill>
                  <bgColor theme="1" tint="0.499984740745262"/>
                </patternFill>
              </fill>
            </x14:dxf>
          </x14:cfRule>
          <x14:cfRule type="expression" priority="16698" stopIfTrue="1" id="{23D81355-5ECA-48E3-8200-074423CEF04F}">
            <xm:f>AND(IF(AC323='Plan de Accion 2018'!BC72,AC323&lt;&gt;"N/A"))</xm:f>
            <x14:dxf>
              <fill>
                <patternFill>
                  <bgColor rgb="FF00B050"/>
                </patternFill>
              </fill>
            </x14:dxf>
          </x14:cfRule>
          <x14:cfRule type="expression" priority="16699" stopIfTrue="1" id="{F30A8F8D-97F9-42B0-9025-2442C1790EEC}">
            <xm:f>AND(IF(AC323&lt;'Plan de Accion 2018'!BC72,AC323&lt;&gt;"N/A"))</xm:f>
            <x14:dxf>
              <fill>
                <patternFill>
                  <bgColor indexed="10"/>
                </patternFill>
              </fill>
            </x14:dxf>
          </x14:cfRule>
          <xm:sqref>AC323</xm:sqref>
        </x14:conditionalFormatting>
        <x14:conditionalFormatting xmlns:xm="http://schemas.microsoft.com/office/excel/2006/main">
          <x14:cfRule type="expression" priority="16691" id="{02DEE281-A041-4168-B0A4-49DADD47B6FF}">
            <xm:f>AND(IF(AC356&gt;'Plan de Accion 2018'!BC112,AC356&lt;&gt;¨N/A¨))</xm:f>
            <x14:dxf>
              <fill>
                <patternFill>
                  <bgColor theme="1" tint="0.499984740745262"/>
                </patternFill>
              </fill>
            </x14:dxf>
          </x14:cfRule>
          <x14:cfRule type="expression" priority="16692" stopIfTrue="1" id="{D1ED27DF-09D8-45CF-BDFF-213142DA3979}">
            <xm:f>AND(IF(AC356='Plan de Accion 2018'!BC112,AC356&lt;&gt;"N/A"))</xm:f>
            <x14:dxf>
              <fill>
                <patternFill>
                  <bgColor rgb="FF00B050"/>
                </patternFill>
              </fill>
            </x14:dxf>
          </x14:cfRule>
          <x14:cfRule type="expression" priority="16693" stopIfTrue="1" id="{8FBCFD5A-825F-43DF-BFD7-1CE0907D8681}">
            <xm:f>AND(IF(AC356&lt;'Plan de Accion 2018'!BC112,AC356&lt;&gt;"N/A"))</xm:f>
            <x14:dxf>
              <fill>
                <patternFill>
                  <bgColor indexed="10"/>
                </patternFill>
              </fill>
            </x14:dxf>
          </x14:cfRule>
          <xm:sqref>AC356:AC362</xm:sqref>
        </x14:conditionalFormatting>
        <x14:conditionalFormatting xmlns:xm="http://schemas.microsoft.com/office/excel/2006/main">
          <x14:cfRule type="expression" priority="16652" id="{80380232-C8A4-427E-9A35-F6E9428B6E13}">
            <xm:f>AND(IF(AC282&gt;'Plan de Accion 2018'!BC154,AC282&lt;&gt;¨N/A¨))</xm:f>
            <x14:dxf>
              <fill>
                <patternFill>
                  <bgColor theme="1" tint="0.499984740745262"/>
                </patternFill>
              </fill>
            </x14:dxf>
          </x14:cfRule>
          <x14:cfRule type="expression" priority="16653" stopIfTrue="1" id="{A988F7ED-3386-4188-86D4-93A8B26A0C3C}">
            <xm:f>AND(IF(AC282='Plan de Accion 2018'!BC154,AC282&lt;&gt;"N/A"))</xm:f>
            <x14:dxf>
              <fill>
                <patternFill>
                  <bgColor rgb="FF00B050"/>
                </patternFill>
              </fill>
            </x14:dxf>
          </x14:cfRule>
          <x14:cfRule type="expression" priority="16654" stopIfTrue="1" id="{ACB798F1-11FA-4402-B5AA-13AED5405F10}">
            <xm:f>AND(IF(AC282&lt;'Plan de Accion 2018'!BC154,AC282&lt;&gt;"N/A"))</xm:f>
            <x14:dxf>
              <fill>
                <patternFill>
                  <bgColor indexed="10"/>
                </patternFill>
              </fill>
            </x14:dxf>
          </x14:cfRule>
          <xm:sqref>AC378:AC379 AC299:AC302 AC282:AC285 AC305</xm:sqref>
        </x14:conditionalFormatting>
        <x14:conditionalFormatting xmlns:xm="http://schemas.microsoft.com/office/excel/2006/main">
          <x14:cfRule type="expression" priority="16631" id="{A72D5165-989D-40E4-B287-2A7795ADBA9C}">
            <xm:f>AND(IF(AC304&gt;'Plan de Accion 2018'!BC62,AC304&lt;&gt;¨N/A¨))</xm:f>
            <x14:dxf>
              <fill>
                <patternFill>
                  <bgColor theme="1" tint="0.499984740745262"/>
                </patternFill>
              </fill>
            </x14:dxf>
          </x14:cfRule>
          <x14:cfRule type="expression" priority="16632" stopIfTrue="1" id="{1414CD0C-EFE3-47DC-842F-C5628CC3D80C}">
            <xm:f>AND(IF(AC304='Plan de Accion 2018'!BC62,AC304&lt;&gt;"N/A"))</xm:f>
            <x14:dxf>
              <fill>
                <patternFill>
                  <bgColor rgb="FF00B050"/>
                </patternFill>
              </fill>
            </x14:dxf>
          </x14:cfRule>
          <x14:cfRule type="expression" priority="16633" stopIfTrue="1" id="{2A2598E8-976D-4C8D-8792-D458701C09B2}">
            <xm:f>AND(IF(AC304&lt;'Plan de Accion 2018'!BC62,AC304&lt;&gt;"N/A"))</xm:f>
            <x14:dxf>
              <fill>
                <patternFill>
                  <bgColor indexed="10"/>
                </patternFill>
              </fill>
            </x14:dxf>
          </x14:cfRule>
          <xm:sqref>AC304</xm:sqref>
        </x14:conditionalFormatting>
        <x14:conditionalFormatting xmlns:xm="http://schemas.microsoft.com/office/excel/2006/main">
          <x14:cfRule type="expression" priority="16625" id="{AAC8D36C-BA90-423A-A2AD-3503276963D7}">
            <xm:f>AND(IF(AC308&gt;'Plan de Accion 2018'!BC78,AC308&lt;&gt;¨N/A¨))</xm:f>
            <x14:dxf>
              <fill>
                <patternFill>
                  <bgColor theme="1" tint="0.499984740745262"/>
                </patternFill>
              </fill>
            </x14:dxf>
          </x14:cfRule>
          <x14:cfRule type="expression" priority="16626" stopIfTrue="1" id="{E15F97A6-00C6-4D91-8EB7-F3BBD5B6AF90}">
            <xm:f>AND(IF(AC308='Plan de Accion 2018'!BC78,AC308&lt;&gt;"N/A"))</xm:f>
            <x14:dxf>
              <fill>
                <patternFill>
                  <bgColor rgb="FF00B050"/>
                </patternFill>
              </fill>
            </x14:dxf>
          </x14:cfRule>
          <x14:cfRule type="expression" priority="16627" stopIfTrue="1" id="{59D5E5EC-6801-4B5E-955E-14384DDE5A5E}">
            <xm:f>AND(IF(AC308&lt;'Plan de Accion 2018'!BC78,AC308&lt;&gt;"N/A"))</xm:f>
            <x14:dxf>
              <fill>
                <patternFill>
                  <bgColor indexed="10"/>
                </patternFill>
              </fill>
            </x14:dxf>
          </x14:cfRule>
          <xm:sqref>AC308:AC319</xm:sqref>
        </x14:conditionalFormatting>
        <x14:conditionalFormatting xmlns:xm="http://schemas.microsoft.com/office/excel/2006/main">
          <x14:cfRule type="expression" priority="16592" id="{50FBCB88-C3BC-4E4F-919B-AB649F5F2AD3}">
            <xm:f>AND(IF(AC376&gt;'Plan de Accion 2018'!BC155,AC376&lt;&gt;¨N/A¨))</xm:f>
            <x14:dxf>
              <fill>
                <patternFill>
                  <bgColor theme="1" tint="0.499984740745262"/>
                </patternFill>
              </fill>
            </x14:dxf>
          </x14:cfRule>
          <x14:cfRule type="expression" priority="16593" stopIfTrue="1" id="{082EDA2E-1BE4-469E-AE7F-FF93216EF2E1}">
            <xm:f>AND(IF(AC376='Plan de Accion 2018'!BC155,AC376&lt;&gt;"N/A"))</xm:f>
            <x14:dxf>
              <fill>
                <patternFill>
                  <bgColor rgb="FF00B050"/>
                </patternFill>
              </fill>
            </x14:dxf>
          </x14:cfRule>
          <x14:cfRule type="expression" priority="16594" stopIfTrue="1" id="{0C40AB3A-8804-477F-A7DD-F082EF3B3D26}">
            <xm:f>AND(IF(AC376&lt;'Plan de Accion 2018'!BC155,AC376&lt;&gt;"N/A"))</xm:f>
            <x14:dxf>
              <fill>
                <patternFill>
                  <bgColor indexed="10"/>
                </patternFill>
              </fill>
            </x14:dxf>
          </x14:cfRule>
          <xm:sqref>AC376:AC377</xm:sqref>
        </x14:conditionalFormatting>
        <x14:conditionalFormatting xmlns:xm="http://schemas.microsoft.com/office/excel/2006/main">
          <x14:cfRule type="expression" priority="35320" id="{C3D746FB-B067-43E2-8497-7D15459BC2FE}">
            <xm:f>AND(IF(H21&gt;'Plan de Accion 2018'!X144,I10&lt;&gt;¨N/A¨))</xm:f>
            <x14:dxf>
              <fill>
                <patternFill>
                  <bgColor theme="1" tint="0.499984740745262"/>
                </patternFill>
              </fill>
            </x14:dxf>
          </x14:cfRule>
          <x14:cfRule type="expression" priority="35321" stopIfTrue="1" id="{CB3369B6-CA2E-4962-B9C1-DFDA26016809}">
            <xm:f>AND(IF(H21='Plan de Accion 2018'!X144,H21&lt;&gt;"N/A"))</xm:f>
            <x14:dxf>
              <fill>
                <patternFill>
                  <bgColor rgb="FF00B050"/>
                </patternFill>
              </fill>
            </x14:dxf>
          </x14:cfRule>
          <x14:cfRule type="expression" priority="35322" stopIfTrue="1" id="{A6F0BF26-2AB9-41C6-9DF1-C2079361EB2F}">
            <xm:f>AND(IF(H21&lt;'Plan de Accion 2018'!X144,H21&lt;&gt;"N/A"))</xm:f>
            <x14:dxf>
              <fill>
                <patternFill>
                  <bgColor indexed="10"/>
                </patternFill>
              </fill>
            </x14:dxf>
          </x14:cfRule>
          <xm:sqref>H21</xm:sqref>
        </x14:conditionalFormatting>
        <x14:conditionalFormatting xmlns:xm="http://schemas.microsoft.com/office/excel/2006/main">
          <x14:cfRule type="expression" priority="42736" id="{3EB21911-3DAB-44BC-9A51-EEE875571E12}">
            <xm:f>AND(IF(V188&gt;'Plan de Accion 2018'!#REF!,V188&lt;&gt;¨N/A¨))</xm:f>
            <x14:dxf>
              <fill>
                <patternFill>
                  <bgColor theme="1" tint="0.499984740745262"/>
                </patternFill>
              </fill>
            </x14:dxf>
          </x14:cfRule>
          <x14:cfRule type="expression" priority="42737" stopIfTrue="1" id="{E7F70A3E-131C-4FBE-AE60-C9CCF414207F}">
            <xm:f>AND(IF(V188='Plan de Accion 2018'!AS51,V188&lt;&gt;"N/A"))</xm:f>
            <x14:dxf>
              <fill>
                <patternFill>
                  <bgColor rgb="FF00B050"/>
                </patternFill>
              </fill>
            </x14:dxf>
          </x14:cfRule>
          <x14:cfRule type="expression" priority="42738" stopIfTrue="1" id="{66ACA22A-9ABE-4CAD-828A-8444950DE5EE}">
            <xm:f>AND(IF(V188&lt;'Plan de Accion 2018'!AS51,V188&lt;&gt;"N/A"))</xm:f>
            <x14:dxf>
              <fill>
                <patternFill>
                  <bgColor indexed="10"/>
                </patternFill>
              </fill>
            </x14:dxf>
          </x14:cfRule>
          <xm:sqref>V188:V198</xm:sqref>
        </x14:conditionalFormatting>
        <x14:conditionalFormatting xmlns:xm="http://schemas.microsoft.com/office/excel/2006/main">
          <x14:cfRule type="expression" priority="45667" id="{7D7DE63B-5E55-4D88-AB07-4FB52BF8C37A}">
            <xm:f>AND(IF(H27&gt;'Plan de Accion 2018'!Y137,H27&lt;&gt;¨N/A¨))</xm:f>
            <x14:dxf>
              <fill>
                <patternFill>
                  <bgColor theme="1" tint="0.499984740745262"/>
                </patternFill>
              </fill>
            </x14:dxf>
          </x14:cfRule>
          <x14:cfRule type="expression" priority="45668" stopIfTrue="1" id="{00000000-000E-0000-0300-0000FA060000}">
            <xm:f>AND(IF(H27='Plan de Accion 2018'!Y137,H27&lt;&gt;"N/A"))</xm:f>
            <x14:dxf>
              <fill>
                <patternFill>
                  <bgColor rgb="FF00B050"/>
                </patternFill>
              </fill>
            </x14:dxf>
          </x14:cfRule>
          <x14:cfRule type="expression" priority="45669" stopIfTrue="1" id="{00000000-000E-0000-0300-0000FC060000}">
            <xm:f>AND(IF(H27&lt;'Plan de Accion 2018'!Y137,H27&lt;&gt;"N/A"))</xm:f>
            <x14:dxf>
              <fill>
                <patternFill>
                  <bgColor indexed="10"/>
                </patternFill>
              </fill>
            </x14:dxf>
          </x14:cfRule>
          <xm:sqref>H27</xm:sqref>
        </x14:conditionalFormatting>
        <x14:conditionalFormatting xmlns:xm="http://schemas.microsoft.com/office/excel/2006/main">
          <x14:cfRule type="expression" priority="45688" id="{9635B60D-3B78-43AA-94BF-3F988CFCC799}">
            <xm:f>AND(IF(O27&gt;'Plan de Accion 2018'!AI137,O27&lt;&gt;¨N/A¨))</xm:f>
            <x14:dxf>
              <fill>
                <patternFill>
                  <bgColor theme="1" tint="0.499984740745262"/>
                </patternFill>
              </fill>
            </x14:dxf>
          </x14:cfRule>
          <x14:cfRule type="expression" priority="45689" stopIfTrue="1" id="{404F032B-48CE-458A-9249-84803D96C9EB}">
            <xm:f>AND(IF(O27='Plan de Accion 2018'!AI137,O27&lt;&gt;"N/A"))</xm:f>
            <x14:dxf>
              <fill>
                <patternFill>
                  <bgColor rgb="FF00B050"/>
                </patternFill>
              </fill>
            </x14:dxf>
          </x14:cfRule>
          <x14:cfRule type="expression" priority="45690" stopIfTrue="1" id="{E83C4961-5DDE-4A21-9CED-7232A00AC2BA}">
            <xm:f>AND(IF(O27&lt;'Plan de Accion 2018'!AI137,O27&lt;&gt;"N/A"))</xm:f>
            <x14:dxf>
              <fill>
                <patternFill>
                  <bgColor indexed="10"/>
                </patternFill>
              </fill>
            </x14:dxf>
          </x14:cfRule>
          <xm:sqref>O30 O27</xm:sqref>
        </x14:conditionalFormatting>
        <x14:conditionalFormatting xmlns:xm="http://schemas.microsoft.com/office/excel/2006/main">
          <x14:cfRule type="expression" priority="45736" id="{1E9D69AB-0694-4271-A68A-4C2AB9749529}">
            <xm:f>AND(IF(V27&gt;'Plan de Accion 2018'!AS137,V27&lt;&gt;¨N/A¨))</xm:f>
            <x14:dxf>
              <fill>
                <patternFill>
                  <bgColor theme="1" tint="0.499984740745262"/>
                </patternFill>
              </fill>
            </x14:dxf>
          </x14:cfRule>
          <x14:cfRule type="expression" priority="45737" stopIfTrue="1" id="{4E1C9FBB-41B3-44CB-8BA4-A08122D92C7D}">
            <xm:f>AND(IF(V27='Plan de Accion 2018'!AS137,V27&lt;&gt;"N/A"))</xm:f>
            <x14:dxf>
              <fill>
                <patternFill>
                  <bgColor rgb="FF00B050"/>
                </patternFill>
              </fill>
            </x14:dxf>
          </x14:cfRule>
          <x14:cfRule type="expression" priority="45738" stopIfTrue="1" id="{D99BA996-213D-4FC8-8A8E-4DBA63D9A2A4}">
            <xm:f>AND(IF(V27&lt;'Plan de Accion 2018'!AS137,V27&lt;&gt;"N/A"))</xm:f>
            <x14:dxf>
              <fill>
                <patternFill>
                  <bgColor indexed="10"/>
                </patternFill>
              </fill>
            </x14:dxf>
          </x14:cfRule>
          <xm:sqref>V30 V27</xm:sqref>
        </x14:conditionalFormatting>
        <x14:conditionalFormatting xmlns:xm="http://schemas.microsoft.com/office/excel/2006/main">
          <x14:cfRule type="expression" priority="45739" id="{2FFED81D-AD1A-4481-837F-6CA01CE302AC}">
            <xm:f>AND(IF(AC27&gt;'Plan de Accion 2018'!BC137,AC27&lt;&gt;¨N/A¨))</xm:f>
            <x14:dxf>
              <fill>
                <patternFill>
                  <bgColor theme="1" tint="0.499984740745262"/>
                </patternFill>
              </fill>
            </x14:dxf>
          </x14:cfRule>
          <x14:cfRule type="expression" priority="45740" stopIfTrue="1" id="{0FEA846A-70C0-400C-BAA0-0FD9AE5191E1}">
            <xm:f>AND(IF(AC27='Plan de Accion 2018'!BC137,AC27&lt;&gt;"N/A"))</xm:f>
            <x14:dxf>
              <fill>
                <patternFill>
                  <bgColor rgb="FF00B050"/>
                </patternFill>
              </fill>
            </x14:dxf>
          </x14:cfRule>
          <x14:cfRule type="expression" priority="45741" stopIfTrue="1" id="{EB7A37DA-053C-4544-BFEF-0EEE9C93918E}">
            <xm:f>AND(IF(AC27&lt;'Plan de Accion 2018'!BC137,AC27&lt;&gt;"N/A"))</xm:f>
            <x14:dxf>
              <fill>
                <patternFill>
                  <bgColor indexed="10"/>
                </patternFill>
              </fill>
            </x14:dxf>
          </x14:cfRule>
          <xm:sqref>AC30 AC27</xm:sqref>
        </x14:conditionalFormatting>
        <x14:conditionalFormatting xmlns:xm="http://schemas.microsoft.com/office/excel/2006/main">
          <x14:cfRule type="expression" priority="47065" id="{A48A741E-2335-4636-8D08-7B27C3E4956C}">
            <xm:f>AND(IF(H234&gt;'Plan de Accion 2018'!Y148,H234&lt;&gt;¨N/A¨))</xm:f>
            <x14:dxf>
              <fill>
                <patternFill>
                  <bgColor theme="1" tint="0.499984740745262"/>
                </patternFill>
              </fill>
            </x14:dxf>
          </x14:cfRule>
          <x14:cfRule type="expression" priority="47066" stopIfTrue="1" id="{00EE595D-D89E-431F-BE3A-5343A63E1EDB}">
            <xm:f>AND(IF(H234='Plan de Accion 2018'!Y148,H234&lt;&gt;"N/A"))</xm:f>
            <x14:dxf>
              <fill>
                <patternFill>
                  <bgColor rgb="FF00B050"/>
                </patternFill>
              </fill>
            </x14:dxf>
          </x14:cfRule>
          <x14:cfRule type="expression" priority="47067" stopIfTrue="1" id="{52C94201-6FC1-4E11-B07B-06A0F9B26529}">
            <xm:f>AND(IF(H234&lt;'Plan de Accion 2018'!Y148,H234&lt;&gt;"N/A"))</xm:f>
            <x14:dxf>
              <fill>
                <patternFill>
                  <bgColor indexed="10"/>
                </patternFill>
              </fill>
            </x14:dxf>
          </x14:cfRule>
          <xm:sqref>H234</xm:sqref>
        </x14:conditionalFormatting>
        <x14:conditionalFormatting xmlns:xm="http://schemas.microsoft.com/office/excel/2006/main">
          <x14:cfRule type="expression" priority="47275" id="{65B77048-8EBB-4671-A11F-AA4AB698F6A3}">
            <xm:f>AND(IF(O234&gt;'Plan de Accion 2018'!AI148,O234&lt;&gt;¨N/A¨))</xm:f>
            <x14:dxf>
              <fill>
                <patternFill>
                  <bgColor theme="1" tint="0.499984740745262"/>
                </patternFill>
              </fill>
            </x14:dxf>
          </x14:cfRule>
          <x14:cfRule type="expression" priority="47276" stopIfTrue="1" id="{6B01A7A2-E4EE-4493-B0F4-5ABBD6CC3620}">
            <xm:f>AND(IF(O234='Plan de Accion 2018'!AI148,O234&lt;&gt;"N/A"))</xm:f>
            <x14:dxf>
              <fill>
                <patternFill>
                  <bgColor rgb="FF00B050"/>
                </patternFill>
              </fill>
            </x14:dxf>
          </x14:cfRule>
          <x14:cfRule type="expression" priority="47277" stopIfTrue="1" id="{783DC5D6-163E-4602-ABB9-EEC214A0FB42}">
            <xm:f>AND(IF(O234&lt;'Plan de Accion 2018'!AI148,O234&lt;&gt;"N/A"))</xm:f>
            <x14:dxf>
              <fill>
                <patternFill>
                  <bgColor indexed="10"/>
                </patternFill>
              </fill>
            </x14:dxf>
          </x14:cfRule>
          <xm:sqref>O234</xm:sqref>
        </x14:conditionalFormatting>
        <x14:conditionalFormatting xmlns:xm="http://schemas.microsoft.com/office/excel/2006/main">
          <x14:cfRule type="expression" priority="47461" id="{101D77A3-05AE-4959-8A32-DD9C91F7F4CB}">
            <xm:f>AND(IF(V234&gt;'Plan de Accion 2018'!AS148,V234&lt;&gt;¨N/A¨))</xm:f>
            <x14:dxf>
              <fill>
                <patternFill>
                  <bgColor theme="1" tint="0.499984740745262"/>
                </patternFill>
              </fill>
            </x14:dxf>
          </x14:cfRule>
          <x14:cfRule type="expression" priority="47462" stopIfTrue="1" id="{52D6CCA1-3C6E-40BA-A293-2ACFCEE97573}">
            <xm:f>AND(IF(V234='Plan de Accion 2018'!AS148,V234&lt;&gt;"N/A"))</xm:f>
            <x14:dxf>
              <fill>
                <patternFill>
                  <bgColor rgb="FF00B050"/>
                </patternFill>
              </fill>
            </x14:dxf>
          </x14:cfRule>
          <x14:cfRule type="expression" priority="47463" stopIfTrue="1" id="{D3647766-93EF-40A7-A578-C77F2485DDFE}">
            <xm:f>AND(IF(V234&lt;'Plan de Accion 2018'!AS148,V234&lt;&gt;"N/A"))</xm:f>
            <x14:dxf>
              <fill>
                <patternFill>
                  <bgColor indexed="10"/>
                </patternFill>
              </fill>
            </x14:dxf>
          </x14:cfRule>
          <xm:sqref>V234</xm:sqref>
        </x14:conditionalFormatting>
        <x14:conditionalFormatting xmlns:xm="http://schemas.microsoft.com/office/excel/2006/main">
          <x14:cfRule type="expression" priority="47650" id="{B7BFF239-E33D-4118-A834-DF22EF33402C}">
            <xm:f>AND(IF(AC234&gt;'Plan de Accion 2018'!BC148,AC234&lt;&gt;¨N/A¨))</xm:f>
            <x14:dxf>
              <fill>
                <patternFill>
                  <bgColor theme="1" tint="0.499984740745262"/>
                </patternFill>
              </fill>
            </x14:dxf>
          </x14:cfRule>
          <x14:cfRule type="expression" priority="47651" stopIfTrue="1" id="{03A8B7B2-6348-43C6-9B2D-64B57D795C84}">
            <xm:f>AND(IF(AC234='Plan de Accion 2018'!BC148,AC234&lt;&gt;"N/A"))</xm:f>
            <x14:dxf>
              <fill>
                <patternFill>
                  <bgColor rgb="FF00B050"/>
                </patternFill>
              </fill>
            </x14:dxf>
          </x14:cfRule>
          <x14:cfRule type="expression" priority="47652" stopIfTrue="1" id="{F61726E2-2D36-41F9-84D0-F2F96F885312}">
            <xm:f>AND(IF(AC234&lt;'Plan de Accion 2018'!BC148,AC234&lt;&gt;"N/A"))</xm:f>
            <x14:dxf>
              <fill>
                <patternFill>
                  <bgColor indexed="10"/>
                </patternFill>
              </fill>
            </x14:dxf>
          </x14:cfRule>
          <xm:sqref>AC234</xm:sqref>
        </x14:conditionalFormatting>
        <x14:conditionalFormatting xmlns:xm="http://schemas.microsoft.com/office/excel/2006/main">
          <x14:cfRule type="expression" priority="51154" id="{3677E030-971B-4EB5-9249-DD78ECB0C2C9}">
            <xm:f>AND(IF(AC151&gt;'Plan de Accion 2018'!AK146,AC151&lt;&gt;¨N/A¨))</xm:f>
            <x14:dxf>
              <fill>
                <patternFill>
                  <bgColor theme="1" tint="0.499984740745262"/>
                </patternFill>
              </fill>
            </x14:dxf>
          </x14:cfRule>
          <x14:cfRule type="expression" priority="51155" stopIfTrue="1" id="{23294E12-C57C-4EF7-BA1C-9721281A7C37}">
            <xm:f>AND(IF(AC151='Plan de Accion 2018'!AK146,AC151&lt;&gt;"N/A"))</xm:f>
            <x14:dxf>
              <fill>
                <patternFill>
                  <bgColor rgb="FF00B050"/>
                </patternFill>
              </fill>
            </x14:dxf>
          </x14:cfRule>
          <x14:cfRule type="expression" priority="51156" stopIfTrue="1" id="{95985CD9-9707-4D6D-A718-A455A16E9E36}">
            <xm:f>AND(IF(AC151&lt;'Plan de Accion 2018'!AK146,AC151&lt;&gt;"N/A"))</xm:f>
            <x14:dxf>
              <fill>
                <patternFill>
                  <bgColor indexed="10"/>
                </patternFill>
              </fill>
            </x14:dxf>
          </x14:cfRule>
          <xm:sqref>AC151</xm:sqref>
        </x14:conditionalFormatting>
        <x14:conditionalFormatting xmlns:xm="http://schemas.microsoft.com/office/excel/2006/main">
          <x14:cfRule type="expression" priority="52270" id="{3677E030-971B-4EB5-9249-DD78ECB0C2C9}">
            <xm:f>AND(IF(O151&gt;'Plan de Accion 2018'!AC146,O151&lt;&gt;¨N/A¨))</xm:f>
            <x14:dxf>
              <fill>
                <patternFill>
                  <bgColor theme="1" tint="0.499984740745262"/>
                </patternFill>
              </fill>
            </x14:dxf>
          </x14:cfRule>
          <x14:cfRule type="expression" priority="52271" stopIfTrue="1" id="{23294E12-C57C-4EF7-BA1C-9721281A7C37}">
            <xm:f>AND(IF(O151='Plan de Accion 2018'!AC146,O151&lt;&gt;"N/A"))</xm:f>
            <x14:dxf>
              <fill>
                <patternFill>
                  <bgColor rgb="FF00B050"/>
                </patternFill>
              </fill>
            </x14:dxf>
          </x14:cfRule>
          <x14:cfRule type="expression" priority="52272" stopIfTrue="1" id="{95985CD9-9707-4D6D-A718-A455A16E9E36}">
            <xm:f>AND(IF(O151&lt;'Plan de Accion 2018'!AC146,O151&lt;&gt;"N/A"))</xm:f>
            <x14:dxf>
              <fill>
                <patternFill>
                  <bgColor indexed="10"/>
                </patternFill>
              </fill>
            </x14:dxf>
          </x14:cfRule>
          <xm:sqref>O151</xm:sqref>
        </x14:conditionalFormatting>
        <x14:conditionalFormatting xmlns:xm="http://schemas.microsoft.com/office/excel/2006/main">
          <x14:cfRule type="expression" priority="53002" id="{3677E030-971B-4EB5-9249-DD78ECB0C2C9}">
            <xm:f>AND(IF(V151&gt;'Plan de Accion 2018'!AG146,V151&lt;&gt;¨N/A¨))</xm:f>
            <x14:dxf>
              <fill>
                <patternFill>
                  <bgColor theme="1" tint="0.499984740745262"/>
                </patternFill>
              </fill>
            </x14:dxf>
          </x14:cfRule>
          <x14:cfRule type="expression" priority="53003" stopIfTrue="1" id="{23294E12-C57C-4EF7-BA1C-9721281A7C37}">
            <xm:f>AND(IF(V151='Plan de Accion 2018'!AG146,V151&lt;&gt;"N/A"))</xm:f>
            <x14:dxf>
              <fill>
                <patternFill>
                  <bgColor rgb="FF00B050"/>
                </patternFill>
              </fill>
            </x14:dxf>
          </x14:cfRule>
          <x14:cfRule type="expression" priority="53004" stopIfTrue="1" id="{95985CD9-9707-4D6D-A718-A455A16E9E36}">
            <xm:f>AND(IF(V151&lt;'Plan de Accion 2018'!AG146,V151&lt;&gt;"N/A"))</xm:f>
            <x14:dxf>
              <fill>
                <patternFill>
                  <bgColor indexed="10"/>
                </patternFill>
              </fill>
            </x14:dxf>
          </x14:cfRule>
          <xm:sqref>V151</xm:sqref>
        </x14:conditionalFormatting>
        <x14:conditionalFormatting xmlns:xm="http://schemas.microsoft.com/office/excel/2006/main">
          <x14:cfRule type="expression" priority="55651" id="{C6AADA74-C14F-4565-9C53-5A11C1734B89}">
            <xm:f>AND(IF(H73&gt;'Plan de Accion 2018'!#REF!,H73&lt;&gt;¨N/A¨))</xm:f>
            <x14:dxf>
              <fill>
                <patternFill>
                  <bgColor theme="1" tint="0.499984740745262"/>
                </patternFill>
              </fill>
            </x14:dxf>
          </x14:cfRule>
          <x14:cfRule type="expression" priority="55652" stopIfTrue="1" id="{31AC552F-C835-4304-B7F0-F966972CDD16}">
            <xm:f>AND(IF(H73='Plan de Accion 2018'!#REF!,H73&lt;&gt;"N/A"))</xm:f>
            <x14:dxf>
              <fill>
                <patternFill>
                  <bgColor rgb="FF00B050"/>
                </patternFill>
              </fill>
            </x14:dxf>
          </x14:cfRule>
          <x14:cfRule type="expression" priority="55653" stopIfTrue="1" id="{1100336D-8668-4BD2-9ED2-A9752E38164B}">
            <xm:f>AND(IF(H73&lt;'Plan de Accion 2018'!#REF!,H73&lt;&gt;"N/A"))</xm:f>
            <x14:dxf>
              <fill>
                <patternFill>
                  <bgColor indexed="10"/>
                </patternFill>
              </fill>
            </x14:dxf>
          </x14:cfRule>
          <xm:sqref>H73</xm:sqref>
        </x14:conditionalFormatting>
        <x14:conditionalFormatting xmlns:xm="http://schemas.microsoft.com/office/excel/2006/main">
          <x14:cfRule type="expression" priority="55732" id="{56E75D71-1ABA-4F65-97A4-1E078D63727A}">
            <xm:f>AND(IF(O73&gt;'Plan de Accion 2018'!#REF!,O73&lt;&gt;¨N/A¨))</xm:f>
            <x14:dxf>
              <fill>
                <patternFill>
                  <bgColor theme="1" tint="0.499984740745262"/>
                </patternFill>
              </fill>
            </x14:dxf>
          </x14:cfRule>
          <x14:cfRule type="expression" priority="55733" stopIfTrue="1" id="{5E12CC76-D9D3-4493-A3C0-1BA4F89881D7}">
            <xm:f>AND(IF(O73='Plan de Accion 2018'!#REF!,O73&lt;&gt;"N/A"))</xm:f>
            <x14:dxf>
              <fill>
                <patternFill>
                  <bgColor rgb="FF00B050"/>
                </patternFill>
              </fill>
            </x14:dxf>
          </x14:cfRule>
          <x14:cfRule type="expression" priority="55734" stopIfTrue="1" id="{84F2C4BC-698E-4170-ABCF-125EFAC77CB7}">
            <xm:f>AND(IF(O73&lt;'Plan de Accion 2018'!#REF!,O73&lt;&gt;"N/A"))</xm:f>
            <x14:dxf>
              <fill>
                <patternFill>
                  <bgColor indexed="10"/>
                </patternFill>
              </fill>
            </x14:dxf>
          </x14:cfRule>
          <xm:sqref>O73</xm:sqref>
        </x14:conditionalFormatting>
        <x14:conditionalFormatting xmlns:xm="http://schemas.microsoft.com/office/excel/2006/main">
          <x14:cfRule type="expression" priority="55807" id="{1F3DE2B5-A54D-4475-A3E6-C7E9D18323ED}">
            <xm:f>AND(IF(V73&gt;'Plan de Accion 2018'!#REF!,V73&lt;&gt;¨N/A¨))</xm:f>
            <x14:dxf>
              <fill>
                <patternFill>
                  <bgColor theme="1" tint="0.499984740745262"/>
                </patternFill>
              </fill>
            </x14:dxf>
          </x14:cfRule>
          <x14:cfRule type="expression" priority="55808" stopIfTrue="1" id="{84D24D04-D58F-42BA-8550-283B3EABAEB2}">
            <xm:f>AND(IF(V73='Plan de Accion 2018'!#REF!,V73&lt;&gt;"N/A"))</xm:f>
            <x14:dxf>
              <fill>
                <patternFill>
                  <bgColor rgb="FF00B050"/>
                </patternFill>
              </fill>
            </x14:dxf>
          </x14:cfRule>
          <x14:cfRule type="expression" priority="55809" stopIfTrue="1" id="{5B2623EA-C437-49AC-96DD-0EC5EF9260D7}">
            <xm:f>AND(IF(V73&lt;'Plan de Accion 2018'!#REF!,V73&lt;&gt;"N/A"))</xm:f>
            <x14:dxf>
              <fill>
                <patternFill>
                  <bgColor indexed="10"/>
                </patternFill>
              </fill>
            </x14:dxf>
          </x14:cfRule>
          <xm:sqref>V73</xm:sqref>
        </x14:conditionalFormatting>
        <x14:conditionalFormatting xmlns:xm="http://schemas.microsoft.com/office/excel/2006/main">
          <x14:cfRule type="expression" priority="55873" id="{E171D575-4916-46E8-9CED-4E91E080EEC6}">
            <xm:f>AND(IF(AC73&gt;'Plan de Accion 2018'!#REF!,AC73&lt;&gt;¨N/A¨))</xm:f>
            <x14:dxf>
              <fill>
                <patternFill>
                  <bgColor theme="1" tint="0.499984740745262"/>
                </patternFill>
              </fill>
            </x14:dxf>
          </x14:cfRule>
          <x14:cfRule type="expression" priority="55874" stopIfTrue="1" id="{2901BD21-3A4D-487B-9740-516ED0B78149}">
            <xm:f>AND(IF(AC73='Plan de Accion 2018'!#REF!,AC73&lt;&gt;"N/A"))</xm:f>
            <x14:dxf>
              <fill>
                <patternFill>
                  <bgColor rgb="FF00B050"/>
                </patternFill>
              </fill>
            </x14:dxf>
          </x14:cfRule>
          <x14:cfRule type="expression" priority="55875" stopIfTrue="1" id="{2320B366-CCC8-4A6E-A914-F9472073C436}">
            <xm:f>AND(IF(AC73&lt;'Plan de Accion 2018'!#REF!,AC73&lt;&gt;"N/A"))</xm:f>
            <x14:dxf>
              <fill>
                <patternFill>
                  <bgColor indexed="10"/>
                </patternFill>
              </fill>
            </x14:dxf>
          </x14:cfRule>
          <xm:sqref>AC73</xm:sqref>
        </x14:conditionalFormatting>
        <x14:conditionalFormatting xmlns:xm="http://schemas.microsoft.com/office/excel/2006/main">
          <x14:cfRule type="expression" priority="58903" id="{204D33F6-BAF1-4CC8-8C60-D1EC4849DBD6}">
            <xm:f>AND(IF(H34&gt;'Plan de Accion 2018'!Y153,H34&lt;&gt;¨N/A¨))</xm:f>
            <x14:dxf>
              <fill>
                <patternFill>
                  <bgColor theme="1" tint="0.499984740745262"/>
                </patternFill>
              </fill>
            </x14:dxf>
          </x14:cfRule>
          <x14:cfRule type="expression" priority="58904" stopIfTrue="1" id="{BA32F0F2-A339-46A8-8F2B-C5E08664781A}">
            <xm:f>AND(IF(H34='Plan de Accion 2018'!Y153,H34&lt;&gt;"N/A"))</xm:f>
            <x14:dxf>
              <fill>
                <patternFill>
                  <bgColor rgb="FF00B050"/>
                </patternFill>
              </fill>
            </x14:dxf>
          </x14:cfRule>
          <x14:cfRule type="expression" priority="58905" stopIfTrue="1" id="{79AEA6CD-0C2A-4A07-84FF-2EF94F816B6F}">
            <xm:f>AND(IF(H34&lt;'Plan de Accion 2018'!Y153,H34&lt;&gt;"N/A"))</xm:f>
            <x14:dxf>
              <fill>
                <patternFill>
                  <bgColor indexed="10"/>
                </patternFill>
              </fill>
            </x14:dxf>
          </x14:cfRule>
          <xm:sqref>H34:H37</xm:sqref>
        </x14:conditionalFormatting>
        <x14:conditionalFormatting xmlns:xm="http://schemas.microsoft.com/office/excel/2006/main">
          <x14:cfRule type="expression" priority="60052" id="{8166AEC4-BA14-4974-9BBE-9627870EB103}">
            <xm:f>AND(IF(V93&gt;'Plan de Accion 2018'!AS159,V93&lt;&gt;¨N/A¨))</xm:f>
            <x14:dxf>
              <fill>
                <patternFill>
                  <bgColor theme="1" tint="0.499984740745262"/>
                </patternFill>
              </fill>
            </x14:dxf>
          </x14:cfRule>
          <x14:cfRule type="expression" priority="60053" stopIfTrue="1" id="{0524BA59-1854-4808-B4C0-28B751660251}">
            <xm:f>AND(IF(V93='Plan de Accion 2018'!AS183,V93&lt;&gt;"N/A"))</xm:f>
            <x14:dxf>
              <fill>
                <patternFill>
                  <bgColor rgb="FF00B050"/>
                </patternFill>
              </fill>
            </x14:dxf>
          </x14:cfRule>
          <x14:cfRule type="expression" priority="60054" stopIfTrue="1" id="{CB1D1036-2F78-4D6F-8468-610DBC79BF90}">
            <xm:f>AND(IF(V93&lt;'Plan de Accion 2018'!AS183,V93&lt;&gt;"N/A"))</xm:f>
            <x14:dxf>
              <fill>
                <patternFill>
                  <bgColor indexed="10"/>
                </patternFill>
              </fill>
            </x14:dxf>
          </x14:cfRule>
          <xm:sqref>V93 V98</xm:sqref>
        </x14:conditionalFormatting>
        <x14:conditionalFormatting xmlns:xm="http://schemas.microsoft.com/office/excel/2006/main">
          <x14:cfRule type="expression" priority="60058" id="{8166AEC4-BA14-4974-9BBE-9627870EB103}">
            <xm:f>AND(IF(V94&gt;'Plan de Accion 2018'!AS160,V94&lt;&gt;¨N/A¨))</xm:f>
            <x14:dxf>
              <fill>
                <patternFill>
                  <bgColor theme="1" tint="0.499984740745262"/>
                </patternFill>
              </fill>
            </x14:dxf>
          </x14:cfRule>
          <x14:cfRule type="expression" priority="60059" stopIfTrue="1" id="{0524BA59-1854-4808-B4C0-28B751660251}">
            <xm:f>AND(IF(V94='Plan de Accion 2018'!AS186,V94&lt;&gt;"N/A"))</xm:f>
            <x14:dxf>
              <fill>
                <patternFill>
                  <bgColor rgb="FF00B050"/>
                </patternFill>
              </fill>
            </x14:dxf>
          </x14:cfRule>
          <x14:cfRule type="expression" priority="60060" stopIfTrue="1" id="{CB1D1036-2F78-4D6F-8468-610DBC79BF90}">
            <xm:f>AND(IF(V94&lt;'Plan de Accion 2018'!AS186,V94&lt;&gt;"N/A"))</xm:f>
            <x14:dxf>
              <fill>
                <patternFill>
                  <bgColor indexed="10"/>
                </patternFill>
              </fill>
            </x14:dxf>
          </x14:cfRule>
          <xm:sqref>V94</xm:sqref>
        </x14:conditionalFormatting>
        <x14:conditionalFormatting xmlns:xm="http://schemas.microsoft.com/office/excel/2006/main">
          <x14:cfRule type="expression" priority="60262" id="{81AB846C-760D-4A9C-A83B-C76A477DA501}">
            <xm:f>AND(IF(O185&gt;'Plan de Accion 2018'!AI48,O185&lt;&gt;¨N/A¨))</xm:f>
            <x14:dxf>
              <fill>
                <patternFill>
                  <bgColor theme="1" tint="0.499984740745262"/>
                </patternFill>
              </fill>
            </x14:dxf>
          </x14:cfRule>
          <x14:cfRule type="expression" priority="60263" stopIfTrue="1" id="{199DECBF-E25A-4C0F-BA3F-4ECA69396AA4}">
            <xm:f>AND(IF(O185='Plan de Accion 2018'!AI186,O185&lt;&gt;"N/A"))</xm:f>
            <x14:dxf>
              <fill>
                <patternFill>
                  <bgColor rgb="FF00B050"/>
                </patternFill>
              </fill>
            </x14:dxf>
          </x14:cfRule>
          <x14:cfRule type="expression" priority="60264" stopIfTrue="1" id="{0A33EFD9-16D2-4B10-80C8-00D134733268}">
            <xm:f>AND(IF(O185&lt;'Plan de Accion 2018'!AI186,O185&lt;&gt;"N/A"))</xm:f>
            <x14:dxf>
              <fill>
                <patternFill>
                  <bgColor indexed="10"/>
                </patternFill>
              </fill>
            </x14:dxf>
          </x14:cfRule>
          <xm:sqref>O185</xm:sqref>
        </x14:conditionalFormatting>
        <x14:conditionalFormatting xmlns:xm="http://schemas.microsoft.com/office/excel/2006/main">
          <x14:cfRule type="expression" priority="60304" id="{81AB846C-760D-4A9C-A83B-C76A477DA501}">
            <xm:f>AND(IF(O184&gt;'Plan de Accion 2018'!AI47,O184&lt;&gt;¨N/A¨))</xm:f>
            <x14:dxf>
              <fill>
                <patternFill>
                  <bgColor theme="1" tint="0.499984740745262"/>
                </patternFill>
              </fill>
            </x14:dxf>
          </x14:cfRule>
          <x14:cfRule type="expression" priority="60305" stopIfTrue="1" id="{199DECBF-E25A-4C0F-BA3F-4ECA69396AA4}">
            <xm:f>AND(IF(O184='Plan de Accion 2018'!AI183,O184&lt;&gt;"N/A"))</xm:f>
            <x14:dxf>
              <fill>
                <patternFill>
                  <bgColor rgb="FF00B050"/>
                </patternFill>
              </fill>
            </x14:dxf>
          </x14:cfRule>
          <x14:cfRule type="expression" priority="60306" stopIfTrue="1" id="{0A33EFD9-16D2-4B10-80C8-00D134733268}">
            <xm:f>AND(IF(O184&lt;'Plan de Accion 2018'!AI183,O184&lt;&gt;"N/A"))</xm:f>
            <x14:dxf>
              <fill>
                <patternFill>
                  <bgColor indexed="10"/>
                </patternFill>
              </fill>
            </x14:dxf>
          </x14:cfRule>
          <xm:sqref>O184</xm:sqref>
        </x14:conditionalFormatting>
        <x14:conditionalFormatting xmlns:xm="http://schemas.microsoft.com/office/excel/2006/main">
          <x14:cfRule type="expression" priority="60307" id="{3EB21911-3DAB-44BC-9A51-EEE875571E12}">
            <xm:f>AND(IF(V184&gt;'Plan de Accion 2018'!AS183,V184&lt;&gt;¨N/A¨))</xm:f>
            <x14:dxf>
              <fill>
                <patternFill>
                  <bgColor theme="1" tint="0.499984740745262"/>
                </patternFill>
              </fill>
            </x14:dxf>
          </x14:cfRule>
          <x14:cfRule type="expression" priority="60308" stopIfTrue="1" id="{E7F70A3E-131C-4FBE-AE60-C9CCF414207F}">
            <xm:f>AND(IF(V184='Plan de Accion 2018'!AS47,V184&lt;&gt;"N/A"))</xm:f>
            <x14:dxf>
              <fill>
                <patternFill>
                  <bgColor rgb="FF00B050"/>
                </patternFill>
              </fill>
            </x14:dxf>
          </x14:cfRule>
          <x14:cfRule type="expression" priority="60309" stopIfTrue="1" id="{66ACA22A-9ABE-4CAD-828A-8444950DE5EE}">
            <xm:f>AND(IF(V184&lt;'Plan de Accion 2018'!AS47,V184&lt;&gt;"N/A"))</xm:f>
            <x14:dxf>
              <fill>
                <patternFill>
                  <bgColor indexed="10"/>
                </patternFill>
              </fill>
            </x14:dxf>
          </x14:cfRule>
          <xm:sqref>V184</xm:sqref>
        </x14:conditionalFormatting>
        <x14:conditionalFormatting xmlns:xm="http://schemas.microsoft.com/office/excel/2006/main">
          <x14:cfRule type="expression" priority="60364" id="{3EB21911-3DAB-44BC-9A51-EEE875571E12}">
            <xm:f>AND(IF(V185&gt;'Plan de Accion 2018'!AS186,V185&lt;&gt;¨N/A¨))</xm:f>
            <x14:dxf>
              <fill>
                <patternFill>
                  <bgColor theme="1" tint="0.499984740745262"/>
                </patternFill>
              </fill>
            </x14:dxf>
          </x14:cfRule>
          <x14:cfRule type="expression" priority="60365" stopIfTrue="1" id="{E7F70A3E-131C-4FBE-AE60-C9CCF414207F}">
            <xm:f>AND(IF(V185='Plan de Accion 2018'!AS48,V185&lt;&gt;"N/A"))</xm:f>
            <x14:dxf>
              <fill>
                <patternFill>
                  <bgColor rgb="FF00B050"/>
                </patternFill>
              </fill>
            </x14:dxf>
          </x14:cfRule>
          <x14:cfRule type="expression" priority="60366" stopIfTrue="1" id="{66ACA22A-9ABE-4CAD-828A-8444950DE5EE}">
            <xm:f>AND(IF(V185&lt;'Plan de Accion 2018'!AS48,V185&lt;&gt;"N/A"))</xm:f>
            <x14:dxf>
              <fill>
                <patternFill>
                  <bgColor indexed="10"/>
                </patternFill>
              </fill>
            </x14:dxf>
          </x14:cfRule>
          <xm:sqref>V185:V187</xm:sqref>
        </x14:conditionalFormatting>
        <x14:conditionalFormatting xmlns:xm="http://schemas.microsoft.com/office/excel/2006/main">
          <x14:cfRule type="expression" priority="11717" id="{A76B98BB-6F59-4E4E-AB1B-4C06C2F88F65}">
            <xm:f>AND(IF(O40&gt;'Plan de Accion 2018'!AI175,O40&lt;&gt;¨N/A¨))</xm:f>
            <x14:dxf>
              <fill>
                <patternFill>
                  <bgColor theme="1" tint="0.499984740745262"/>
                </patternFill>
              </fill>
            </x14:dxf>
          </x14:cfRule>
          <x14:cfRule type="expression" priority="11718" stopIfTrue="1" id="{AE697CC9-43A0-47BA-BB75-60BF1642C152}">
            <xm:f>AND(IF(O40='Plan de Accion 2018'!AI175,O40&lt;&gt;"N/A"))</xm:f>
            <x14:dxf>
              <fill>
                <patternFill>
                  <bgColor rgb="FF00B050"/>
                </patternFill>
              </fill>
            </x14:dxf>
          </x14:cfRule>
          <x14:cfRule type="expression" priority="11719" stopIfTrue="1" id="{A1A40A60-9033-4B8C-9A57-628BB397729A}">
            <xm:f>AND(IF(O40&lt;'Plan de Accion 2018'!AI175,O40&lt;&gt;"N/A"))</xm:f>
            <x14:dxf>
              <fill>
                <patternFill>
                  <bgColor indexed="10"/>
                </patternFill>
              </fill>
            </x14:dxf>
          </x14:cfRule>
          <xm:sqref>O40:O41</xm:sqref>
        </x14:conditionalFormatting>
        <x14:conditionalFormatting xmlns:xm="http://schemas.microsoft.com/office/excel/2006/main">
          <x14:cfRule type="expression" priority="11689" id="{EA433E0C-9AC9-419E-B8B2-6BA69F653419}">
            <xm:f>AND(IF(V40&gt;'Plan de Accion 2018'!AS175,V40&lt;&gt;¨N/A¨))</xm:f>
            <x14:dxf>
              <fill>
                <patternFill>
                  <bgColor theme="1" tint="0.499984740745262"/>
                </patternFill>
              </fill>
            </x14:dxf>
          </x14:cfRule>
          <x14:cfRule type="expression" priority="11690" stopIfTrue="1" id="{44AB4B27-E79D-4952-8E5B-4A8FC42C298C}">
            <xm:f>AND(IF(V40='Plan de Accion 2018'!AS175,V40&lt;&gt;"N/A"))</xm:f>
            <x14:dxf>
              <fill>
                <patternFill>
                  <bgColor rgb="FF00B050"/>
                </patternFill>
              </fill>
            </x14:dxf>
          </x14:cfRule>
          <x14:cfRule type="expression" priority="11691" stopIfTrue="1" id="{D08CC4CE-DDAB-413D-8097-9EF4F0643ADF}">
            <xm:f>AND(IF(V40&lt;'Plan de Accion 2018'!AS175,V40&lt;&gt;"N/A"))</xm:f>
            <x14:dxf>
              <fill>
                <patternFill>
                  <bgColor indexed="10"/>
                </patternFill>
              </fill>
            </x14:dxf>
          </x14:cfRule>
          <xm:sqref>V40:V41</xm:sqref>
        </x14:conditionalFormatting>
        <x14:conditionalFormatting xmlns:xm="http://schemas.microsoft.com/office/excel/2006/main">
          <x14:cfRule type="expression" priority="11671" id="{924BBA80-3D22-46E0-A7AF-9F5052B7D055}">
            <xm:f>AND(IF(AC40&gt;'Plan de Accion 2018'!BC175,AC40&lt;&gt;¨N/A¨))</xm:f>
            <x14:dxf>
              <fill>
                <patternFill>
                  <bgColor theme="1" tint="0.499984740745262"/>
                </patternFill>
              </fill>
            </x14:dxf>
          </x14:cfRule>
          <x14:cfRule type="expression" priority="11672" stopIfTrue="1" id="{4A6C38D5-F64C-4194-9244-5548DDC6FDEB}">
            <xm:f>AND(IF(AC40='Plan de Accion 2018'!BC175,AC40&lt;&gt;"N/A"))</xm:f>
            <x14:dxf>
              <fill>
                <patternFill>
                  <bgColor rgb="FF00B050"/>
                </patternFill>
              </fill>
            </x14:dxf>
          </x14:cfRule>
          <x14:cfRule type="expression" priority="11673" stopIfTrue="1" id="{0FE7F0C3-739F-4970-B210-A21E443BA5E2}">
            <xm:f>AND(IF(AC40&lt;'Plan de Accion 2018'!BC175,AC40&lt;&gt;"N/A"))</xm:f>
            <x14:dxf>
              <fill>
                <patternFill>
                  <bgColor indexed="10"/>
                </patternFill>
              </fill>
            </x14:dxf>
          </x14:cfRule>
          <xm:sqref>AC40:AC41</xm:sqref>
        </x14:conditionalFormatting>
        <x14:conditionalFormatting xmlns:xm="http://schemas.microsoft.com/office/excel/2006/main">
          <x14:cfRule type="expression" priority="61357" id="{9023D58E-D9E9-48BC-96CC-9CA824AD6CBE}">
            <xm:f>AND(IF(H251&gt;'Plan de Accion 2018'!Y76,H251&lt;&gt;¨N/A¨))</xm:f>
            <x14:dxf>
              <fill>
                <patternFill>
                  <bgColor theme="1" tint="0.499984740745262"/>
                </patternFill>
              </fill>
            </x14:dxf>
          </x14:cfRule>
          <x14:cfRule type="expression" priority="61358" stopIfTrue="1" id="{A02CA597-C0BA-477D-B125-1F776BF6FF03}">
            <xm:f>AND(IF(H251='Plan de Accion 2018'!Y76,H251&lt;&gt;"N/A"))</xm:f>
            <x14:dxf>
              <fill>
                <patternFill>
                  <bgColor rgb="FF00B050"/>
                </patternFill>
              </fill>
            </x14:dxf>
          </x14:cfRule>
          <x14:cfRule type="expression" priority="61359" stopIfTrue="1" id="{1549CAF8-AE1D-450A-B6FF-38AE00390A9E}">
            <xm:f>AND(IF(H251&lt;'Plan de Accion 2018'!Y76,H251&lt;&gt;"N/A"))</xm:f>
            <x14:dxf>
              <fill>
                <patternFill>
                  <bgColor indexed="10"/>
                </patternFill>
              </fill>
            </x14:dxf>
          </x14:cfRule>
          <xm:sqref>H251:H254</xm:sqref>
        </x14:conditionalFormatting>
        <x14:conditionalFormatting xmlns:xm="http://schemas.microsoft.com/office/excel/2006/main">
          <x14:cfRule type="expression" priority="61468" id="{BFD469F7-0A1A-4274-8A68-F7F2BB789863}">
            <xm:f>AND(IF(O251&gt;'Plan de Accion 2018'!AI76,O251&lt;&gt;¨N/A¨))</xm:f>
            <x14:dxf>
              <fill>
                <patternFill>
                  <bgColor theme="1" tint="0.499984740745262"/>
                </patternFill>
              </fill>
            </x14:dxf>
          </x14:cfRule>
          <x14:cfRule type="expression" priority="61469" stopIfTrue="1" id="{27FEA089-7B80-48AC-B3DE-7B6EA4C1C3F9}">
            <xm:f>AND(IF(O251='Plan de Accion 2018'!AI76,O251&lt;&gt;"N/A"))</xm:f>
            <x14:dxf>
              <fill>
                <patternFill>
                  <bgColor rgb="FF00B050"/>
                </patternFill>
              </fill>
            </x14:dxf>
          </x14:cfRule>
          <x14:cfRule type="expression" priority="61470" stopIfTrue="1" id="{EE7586B8-52AB-4CA1-8884-4C2164FBC7C9}">
            <xm:f>AND(IF(O251&lt;'Plan de Accion 2018'!AI76,O251&lt;&gt;"N/A"))</xm:f>
            <x14:dxf>
              <fill>
                <patternFill>
                  <bgColor indexed="10"/>
                </patternFill>
              </fill>
            </x14:dxf>
          </x14:cfRule>
          <xm:sqref>O251:O254</xm:sqref>
        </x14:conditionalFormatting>
        <x14:conditionalFormatting xmlns:xm="http://schemas.microsoft.com/office/excel/2006/main">
          <x14:cfRule type="expression" priority="61765" id="{5073F1AF-3CD9-4F21-8B84-D3DD5F5D1943}">
            <xm:f>AND(IF(AC251&gt;'Plan de Accion 2018'!BC76,AC251&lt;&gt;¨N/A¨))</xm:f>
            <x14:dxf>
              <fill>
                <patternFill>
                  <bgColor theme="1" tint="0.499984740745262"/>
                </patternFill>
              </fill>
            </x14:dxf>
          </x14:cfRule>
          <x14:cfRule type="expression" priority="61766" stopIfTrue="1" id="{767518DC-8C31-42E8-A090-0551748A2987}">
            <xm:f>AND(IF(AC251='Plan de Accion 2018'!BC76,AC251&lt;&gt;"N/A"))</xm:f>
            <x14:dxf>
              <fill>
                <patternFill>
                  <bgColor rgb="FF00B050"/>
                </patternFill>
              </fill>
            </x14:dxf>
          </x14:cfRule>
          <x14:cfRule type="expression" priority="61767" stopIfTrue="1" id="{44B32A7A-BD11-49C1-8FEF-7804C43A49B9}">
            <xm:f>AND(IF(AC251&lt;'Plan de Accion 2018'!BC76,AC251&lt;&gt;"N/A"))</xm:f>
            <x14:dxf>
              <fill>
                <patternFill>
                  <bgColor indexed="10"/>
                </patternFill>
              </fill>
            </x14:dxf>
          </x14:cfRule>
          <xm:sqref>AC251:AC254</xm:sqref>
        </x14:conditionalFormatting>
        <x14:conditionalFormatting xmlns:xm="http://schemas.microsoft.com/office/excel/2006/main">
          <x14:cfRule type="expression" priority="61822" id="{3049FA28-690B-4E60-9E9B-3501B5749827}">
            <xm:f>AND(IF(O34&gt;'Plan de Accion 2018'!AI147,O34&lt;&gt;¨N/A¨))</xm:f>
            <x14:dxf>
              <fill>
                <patternFill>
                  <bgColor theme="1" tint="0.499984740745262"/>
                </patternFill>
              </fill>
            </x14:dxf>
          </x14:cfRule>
          <x14:cfRule type="expression" priority="61823" stopIfTrue="1" id="{BD52468C-2751-44C4-9903-938ABE42300C}">
            <xm:f>AND(IF(O34='Plan de Accion 2018'!AI147,O34&lt;&gt;"N/A"))</xm:f>
            <x14:dxf>
              <fill>
                <patternFill>
                  <bgColor rgb="FF00B050"/>
                </patternFill>
              </fill>
            </x14:dxf>
          </x14:cfRule>
          <x14:cfRule type="expression" priority="61824" stopIfTrue="1" id="{17D199E1-925A-4D47-8EDD-EE40681D7315}">
            <xm:f>AND(IF(O34&lt;'Plan de Accion 2018'!AI147,O34&lt;&gt;"N/A"))</xm:f>
            <x14:dxf>
              <fill>
                <patternFill>
                  <bgColor indexed="10"/>
                </patternFill>
              </fill>
            </x14:dxf>
          </x14:cfRule>
          <xm:sqref>O34:O37</xm:sqref>
        </x14:conditionalFormatting>
        <x14:conditionalFormatting xmlns:xm="http://schemas.microsoft.com/office/excel/2006/main">
          <x14:cfRule type="expression" priority="61867" id="{E2AF93F4-8EA9-4460-AC38-B85743843E85}">
            <xm:f>AND(IF(V34&gt;'Plan de Accion 2018'!AS147,V34&lt;&gt;¨N/A¨))</xm:f>
            <x14:dxf>
              <fill>
                <patternFill>
                  <bgColor theme="1" tint="0.499984740745262"/>
                </patternFill>
              </fill>
            </x14:dxf>
          </x14:cfRule>
          <x14:cfRule type="expression" priority="61868" stopIfTrue="1" id="{A1E6F794-B957-4B81-BCF8-307C25972A31}">
            <xm:f>AND(IF(V34='Plan de Accion 2018'!AS147,V34&lt;&gt;"N/A"))</xm:f>
            <x14:dxf>
              <fill>
                <patternFill>
                  <bgColor rgb="FF00B050"/>
                </patternFill>
              </fill>
            </x14:dxf>
          </x14:cfRule>
          <x14:cfRule type="expression" priority="61869" stopIfTrue="1" id="{9EC8FCF7-B7BF-4CCE-AF5D-5D16E4718096}">
            <xm:f>AND(IF(V34&lt;'Plan de Accion 2018'!AS147,V34&lt;&gt;"N/A"))</xm:f>
            <x14:dxf>
              <fill>
                <patternFill>
                  <bgColor indexed="10"/>
                </patternFill>
              </fill>
            </x14:dxf>
          </x14:cfRule>
          <xm:sqref>V34:V37</xm:sqref>
        </x14:conditionalFormatting>
        <x14:conditionalFormatting xmlns:xm="http://schemas.microsoft.com/office/excel/2006/main">
          <x14:cfRule type="expression" priority="61909" id="{EF91FFB7-73FE-4E00-A85C-9930A2E457B8}">
            <xm:f>AND(IF(AC34&gt;'Plan de Accion 2018'!BC147,AC34&lt;&gt;¨N/A¨))</xm:f>
            <x14:dxf>
              <fill>
                <patternFill>
                  <bgColor theme="1" tint="0.499984740745262"/>
                </patternFill>
              </fill>
            </x14:dxf>
          </x14:cfRule>
          <x14:cfRule type="expression" priority="61910" stopIfTrue="1" id="{E660BA31-4813-4C7E-989E-6563B904DEBE}">
            <xm:f>AND(IF(AC34='Plan de Accion 2018'!BC147,AC34&lt;&gt;"N/A"))</xm:f>
            <x14:dxf>
              <fill>
                <patternFill>
                  <bgColor rgb="FF00B050"/>
                </patternFill>
              </fill>
            </x14:dxf>
          </x14:cfRule>
          <x14:cfRule type="expression" priority="61911" stopIfTrue="1" id="{5F36C6BC-55DB-447A-A65C-7B808C15CBCA}">
            <xm:f>AND(IF(AC34&lt;'Plan de Accion 2018'!BC147,AC34&lt;&gt;"N/A"))</xm:f>
            <x14:dxf>
              <fill>
                <patternFill>
                  <bgColor indexed="10"/>
                </patternFill>
              </fill>
            </x14:dxf>
          </x14:cfRule>
          <xm:sqref>AC34:AC37</xm:sqref>
        </x14:conditionalFormatting>
        <x14:conditionalFormatting xmlns:xm="http://schemas.microsoft.com/office/excel/2006/main">
          <x14:cfRule type="expression" priority="61990" id="{204D33F6-BAF1-4CC8-8C60-D1EC4849DBD6}">
            <xm:f>AND(IF(H20&gt;'Plan de Accion 2018'!Y141,H20&lt;&gt;¨N/A¨))</xm:f>
            <x14:dxf>
              <fill>
                <patternFill>
                  <bgColor theme="1" tint="0.499984740745262"/>
                </patternFill>
              </fill>
            </x14:dxf>
          </x14:cfRule>
          <x14:cfRule type="expression" priority="61991" stopIfTrue="1" id="{BA32F0F2-A339-46A8-8F2B-C5E08664781A}">
            <xm:f>AND(IF(H20='Plan de Accion 2018'!Y141,H20&lt;&gt;"N/A"))</xm:f>
            <x14:dxf>
              <fill>
                <patternFill>
                  <bgColor rgb="FF00B050"/>
                </patternFill>
              </fill>
            </x14:dxf>
          </x14:cfRule>
          <x14:cfRule type="expression" priority="61992" stopIfTrue="1" id="{79AEA6CD-0C2A-4A07-84FF-2EF94F816B6F}">
            <xm:f>AND(IF(H20&lt;'Plan de Accion 2018'!Y141,H20&lt;&gt;"N/A"))</xm:f>
            <x14:dxf>
              <fill>
                <patternFill>
                  <bgColor indexed="10"/>
                </patternFill>
              </fill>
            </x14:dxf>
          </x14:cfRule>
          <xm:sqref>H20 H22:H23</xm:sqref>
        </x14:conditionalFormatting>
        <x14:conditionalFormatting xmlns:xm="http://schemas.microsoft.com/office/excel/2006/main">
          <x14:cfRule type="expression" priority="62935" id="{1A5E750C-22FD-4E18-848F-E03322CB1825}">
            <xm:f>AND(IF(H176&gt;'Plan de Accion 2018'!Y46,H176&lt;&gt;¨N/A¨))</xm:f>
            <x14:dxf>
              <fill>
                <patternFill>
                  <bgColor theme="1" tint="0.499984740745262"/>
                </patternFill>
              </fill>
            </x14:dxf>
          </x14:cfRule>
          <x14:cfRule type="expression" priority="62936" stopIfTrue="1" id="{74E6BF35-B43C-478D-BFF7-674776C8FCB0}">
            <xm:f>AND(IF(H176='Plan de Accion 2018'!Y46,H176&lt;&gt;"N/A"))</xm:f>
            <x14:dxf>
              <fill>
                <patternFill>
                  <bgColor rgb="FF00B050"/>
                </patternFill>
              </fill>
            </x14:dxf>
          </x14:cfRule>
          <x14:cfRule type="expression" priority="62937" stopIfTrue="1" id="{FAF7DCED-A3CC-4468-8FD3-D00F5581BA68}">
            <xm:f>AND(IF(H176&lt;'Plan de Accion 2018'!Y46,H176&lt;&gt;"N/A"))</xm:f>
            <x14:dxf>
              <fill>
                <patternFill>
                  <bgColor indexed="10"/>
                </patternFill>
              </fill>
            </x14:dxf>
          </x14:cfRule>
          <xm:sqref>H293 H290 H277 H176</xm:sqref>
        </x14:conditionalFormatting>
        <x14:conditionalFormatting xmlns:xm="http://schemas.microsoft.com/office/excel/2006/main">
          <x14:cfRule type="expression" priority="63112" id="{1506753E-0D88-48A0-8094-602CB52C1104}">
            <xm:f>AND(IF(O176&gt;'Plan de Accion 2018'!AI46,O176&lt;&gt;¨N/A¨))</xm:f>
            <x14:dxf>
              <fill>
                <patternFill>
                  <bgColor theme="1" tint="0.499984740745262"/>
                </patternFill>
              </fill>
            </x14:dxf>
          </x14:cfRule>
          <x14:cfRule type="expression" priority="63113" stopIfTrue="1" id="{D36463E3-0050-4A80-A44D-4F41A5C83B4C}">
            <xm:f>AND(IF(O176='Plan de Accion 2018'!AI46,O176&lt;&gt;"N/A"))</xm:f>
            <x14:dxf>
              <fill>
                <patternFill>
                  <bgColor rgb="FF00B050"/>
                </patternFill>
              </fill>
            </x14:dxf>
          </x14:cfRule>
          <x14:cfRule type="expression" priority="63114" stopIfTrue="1" id="{708D4647-EC86-4804-A4F9-8911AD6BBC21}">
            <xm:f>AND(IF(O176&lt;'Plan de Accion 2018'!AI46,O176&lt;&gt;"N/A"))</xm:f>
            <x14:dxf>
              <fill>
                <patternFill>
                  <bgColor indexed="10"/>
                </patternFill>
              </fill>
            </x14:dxf>
          </x14:cfRule>
          <xm:sqref>O293 O290 O277 O176</xm:sqref>
        </x14:conditionalFormatting>
        <x14:conditionalFormatting xmlns:xm="http://schemas.microsoft.com/office/excel/2006/main">
          <x14:cfRule type="expression" priority="63277" id="{0D36FE22-0FDB-4241-BB49-96303E25525B}">
            <xm:f>AND(IF(V176&gt;'Plan de Accion 2018'!AS46,V176&lt;&gt;¨N/A¨))</xm:f>
            <x14:dxf>
              <fill>
                <patternFill>
                  <bgColor theme="1" tint="0.499984740745262"/>
                </patternFill>
              </fill>
            </x14:dxf>
          </x14:cfRule>
          <x14:cfRule type="expression" priority="63278" stopIfTrue="1" id="{60095CD0-FCDC-4DF7-BCD0-00F76F562D0D}">
            <xm:f>AND(IF(V176='Plan de Accion 2018'!AS46,V176&lt;&gt;"N/A"))</xm:f>
            <x14:dxf>
              <fill>
                <patternFill>
                  <bgColor rgb="FF00B050"/>
                </patternFill>
              </fill>
            </x14:dxf>
          </x14:cfRule>
          <x14:cfRule type="expression" priority="63279" stopIfTrue="1" id="{2AEF51C4-238A-4048-8D17-C94978C5FFDB}">
            <xm:f>AND(IF(V176&lt;'Plan de Accion 2018'!AS46,V176&lt;&gt;"N/A"))</xm:f>
            <x14:dxf>
              <fill>
                <patternFill>
                  <bgColor indexed="10"/>
                </patternFill>
              </fill>
            </x14:dxf>
          </x14:cfRule>
          <xm:sqref>V293 V290 V277 V176</xm:sqref>
        </x14:conditionalFormatting>
        <x14:conditionalFormatting xmlns:xm="http://schemas.microsoft.com/office/excel/2006/main">
          <x14:cfRule type="expression" priority="63436" id="{39C31298-ABB6-4768-8024-9B7ECC712D22}">
            <xm:f>AND(IF(AC176&gt;'Plan de Accion 2018'!BC46,AC176&lt;&gt;¨N/A¨))</xm:f>
            <x14:dxf>
              <fill>
                <patternFill>
                  <bgColor theme="1" tint="0.499984740745262"/>
                </patternFill>
              </fill>
            </x14:dxf>
          </x14:cfRule>
          <x14:cfRule type="expression" priority="63437" stopIfTrue="1" id="{E8068A5C-54A3-47DB-BF80-834F9D92D8C9}">
            <xm:f>AND(IF(AC176='Plan de Accion 2018'!BC46,AC176&lt;&gt;"N/A"))</xm:f>
            <x14:dxf>
              <fill>
                <patternFill>
                  <bgColor rgb="FF00B050"/>
                </patternFill>
              </fill>
            </x14:dxf>
          </x14:cfRule>
          <x14:cfRule type="expression" priority="63438" stopIfTrue="1" id="{E0832979-7FDC-4D84-BF3A-4F6DF461BAB5}">
            <xm:f>AND(IF(AC176&lt;'Plan de Accion 2018'!BC46,AC176&lt;&gt;"N/A"))</xm:f>
            <x14:dxf>
              <fill>
                <patternFill>
                  <bgColor indexed="10"/>
                </patternFill>
              </fill>
            </x14:dxf>
          </x14:cfRule>
          <xm:sqref>AC293 AC290 AC277 AC176</xm:sqref>
        </x14:conditionalFormatting>
        <x14:conditionalFormatting xmlns:xm="http://schemas.microsoft.com/office/excel/2006/main">
          <x14:cfRule type="expression" priority="65497" id="{BFD469F7-0A1A-4274-8A68-F7F2BB789863}">
            <xm:f>AND(IF(O247&gt;'Plan de Accion 2018'!AI64,O247&lt;&gt;¨N/A¨))</xm:f>
            <x14:dxf>
              <fill>
                <patternFill>
                  <bgColor theme="1" tint="0.499984740745262"/>
                </patternFill>
              </fill>
            </x14:dxf>
          </x14:cfRule>
          <x14:cfRule type="expression" priority="65498" stopIfTrue="1" id="{27FEA089-7B80-48AC-B3DE-7B6EA4C1C3F9}">
            <xm:f>AND(IF(O247='Plan de Accion 2018'!AI64,O247&lt;&gt;"N/A"))</xm:f>
            <x14:dxf>
              <fill>
                <patternFill>
                  <bgColor rgb="FF00B050"/>
                </patternFill>
              </fill>
            </x14:dxf>
          </x14:cfRule>
          <x14:cfRule type="expression" priority="65499" stopIfTrue="1" id="{EE7586B8-52AB-4CA1-8884-4C2164FBC7C9}">
            <xm:f>AND(IF(O247&lt;'Plan de Accion 2018'!AI64,O247&lt;&gt;"N/A"))</xm:f>
            <x14:dxf>
              <fill>
                <patternFill>
                  <bgColor indexed="10"/>
                </patternFill>
              </fill>
            </x14:dxf>
          </x14:cfRule>
          <xm:sqref>O247:O250</xm:sqref>
        </x14:conditionalFormatting>
        <x14:conditionalFormatting xmlns:xm="http://schemas.microsoft.com/office/excel/2006/main">
          <x14:cfRule type="expression" priority="65803" id="{5073F1AF-3CD9-4F21-8B84-D3DD5F5D1943}">
            <xm:f>AND(IF(AC247&gt;'Plan de Accion 2018'!BC64,AC247&lt;&gt;¨N/A¨))</xm:f>
            <x14:dxf>
              <fill>
                <patternFill>
                  <bgColor theme="1" tint="0.499984740745262"/>
                </patternFill>
              </fill>
            </x14:dxf>
          </x14:cfRule>
          <x14:cfRule type="expression" priority="65804" stopIfTrue="1" id="{767518DC-8C31-42E8-A090-0551748A2987}">
            <xm:f>AND(IF(AC247='Plan de Accion 2018'!BC64,AC247&lt;&gt;"N/A"))</xm:f>
            <x14:dxf>
              <fill>
                <patternFill>
                  <bgColor rgb="FF00B050"/>
                </patternFill>
              </fill>
            </x14:dxf>
          </x14:cfRule>
          <x14:cfRule type="expression" priority="65805" stopIfTrue="1" id="{44B32A7A-BD11-49C1-8FEF-7804C43A49B9}">
            <xm:f>AND(IF(AC247&lt;'Plan de Accion 2018'!BC64,AC247&lt;&gt;"N/A"))</xm:f>
            <x14:dxf>
              <fill>
                <patternFill>
                  <bgColor indexed="10"/>
                </patternFill>
              </fill>
            </x14:dxf>
          </x14:cfRule>
          <xm:sqref>AC247:AC250</xm:sqref>
        </x14:conditionalFormatting>
        <x14:conditionalFormatting xmlns:xm="http://schemas.microsoft.com/office/excel/2006/main">
          <x14:cfRule type="expression" priority="66574" id="{E4664697-7FD8-4A50-AF54-F2DEBF862091}">
            <xm:f>AND(IF(O207&gt;'Plan de Accion 2018'!AI36,O207&lt;&gt;¨N/A¨))</xm:f>
            <x14:dxf>
              <fill>
                <patternFill>
                  <bgColor theme="1" tint="0.499984740745262"/>
                </patternFill>
              </fill>
            </x14:dxf>
          </x14:cfRule>
          <x14:cfRule type="expression" priority="66575" stopIfTrue="1" id="{03452113-1A33-45B9-AB30-65B96F877BD4}">
            <xm:f>AND(IF(O207='Plan de Accion 2018'!AI36,O207&lt;&gt;"N/A"))</xm:f>
            <x14:dxf>
              <fill>
                <patternFill>
                  <bgColor rgb="FF00B050"/>
                </patternFill>
              </fill>
            </x14:dxf>
          </x14:cfRule>
          <x14:cfRule type="expression" priority="66576" stopIfTrue="1" id="{67A10020-4359-4BE0-B26F-72D85DD1D570}">
            <xm:f>AND(IF(O207&lt;'Plan de Accion 2018'!AI36,O207&lt;&gt;"N/A"))</xm:f>
            <x14:dxf>
              <fill>
                <patternFill>
                  <bgColor indexed="10"/>
                </patternFill>
              </fill>
            </x14:dxf>
          </x14:cfRule>
          <xm:sqref>O207:O214</xm:sqref>
        </x14:conditionalFormatting>
        <x14:conditionalFormatting xmlns:xm="http://schemas.microsoft.com/office/excel/2006/main">
          <x14:cfRule type="expression" priority="66580" id="{FA8F870B-7768-430F-A4C2-5F5B5D19B09D}">
            <xm:f>AND(IF(V207&gt;'Plan de Accion 2018'!AS36,V207&lt;&gt;¨N/A¨))</xm:f>
            <x14:dxf>
              <fill>
                <patternFill>
                  <bgColor theme="1" tint="0.499984740745262"/>
                </patternFill>
              </fill>
            </x14:dxf>
          </x14:cfRule>
          <x14:cfRule type="expression" priority="66581" stopIfTrue="1" id="{FCD53F9D-F459-4D8C-8646-80BB2090415A}">
            <xm:f>AND(IF(V207='Plan de Accion 2018'!AS36,V207&lt;&gt;"N/A"))</xm:f>
            <x14:dxf>
              <fill>
                <patternFill>
                  <bgColor rgb="FF00B050"/>
                </patternFill>
              </fill>
            </x14:dxf>
          </x14:cfRule>
          <x14:cfRule type="expression" priority="66582" stopIfTrue="1" id="{11D17B00-2989-4AAC-AE65-9F6772903D6F}">
            <xm:f>AND(IF(V207&lt;'Plan de Accion 2018'!AS36,V207&lt;&gt;"N/A"))</xm:f>
            <x14:dxf>
              <fill>
                <patternFill>
                  <bgColor indexed="10"/>
                </patternFill>
              </fill>
            </x14:dxf>
          </x14:cfRule>
          <xm:sqref>V207:V214</xm:sqref>
        </x14:conditionalFormatting>
        <x14:conditionalFormatting xmlns:xm="http://schemas.microsoft.com/office/excel/2006/main">
          <x14:cfRule type="expression" priority="66586" id="{F96CD83D-B11A-4BA6-AA2A-C9271C8A2E34}">
            <xm:f>AND(IF(AC207&gt;'Plan de Accion 2018'!BC36,AC207&lt;&gt;¨N/A¨))</xm:f>
            <x14:dxf>
              <fill>
                <patternFill>
                  <bgColor theme="1" tint="0.499984740745262"/>
                </patternFill>
              </fill>
            </x14:dxf>
          </x14:cfRule>
          <x14:cfRule type="expression" priority="66587" stopIfTrue="1" id="{4E42AA51-BD61-4E96-BEB4-BA31B5937076}">
            <xm:f>AND(IF(AC207='Plan de Accion 2018'!BC36,AC207&lt;&gt;"N/A"))</xm:f>
            <x14:dxf>
              <fill>
                <patternFill>
                  <bgColor rgb="FF00B050"/>
                </patternFill>
              </fill>
            </x14:dxf>
          </x14:cfRule>
          <x14:cfRule type="expression" priority="66588" stopIfTrue="1" id="{C5BA4D25-DB62-4BA4-9E5E-44906DBA3A7F}">
            <xm:f>AND(IF(AC207&lt;'Plan de Accion 2018'!BC36,AC207&lt;&gt;"N/A"))</xm:f>
            <x14:dxf>
              <fill>
                <patternFill>
                  <bgColor indexed="10"/>
                </patternFill>
              </fill>
            </x14:dxf>
          </x14:cfRule>
          <xm:sqref>AC207:AC214</xm:sqref>
        </x14:conditionalFormatting>
        <x14:conditionalFormatting xmlns:xm="http://schemas.microsoft.com/office/excel/2006/main">
          <x14:cfRule type="expression" priority="67375" id="{FA8F870B-7768-430F-A4C2-5F5B5D19B09D}">
            <xm:f>AND(IF(V251&gt;'Plan de Accion 2018'!AS76,V251&lt;&gt;¨N/A¨))</xm:f>
            <x14:dxf>
              <fill>
                <patternFill>
                  <bgColor theme="1" tint="0.499984740745262"/>
                </patternFill>
              </fill>
            </x14:dxf>
          </x14:cfRule>
          <x14:cfRule type="expression" priority="67376" stopIfTrue="1" id="{FCD53F9D-F459-4D8C-8646-80BB2090415A}">
            <xm:f>AND(IF(V251='Plan de Accion 2018'!AS76,V251&lt;&gt;"N/A"))</xm:f>
            <x14:dxf>
              <fill>
                <patternFill>
                  <bgColor rgb="FF00B050"/>
                </patternFill>
              </fill>
            </x14:dxf>
          </x14:cfRule>
          <x14:cfRule type="expression" priority="67377" stopIfTrue="1" id="{11D17B00-2989-4AAC-AE65-9F6772903D6F}">
            <xm:f>AND(IF(V251&lt;'Plan de Accion 2018'!AS76,V251&lt;&gt;"N/A"))</xm:f>
            <x14:dxf>
              <fill>
                <patternFill>
                  <bgColor indexed="10"/>
                </patternFill>
              </fill>
            </x14:dxf>
          </x14:cfRule>
          <xm:sqref>V251:V254</xm:sqref>
        </x14:conditionalFormatting>
        <x14:conditionalFormatting xmlns:xm="http://schemas.microsoft.com/office/excel/2006/main">
          <x14:cfRule type="expression" priority="68176" id="{FA8F870B-7768-430F-A4C2-5F5B5D19B09D}">
            <xm:f>AND(IF(V247&gt;'Plan de Accion 2018'!AS64,V247&lt;&gt;¨N/A¨))</xm:f>
            <x14:dxf>
              <fill>
                <patternFill>
                  <bgColor theme="1" tint="0.499984740745262"/>
                </patternFill>
              </fill>
            </x14:dxf>
          </x14:cfRule>
          <x14:cfRule type="expression" priority="68177" stopIfTrue="1" id="{FCD53F9D-F459-4D8C-8646-80BB2090415A}">
            <xm:f>AND(IF(V247='Plan de Accion 2018'!AS64,V247&lt;&gt;"N/A"))</xm:f>
            <x14:dxf>
              <fill>
                <patternFill>
                  <bgColor rgb="FF00B050"/>
                </patternFill>
              </fill>
            </x14:dxf>
          </x14:cfRule>
          <x14:cfRule type="expression" priority="68178" stopIfTrue="1" id="{11D17B00-2989-4AAC-AE65-9F6772903D6F}">
            <xm:f>AND(IF(V247&lt;'Plan de Accion 2018'!AS64,V247&lt;&gt;"N/A"))</xm:f>
            <x14:dxf>
              <fill>
                <patternFill>
                  <bgColor indexed="10"/>
                </patternFill>
              </fill>
            </x14:dxf>
          </x14:cfRule>
          <xm:sqref>V247:V250</xm:sqref>
        </x14:conditionalFormatting>
        <x14:conditionalFormatting xmlns:xm="http://schemas.microsoft.com/office/excel/2006/main">
          <x14:cfRule type="expression" priority="69562" id="{9023D58E-D9E9-48BC-96CC-9CA824AD6CBE}">
            <xm:f>AND(IF(H230&gt;'Plan de Accion 2018'!Y44,H230&lt;&gt;¨N/A¨))</xm:f>
            <x14:dxf>
              <fill>
                <patternFill>
                  <bgColor theme="1" tint="0.499984740745262"/>
                </patternFill>
              </fill>
            </x14:dxf>
          </x14:cfRule>
          <x14:cfRule type="expression" priority="69563" stopIfTrue="1" id="{A02CA597-C0BA-477D-B125-1F776BF6FF03}">
            <xm:f>AND(IF(H230='Plan de Accion 2018'!Y44,H230&lt;&gt;"N/A"))</xm:f>
            <x14:dxf>
              <fill>
                <patternFill>
                  <bgColor rgb="FF00B050"/>
                </patternFill>
              </fill>
            </x14:dxf>
          </x14:cfRule>
          <x14:cfRule type="expression" priority="69564" stopIfTrue="1" id="{1549CAF8-AE1D-450A-B6FF-38AE00390A9E}">
            <xm:f>AND(IF(H230&lt;'Plan de Accion 2018'!Y44,H230&lt;&gt;"N/A"))</xm:f>
            <x14:dxf>
              <fill>
                <patternFill>
                  <bgColor indexed="10"/>
                </patternFill>
              </fill>
            </x14:dxf>
          </x14:cfRule>
          <xm:sqref>H230</xm:sqref>
        </x14:conditionalFormatting>
        <x14:conditionalFormatting xmlns:xm="http://schemas.microsoft.com/office/excel/2006/main">
          <x14:cfRule type="expression" priority="69670" id="{BFD469F7-0A1A-4274-8A68-F7F2BB789863}">
            <xm:f>AND(IF(O230&gt;'Plan de Accion 2018'!AI44,O230&lt;&gt;¨N/A¨))</xm:f>
            <x14:dxf>
              <fill>
                <patternFill>
                  <bgColor theme="1" tint="0.499984740745262"/>
                </patternFill>
              </fill>
            </x14:dxf>
          </x14:cfRule>
          <x14:cfRule type="expression" priority="69671" stopIfTrue="1" id="{27FEA089-7B80-48AC-B3DE-7B6EA4C1C3F9}">
            <xm:f>AND(IF(O230='Plan de Accion 2018'!AI44,O230&lt;&gt;"N/A"))</xm:f>
            <x14:dxf>
              <fill>
                <patternFill>
                  <bgColor rgb="FF00B050"/>
                </patternFill>
              </fill>
            </x14:dxf>
          </x14:cfRule>
          <x14:cfRule type="expression" priority="69672" stopIfTrue="1" id="{EE7586B8-52AB-4CA1-8884-4C2164FBC7C9}">
            <xm:f>AND(IF(O230&lt;'Plan de Accion 2018'!AI44,O230&lt;&gt;"N/A"))</xm:f>
            <x14:dxf>
              <fill>
                <patternFill>
                  <bgColor indexed="10"/>
                </patternFill>
              </fill>
            </x14:dxf>
          </x14:cfRule>
          <xm:sqref>O230</xm:sqref>
        </x14:conditionalFormatting>
        <x14:conditionalFormatting xmlns:xm="http://schemas.microsoft.com/office/excel/2006/main">
          <x14:cfRule type="expression" priority="69811" id="{39F45714-7368-4451-852B-2769B81067F3}">
            <xm:f>AND(IF(V230&gt;'Plan de Accion 2018'!AS44,V230&lt;&gt;¨N/A¨))</xm:f>
            <x14:dxf>
              <fill>
                <patternFill>
                  <bgColor theme="1" tint="0.499984740745262"/>
                </patternFill>
              </fill>
            </x14:dxf>
          </x14:cfRule>
          <x14:cfRule type="expression" priority="69812" stopIfTrue="1" id="{A21E42F5-E188-4917-864F-7929ABE4FEAF}">
            <xm:f>AND(IF(V230='Plan de Accion 2018'!AS44,V230&lt;&gt;"N/A"))</xm:f>
            <x14:dxf>
              <fill>
                <patternFill>
                  <bgColor rgb="FF00B050"/>
                </patternFill>
              </fill>
            </x14:dxf>
          </x14:cfRule>
          <x14:cfRule type="expression" priority="69813" stopIfTrue="1" id="{54CAC44D-0D31-4D12-9F3C-D27FA10142B9}">
            <xm:f>AND(IF(V230&lt;'Plan de Accion 2018'!AS44,V230&lt;&gt;"N/A"))</xm:f>
            <x14:dxf>
              <fill>
                <patternFill>
                  <bgColor indexed="10"/>
                </patternFill>
              </fill>
            </x14:dxf>
          </x14:cfRule>
          <xm:sqref>V230</xm:sqref>
        </x14:conditionalFormatting>
        <x14:conditionalFormatting xmlns:xm="http://schemas.microsoft.com/office/excel/2006/main">
          <x14:cfRule type="expression" priority="69946" id="{5073F1AF-3CD9-4F21-8B84-D3DD5F5D1943}">
            <xm:f>AND(IF(AC230&gt;'Plan de Accion 2018'!BC44,AC230&lt;&gt;¨N/A¨))</xm:f>
            <x14:dxf>
              <fill>
                <patternFill>
                  <bgColor theme="1" tint="0.499984740745262"/>
                </patternFill>
              </fill>
            </x14:dxf>
          </x14:cfRule>
          <x14:cfRule type="expression" priority="69947" stopIfTrue="1" id="{767518DC-8C31-42E8-A090-0551748A2987}">
            <xm:f>AND(IF(AC230='Plan de Accion 2018'!BC44,AC230&lt;&gt;"N/A"))</xm:f>
            <x14:dxf>
              <fill>
                <patternFill>
                  <bgColor rgb="FF00B050"/>
                </patternFill>
              </fill>
            </x14:dxf>
          </x14:cfRule>
          <x14:cfRule type="expression" priority="69948" stopIfTrue="1" id="{44B32A7A-BD11-49C1-8FEF-7804C43A49B9}">
            <xm:f>AND(IF(AC230&lt;'Plan de Accion 2018'!BC44,AC230&lt;&gt;"N/A"))</xm:f>
            <x14:dxf>
              <fill>
                <patternFill>
                  <bgColor indexed="10"/>
                </patternFill>
              </fill>
            </x14:dxf>
          </x14:cfRule>
          <xm:sqref>AC230</xm:sqref>
        </x14:conditionalFormatting>
        <x14:conditionalFormatting xmlns:xm="http://schemas.microsoft.com/office/excel/2006/main">
          <x14:cfRule type="expression" priority="70417" id="{F714D5F8-5D48-4F75-9E56-ECC7015221D0}">
            <xm:f>AND(IF(V243&gt;'Plan de Accion 2018'!AS45,V243&lt;&gt;¨N/A¨))</xm:f>
            <x14:dxf>
              <fill>
                <patternFill>
                  <bgColor theme="1" tint="0.499984740745262"/>
                </patternFill>
              </fill>
            </x14:dxf>
          </x14:cfRule>
          <x14:cfRule type="expression" priority="70418" stopIfTrue="1" id="{4556E2BA-E2DE-4598-B96B-357AC6404AD1}">
            <xm:f>AND(IF(V243='Plan de Accion 2018'!AS45,V243&lt;&gt;"N/A"))</xm:f>
            <x14:dxf>
              <fill>
                <patternFill>
                  <bgColor rgb="FF00B050"/>
                </patternFill>
              </fill>
            </x14:dxf>
          </x14:cfRule>
          <x14:cfRule type="expression" priority="70419" stopIfTrue="1" id="{7F9BB8CD-09AD-448F-B756-EEC57F04592A}">
            <xm:f>AND(IF(V243&lt;'Plan de Accion 2018'!AS45,V243&lt;&gt;"N/A"))</xm:f>
            <x14:dxf>
              <fill>
                <patternFill>
                  <bgColor indexed="10"/>
                </patternFill>
              </fill>
            </x14:dxf>
          </x14:cfRule>
          <xm:sqref>V243:V246</xm:sqref>
        </x14:conditionalFormatting>
        <x14:conditionalFormatting xmlns:xm="http://schemas.microsoft.com/office/excel/2006/main">
          <x14:cfRule type="expression" priority="70678" id="{3F097174-46F5-49A9-9A2F-56D977F79B80}">
            <xm:f>AND(IF(H199&gt;'Plan de Accion 2018'!Y66,H199&lt;&gt;¨N/A¨))</xm:f>
            <x14:dxf>
              <fill>
                <patternFill>
                  <bgColor theme="1" tint="0.499984740745262"/>
                </patternFill>
              </fill>
            </x14:dxf>
          </x14:cfRule>
          <x14:cfRule type="expression" priority="70679" stopIfTrue="1" id="{6AB1EBAD-47AB-46EF-BFC9-023E4C249536}">
            <xm:f>AND(IF(H199='Plan de Accion 2018'!Y66,H199&lt;&gt;"N/A"))</xm:f>
            <x14:dxf>
              <fill>
                <patternFill>
                  <bgColor rgb="FF00B050"/>
                </patternFill>
              </fill>
            </x14:dxf>
          </x14:cfRule>
          <x14:cfRule type="expression" priority="70680" stopIfTrue="1" id="{7537C9B6-6D2B-493F-A2DA-15B8B27AEF45}">
            <xm:f>AND(IF(H199&lt;'Plan de Accion 2018'!Y66,H199&lt;&gt;"N/A"))</xm:f>
            <x14:dxf>
              <fill>
                <patternFill>
                  <bgColor indexed="10"/>
                </patternFill>
              </fill>
            </x14:dxf>
          </x14:cfRule>
          <xm:sqref>H199:H202</xm:sqref>
        </x14:conditionalFormatting>
        <x14:conditionalFormatting xmlns:xm="http://schemas.microsoft.com/office/excel/2006/main">
          <x14:cfRule type="expression" priority="70834" id="{7E161275-247C-4DB8-BD6A-E08C157FD714}">
            <xm:f>AND(IF(O199&gt;'Plan de Accion 2018'!AI66,O199&lt;&gt;¨N/A¨))</xm:f>
            <x14:dxf>
              <fill>
                <patternFill>
                  <bgColor theme="1" tint="0.499984740745262"/>
                </patternFill>
              </fill>
            </x14:dxf>
          </x14:cfRule>
          <x14:cfRule type="expression" priority="70835" stopIfTrue="1" id="{6A7F13AD-306E-4D00-A2CC-AA0F8C12D183}">
            <xm:f>AND(IF(O199='Plan de Accion 2018'!AI66,O199&lt;&gt;"N/A"))</xm:f>
            <x14:dxf>
              <fill>
                <patternFill>
                  <bgColor rgb="FF00B050"/>
                </patternFill>
              </fill>
            </x14:dxf>
          </x14:cfRule>
          <x14:cfRule type="expression" priority="70836" stopIfTrue="1" id="{4B452FC1-90BB-4624-A6F2-FE094EB34D6B}">
            <xm:f>AND(IF(O199&lt;'Plan de Accion 2018'!AI66,O199&lt;&gt;"N/A"))</xm:f>
            <x14:dxf>
              <fill>
                <patternFill>
                  <bgColor indexed="10"/>
                </patternFill>
              </fill>
            </x14:dxf>
          </x14:cfRule>
          <xm:sqref>O199:O202</xm:sqref>
        </x14:conditionalFormatting>
        <x14:conditionalFormatting xmlns:xm="http://schemas.microsoft.com/office/excel/2006/main">
          <x14:cfRule type="expression" priority="70972" id="{8B10F846-51BE-4414-B35D-153C5ED0ED4B}">
            <xm:f>AND(IF(V199&gt;'Plan de Accion 2018'!AS66,V199&lt;&gt;¨N/A¨))</xm:f>
            <x14:dxf>
              <fill>
                <patternFill>
                  <bgColor theme="1" tint="0.499984740745262"/>
                </patternFill>
              </fill>
            </x14:dxf>
          </x14:cfRule>
          <x14:cfRule type="expression" priority="70973" stopIfTrue="1" id="{411A602E-D103-4E99-AF72-DC51F9713946}">
            <xm:f>AND(IF(V199='Plan de Accion 2018'!AS66,V199&lt;&gt;"N/A"))</xm:f>
            <x14:dxf>
              <fill>
                <patternFill>
                  <bgColor rgb="FF00B050"/>
                </patternFill>
              </fill>
            </x14:dxf>
          </x14:cfRule>
          <x14:cfRule type="expression" priority="70974" stopIfTrue="1" id="{C51B46F2-26D0-4BE4-8F48-FCAECD5160C6}">
            <xm:f>AND(IF(V199&lt;'Plan de Accion 2018'!AS66,V199&lt;&gt;"N/A"))</xm:f>
            <x14:dxf>
              <fill>
                <patternFill>
                  <bgColor indexed="10"/>
                </patternFill>
              </fill>
            </x14:dxf>
          </x14:cfRule>
          <xm:sqref>V199:V202</xm:sqref>
        </x14:conditionalFormatting>
        <x14:conditionalFormatting xmlns:xm="http://schemas.microsoft.com/office/excel/2006/main">
          <x14:cfRule type="expression" priority="71104" id="{D738C595-0AB1-410B-A82F-B93BCE90122F}">
            <xm:f>AND(IF(AC199&gt;'Plan de Accion 2018'!BC66,AC199&lt;&gt;¨N/A¨))</xm:f>
            <x14:dxf>
              <fill>
                <patternFill>
                  <bgColor theme="1" tint="0.499984740745262"/>
                </patternFill>
              </fill>
            </x14:dxf>
          </x14:cfRule>
          <x14:cfRule type="expression" priority="71105" stopIfTrue="1" id="{8B858AC2-8231-453C-A5E2-30898E1005DB}">
            <xm:f>AND(IF(AC199='Plan de Accion 2018'!BC66,AC199&lt;&gt;"N/A"))</xm:f>
            <x14:dxf>
              <fill>
                <patternFill>
                  <bgColor rgb="FF00B050"/>
                </patternFill>
              </fill>
            </x14:dxf>
          </x14:cfRule>
          <x14:cfRule type="expression" priority="71106" stopIfTrue="1" id="{E92F9A76-B53A-40C2-9813-3DB56118F4F4}">
            <xm:f>AND(IF(AC199&lt;'Plan de Accion 2018'!BC66,AC199&lt;&gt;"N/A"))</xm:f>
            <x14:dxf>
              <fill>
                <patternFill>
                  <bgColor indexed="10"/>
                </patternFill>
              </fill>
            </x14:dxf>
          </x14:cfRule>
          <xm:sqref>AC199:AC202</xm:sqref>
        </x14:conditionalFormatting>
        <x14:conditionalFormatting xmlns:xm="http://schemas.microsoft.com/office/excel/2006/main">
          <x14:cfRule type="expression" priority="71554" id="{3F097174-46F5-49A9-9A2F-56D977F79B80}">
            <xm:f>AND(IF(H233&gt;'Plan de Accion 2018'!Y99,H233&lt;&gt;¨N/A¨))</xm:f>
            <x14:dxf>
              <fill>
                <patternFill>
                  <bgColor theme="1" tint="0.499984740745262"/>
                </patternFill>
              </fill>
            </x14:dxf>
          </x14:cfRule>
          <x14:cfRule type="expression" priority="71555" stopIfTrue="1" id="{6AB1EBAD-47AB-46EF-BFC9-023E4C249536}">
            <xm:f>AND(IF(H233='Plan de Accion 2018'!Y99,H233&lt;&gt;"N/A"))</xm:f>
            <x14:dxf>
              <fill>
                <patternFill>
                  <bgColor rgb="FF00B050"/>
                </patternFill>
              </fill>
            </x14:dxf>
          </x14:cfRule>
          <x14:cfRule type="expression" priority="71556" stopIfTrue="1" id="{7537C9B6-6D2B-493F-A2DA-15B8B27AEF45}">
            <xm:f>AND(IF(H233&lt;'Plan de Accion 2018'!Y99,H233&lt;&gt;"N/A"))</xm:f>
            <x14:dxf>
              <fill>
                <patternFill>
                  <bgColor indexed="10"/>
                </patternFill>
              </fill>
            </x14:dxf>
          </x14:cfRule>
          <xm:sqref>H233</xm:sqref>
        </x14:conditionalFormatting>
        <x14:conditionalFormatting xmlns:xm="http://schemas.microsoft.com/office/excel/2006/main">
          <x14:cfRule type="expression" priority="71560" id="{7E161275-247C-4DB8-BD6A-E08C157FD714}">
            <xm:f>AND(IF(O233&gt;'Plan de Accion 2018'!AI99,O233&lt;&gt;¨N/A¨))</xm:f>
            <x14:dxf>
              <fill>
                <patternFill>
                  <bgColor theme="1" tint="0.499984740745262"/>
                </patternFill>
              </fill>
            </x14:dxf>
          </x14:cfRule>
          <x14:cfRule type="expression" priority="71561" stopIfTrue="1" id="{6A7F13AD-306E-4D00-A2CC-AA0F8C12D183}">
            <xm:f>AND(IF(O233='Plan de Accion 2018'!AI99,O233&lt;&gt;"N/A"))</xm:f>
            <x14:dxf>
              <fill>
                <patternFill>
                  <bgColor rgb="FF00B050"/>
                </patternFill>
              </fill>
            </x14:dxf>
          </x14:cfRule>
          <x14:cfRule type="expression" priority="71562" stopIfTrue="1" id="{4B452FC1-90BB-4624-A6F2-FE094EB34D6B}">
            <xm:f>AND(IF(O233&lt;'Plan de Accion 2018'!AI99,O233&lt;&gt;"N/A"))</xm:f>
            <x14:dxf>
              <fill>
                <patternFill>
                  <bgColor indexed="10"/>
                </patternFill>
              </fill>
            </x14:dxf>
          </x14:cfRule>
          <xm:sqref>O233</xm:sqref>
        </x14:conditionalFormatting>
        <x14:conditionalFormatting xmlns:xm="http://schemas.microsoft.com/office/excel/2006/main">
          <x14:cfRule type="expression" priority="71566" id="{9301CE03-495E-4346-B2A2-D47C47ABBA3F}">
            <xm:f>AND(IF(V233&gt;'Plan de Accion 2018'!AS99,V233&lt;&gt;¨N/A¨))</xm:f>
            <x14:dxf>
              <fill>
                <patternFill>
                  <bgColor theme="1" tint="0.499984740745262"/>
                </patternFill>
              </fill>
            </x14:dxf>
          </x14:cfRule>
          <x14:cfRule type="expression" priority="71567" stopIfTrue="1" id="{6E156D7F-CDCD-4515-B780-1148A4AD17B3}">
            <xm:f>AND(IF(V233='Plan de Accion 2018'!AS99,V233&lt;&gt;"N/A"))</xm:f>
            <x14:dxf>
              <fill>
                <patternFill>
                  <bgColor rgb="FF00B050"/>
                </patternFill>
              </fill>
            </x14:dxf>
          </x14:cfRule>
          <x14:cfRule type="expression" priority="71568" stopIfTrue="1" id="{DBF53FE7-75D3-432E-92EB-3D31331EBA93}">
            <xm:f>AND(IF(V233&lt;'Plan de Accion 2018'!AS99,V233&lt;&gt;"N/A"))</xm:f>
            <x14:dxf>
              <fill>
                <patternFill>
                  <bgColor indexed="10"/>
                </patternFill>
              </fill>
            </x14:dxf>
          </x14:cfRule>
          <xm:sqref>V233</xm:sqref>
        </x14:conditionalFormatting>
        <x14:conditionalFormatting xmlns:xm="http://schemas.microsoft.com/office/excel/2006/main">
          <x14:cfRule type="expression" priority="71572" id="{D738C595-0AB1-410B-A82F-B93BCE90122F}">
            <xm:f>AND(IF(AC233&gt;'Plan de Accion 2018'!BC99,AC233&lt;&gt;¨N/A¨))</xm:f>
            <x14:dxf>
              <fill>
                <patternFill>
                  <bgColor theme="1" tint="0.499984740745262"/>
                </patternFill>
              </fill>
            </x14:dxf>
          </x14:cfRule>
          <x14:cfRule type="expression" priority="71573" stopIfTrue="1" id="{8B858AC2-8231-453C-A5E2-30898E1005DB}">
            <xm:f>AND(IF(AC233='Plan de Accion 2018'!BC99,AC233&lt;&gt;"N/A"))</xm:f>
            <x14:dxf>
              <fill>
                <patternFill>
                  <bgColor rgb="FF00B050"/>
                </patternFill>
              </fill>
            </x14:dxf>
          </x14:cfRule>
          <x14:cfRule type="expression" priority="71574" stopIfTrue="1" id="{E92F9A76-B53A-40C2-9813-3DB56118F4F4}">
            <xm:f>AND(IF(AC233&lt;'Plan de Accion 2018'!BC99,AC233&lt;&gt;"N/A"))</xm:f>
            <x14:dxf>
              <fill>
                <patternFill>
                  <bgColor indexed="10"/>
                </patternFill>
              </fill>
            </x14:dxf>
          </x14:cfRule>
          <xm:sqref>AC233</xm:sqref>
        </x14:conditionalFormatting>
        <x14:conditionalFormatting xmlns:xm="http://schemas.microsoft.com/office/excel/2006/main">
          <x14:cfRule type="expression" priority="71695" id="{5FA449BC-EE6F-40D2-9144-36B927DA06E1}">
            <xm:f>AND(IF(H264&gt;'Plan de Accion 2018'!Y146,H264&lt;&gt;¨N/A¨))</xm:f>
            <x14:dxf>
              <fill>
                <patternFill>
                  <bgColor theme="1" tint="0.499984740745262"/>
                </patternFill>
              </fill>
            </x14:dxf>
          </x14:cfRule>
          <x14:cfRule type="expression" priority="71696" stopIfTrue="1" id="{91DC5159-9D8B-4D20-9D1F-2A9EFAA0B302}">
            <xm:f>AND(IF(H264='Plan de Accion 2018'!Y146,H264&lt;&gt;"N/A"))</xm:f>
            <x14:dxf>
              <fill>
                <patternFill>
                  <bgColor rgb="FF00B050"/>
                </patternFill>
              </fill>
            </x14:dxf>
          </x14:cfRule>
          <x14:cfRule type="expression" priority="71697" stopIfTrue="1" id="{7B0C2ABA-7D7D-413F-BF92-614259B8F00F}">
            <xm:f>AND(IF(H264&lt;'Plan de Accion 2018'!Y146,H264&lt;&gt;"N/A"))</xm:f>
            <x14:dxf>
              <fill>
                <patternFill>
                  <bgColor indexed="10"/>
                </patternFill>
              </fill>
            </x14:dxf>
          </x14:cfRule>
          <xm:sqref>H264</xm:sqref>
        </x14:conditionalFormatting>
        <x14:conditionalFormatting xmlns:xm="http://schemas.microsoft.com/office/excel/2006/main">
          <x14:cfRule type="expression" priority="71842" id="{14142AA0-DF71-42F5-A751-99335CD5EC05}">
            <xm:f>AND(IF(O264&gt;'Plan de Accion 2018'!AI146,O264&lt;&gt;¨N/A¨))</xm:f>
            <x14:dxf>
              <fill>
                <patternFill>
                  <bgColor theme="1" tint="0.499984740745262"/>
                </patternFill>
              </fill>
            </x14:dxf>
          </x14:cfRule>
          <x14:cfRule type="expression" priority="71843" stopIfTrue="1" id="{1B564A17-ED10-4DD2-A0A8-FADEECB7CCF5}">
            <xm:f>AND(IF(O264='Plan de Accion 2018'!AI146,O264&lt;&gt;"N/A"))</xm:f>
            <x14:dxf>
              <fill>
                <patternFill>
                  <bgColor rgb="FF00B050"/>
                </patternFill>
              </fill>
            </x14:dxf>
          </x14:cfRule>
          <x14:cfRule type="expression" priority="71844" stopIfTrue="1" id="{D3366F6E-EEC0-4121-89CE-1B0C0AA75AAC}">
            <xm:f>AND(IF(O264&lt;'Plan de Accion 2018'!AI146,O264&lt;&gt;"N/A"))</xm:f>
            <x14:dxf>
              <fill>
                <patternFill>
                  <bgColor indexed="10"/>
                </patternFill>
              </fill>
            </x14:dxf>
          </x14:cfRule>
          <xm:sqref>O264</xm:sqref>
        </x14:conditionalFormatting>
        <x14:conditionalFormatting xmlns:xm="http://schemas.microsoft.com/office/excel/2006/main">
          <x14:cfRule type="expression" priority="71974" id="{CEE550D8-B190-410C-8443-EB67CC8CB876}">
            <xm:f>AND(IF(V264&gt;'Plan de Accion 2018'!AS146,V264&lt;&gt;¨N/A¨))</xm:f>
            <x14:dxf>
              <fill>
                <patternFill>
                  <bgColor theme="1" tint="0.499984740745262"/>
                </patternFill>
              </fill>
            </x14:dxf>
          </x14:cfRule>
          <x14:cfRule type="expression" priority="71975" stopIfTrue="1" id="{1ADA769B-C43D-4CD4-90A6-72168FD15D1E}">
            <xm:f>AND(IF(V264='Plan de Accion 2018'!AS146,V264&lt;&gt;"N/A"))</xm:f>
            <x14:dxf>
              <fill>
                <patternFill>
                  <bgColor rgb="FF00B050"/>
                </patternFill>
              </fill>
            </x14:dxf>
          </x14:cfRule>
          <x14:cfRule type="expression" priority="71976" stopIfTrue="1" id="{ED4A7763-D171-4EF9-93F0-9B8C8350DF9F}">
            <xm:f>AND(IF(V264&lt;'Plan de Accion 2018'!AS146,V264&lt;&gt;"N/A"))</xm:f>
            <x14:dxf>
              <fill>
                <patternFill>
                  <bgColor indexed="10"/>
                </patternFill>
              </fill>
            </x14:dxf>
          </x14:cfRule>
          <xm:sqref>V264</xm:sqref>
        </x14:conditionalFormatting>
        <x14:conditionalFormatting xmlns:xm="http://schemas.microsoft.com/office/excel/2006/main">
          <x14:cfRule type="expression" priority="72106" id="{80380232-C8A4-427E-9A35-F6E9428B6E13}">
            <xm:f>AND(IF(AC264&gt;'Plan de Accion 2018'!BC146,AC264&lt;&gt;¨N/A¨))</xm:f>
            <x14:dxf>
              <fill>
                <patternFill>
                  <bgColor theme="1" tint="0.499984740745262"/>
                </patternFill>
              </fill>
            </x14:dxf>
          </x14:cfRule>
          <x14:cfRule type="expression" priority="72107" stopIfTrue="1" id="{A988F7ED-3386-4188-86D4-93A8B26A0C3C}">
            <xm:f>AND(IF(AC264='Plan de Accion 2018'!BC146,AC264&lt;&gt;"N/A"))</xm:f>
            <x14:dxf>
              <fill>
                <patternFill>
                  <bgColor rgb="FF00B050"/>
                </patternFill>
              </fill>
            </x14:dxf>
          </x14:cfRule>
          <x14:cfRule type="expression" priority="72108" stopIfTrue="1" id="{ACB798F1-11FA-4402-B5AA-13AED5405F10}">
            <xm:f>AND(IF(AC264&lt;'Plan de Accion 2018'!BC146,AC264&lt;&gt;"N/A"))</xm:f>
            <x14:dxf>
              <fill>
                <patternFill>
                  <bgColor indexed="10"/>
                </patternFill>
              </fill>
            </x14:dxf>
          </x14:cfRule>
          <xm:sqref>AC264</xm:sqref>
        </x14:conditionalFormatting>
        <x14:conditionalFormatting xmlns:xm="http://schemas.microsoft.com/office/excel/2006/main">
          <x14:cfRule type="expression" priority="73138" id="{3F097174-46F5-49A9-9A2F-56D977F79B80}">
            <xm:f>AND(IF(H259&gt;'Plan de Accion 2018'!Y109,H259&lt;&gt;¨N/A¨))</xm:f>
            <x14:dxf>
              <fill>
                <patternFill>
                  <bgColor theme="1" tint="0.499984740745262"/>
                </patternFill>
              </fill>
            </x14:dxf>
          </x14:cfRule>
          <x14:cfRule type="expression" priority="73139" stopIfTrue="1" id="{6AB1EBAD-47AB-46EF-BFC9-023E4C249536}">
            <xm:f>AND(IF(H259='Plan de Accion 2018'!Y109,H259&lt;&gt;"N/A"))</xm:f>
            <x14:dxf>
              <fill>
                <patternFill>
                  <bgColor rgb="FF00B050"/>
                </patternFill>
              </fill>
            </x14:dxf>
          </x14:cfRule>
          <x14:cfRule type="expression" priority="73140" stopIfTrue="1" id="{7537C9B6-6D2B-493F-A2DA-15B8B27AEF45}">
            <xm:f>AND(IF(H259&lt;'Plan de Accion 2018'!Y109,H259&lt;&gt;"N/A"))</xm:f>
            <x14:dxf>
              <fill>
                <patternFill>
                  <bgColor indexed="10"/>
                </patternFill>
              </fill>
            </x14:dxf>
          </x14:cfRule>
          <xm:sqref>H259:H260</xm:sqref>
        </x14:conditionalFormatting>
        <x14:conditionalFormatting xmlns:xm="http://schemas.microsoft.com/office/excel/2006/main">
          <x14:cfRule type="expression" priority="73285" id="{7E161275-247C-4DB8-BD6A-E08C157FD714}">
            <xm:f>AND(IF(O259&gt;'Plan de Accion 2018'!AI109,O259&lt;&gt;¨N/A¨))</xm:f>
            <x14:dxf>
              <fill>
                <patternFill>
                  <bgColor theme="1" tint="0.499984740745262"/>
                </patternFill>
              </fill>
            </x14:dxf>
          </x14:cfRule>
          <x14:cfRule type="expression" priority="73286" stopIfTrue="1" id="{6A7F13AD-306E-4D00-A2CC-AA0F8C12D183}">
            <xm:f>AND(IF(O259='Plan de Accion 2018'!AI109,O259&lt;&gt;"N/A"))</xm:f>
            <x14:dxf>
              <fill>
                <patternFill>
                  <bgColor rgb="FF00B050"/>
                </patternFill>
              </fill>
            </x14:dxf>
          </x14:cfRule>
          <x14:cfRule type="expression" priority="73287" stopIfTrue="1" id="{4B452FC1-90BB-4624-A6F2-FE094EB34D6B}">
            <xm:f>AND(IF(O259&lt;'Plan de Accion 2018'!AI109,O259&lt;&gt;"N/A"))</xm:f>
            <x14:dxf>
              <fill>
                <patternFill>
                  <bgColor indexed="10"/>
                </patternFill>
              </fill>
            </x14:dxf>
          </x14:cfRule>
          <xm:sqref>O259:O260</xm:sqref>
        </x14:conditionalFormatting>
        <x14:conditionalFormatting xmlns:xm="http://schemas.microsoft.com/office/excel/2006/main">
          <x14:cfRule type="expression" priority="73417" id="{8B10F846-51BE-4414-B35D-153C5ED0ED4B}">
            <xm:f>AND(IF(V259&gt;'Plan de Accion 2018'!AS109,V259&lt;&gt;¨N/A¨))</xm:f>
            <x14:dxf>
              <fill>
                <patternFill>
                  <bgColor theme="1" tint="0.499984740745262"/>
                </patternFill>
              </fill>
            </x14:dxf>
          </x14:cfRule>
          <x14:cfRule type="expression" priority="73418" stopIfTrue="1" id="{411A602E-D103-4E99-AF72-DC51F9713946}">
            <xm:f>AND(IF(V259='Plan de Accion 2018'!AS109,V259&lt;&gt;"N/A"))</xm:f>
            <x14:dxf>
              <fill>
                <patternFill>
                  <bgColor rgb="FF00B050"/>
                </patternFill>
              </fill>
            </x14:dxf>
          </x14:cfRule>
          <x14:cfRule type="expression" priority="73419" stopIfTrue="1" id="{C51B46F2-26D0-4BE4-8F48-FCAECD5160C6}">
            <xm:f>AND(IF(V259&lt;'Plan de Accion 2018'!AS109,V259&lt;&gt;"N/A"))</xm:f>
            <x14:dxf>
              <fill>
                <patternFill>
                  <bgColor indexed="10"/>
                </patternFill>
              </fill>
            </x14:dxf>
          </x14:cfRule>
          <xm:sqref>V259:V260</xm:sqref>
        </x14:conditionalFormatting>
        <x14:conditionalFormatting xmlns:xm="http://schemas.microsoft.com/office/excel/2006/main">
          <x14:cfRule type="expression" priority="73540" id="{D738C595-0AB1-410B-A82F-B93BCE90122F}">
            <xm:f>AND(IF(AC259&gt;'Plan de Accion 2018'!BC109,AC259&lt;&gt;¨N/A¨))</xm:f>
            <x14:dxf>
              <fill>
                <patternFill>
                  <bgColor theme="1" tint="0.499984740745262"/>
                </patternFill>
              </fill>
            </x14:dxf>
          </x14:cfRule>
          <x14:cfRule type="expression" priority="73541" stopIfTrue="1" id="{8B858AC2-8231-453C-A5E2-30898E1005DB}">
            <xm:f>AND(IF(AC259='Plan de Accion 2018'!BC109,AC259&lt;&gt;"N/A"))</xm:f>
            <x14:dxf>
              <fill>
                <patternFill>
                  <bgColor rgb="FF00B050"/>
                </patternFill>
              </fill>
            </x14:dxf>
          </x14:cfRule>
          <x14:cfRule type="expression" priority="73542" stopIfTrue="1" id="{E92F9A76-B53A-40C2-9813-3DB56118F4F4}">
            <xm:f>AND(IF(AC259&lt;'Plan de Accion 2018'!BC109,AC259&lt;&gt;"N/A"))</xm:f>
            <x14:dxf>
              <fill>
                <patternFill>
                  <bgColor indexed="10"/>
                </patternFill>
              </fill>
            </x14:dxf>
          </x14:cfRule>
          <xm:sqref>AC259:AC260</xm:sqref>
        </x14:conditionalFormatting>
        <x14:conditionalFormatting xmlns:xm="http://schemas.microsoft.com/office/excel/2006/main">
          <x14:cfRule type="expression" priority="7289" id="{0F04B625-C72C-47FC-A3FD-732037730965}">
            <xm:f>AND(IF(V155&gt;'Plan de Accion 2018'!AS153,V155&lt;&gt;¨N/A¨))</xm:f>
            <x14:dxf>
              <fill>
                <patternFill>
                  <bgColor theme="1" tint="0.499984740745262"/>
                </patternFill>
              </fill>
            </x14:dxf>
          </x14:cfRule>
          <x14:cfRule type="expression" priority="7290" stopIfTrue="1" id="{194312DD-6049-456B-BA84-061E29D9D504}">
            <xm:f>AND(IF(V155='Plan de Accion 2018'!AS153,V155&lt;&gt;"N/A"))</xm:f>
            <x14:dxf>
              <fill>
                <patternFill>
                  <bgColor rgb="FF00B050"/>
                </patternFill>
              </fill>
            </x14:dxf>
          </x14:cfRule>
          <x14:cfRule type="expression" priority="7291" stopIfTrue="1" id="{E0312C27-A6D5-4E8A-89D7-479B1286E366}">
            <xm:f>AND(IF(V155&lt;'Plan de Accion 2018'!AS153,V155&lt;&gt;"N/A"))</xm:f>
            <x14:dxf>
              <fill>
                <patternFill>
                  <bgColor indexed="10"/>
                </patternFill>
              </fill>
            </x14:dxf>
          </x14:cfRule>
          <xm:sqref>V155:V162</xm:sqref>
        </x14:conditionalFormatting>
        <x14:conditionalFormatting xmlns:xm="http://schemas.microsoft.com/office/excel/2006/main">
          <x14:cfRule type="expression" priority="74668" id="{B029685C-622F-435A-B586-41E1BC6EF941}">
            <xm:f>AND(IF(H179&gt;'Plan de Accion 2018'!Y154,H179&lt;&gt;¨N/A¨))</xm:f>
            <x14:dxf>
              <fill>
                <patternFill>
                  <bgColor theme="1" tint="0.499984740745262"/>
                </patternFill>
              </fill>
            </x14:dxf>
          </x14:cfRule>
          <x14:cfRule type="expression" priority="74669" stopIfTrue="1" id="{1A57AFC5-3E6B-466B-AA3F-E5104E18FF84}">
            <xm:f>AND(IF(H179='Plan de Accion 2018'!Y154,H179&lt;&gt;"N/A"))</xm:f>
            <x14:dxf>
              <fill>
                <patternFill>
                  <bgColor rgb="FF00B050"/>
                </patternFill>
              </fill>
            </x14:dxf>
          </x14:cfRule>
          <x14:cfRule type="expression" priority="74670" stopIfTrue="1" id="{68C851E9-1731-4498-996C-272A7D22BFAB}">
            <xm:f>AND(IF(H179&lt;'Plan de Accion 2018'!Y154,H179&lt;&gt;"N/A"))</xm:f>
            <x14:dxf>
              <fill>
                <patternFill>
                  <bgColor indexed="10"/>
                </patternFill>
              </fill>
            </x14:dxf>
          </x14:cfRule>
          <xm:sqref>H179</xm:sqref>
        </x14:conditionalFormatting>
        <x14:conditionalFormatting xmlns:xm="http://schemas.microsoft.com/office/excel/2006/main">
          <x14:cfRule type="expression" priority="74758" id="{D06420E3-CF30-4DD2-8280-E6FBC9305FCD}">
            <xm:f>AND(IF(O179&gt;'Plan de Accion 2018'!AI154,O179&lt;&gt;¨N/A¨))</xm:f>
            <x14:dxf>
              <fill>
                <patternFill>
                  <bgColor theme="1" tint="0.499984740745262"/>
                </patternFill>
              </fill>
            </x14:dxf>
          </x14:cfRule>
          <x14:cfRule type="expression" priority="74759" stopIfTrue="1" id="{E9A6D6B5-AAA3-43C6-9844-572A7B925557}">
            <xm:f>AND(IF(O179='Plan de Accion 2018'!AI154,O179&lt;&gt;"N/A"))</xm:f>
            <x14:dxf>
              <fill>
                <patternFill>
                  <bgColor rgb="FF00B050"/>
                </patternFill>
              </fill>
            </x14:dxf>
          </x14:cfRule>
          <x14:cfRule type="expression" priority="74760" stopIfTrue="1" id="{524635D6-4978-4420-B178-33C242E99282}">
            <xm:f>AND(IF(O179&lt;'Plan de Accion 2018'!AI154,O179&lt;&gt;"N/A"))</xm:f>
            <x14:dxf>
              <fill>
                <patternFill>
                  <bgColor indexed="10"/>
                </patternFill>
              </fill>
            </x14:dxf>
          </x14:cfRule>
          <xm:sqref>O179</xm:sqref>
        </x14:conditionalFormatting>
        <x14:conditionalFormatting xmlns:xm="http://schemas.microsoft.com/office/excel/2006/main">
          <x14:cfRule type="expression" priority="74842" id="{FED11198-6B63-4F33-B83E-0CDF00E72654}">
            <xm:f>AND(IF(V179&gt;'Plan de Accion 2018'!AS154,V179&lt;&gt;¨N/A¨))</xm:f>
            <x14:dxf>
              <fill>
                <patternFill>
                  <bgColor theme="1" tint="0.499984740745262"/>
                </patternFill>
              </fill>
            </x14:dxf>
          </x14:cfRule>
          <x14:cfRule type="expression" priority="74843" stopIfTrue="1" id="{A20BA1EB-D4E3-4AA8-A2C0-3787A26DFE80}">
            <xm:f>AND(IF(V179='Plan de Accion 2018'!AS154,V179&lt;&gt;"N/A"))</xm:f>
            <x14:dxf>
              <fill>
                <patternFill>
                  <bgColor rgb="FF00B050"/>
                </patternFill>
              </fill>
            </x14:dxf>
          </x14:cfRule>
          <x14:cfRule type="expression" priority="74844" stopIfTrue="1" id="{47B853B9-3C06-44C8-997D-37D77C5D9C16}">
            <xm:f>AND(IF(V179&lt;'Plan de Accion 2018'!AS154,V179&lt;&gt;"N/A"))</xm:f>
            <x14:dxf>
              <fill>
                <patternFill>
                  <bgColor indexed="10"/>
                </patternFill>
              </fill>
            </x14:dxf>
          </x14:cfRule>
          <xm:sqref>V179</xm:sqref>
        </x14:conditionalFormatting>
        <x14:conditionalFormatting xmlns:xm="http://schemas.microsoft.com/office/excel/2006/main">
          <x14:cfRule type="expression" priority="74923" id="{14A93AE5-ED2E-4884-BC84-1B891A3FE589}">
            <xm:f>AND(IF(AC179&gt;'Plan de Accion 2018'!BC154,AC179&lt;&gt;¨N/A¨))</xm:f>
            <x14:dxf>
              <fill>
                <patternFill>
                  <bgColor theme="1" tint="0.499984740745262"/>
                </patternFill>
              </fill>
            </x14:dxf>
          </x14:cfRule>
          <x14:cfRule type="expression" priority="74924" stopIfTrue="1" id="{9B4ACB93-8A5C-45BB-B3D4-3969B0A634E6}">
            <xm:f>AND(IF(AC179='Plan de Accion 2018'!BC154,AC179&lt;&gt;"N/A"))</xm:f>
            <x14:dxf>
              <fill>
                <patternFill>
                  <bgColor rgb="FF00B050"/>
                </patternFill>
              </fill>
            </x14:dxf>
          </x14:cfRule>
          <x14:cfRule type="expression" priority="74925" stopIfTrue="1" id="{1ED4C1D7-BA09-43C1-8B94-5AB7D5EE5FE3}">
            <xm:f>AND(IF(AC179&lt;'Plan de Accion 2018'!BC154,AC179&lt;&gt;"N/A"))</xm:f>
            <x14:dxf>
              <fill>
                <patternFill>
                  <bgColor indexed="10"/>
                </patternFill>
              </fill>
            </x14:dxf>
          </x14:cfRule>
          <xm:sqref>AC179</xm:sqref>
        </x14:conditionalFormatting>
        <x14:conditionalFormatting xmlns:xm="http://schemas.microsoft.com/office/excel/2006/main">
          <x14:cfRule type="expression" priority="75775" id="{EFD21539-4382-479F-B232-96346ABF524F}">
            <xm:f>AND(IF(H262&gt;'Plan de Accion 2018'!Y143,H262&lt;&gt;¨N/A¨))</xm:f>
            <x14:dxf>
              <fill>
                <patternFill>
                  <bgColor theme="1" tint="0.499984740745262"/>
                </patternFill>
              </fill>
            </x14:dxf>
          </x14:cfRule>
          <x14:cfRule type="expression" priority="75776" stopIfTrue="1" id="{0DB8EF57-177E-4E1D-B6D3-217AE28A7495}">
            <xm:f>AND(IF(H262='Plan de Accion 2018'!Y143,H262&lt;&gt;"N/A"))</xm:f>
            <x14:dxf>
              <fill>
                <patternFill>
                  <bgColor rgb="FF00B050"/>
                </patternFill>
              </fill>
            </x14:dxf>
          </x14:cfRule>
          <x14:cfRule type="expression" priority="75777" stopIfTrue="1" id="{205C111F-21C0-448A-8D0C-28743965AF56}">
            <xm:f>AND(IF(H262&lt;'Plan de Accion 2018'!Y143,H262&lt;&gt;"N/A"))</xm:f>
            <x14:dxf>
              <fill>
                <patternFill>
                  <bgColor indexed="10"/>
                </patternFill>
              </fill>
            </x14:dxf>
          </x14:cfRule>
          <xm:sqref>H262:H263</xm:sqref>
        </x14:conditionalFormatting>
        <x14:conditionalFormatting xmlns:xm="http://schemas.microsoft.com/office/excel/2006/main">
          <x14:cfRule type="expression" priority="75778" id="{62633021-1908-415A-8F5D-7D294BE1DCB3}">
            <xm:f>AND(IF(O262&gt;'Plan de Accion 2018'!AI143,O262&lt;&gt;¨N/A¨))</xm:f>
            <x14:dxf>
              <fill>
                <patternFill>
                  <bgColor theme="1" tint="0.499984740745262"/>
                </patternFill>
              </fill>
            </x14:dxf>
          </x14:cfRule>
          <x14:cfRule type="expression" priority="75779" stopIfTrue="1" id="{D97C824F-7045-4909-86C4-8D2E8A09FB53}">
            <xm:f>AND(IF(O262='Plan de Accion 2018'!AI143,O262&lt;&gt;"N/A"))</xm:f>
            <x14:dxf>
              <fill>
                <patternFill>
                  <bgColor rgb="FF00B050"/>
                </patternFill>
              </fill>
            </x14:dxf>
          </x14:cfRule>
          <x14:cfRule type="expression" priority="75780" stopIfTrue="1" id="{5F08053C-A0B1-47A5-A286-19F4A2A4C22A}">
            <xm:f>AND(IF(O262&lt;'Plan de Accion 2018'!AI143,O262&lt;&gt;"N/A"))</xm:f>
            <x14:dxf>
              <fill>
                <patternFill>
                  <bgColor indexed="10"/>
                </patternFill>
              </fill>
            </x14:dxf>
          </x14:cfRule>
          <xm:sqref>O262:O263</xm:sqref>
        </x14:conditionalFormatting>
        <x14:conditionalFormatting xmlns:xm="http://schemas.microsoft.com/office/excel/2006/main">
          <x14:cfRule type="expression" priority="75781" id="{87D54997-3260-4EB6-91DA-056DC9968B79}">
            <xm:f>AND(IF(V262&gt;'Plan de Accion 2018'!AS143,V262&lt;&gt;¨N/A¨))</xm:f>
            <x14:dxf>
              <fill>
                <patternFill>
                  <bgColor theme="1" tint="0.499984740745262"/>
                </patternFill>
              </fill>
            </x14:dxf>
          </x14:cfRule>
          <x14:cfRule type="expression" priority="75782" stopIfTrue="1" id="{E60C5827-9FCD-4FF0-B634-FF45752BBFFE}">
            <xm:f>AND(IF(V262='Plan de Accion 2018'!AS143,V262&lt;&gt;"N/A"))</xm:f>
            <x14:dxf>
              <fill>
                <patternFill>
                  <bgColor rgb="FF00B050"/>
                </patternFill>
              </fill>
            </x14:dxf>
          </x14:cfRule>
          <x14:cfRule type="expression" priority="75783" stopIfTrue="1" id="{98C83A96-F2A7-40D9-9DF5-E844D90FAEB4}">
            <xm:f>AND(IF(V262&lt;'Plan de Accion 2018'!AS143,V262&lt;&gt;"N/A"))</xm:f>
            <x14:dxf>
              <fill>
                <patternFill>
                  <bgColor indexed="10"/>
                </patternFill>
              </fill>
            </x14:dxf>
          </x14:cfRule>
          <xm:sqref>V262:V263</xm:sqref>
        </x14:conditionalFormatting>
        <x14:conditionalFormatting xmlns:xm="http://schemas.microsoft.com/office/excel/2006/main">
          <x14:cfRule type="expression" priority="75784" id="{3156A1E2-726E-4077-B847-63119DA4A921}">
            <xm:f>AND(IF(AC262&gt;'Plan de Accion 2018'!BC143,AC262&lt;&gt;¨N/A¨))</xm:f>
            <x14:dxf>
              <fill>
                <patternFill>
                  <bgColor theme="1" tint="0.499984740745262"/>
                </patternFill>
              </fill>
            </x14:dxf>
          </x14:cfRule>
          <x14:cfRule type="expression" priority="75785" stopIfTrue="1" id="{333C1833-95A3-43BF-89A1-E4A7267AD9D7}">
            <xm:f>AND(IF(AC262='Plan de Accion 2018'!BC143,AC262&lt;&gt;"N/A"))</xm:f>
            <x14:dxf>
              <fill>
                <patternFill>
                  <bgColor rgb="FF00B050"/>
                </patternFill>
              </fill>
            </x14:dxf>
          </x14:cfRule>
          <x14:cfRule type="expression" priority="75786" stopIfTrue="1" id="{C778FFF8-A1C7-42A5-8E55-60B746C2BBE7}">
            <xm:f>AND(IF(AC262&lt;'Plan de Accion 2018'!BC143,AC262&lt;&gt;"N/A"))</xm:f>
            <x14:dxf>
              <fill>
                <patternFill>
                  <bgColor indexed="10"/>
                </patternFill>
              </fill>
            </x14:dxf>
          </x14:cfRule>
          <xm:sqref>AC262:AC263</xm:sqref>
        </x14:conditionalFormatting>
        <x14:conditionalFormatting xmlns:xm="http://schemas.microsoft.com/office/excel/2006/main">
          <x14:cfRule type="expression" priority="76852" id="{0097922E-B8ED-4C09-9891-760EE7F462ED}">
            <xm:f>AND(IF(H243&gt;'Plan de Accion 2018'!Y45,H243&lt;&gt;¨N/A¨))</xm:f>
            <x14:dxf>
              <fill>
                <patternFill>
                  <bgColor theme="1" tint="0.499984740745262"/>
                </patternFill>
              </fill>
            </x14:dxf>
          </x14:cfRule>
          <x14:cfRule type="expression" priority="76853" stopIfTrue="1" id="{C5A0B0F8-2CF7-4787-ACFA-6BB735960719}">
            <xm:f>AND(IF(H243='Plan de Accion 2018'!Y45,H243&lt;&gt;"N/A"))</xm:f>
            <x14:dxf>
              <fill>
                <patternFill>
                  <bgColor rgb="FF00B050"/>
                </patternFill>
              </fill>
            </x14:dxf>
          </x14:cfRule>
          <x14:cfRule type="expression" priority="76854" stopIfTrue="1" id="{E7F928BE-F98C-43F1-AD06-6D4FF4D493D8}">
            <xm:f>AND(IF(H243&lt;'Plan de Accion 2018'!Y45,H243&lt;&gt;"N/A"))</xm:f>
            <x14:dxf>
              <fill>
                <patternFill>
                  <bgColor indexed="10"/>
                </patternFill>
              </fill>
            </x14:dxf>
          </x14:cfRule>
          <xm:sqref>H243:H246</xm:sqref>
        </x14:conditionalFormatting>
        <x14:conditionalFormatting xmlns:xm="http://schemas.microsoft.com/office/excel/2006/main">
          <x14:cfRule type="expression" priority="77029" id="{9AACE797-51CB-4031-A1AD-EAB404204988}">
            <xm:f>AND(IF(O243&gt;'Plan de Accion 2018'!AI45,O243&lt;&gt;¨N/A¨))</xm:f>
            <x14:dxf>
              <fill>
                <patternFill>
                  <bgColor theme="1" tint="0.499984740745262"/>
                </patternFill>
              </fill>
            </x14:dxf>
          </x14:cfRule>
          <x14:cfRule type="expression" priority="77030" stopIfTrue="1" id="{CE20B04A-7A2B-4EA3-B378-71D1BAE8D37C}">
            <xm:f>AND(IF(O243='Plan de Accion 2018'!AI45,O243&lt;&gt;"N/A"))</xm:f>
            <x14:dxf>
              <fill>
                <patternFill>
                  <bgColor rgb="FF00B050"/>
                </patternFill>
              </fill>
            </x14:dxf>
          </x14:cfRule>
          <x14:cfRule type="expression" priority="77031" stopIfTrue="1" id="{9B107B35-DB0E-4D8C-8D30-A5369EE88043}">
            <xm:f>AND(IF(O243&lt;'Plan de Accion 2018'!AI45,O243&lt;&gt;"N/A"))</xm:f>
            <x14:dxf>
              <fill>
                <patternFill>
                  <bgColor indexed="10"/>
                </patternFill>
              </fill>
            </x14:dxf>
          </x14:cfRule>
          <xm:sqref>O243:O246</xm:sqref>
        </x14:conditionalFormatting>
        <x14:conditionalFormatting xmlns:xm="http://schemas.microsoft.com/office/excel/2006/main">
          <x14:cfRule type="expression" priority="77341" id="{50FBCB88-C3BC-4E4F-919B-AB649F5F2AD3}">
            <xm:f>AND(IF(AC243&gt;'Plan de Accion 2018'!BC45,AC243&lt;&gt;¨N/A¨))</xm:f>
            <x14:dxf>
              <fill>
                <patternFill>
                  <bgColor theme="1" tint="0.499984740745262"/>
                </patternFill>
              </fill>
            </x14:dxf>
          </x14:cfRule>
          <x14:cfRule type="expression" priority="77342" stopIfTrue="1" id="{082EDA2E-1BE4-469E-AE7F-FF93216EF2E1}">
            <xm:f>AND(IF(AC243='Plan de Accion 2018'!BC45,AC243&lt;&gt;"N/A"))</xm:f>
            <x14:dxf>
              <fill>
                <patternFill>
                  <bgColor rgb="FF00B050"/>
                </patternFill>
              </fill>
            </x14:dxf>
          </x14:cfRule>
          <x14:cfRule type="expression" priority="77343" stopIfTrue="1" id="{0C40AB3A-8804-477F-A7DD-F082EF3B3D26}">
            <xm:f>AND(IF(AC243&lt;'Plan de Accion 2018'!BC45,AC243&lt;&gt;"N/A"))</xm:f>
            <x14:dxf>
              <fill>
                <patternFill>
                  <bgColor indexed="10"/>
                </patternFill>
              </fill>
            </x14:dxf>
          </x14:cfRule>
          <xm:sqref>AC243:AC246</xm:sqref>
        </x14:conditionalFormatting>
        <x14:conditionalFormatting xmlns:xm="http://schemas.microsoft.com/office/excel/2006/main">
          <x14:cfRule type="expression" priority="78199" id="{A48A741E-2335-4636-8D08-7B27C3E4956C}">
            <xm:f>AND(IF(H184&gt;'Plan de Accion 2018'!Y47,H184&lt;&gt;¨N/A¨))</xm:f>
            <x14:dxf>
              <fill>
                <patternFill>
                  <bgColor theme="1" tint="0.499984740745262"/>
                </patternFill>
              </fill>
            </x14:dxf>
          </x14:cfRule>
          <x14:cfRule type="expression" priority="78200" stopIfTrue="1" id="{00EE595D-D89E-431F-BE3A-5343A63E1EDB}">
            <xm:f>AND(IF(H184='Plan de Accion 2018'!Y47,H184&lt;&gt;"N/A"))</xm:f>
            <x14:dxf>
              <fill>
                <patternFill>
                  <bgColor rgb="FF00B050"/>
                </patternFill>
              </fill>
            </x14:dxf>
          </x14:cfRule>
          <x14:cfRule type="expression" priority="78201" stopIfTrue="1" id="{52C94201-6FC1-4E11-B07B-06A0F9B26529}">
            <xm:f>AND(IF(H184&lt;'Plan de Accion 2018'!Y47,H184&lt;&gt;"N/A"))</xm:f>
            <x14:dxf>
              <fill>
                <patternFill>
                  <bgColor indexed="10"/>
                </patternFill>
              </fill>
            </x14:dxf>
          </x14:cfRule>
          <xm:sqref>H184:H198</xm:sqref>
        </x14:conditionalFormatting>
        <x14:conditionalFormatting xmlns:xm="http://schemas.microsoft.com/office/excel/2006/main">
          <x14:cfRule type="expression" priority="78346" id="{65B77048-8EBB-4671-A11F-AA4AB698F6A3}">
            <xm:f>AND(IF(O186&gt;'Plan de Accion 2018'!AI49,O186&lt;&gt;¨N/A¨))</xm:f>
            <x14:dxf>
              <fill>
                <patternFill>
                  <bgColor theme="1" tint="0.499984740745262"/>
                </patternFill>
              </fill>
            </x14:dxf>
          </x14:cfRule>
          <x14:cfRule type="expression" priority="78347" stopIfTrue="1" id="{6B01A7A2-E4EE-4493-B0F4-5ABBD6CC3620}">
            <xm:f>AND(IF(O186='Plan de Accion 2018'!AI49,O186&lt;&gt;"N/A"))</xm:f>
            <x14:dxf>
              <fill>
                <patternFill>
                  <bgColor rgb="FF00B050"/>
                </patternFill>
              </fill>
            </x14:dxf>
          </x14:cfRule>
          <x14:cfRule type="expression" priority="78348" stopIfTrue="1" id="{783DC5D6-163E-4602-ABB9-EEC214A0FB42}">
            <xm:f>AND(IF(O186&lt;'Plan de Accion 2018'!AI49,O186&lt;&gt;"N/A"))</xm:f>
            <x14:dxf>
              <fill>
                <patternFill>
                  <bgColor indexed="10"/>
                </patternFill>
              </fill>
            </x14:dxf>
          </x14:cfRule>
          <xm:sqref>O186:O198</xm:sqref>
        </x14:conditionalFormatting>
        <x14:conditionalFormatting xmlns:xm="http://schemas.microsoft.com/office/excel/2006/main">
          <x14:cfRule type="expression" priority="78595" id="{B7BFF239-E33D-4118-A834-DF22EF33402C}">
            <xm:f>AND(IF(AC184&gt;'Plan de Accion 2018'!BC47,AC184&lt;&gt;¨N/A¨))</xm:f>
            <x14:dxf>
              <fill>
                <patternFill>
                  <bgColor theme="1" tint="0.499984740745262"/>
                </patternFill>
              </fill>
            </x14:dxf>
          </x14:cfRule>
          <x14:cfRule type="expression" priority="78596" stopIfTrue="1" id="{03A8B7B2-6348-43C6-9B2D-64B57D795C84}">
            <xm:f>AND(IF(AC184='Plan de Accion 2018'!BC47,AC184&lt;&gt;"N/A"))</xm:f>
            <x14:dxf>
              <fill>
                <patternFill>
                  <bgColor rgb="FF00B050"/>
                </patternFill>
              </fill>
            </x14:dxf>
          </x14:cfRule>
          <x14:cfRule type="expression" priority="78597" stopIfTrue="1" id="{F61726E2-2D36-41F9-84D0-F2F96F885312}">
            <xm:f>AND(IF(AC184&lt;'Plan de Accion 2018'!BC47,AC184&lt;&gt;"N/A"))</xm:f>
            <x14:dxf>
              <fill>
                <patternFill>
                  <bgColor indexed="10"/>
                </patternFill>
              </fill>
            </x14:dxf>
          </x14:cfRule>
          <xm:sqref>AC184:AC198</xm:sqref>
        </x14:conditionalFormatting>
        <x14:conditionalFormatting xmlns:xm="http://schemas.microsoft.com/office/excel/2006/main">
          <x14:cfRule type="expression" priority="79666" id="{A280658F-F114-4A26-AB95-F6BFACC92386}">
            <xm:f>AND(IF(H229&gt;'Plan de Accion 2018'!Y12,H229&lt;&gt;¨N/A¨))</xm:f>
            <x14:dxf>
              <fill>
                <patternFill>
                  <bgColor theme="1" tint="0.499984740745262"/>
                </patternFill>
              </fill>
            </x14:dxf>
          </x14:cfRule>
          <x14:cfRule type="expression" priority="79667" stopIfTrue="1" id="{4BC7C8AD-F128-42C7-9CA2-244047812D66}">
            <xm:f>AND(IF(H229='Plan de Accion 2018'!Y12,H229&lt;&gt;"N/A"))</xm:f>
            <x14:dxf>
              <fill>
                <patternFill>
                  <bgColor rgb="FF00B050"/>
                </patternFill>
              </fill>
            </x14:dxf>
          </x14:cfRule>
          <x14:cfRule type="expression" priority="79668" stopIfTrue="1" id="{1C256845-CACA-4D46-B992-69485733D6EB}">
            <xm:f>AND(IF(H229&lt;'Plan de Accion 2018'!Y12,H229&lt;&gt;"N/A"))</xm:f>
            <x14:dxf>
              <fill>
                <patternFill>
                  <bgColor indexed="10"/>
                </patternFill>
              </fill>
            </x14:dxf>
          </x14:cfRule>
          <xm:sqref>H229</xm:sqref>
        </x14:conditionalFormatting>
        <x14:conditionalFormatting xmlns:xm="http://schemas.microsoft.com/office/excel/2006/main">
          <x14:cfRule type="expression" priority="79780" id="{BFD469F7-0A1A-4274-8A68-F7F2BB789863}">
            <xm:f>AND(IF(O229&gt;'Plan de Accion 2018'!AI12,O229&lt;&gt;¨N/A¨))</xm:f>
            <x14:dxf>
              <fill>
                <patternFill>
                  <bgColor theme="1" tint="0.499984740745262"/>
                </patternFill>
              </fill>
            </x14:dxf>
          </x14:cfRule>
          <x14:cfRule type="expression" priority="79781" stopIfTrue="1" id="{27FEA089-7B80-48AC-B3DE-7B6EA4C1C3F9}">
            <xm:f>AND(IF(O229='Plan de Accion 2018'!AI12,O229&lt;&gt;"N/A"))</xm:f>
            <x14:dxf>
              <fill>
                <patternFill>
                  <bgColor rgb="FF00B050"/>
                </patternFill>
              </fill>
            </x14:dxf>
          </x14:cfRule>
          <x14:cfRule type="expression" priority="79782" stopIfTrue="1" id="{EE7586B8-52AB-4CA1-8884-4C2164FBC7C9}">
            <xm:f>AND(IF(O229&lt;'Plan de Accion 2018'!AI12,O229&lt;&gt;"N/A"))</xm:f>
            <x14:dxf>
              <fill>
                <patternFill>
                  <bgColor indexed="10"/>
                </patternFill>
              </fill>
            </x14:dxf>
          </x14:cfRule>
          <xm:sqref>O229</xm:sqref>
        </x14:conditionalFormatting>
        <x14:conditionalFormatting xmlns:xm="http://schemas.microsoft.com/office/excel/2006/main">
          <x14:cfRule type="expression" priority="80020" id="{5073F1AF-3CD9-4F21-8B84-D3DD5F5D1943}">
            <xm:f>AND(IF(AC229&gt;'Plan de Accion 2018'!BC12,AC229&lt;&gt;¨N/A¨))</xm:f>
            <x14:dxf>
              <fill>
                <patternFill>
                  <bgColor theme="1" tint="0.499984740745262"/>
                </patternFill>
              </fill>
            </x14:dxf>
          </x14:cfRule>
          <x14:cfRule type="expression" priority="80021" stopIfTrue="1" id="{767518DC-8C31-42E8-A090-0551748A2987}">
            <xm:f>AND(IF(AC229='Plan de Accion 2018'!BC12,AC229&lt;&gt;"N/A"))</xm:f>
            <x14:dxf>
              <fill>
                <patternFill>
                  <bgColor rgb="FF00B050"/>
                </patternFill>
              </fill>
            </x14:dxf>
          </x14:cfRule>
          <x14:cfRule type="expression" priority="80022" stopIfTrue="1" id="{44B32A7A-BD11-49C1-8FEF-7804C43A49B9}">
            <xm:f>AND(IF(AC229&lt;'Plan de Accion 2018'!BC12,AC229&lt;&gt;"N/A"))</xm:f>
            <x14:dxf>
              <fill>
                <patternFill>
                  <bgColor indexed="10"/>
                </patternFill>
              </fill>
            </x14:dxf>
          </x14:cfRule>
          <xm:sqref>AC229</xm:sqref>
        </x14:conditionalFormatting>
        <x14:conditionalFormatting xmlns:xm="http://schemas.microsoft.com/office/excel/2006/main">
          <x14:cfRule type="expression" priority="80038" id="{2C3BF7CD-BA0A-480D-9F71-013F402ACC11}">
            <xm:f>AND(IF(H180&gt;'Plan de Accion 2018'!Y179,H180&lt;&gt;¨N/A¨))</xm:f>
            <x14:dxf>
              <fill>
                <patternFill>
                  <bgColor theme="1" tint="0.499984740745262"/>
                </patternFill>
              </fill>
            </x14:dxf>
          </x14:cfRule>
          <x14:cfRule type="expression" priority="80039" stopIfTrue="1" id="{C2FD101A-C2DC-4070-9A97-72B30C81DC95}">
            <xm:f>AND(IF(H180='Plan de Accion 2018'!Y179,H180&lt;&gt;"N/A"))</xm:f>
            <x14:dxf>
              <fill>
                <patternFill>
                  <bgColor rgb="FF00B050"/>
                </patternFill>
              </fill>
            </x14:dxf>
          </x14:cfRule>
          <x14:cfRule type="expression" priority="80040" stopIfTrue="1" id="{43543DB3-9128-4B58-B834-F389D59AC87D}">
            <xm:f>AND(IF(H180&lt;'Plan de Accion 2018'!Y179,H180&lt;&gt;"N/A"))</xm:f>
            <x14:dxf>
              <fill>
                <patternFill>
                  <bgColor indexed="10"/>
                </patternFill>
              </fill>
            </x14:dxf>
          </x14:cfRule>
          <xm:sqref>H180:H182</xm:sqref>
        </x14:conditionalFormatting>
        <x14:conditionalFormatting xmlns:xm="http://schemas.microsoft.com/office/excel/2006/main">
          <x14:cfRule type="expression" priority="80128" id="{122827AB-C2DA-4014-A31E-79FFFD81A07C}">
            <xm:f>AND(IF(O180&gt;'Plan de Accion 2018'!AI179,O180&lt;&gt;¨N/A¨))</xm:f>
            <x14:dxf>
              <fill>
                <patternFill>
                  <bgColor theme="1" tint="0.499984740745262"/>
                </patternFill>
              </fill>
            </x14:dxf>
          </x14:cfRule>
          <x14:cfRule type="expression" priority="80129" stopIfTrue="1" id="{B103A0E4-EDA4-4573-93C4-A81B0A8488C7}">
            <xm:f>AND(IF(O180='Plan de Accion 2018'!AI179,O180&lt;&gt;"N/A"))</xm:f>
            <x14:dxf>
              <fill>
                <patternFill>
                  <bgColor rgb="FF00B050"/>
                </patternFill>
              </fill>
            </x14:dxf>
          </x14:cfRule>
          <x14:cfRule type="expression" priority="80130" stopIfTrue="1" id="{6E2246C5-588D-486D-B973-F137402F6620}">
            <xm:f>AND(IF(O180&lt;'Plan de Accion 2018'!AI179,O180&lt;&gt;"N/A"))</xm:f>
            <x14:dxf>
              <fill>
                <patternFill>
                  <bgColor indexed="10"/>
                </patternFill>
              </fill>
            </x14:dxf>
          </x14:cfRule>
          <xm:sqref>O180:O182</xm:sqref>
        </x14:conditionalFormatting>
        <x14:conditionalFormatting xmlns:xm="http://schemas.microsoft.com/office/excel/2006/main">
          <x14:cfRule type="expression" priority="80281" id="{F09C6FF2-96CA-4B92-AE8B-5B29E6BDA046}">
            <xm:f>AND(IF(AC180&gt;'Plan de Accion 2018'!BC179,AC180&lt;&gt;¨N/A¨))</xm:f>
            <x14:dxf>
              <fill>
                <patternFill>
                  <bgColor theme="1" tint="0.499984740745262"/>
                </patternFill>
              </fill>
            </x14:dxf>
          </x14:cfRule>
          <x14:cfRule type="expression" priority="80282" stopIfTrue="1" id="{B3AA813A-56BA-4A22-805A-2504BD1BED2D}">
            <xm:f>AND(IF(AC180='Plan de Accion 2018'!BC179,AC180&lt;&gt;"N/A"))</xm:f>
            <x14:dxf>
              <fill>
                <patternFill>
                  <bgColor rgb="FF00B050"/>
                </patternFill>
              </fill>
            </x14:dxf>
          </x14:cfRule>
          <x14:cfRule type="expression" priority="80283" stopIfTrue="1" id="{435456D3-AFDD-41D9-93A9-D3194211FDAC}">
            <xm:f>AND(IF(AC180&lt;'Plan de Accion 2018'!BC179,AC180&lt;&gt;"N/A"))</xm:f>
            <x14:dxf>
              <fill>
                <patternFill>
                  <bgColor indexed="10"/>
                </patternFill>
              </fill>
            </x14:dxf>
          </x14:cfRule>
          <xm:sqref>AC180:AC182</xm:sqref>
        </x14:conditionalFormatting>
        <x14:conditionalFormatting xmlns:xm="http://schemas.microsoft.com/office/excel/2006/main">
          <x14:cfRule type="expression" priority="80488" id="{0F04B625-C72C-47FC-A3FD-732037730965}">
            <xm:f>AND(IF(V180&gt;'Plan de Accion 2018'!AS179,V180&lt;&gt;¨N/A¨))</xm:f>
            <x14:dxf>
              <fill>
                <patternFill>
                  <bgColor theme="1" tint="0.499984740745262"/>
                </patternFill>
              </fill>
            </x14:dxf>
          </x14:cfRule>
          <x14:cfRule type="expression" priority="80489" stopIfTrue="1" id="{194312DD-6049-456B-BA84-061E29D9D504}">
            <xm:f>AND(IF(V180='Plan de Accion 2018'!AS179,V180&lt;&gt;"N/A"))</xm:f>
            <x14:dxf>
              <fill>
                <patternFill>
                  <bgColor rgb="FF00B050"/>
                </patternFill>
              </fill>
            </x14:dxf>
          </x14:cfRule>
          <x14:cfRule type="expression" priority="80490" stopIfTrue="1" id="{E0312C27-A6D5-4E8A-89D7-479B1286E366}">
            <xm:f>AND(IF(V180&lt;'Plan de Accion 2018'!AS179,V180&lt;&gt;"N/A"))</xm:f>
            <x14:dxf>
              <fill>
                <patternFill>
                  <bgColor indexed="10"/>
                </patternFill>
              </fill>
            </x14:dxf>
          </x14:cfRule>
          <xm:sqref>V180:V182</xm:sqref>
        </x14:conditionalFormatting>
        <x14:conditionalFormatting xmlns:xm="http://schemas.microsoft.com/office/excel/2006/main">
          <x14:cfRule type="expression" priority="5025" id="{E4166A87-1A42-4F75-A33E-1E1B664F2B5B}">
            <xm:f>AND(IF(H125&gt;'Plan de Accion 2018'!Y143,H125&lt;&gt;¨N/A¨))</xm:f>
            <x14:dxf>
              <fill>
                <patternFill>
                  <bgColor theme="1" tint="0.499984740745262"/>
                </patternFill>
              </fill>
            </x14:dxf>
          </x14:cfRule>
          <x14:cfRule type="expression" priority="5026" stopIfTrue="1" id="{C9068B63-0A71-45E5-B6B8-24BF7283F8A9}">
            <xm:f>AND(IF(H125='Plan de Accion 2018'!Y143,H125&lt;&gt;"N/A"))</xm:f>
            <x14:dxf>
              <fill>
                <patternFill>
                  <bgColor rgb="FF00B050"/>
                </patternFill>
              </fill>
            </x14:dxf>
          </x14:cfRule>
          <x14:cfRule type="expression" priority="5027" stopIfTrue="1" id="{168331C0-263B-40C3-B2EF-6BA43ADC8152}">
            <xm:f>AND(IF(H125&lt;'Plan de Accion 2018'!Y143,H125&lt;&gt;"N/A"))</xm:f>
            <x14:dxf>
              <fill>
                <patternFill>
                  <bgColor indexed="10"/>
                </patternFill>
              </fill>
            </x14:dxf>
          </x14:cfRule>
          <xm:sqref>H125:H143</xm:sqref>
        </x14:conditionalFormatting>
        <x14:conditionalFormatting xmlns:xm="http://schemas.microsoft.com/office/excel/2006/main">
          <x14:cfRule type="expression" priority="5022" id="{D246CAE1-8AEB-424E-851F-5FBA7EEA349B}">
            <xm:f>AND(IF(O125&gt;'Plan de Accion 2018'!AI143,O125&lt;&gt;¨N/A¨))</xm:f>
            <x14:dxf>
              <fill>
                <patternFill>
                  <bgColor theme="1" tint="0.499984740745262"/>
                </patternFill>
              </fill>
            </x14:dxf>
          </x14:cfRule>
          <x14:cfRule type="expression" priority="5023" stopIfTrue="1" id="{8E02BBFF-F6B6-4526-84F4-275EDEA3A348}">
            <xm:f>AND(IF(O125='Plan de Accion 2018'!AI143,O125&lt;&gt;"N/A"))</xm:f>
            <x14:dxf>
              <fill>
                <patternFill>
                  <bgColor rgb="FF00B050"/>
                </patternFill>
              </fill>
            </x14:dxf>
          </x14:cfRule>
          <x14:cfRule type="expression" priority="5024" stopIfTrue="1" id="{96FC1108-1397-43CF-830C-8C3F8901B331}">
            <xm:f>AND(IF(O125&lt;'Plan de Accion 2018'!AI143,O125&lt;&gt;"N/A"))</xm:f>
            <x14:dxf>
              <fill>
                <patternFill>
                  <bgColor indexed="10"/>
                </patternFill>
              </fill>
            </x14:dxf>
          </x14:cfRule>
          <xm:sqref>O125:O143</xm:sqref>
        </x14:conditionalFormatting>
        <x14:conditionalFormatting xmlns:xm="http://schemas.microsoft.com/office/excel/2006/main">
          <x14:cfRule type="expression" priority="5019" id="{1632F916-007E-4496-BD64-26D06BE86E88}">
            <xm:f>AND(IF(V125&gt;'Plan de Accion 2018'!AS143,V125&lt;&gt;¨N/A¨))</xm:f>
            <x14:dxf>
              <fill>
                <patternFill>
                  <bgColor theme="1" tint="0.499984740745262"/>
                </patternFill>
              </fill>
            </x14:dxf>
          </x14:cfRule>
          <x14:cfRule type="expression" priority="5020" stopIfTrue="1" id="{AFE956A8-7772-4B6D-98E3-665D76EE8A4D}">
            <xm:f>AND(IF(V125='Plan de Accion 2018'!AS143,V125&lt;&gt;"N/A"))</xm:f>
            <x14:dxf>
              <fill>
                <patternFill>
                  <bgColor rgb="FF00B050"/>
                </patternFill>
              </fill>
            </x14:dxf>
          </x14:cfRule>
          <x14:cfRule type="expression" priority="5021" stopIfTrue="1" id="{9D9EBC5C-EEF1-43D3-A64C-D51DC5C1271F}">
            <xm:f>AND(IF(V125&lt;'Plan de Accion 2018'!AS143,V125&lt;&gt;"N/A"))</xm:f>
            <x14:dxf>
              <fill>
                <patternFill>
                  <bgColor indexed="10"/>
                </patternFill>
              </fill>
            </x14:dxf>
          </x14:cfRule>
          <xm:sqref>V125:V143</xm:sqref>
        </x14:conditionalFormatting>
        <x14:conditionalFormatting xmlns:xm="http://schemas.microsoft.com/office/excel/2006/main">
          <x14:cfRule type="expression" priority="5016" id="{981A1BE0-BBC1-4043-9202-6E034DF6A9DE}">
            <xm:f>AND(IF(AC125&gt;'Plan de Accion 2018'!BC143,AC125&lt;&gt;¨N/A¨))</xm:f>
            <x14:dxf>
              <fill>
                <patternFill>
                  <bgColor theme="1" tint="0.499984740745262"/>
                </patternFill>
              </fill>
            </x14:dxf>
          </x14:cfRule>
          <x14:cfRule type="expression" priority="5017" stopIfTrue="1" id="{4CD46B69-A0EC-44BF-8EFC-880C7E9018FD}">
            <xm:f>AND(IF(AC125='Plan de Accion 2018'!BC143,AC125&lt;&gt;"N/A"))</xm:f>
            <x14:dxf>
              <fill>
                <patternFill>
                  <bgColor rgb="FF00B050"/>
                </patternFill>
              </fill>
            </x14:dxf>
          </x14:cfRule>
          <x14:cfRule type="expression" priority="5018" stopIfTrue="1" id="{7C5D6B62-0F96-4005-B60D-A9834F4CFBE3}">
            <xm:f>AND(IF(AC125&lt;'Plan de Accion 2018'!BC143,AC125&lt;&gt;"N/A"))</xm:f>
            <x14:dxf>
              <fill>
                <patternFill>
                  <bgColor indexed="10"/>
                </patternFill>
              </fill>
            </x14:dxf>
          </x14:cfRule>
          <xm:sqref>AC125:AC143</xm:sqref>
        </x14:conditionalFormatting>
        <x14:conditionalFormatting xmlns:xm="http://schemas.microsoft.com/office/excel/2006/main">
          <x14:cfRule type="expression" priority="82849" id="{454929CB-B2BE-4B82-8D51-7FFADC28FE7B}">
            <xm:f>AND(IF(H110&gt;'Plan de Accion 2018'!Y47,H110&lt;&gt;¨N/A¨))</xm:f>
            <x14:dxf>
              <fill>
                <patternFill>
                  <bgColor theme="1" tint="0.499984740745262"/>
                </patternFill>
              </fill>
            </x14:dxf>
          </x14:cfRule>
          <x14:cfRule type="expression" priority="82850" stopIfTrue="1" id="{BF072DE8-3409-4472-9505-577D90055B9D}">
            <xm:f>AND(IF(H110='Plan de Accion 2018'!Y47,H110&lt;&gt;"N/A"))</xm:f>
            <x14:dxf>
              <fill>
                <patternFill>
                  <bgColor rgb="FF00B050"/>
                </patternFill>
              </fill>
            </x14:dxf>
          </x14:cfRule>
          <x14:cfRule type="expression" priority="82851" stopIfTrue="1" id="{95D317B6-7C36-4C81-8309-8AC8F818E60E}">
            <xm:f>AND(IF(H110&lt;'Plan de Accion 2018'!Y47,H110&lt;&gt;"N/A"))</xm:f>
            <x14:dxf>
              <fill>
                <patternFill>
                  <bgColor indexed="10"/>
                </patternFill>
              </fill>
            </x14:dxf>
          </x14:cfRule>
          <xm:sqref>H110:H111</xm:sqref>
        </x14:conditionalFormatting>
        <x14:conditionalFormatting xmlns:xm="http://schemas.microsoft.com/office/excel/2006/main">
          <x14:cfRule type="expression" priority="82861" id="{198CFA15-456B-402B-957E-336E4FCAE566}">
            <xm:f>AND(IF(H67&gt;'Plan de Accion 2018'!Y40,H67&lt;&gt;¨N/A¨))</xm:f>
            <x14:dxf>
              <fill>
                <patternFill>
                  <bgColor theme="1" tint="0.499984740745262"/>
                </patternFill>
              </fill>
            </x14:dxf>
          </x14:cfRule>
          <x14:cfRule type="expression" priority="82862" stopIfTrue="1" id="{08BF8517-64CB-47CE-859A-15218208A6D4}">
            <xm:f>AND(IF(H67='Plan de Accion 2018'!Y40,H67&lt;&gt;"N/A"))</xm:f>
            <x14:dxf>
              <fill>
                <patternFill>
                  <bgColor rgb="FF00B050"/>
                </patternFill>
              </fill>
            </x14:dxf>
          </x14:cfRule>
          <x14:cfRule type="expression" priority="82863" stopIfTrue="1" id="{3315B617-F03F-4F4B-B8FA-E23BB2B7E8FD}">
            <xm:f>AND(IF(H67&lt;'Plan de Accion 2018'!Y40,H67&lt;&gt;"N/A"))</xm:f>
            <x14:dxf>
              <fill>
                <patternFill>
                  <bgColor indexed="10"/>
                </patternFill>
              </fill>
            </x14:dxf>
          </x14:cfRule>
          <xm:sqref>H67:H69</xm:sqref>
        </x14:conditionalFormatting>
        <x14:conditionalFormatting xmlns:xm="http://schemas.microsoft.com/office/excel/2006/main">
          <x14:cfRule type="expression" priority="82951" id="{D98485B0-A829-4DD7-85D9-8DA6D7CCC5BA}">
            <xm:f>AND(IF(O110&gt;'Plan de Accion 2018'!AI47,O110&lt;&gt;¨N/A¨))</xm:f>
            <x14:dxf>
              <fill>
                <patternFill>
                  <bgColor theme="1" tint="0.499984740745262"/>
                </patternFill>
              </fill>
            </x14:dxf>
          </x14:cfRule>
          <x14:cfRule type="expression" priority="82952" stopIfTrue="1" id="{9307B8D1-B8E1-4DBB-B56C-2F037F4C94A1}">
            <xm:f>AND(IF(O110='Plan de Accion 2018'!AI47,O110&lt;&gt;"N/A"))</xm:f>
            <x14:dxf>
              <fill>
                <patternFill>
                  <bgColor rgb="FF00B050"/>
                </patternFill>
              </fill>
            </x14:dxf>
          </x14:cfRule>
          <x14:cfRule type="expression" priority="82953" stopIfTrue="1" id="{7B74C219-9C67-4EB3-AE05-4E03690C1723}">
            <xm:f>AND(IF(O110&lt;'Plan de Accion 2018'!AI47,O110&lt;&gt;"N/A"))</xm:f>
            <x14:dxf>
              <fill>
                <patternFill>
                  <bgColor indexed="10"/>
                </patternFill>
              </fill>
            </x14:dxf>
          </x14:cfRule>
          <xm:sqref>O110:O111</xm:sqref>
        </x14:conditionalFormatting>
        <x14:conditionalFormatting xmlns:xm="http://schemas.microsoft.com/office/excel/2006/main">
          <x14:cfRule type="expression" priority="82966" id="{37341CEB-788A-42E9-B0A6-840E87374D72}">
            <xm:f>AND(IF(O67&gt;'Plan de Accion 2018'!AI40,O67&lt;&gt;¨N/A¨))</xm:f>
            <x14:dxf>
              <fill>
                <patternFill>
                  <bgColor theme="1" tint="0.499984740745262"/>
                </patternFill>
              </fill>
            </x14:dxf>
          </x14:cfRule>
          <x14:cfRule type="expression" priority="82967" stopIfTrue="1" id="{53F7CBE0-D564-4055-92EE-0E4404225001}">
            <xm:f>AND(IF(O67='Plan de Accion 2018'!AI40,O67&lt;&gt;"N/A"))</xm:f>
            <x14:dxf>
              <fill>
                <patternFill>
                  <bgColor rgb="FF00B050"/>
                </patternFill>
              </fill>
            </x14:dxf>
          </x14:cfRule>
          <x14:cfRule type="expression" priority="82968" stopIfTrue="1" id="{15524A94-0D43-433A-B1DF-22CF36BB057E}">
            <xm:f>AND(IF(O67&lt;'Plan de Accion 2018'!AI40,O67&lt;&gt;"N/A"))</xm:f>
            <x14:dxf>
              <fill>
                <patternFill>
                  <bgColor indexed="10"/>
                </patternFill>
              </fill>
            </x14:dxf>
          </x14:cfRule>
          <xm:sqref>O67:O69</xm:sqref>
        </x14:conditionalFormatting>
        <x14:conditionalFormatting xmlns:xm="http://schemas.microsoft.com/office/excel/2006/main">
          <x14:cfRule type="expression" priority="83044" id="{65AF48CA-FC9D-4E42-AECB-8D612DC1476F}">
            <xm:f>AND(IF(V110&gt;'Plan de Accion 2018'!AS47,V110&lt;&gt;¨N/A¨))</xm:f>
            <x14:dxf>
              <fill>
                <patternFill>
                  <bgColor theme="1" tint="0.499984740745262"/>
                </patternFill>
              </fill>
            </x14:dxf>
          </x14:cfRule>
          <x14:cfRule type="expression" priority="83045" stopIfTrue="1" id="{DE3A9B37-2057-47BE-832F-CD31597234B4}">
            <xm:f>AND(IF(V110='Plan de Accion 2018'!AS47,V110&lt;&gt;"N/A"))</xm:f>
            <x14:dxf>
              <fill>
                <patternFill>
                  <bgColor rgb="FF00B050"/>
                </patternFill>
              </fill>
            </x14:dxf>
          </x14:cfRule>
          <x14:cfRule type="expression" priority="83046" stopIfTrue="1" id="{01F47C49-371A-4783-8FE8-9CF46627B5B5}">
            <xm:f>AND(IF(V110&lt;'Plan de Accion 2018'!AS47,V110&lt;&gt;"N/A"))</xm:f>
            <x14:dxf>
              <fill>
                <patternFill>
                  <bgColor indexed="10"/>
                </patternFill>
              </fill>
            </x14:dxf>
          </x14:cfRule>
          <xm:sqref>V110:V111</xm:sqref>
        </x14:conditionalFormatting>
        <x14:conditionalFormatting xmlns:xm="http://schemas.microsoft.com/office/excel/2006/main">
          <x14:cfRule type="expression" priority="83056" id="{747A0A57-DFCE-443B-9B57-650BDDBCF14B}">
            <xm:f>AND(IF(V67&gt;'Plan de Accion 2018'!AS40,V67&lt;&gt;¨N/A¨))</xm:f>
            <x14:dxf>
              <fill>
                <patternFill>
                  <bgColor theme="1" tint="0.499984740745262"/>
                </patternFill>
              </fill>
            </x14:dxf>
          </x14:cfRule>
          <x14:cfRule type="expression" priority="83057" stopIfTrue="1" id="{01E1F1EF-8B53-4381-8E72-635E59F650E3}">
            <xm:f>AND(IF(V67='Plan de Accion 2018'!AS40,V67&lt;&gt;"N/A"))</xm:f>
            <x14:dxf>
              <fill>
                <patternFill>
                  <bgColor rgb="FF00B050"/>
                </patternFill>
              </fill>
            </x14:dxf>
          </x14:cfRule>
          <x14:cfRule type="expression" priority="83058" stopIfTrue="1" id="{89AF6C20-31B2-4568-9618-4C819F02A339}">
            <xm:f>AND(IF(V67&lt;'Plan de Accion 2018'!AS40,V67&lt;&gt;"N/A"))</xm:f>
            <x14:dxf>
              <fill>
                <patternFill>
                  <bgColor indexed="10"/>
                </patternFill>
              </fill>
            </x14:dxf>
          </x14:cfRule>
          <xm:sqref>V67:V69</xm:sqref>
        </x14:conditionalFormatting>
        <x14:conditionalFormatting xmlns:xm="http://schemas.microsoft.com/office/excel/2006/main">
          <x14:cfRule type="expression" priority="83131" id="{6D896BDB-6D5B-4222-93E6-E0259719579B}">
            <xm:f>AND(IF(AC110&gt;'Plan de Accion 2018'!BC47,AC110&lt;&gt;¨N/A¨))</xm:f>
            <x14:dxf>
              <fill>
                <patternFill>
                  <bgColor theme="1" tint="0.499984740745262"/>
                </patternFill>
              </fill>
            </x14:dxf>
          </x14:cfRule>
          <x14:cfRule type="expression" priority="83132" stopIfTrue="1" id="{2CA64479-C4F8-459E-9FDD-2B5B5F34A102}">
            <xm:f>AND(IF(AC110='Plan de Accion 2018'!BC47,AC110&lt;&gt;"N/A"))</xm:f>
            <x14:dxf>
              <fill>
                <patternFill>
                  <bgColor rgb="FF00B050"/>
                </patternFill>
              </fill>
            </x14:dxf>
          </x14:cfRule>
          <x14:cfRule type="expression" priority="83133" stopIfTrue="1" id="{2121FBCC-C566-4579-BB83-8963027BF904}">
            <xm:f>AND(IF(AC110&lt;'Plan de Accion 2018'!BC47,AC110&lt;&gt;"N/A"))</xm:f>
            <x14:dxf>
              <fill>
                <patternFill>
                  <bgColor indexed="10"/>
                </patternFill>
              </fill>
            </x14:dxf>
          </x14:cfRule>
          <xm:sqref>AC110:AC111</xm:sqref>
        </x14:conditionalFormatting>
        <x14:conditionalFormatting xmlns:xm="http://schemas.microsoft.com/office/excel/2006/main">
          <x14:cfRule type="expression" priority="83146" id="{2E284A69-B7BF-49BF-A941-5FD010AA5E02}">
            <xm:f>AND(IF(AC67&gt;'Plan de Accion 2018'!BC40,AC67&lt;&gt;¨N/A¨))</xm:f>
            <x14:dxf>
              <fill>
                <patternFill>
                  <bgColor theme="1" tint="0.499984740745262"/>
                </patternFill>
              </fill>
            </x14:dxf>
          </x14:cfRule>
          <x14:cfRule type="expression" priority="83147" stopIfTrue="1" id="{115E902F-2E27-4385-8A32-992FC00EC1A1}">
            <xm:f>AND(IF(AC67='Plan de Accion 2018'!BC40,AC67&lt;&gt;"N/A"))</xm:f>
            <x14:dxf>
              <fill>
                <patternFill>
                  <bgColor rgb="FF00B050"/>
                </patternFill>
              </fill>
            </x14:dxf>
          </x14:cfRule>
          <x14:cfRule type="expression" priority="83148" stopIfTrue="1" id="{0BE7342E-6A32-49AC-BE43-56C38193D1E5}">
            <xm:f>AND(IF(AC67&lt;'Plan de Accion 2018'!BC40,AC67&lt;&gt;"N/A"))</xm:f>
            <x14:dxf>
              <fill>
                <patternFill>
                  <bgColor indexed="10"/>
                </patternFill>
              </fill>
            </x14:dxf>
          </x14:cfRule>
          <xm:sqref>AC67:AC69</xm:sqref>
        </x14:conditionalFormatting>
        <x14:conditionalFormatting xmlns:xm="http://schemas.microsoft.com/office/excel/2006/main">
          <x14:cfRule type="expression" priority="83545" id="{C6AADA74-C14F-4565-9C53-5A11C1734B89}">
            <xm:f>AND(IF(H124&gt;'Plan de Accion 2018'!Y140,H124&lt;&gt;¨N/A¨))</xm:f>
            <x14:dxf>
              <fill>
                <patternFill>
                  <bgColor theme="1" tint="0.499984740745262"/>
                </patternFill>
              </fill>
            </x14:dxf>
          </x14:cfRule>
          <x14:cfRule type="expression" priority="83546" stopIfTrue="1" id="{31AC552F-C835-4304-B7F0-F966972CDD16}">
            <xm:f>AND(IF(H124='Plan de Accion 2018'!Y140,H124&lt;&gt;"N/A"))</xm:f>
            <x14:dxf>
              <fill>
                <patternFill>
                  <bgColor rgb="FF00B050"/>
                </patternFill>
              </fill>
            </x14:dxf>
          </x14:cfRule>
          <x14:cfRule type="expression" priority="83547" stopIfTrue="1" id="{1100336D-8668-4BD2-9ED2-A9752E38164B}">
            <xm:f>AND(IF(H124&lt;'Plan de Accion 2018'!Y140,H124&lt;&gt;"N/A"))</xm:f>
            <x14:dxf>
              <fill>
                <patternFill>
                  <bgColor indexed="10"/>
                </patternFill>
              </fill>
            </x14:dxf>
          </x14:cfRule>
          <xm:sqref>H124</xm:sqref>
        </x14:conditionalFormatting>
        <x14:conditionalFormatting xmlns:xm="http://schemas.microsoft.com/office/excel/2006/main">
          <x14:cfRule type="expression" priority="83593" id="{1D929EC8-F9DF-49AF-9C13-9A5E16DFD238}">
            <xm:f>AND(IF(H44&gt;'Plan de Accion 2018'!Y15,H44&lt;&gt;¨N/A¨))</xm:f>
            <x14:dxf>
              <fill>
                <patternFill>
                  <bgColor theme="1" tint="0.499984740745262"/>
                </patternFill>
              </fill>
            </x14:dxf>
          </x14:cfRule>
          <x14:cfRule type="expression" priority="83594" stopIfTrue="1" id="{182BC988-84B7-455E-B687-E26B6540210A}">
            <xm:f>AND(IF(H44='Plan de Accion 2018'!Y15,H44&lt;&gt;"N/A"))</xm:f>
            <x14:dxf>
              <fill>
                <patternFill>
                  <bgColor rgb="FF00B050"/>
                </patternFill>
              </fill>
            </x14:dxf>
          </x14:cfRule>
          <x14:cfRule type="expression" priority="83595" stopIfTrue="1" id="{FFE27CDF-D07F-48C5-A518-51586D4CFE6B}">
            <xm:f>AND(IF(H44&lt;'Plan de Accion 2018'!Y15,H44&lt;&gt;"N/A"))</xm:f>
            <x14:dxf>
              <fill>
                <patternFill>
                  <bgColor indexed="10"/>
                </patternFill>
              </fill>
            </x14:dxf>
          </x14:cfRule>
          <xm:sqref>H44:H66</xm:sqref>
        </x14:conditionalFormatting>
        <x14:conditionalFormatting xmlns:xm="http://schemas.microsoft.com/office/excel/2006/main">
          <x14:cfRule type="expression" priority="83644" id="{56E75D71-1ABA-4F65-97A4-1E078D63727A}">
            <xm:f>AND(IF(O124&gt;'Plan de Accion 2018'!AI140,O124&lt;&gt;¨N/A¨))</xm:f>
            <x14:dxf>
              <fill>
                <patternFill>
                  <bgColor theme="1" tint="0.499984740745262"/>
                </patternFill>
              </fill>
            </x14:dxf>
          </x14:cfRule>
          <x14:cfRule type="expression" priority="83645" stopIfTrue="1" id="{5E12CC76-D9D3-4493-A3C0-1BA4F89881D7}">
            <xm:f>AND(IF(O124='Plan de Accion 2018'!AI140,O124&lt;&gt;"N/A"))</xm:f>
            <x14:dxf>
              <fill>
                <patternFill>
                  <bgColor rgb="FF00B050"/>
                </patternFill>
              </fill>
            </x14:dxf>
          </x14:cfRule>
          <x14:cfRule type="expression" priority="83646" stopIfTrue="1" id="{84F2C4BC-698E-4170-ABCF-125EFAC77CB7}">
            <xm:f>AND(IF(O124&lt;'Plan de Accion 2018'!AI140,O124&lt;&gt;"N/A"))</xm:f>
            <x14:dxf>
              <fill>
                <patternFill>
                  <bgColor indexed="10"/>
                </patternFill>
              </fill>
            </x14:dxf>
          </x14:cfRule>
          <xm:sqref>O124</xm:sqref>
        </x14:conditionalFormatting>
        <x14:conditionalFormatting xmlns:xm="http://schemas.microsoft.com/office/excel/2006/main">
          <x14:cfRule type="expression" priority="83695" id="{68447B59-877A-404D-B0AE-6151A52F064E}">
            <xm:f>AND(IF(O44&gt;'Plan de Accion 2018'!AI15,O44&lt;&gt;¨N/A¨))</xm:f>
            <x14:dxf>
              <fill>
                <patternFill>
                  <bgColor theme="1" tint="0.499984740745262"/>
                </patternFill>
              </fill>
            </x14:dxf>
          </x14:cfRule>
          <x14:cfRule type="expression" priority="83696" stopIfTrue="1" id="{86D1D90E-1DA7-4627-AF54-12442DEC13E0}">
            <xm:f>AND(IF(O44='Plan de Accion 2018'!AI15,O44&lt;&gt;"N/A"))</xm:f>
            <x14:dxf>
              <fill>
                <patternFill>
                  <bgColor rgb="FF00B050"/>
                </patternFill>
              </fill>
            </x14:dxf>
          </x14:cfRule>
          <x14:cfRule type="expression" priority="83697" stopIfTrue="1" id="{A80BE1DC-0B93-4799-B9BC-F5F13F898DEA}">
            <xm:f>AND(IF(O44&lt;'Plan de Accion 2018'!AI15,O44&lt;&gt;"N/A"))</xm:f>
            <x14:dxf>
              <fill>
                <patternFill>
                  <bgColor indexed="10"/>
                </patternFill>
              </fill>
            </x14:dxf>
          </x14:cfRule>
          <xm:sqref>O44:O66</xm:sqref>
        </x14:conditionalFormatting>
        <x14:conditionalFormatting xmlns:xm="http://schemas.microsoft.com/office/excel/2006/main">
          <x14:cfRule type="expression" priority="83740" id="{5AA9FA82-88C6-47B4-A9C5-AB62C4C976BB}">
            <xm:f>AND(IF(V124&gt;'Plan de Accion 2018'!AS140,V124&lt;&gt;¨N/A¨))</xm:f>
            <x14:dxf>
              <fill>
                <patternFill>
                  <bgColor theme="1" tint="0.499984740745262"/>
                </patternFill>
              </fill>
            </x14:dxf>
          </x14:cfRule>
          <x14:cfRule type="expression" priority="83741" stopIfTrue="1" id="{5DE29CBC-7262-432B-97FD-F5512263C894}">
            <xm:f>AND(IF(V124='Plan de Accion 2018'!AS140,V124&lt;&gt;"N/A"))</xm:f>
            <x14:dxf>
              <fill>
                <patternFill>
                  <bgColor rgb="FF00B050"/>
                </patternFill>
              </fill>
            </x14:dxf>
          </x14:cfRule>
          <x14:cfRule type="expression" priority="83742" stopIfTrue="1" id="{BDF1E6F5-9B70-4727-A8E1-3D3ADC259AA9}">
            <xm:f>AND(IF(V124&lt;'Plan de Accion 2018'!AS140,V124&lt;&gt;"N/A"))</xm:f>
            <x14:dxf>
              <fill>
                <patternFill>
                  <bgColor indexed="10"/>
                </patternFill>
              </fill>
            </x14:dxf>
          </x14:cfRule>
          <xm:sqref>V124</xm:sqref>
        </x14:conditionalFormatting>
        <x14:conditionalFormatting xmlns:xm="http://schemas.microsoft.com/office/excel/2006/main">
          <x14:cfRule type="expression" priority="83779" id="{20FD569D-676D-457E-8814-F3226C6D75A1}">
            <xm:f>AND(IF(V44&gt;'Plan de Accion 2018'!AS15,V44&lt;&gt;¨N/A¨))</xm:f>
            <x14:dxf>
              <fill>
                <patternFill>
                  <bgColor theme="1" tint="0.499984740745262"/>
                </patternFill>
              </fill>
            </x14:dxf>
          </x14:cfRule>
          <x14:cfRule type="expression" priority="83780" stopIfTrue="1" id="{39189770-CF5A-4E54-B2E9-BAB9DA82A94C}">
            <xm:f>AND(IF(V44='Plan de Accion 2018'!AS15,V44&lt;&gt;"N/A"))</xm:f>
            <x14:dxf>
              <fill>
                <patternFill>
                  <bgColor rgb="FF00B050"/>
                </patternFill>
              </fill>
            </x14:dxf>
          </x14:cfRule>
          <x14:cfRule type="expression" priority="83781" stopIfTrue="1" id="{3CB8A752-16A7-46D3-A91D-2F0FF96CB602}">
            <xm:f>AND(IF(V44&lt;'Plan de Accion 2018'!AS15,V44&lt;&gt;"N/A"))</xm:f>
            <x14:dxf>
              <fill>
                <patternFill>
                  <bgColor indexed="10"/>
                </patternFill>
              </fill>
            </x14:dxf>
          </x14:cfRule>
          <xm:sqref>V44:V66</xm:sqref>
        </x14:conditionalFormatting>
        <x14:conditionalFormatting xmlns:xm="http://schemas.microsoft.com/office/excel/2006/main">
          <x14:cfRule type="expression" priority="83815" id="{E171D575-4916-46E8-9CED-4E91E080EEC6}">
            <xm:f>AND(IF(AC124&gt;'Plan de Accion 2018'!BC140,AC124&lt;&gt;¨N/A¨))</xm:f>
            <x14:dxf>
              <fill>
                <patternFill>
                  <bgColor theme="1" tint="0.499984740745262"/>
                </patternFill>
              </fill>
            </x14:dxf>
          </x14:cfRule>
          <x14:cfRule type="expression" priority="83816" stopIfTrue="1" id="{2901BD21-3A4D-487B-9740-516ED0B78149}">
            <xm:f>AND(IF(AC124='Plan de Accion 2018'!BC140,AC124&lt;&gt;"N/A"))</xm:f>
            <x14:dxf>
              <fill>
                <patternFill>
                  <bgColor rgb="FF00B050"/>
                </patternFill>
              </fill>
            </x14:dxf>
          </x14:cfRule>
          <x14:cfRule type="expression" priority="83817" stopIfTrue="1" id="{2320B366-CCC8-4A6E-A914-F9472073C436}">
            <xm:f>AND(IF(AC124&lt;'Plan de Accion 2018'!BC140,AC124&lt;&gt;"N/A"))</xm:f>
            <x14:dxf>
              <fill>
                <patternFill>
                  <bgColor indexed="10"/>
                </patternFill>
              </fill>
            </x14:dxf>
          </x14:cfRule>
          <xm:sqref>AC124</xm:sqref>
        </x14:conditionalFormatting>
        <x14:conditionalFormatting xmlns:xm="http://schemas.microsoft.com/office/excel/2006/main">
          <x14:cfRule type="expression" priority="83866" id="{C8BC9AD3-5E42-4012-9028-A686F27317F4}">
            <xm:f>AND(IF(AC44&gt;'Plan de Accion 2018'!BC15,AC44&lt;&gt;¨N/A¨))</xm:f>
            <x14:dxf>
              <fill>
                <patternFill>
                  <bgColor theme="1" tint="0.499984740745262"/>
                </patternFill>
              </fill>
            </x14:dxf>
          </x14:cfRule>
          <x14:cfRule type="expression" priority="83867" stopIfTrue="1" id="{38851E1B-BFFB-4141-91E6-687AC0D491F1}">
            <xm:f>AND(IF(AC44='Plan de Accion 2018'!BC15,AC44&lt;&gt;"N/A"))</xm:f>
            <x14:dxf>
              <fill>
                <patternFill>
                  <bgColor rgb="FF00B050"/>
                </patternFill>
              </fill>
            </x14:dxf>
          </x14:cfRule>
          <x14:cfRule type="expression" priority="83868" stopIfTrue="1" id="{9DB65B02-FB47-41DA-A360-4E11A5FB8964}">
            <xm:f>AND(IF(AC44&lt;'Plan de Accion 2018'!BC15,AC44&lt;&gt;"N/A"))</xm:f>
            <x14:dxf>
              <fill>
                <patternFill>
                  <bgColor indexed="10"/>
                </patternFill>
              </fill>
            </x14:dxf>
          </x14:cfRule>
          <xm:sqref>AC44:AC66</xm:sqref>
        </x14:conditionalFormatting>
        <x14:conditionalFormatting xmlns:xm="http://schemas.microsoft.com/office/excel/2006/main">
          <x14:cfRule type="expression" priority="84007" id="{B029685C-622F-435A-B586-41E1BC6EF941}">
            <xm:f>AND(IF(H120&gt;'Plan de Accion 2018'!Y105,H120&lt;&gt;¨N/A¨))</xm:f>
            <x14:dxf>
              <fill>
                <patternFill>
                  <bgColor theme="1" tint="0.499984740745262"/>
                </patternFill>
              </fill>
            </x14:dxf>
          </x14:cfRule>
          <x14:cfRule type="expression" priority="84008" stopIfTrue="1" id="{1A57AFC5-3E6B-466B-AA3F-E5104E18FF84}">
            <xm:f>AND(IF(H120='Plan de Accion 2018'!Y105,H120&lt;&gt;"N/A"))</xm:f>
            <x14:dxf>
              <fill>
                <patternFill>
                  <bgColor rgb="FF00B050"/>
                </patternFill>
              </fill>
            </x14:dxf>
          </x14:cfRule>
          <x14:cfRule type="expression" priority="84009" stopIfTrue="1" id="{68C851E9-1731-4498-996C-272A7D22BFAB}">
            <xm:f>AND(IF(H120&lt;'Plan de Accion 2018'!Y105,H120&lt;&gt;"N/A"))</xm:f>
            <x14:dxf>
              <fill>
                <patternFill>
                  <bgColor indexed="10"/>
                </patternFill>
              </fill>
            </x14:dxf>
          </x14:cfRule>
          <xm:sqref>H120:H123</xm:sqref>
        </x14:conditionalFormatting>
        <x14:conditionalFormatting xmlns:xm="http://schemas.microsoft.com/office/excel/2006/main">
          <x14:cfRule type="expression" priority="84010" id="{D06420E3-CF30-4DD2-8280-E6FBC9305FCD}">
            <xm:f>AND(IF(O120&gt;'Plan de Accion 2018'!AI105,O120&lt;&gt;¨N/A¨))</xm:f>
            <x14:dxf>
              <fill>
                <patternFill>
                  <bgColor theme="1" tint="0.499984740745262"/>
                </patternFill>
              </fill>
            </x14:dxf>
          </x14:cfRule>
          <x14:cfRule type="expression" priority="84011" stopIfTrue="1" id="{E9A6D6B5-AAA3-43C6-9844-572A7B925557}">
            <xm:f>AND(IF(O120='Plan de Accion 2018'!AI105,O120&lt;&gt;"N/A"))</xm:f>
            <x14:dxf>
              <fill>
                <patternFill>
                  <bgColor rgb="FF00B050"/>
                </patternFill>
              </fill>
            </x14:dxf>
          </x14:cfRule>
          <x14:cfRule type="expression" priority="84012" stopIfTrue="1" id="{524635D6-4978-4420-B178-33C242E99282}">
            <xm:f>AND(IF(O120&lt;'Plan de Accion 2018'!AI105,O120&lt;&gt;"N/A"))</xm:f>
            <x14:dxf>
              <fill>
                <patternFill>
                  <bgColor indexed="10"/>
                </patternFill>
              </fill>
            </x14:dxf>
          </x14:cfRule>
          <xm:sqref>O120:O123</xm:sqref>
        </x14:conditionalFormatting>
        <x14:conditionalFormatting xmlns:xm="http://schemas.microsoft.com/office/excel/2006/main">
          <x14:cfRule type="expression" priority="84013" id="{FED11198-6B63-4F33-B83E-0CDF00E72654}">
            <xm:f>AND(IF(V120&gt;'Plan de Accion 2018'!AS105,V120&lt;&gt;¨N/A¨))</xm:f>
            <x14:dxf>
              <fill>
                <patternFill>
                  <bgColor theme="1" tint="0.499984740745262"/>
                </patternFill>
              </fill>
            </x14:dxf>
          </x14:cfRule>
          <x14:cfRule type="expression" priority="84014" stopIfTrue="1" id="{A20BA1EB-D4E3-4AA8-A2C0-3787A26DFE80}">
            <xm:f>AND(IF(V120='Plan de Accion 2018'!AS105,V120&lt;&gt;"N/A"))</xm:f>
            <x14:dxf>
              <fill>
                <patternFill>
                  <bgColor rgb="FF00B050"/>
                </patternFill>
              </fill>
            </x14:dxf>
          </x14:cfRule>
          <x14:cfRule type="expression" priority="84015" stopIfTrue="1" id="{47B853B9-3C06-44C8-997D-37D77C5D9C16}">
            <xm:f>AND(IF(V120&lt;'Plan de Accion 2018'!AS105,V120&lt;&gt;"N/A"))</xm:f>
            <x14:dxf>
              <fill>
                <patternFill>
                  <bgColor indexed="10"/>
                </patternFill>
              </fill>
            </x14:dxf>
          </x14:cfRule>
          <xm:sqref>V120:V123</xm:sqref>
        </x14:conditionalFormatting>
        <x14:conditionalFormatting xmlns:xm="http://schemas.microsoft.com/office/excel/2006/main">
          <x14:cfRule type="expression" priority="84016" id="{14A93AE5-ED2E-4884-BC84-1B891A3FE589}">
            <xm:f>AND(IF(AC120&gt;'Plan de Accion 2018'!BC105,AC120&lt;&gt;¨N/A¨))</xm:f>
            <x14:dxf>
              <fill>
                <patternFill>
                  <bgColor theme="1" tint="0.499984740745262"/>
                </patternFill>
              </fill>
            </x14:dxf>
          </x14:cfRule>
          <x14:cfRule type="expression" priority="84017" stopIfTrue="1" id="{9B4ACB93-8A5C-45BB-B3D4-3969B0A634E6}">
            <xm:f>AND(IF(AC120='Plan de Accion 2018'!BC105,AC120&lt;&gt;"N/A"))</xm:f>
            <x14:dxf>
              <fill>
                <patternFill>
                  <bgColor rgb="FF00B050"/>
                </patternFill>
              </fill>
            </x14:dxf>
          </x14:cfRule>
          <x14:cfRule type="expression" priority="84018" stopIfTrue="1" id="{1ED4C1D7-BA09-43C1-8B94-5AB7D5EE5FE3}">
            <xm:f>AND(IF(AC120&lt;'Plan de Accion 2018'!BC105,AC120&lt;&gt;"N/A"))</xm:f>
            <x14:dxf>
              <fill>
                <patternFill>
                  <bgColor indexed="10"/>
                </patternFill>
              </fill>
            </x14:dxf>
          </x14:cfRule>
          <xm:sqref>AC120:AC123</xm:sqref>
        </x14:conditionalFormatting>
        <x14:conditionalFormatting xmlns:xm="http://schemas.microsoft.com/office/excel/2006/main">
          <x14:cfRule type="expression" priority="85030" id="{E4166A87-1A42-4F75-A33E-1E1B664F2B5B}">
            <xm:f>AND(IF(H163&gt;'Plan de Accion 2018'!Y160,H163&lt;&gt;¨N/A¨))</xm:f>
            <x14:dxf>
              <fill>
                <patternFill>
                  <bgColor theme="1" tint="0.499984740745262"/>
                </patternFill>
              </fill>
            </x14:dxf>
          </x14:cfRule>
          <x14:cfRule type="expression" priority="85031" stopIfTrue="1" id="{C9068B63-0A71-45E5-B6B8-24BF7283F8A9}">
            <xm:f>AND(IF(H163='Plan de Accion 2018'!Y160,H163&lt;&gt;"N/A"))</xm:f>
            <x14:dxf>
              <fill>
                <patternFill>
                  <bgColor rgb="FF00B050"/>
                </patternFill>
              </fill>
            </x14:dxf>
          </x14:cfRule>
          <x14:cfRule type="expression" priority="85032" stopIfTrue="1" id="{168331C0-263B-40C3-B2EF-6BA43ADC8152}">
            <xm:f>AND(IF(H163&lt;'Plan de Accion 2018'!Y160,H163&lt;&gt;"N/A"))</xm:f>
            <x14:dxf>
              <fill>
                <patternFill>
                  <bgColor indexed="10"/>
                </patternFill>
              </fill>
            </x14:dxf>
          </x14:cfRule>
          <xm:sqref>H163</xm:sqref>
        </x14:conditionalFormatting>
        <x14:conditionalFormatting xmlns:xm="http://schemas.microsoft.com/office/excel/2006/main">
          <x14:cfRule type="expression" priority="85036" id="{D246CAE1-8AEB-424E-851F-5FBA7EEA349B}">
            <xm:f>AND(IF(O163&gt;'Plan de Accion 2018'!AI160,O163&lt;&gt;¨N/A¨))</xm:f>
            <x14:dxf>
              <fill>
                <patternFill>
                  <bgColor theme="1" tint="0.499984740745262"/>
                </patternFill>
              </fill>
            </x14:dxf>
          </x14:cfRule>
          <x14:cfRule type="expression" priority="85037" stopIfTrue="1" id="{8E02BBFF-F6B6-4526-84F4-275EDEA3A348}">
            <xm:f>AND(IF(O163='Plan de Accion 2018'!AI160,O163&lt;&gt;"N/A"))</xm:f>
            <x14:dxf>
              <fill>
                <patternFill>
                  <bgColor rgb="FF00B050"/>
                </patternFill>
              </fill>
            </x14:dxf>
          </x14:cfRule>
          <x14:cfRule type="expression" priority="85038" stopIfTrue="1" id="{96FC1108-1397-43CF-830C-8C3F8901B331}">
            <xm:f>AND(IF(O163&lt;'Plan de Accion 2018'!AI160,O163&lt;&gt;"N/A"))</xm:f>
            <x14:dxf>
              <fill>
                <patternFill>
                  <bgColor indexed="10"/>
                </patternFill>
              </fill>
            </x14:dxf>
          </x14:cfRule>
          <xm:sqref>O163</xm:sqref>
        </x14:conditionalFormatting>
        <x14:conditionalFormatting xmlns:xm="http://schemas.microsoft.com/office/excel/2006/main">
          <x14:cfRule type="expression" priority="85042" id="{1632F916-007E-4496-BD64-26D06BE86E88}">
            <xm:f>AND(IF(V144&gt;'Plan de Accion 2018'!AS141,V144&lt;&gt;¨N/A¨))</xm:f>
            <x14:dxf>
              <fill>
                <patternFill>
                  <bgColor theme="1" tint="0.499984740745262"/>
                </patternFill>
              </fill>
            </x14:dxf>
          </x14:cfRule>
          <x14:cfRule type="expression" priority="85043" stopIfTrue="1" id="{AFE956A8-7772-4B6D-98E3-665D76EE8A4D}">
            <xm:f>AND(IF(V144='Plan de Accion 2018'!AS141,V144&lt;&gt;"N/A"))</xm:f>
            <x14:dxf>
              <fill>
                <patternFill>
                  <bgColor rgb="FF00B050"/>
                </patternFill>
              </fill>
            </x14:dxf>
          </x14:cfRule>
          <x14:cfRule type="expression" priority="85044" stopIfTrue="1" id="{9D9EBC5C-EEF1-43D3-A64C-D51DC5C1271F}">
            <xm:f>AND(IF(V144&lt;'Plan de Accion 2018'!AS141,V144&lt;&gt;"N/A"))</xm:f>
            <x14:dxf>
              <fill>
                <patternFill>
                  <bgColor indexed="10"/>
                </patternFill>
              </fill>
            </x14:dxf>
          </x14:cfRule>
          <xm:sqref>V163 V144:V145</xm:sqref>
        </x14:conditionalFormatting>
        <x14:conditionalFormatting xmlns:xm="http://schemas.microsoft.com/office/excel/2006/main">
          <x14:cfRule type="expression" priority="85048" id="{981A1BE0-BBC1-4043-9202-6E034DF6A9DE}">
            <xm:f>AND(IF(AC163&gt;'Plan de Accion 2018'!BC160,AC163&lt;&gt;¨N/A¨))</xm:f>
            <x14:dxf>
              <fill>
                <patternFill>
                  <bgColor theme="1" tint="0.499984740745262"/>
                </patternFill>
              </fill>
            </x14:dxf>
          </x14:cfRule>
          <x14:cfRule type="expression" priority="85049" stopIfTrue="1" id="{4CD46B69-A0EC-44BF-8EFC-880C7E9018FD}">
            <xm:f>AND(IF(AC163='Plan de Accion 2018'!BC160,AC163&lt;&gt;"N/A"))</xm:f>
            <x14:dxf>
              <fill>
                <patternFill>
                  <bgColor rgb="FF00B050"/>
                </patternFill>
              </fill>
            </x14:dxf>
          </x14:cfRule>
          <x14:cfRule type="expression" priority="85050" stopIfTrue="1" id="{7C5D6B62-0F96-4005-B60D-A9834F4CFBE3}">
            <xm:f>AND(IF(AC163&lt;'Plan de Accion 2018'!BC160,AC163&lt;&gt;"N/A"))</xm:f>
            <x14:dxf>
              <fill>
                <patternFill>
                  <bgColor indexed="10"/>
                </patternFill>
              </fill>
            </x14:dxf>
          </x14:cfRule>
          <xm:sqref>AC163</xm:sqref>
        </x14:conditionalFormatting>
        <x14:conditionalFormatting xmlns:xm="http://schemas.microsoft.com/office/excel/2006/main">
          <x14:cfRule type="expression" priority="85531" id="{C6AADA74-C14F-4565-9C53-5A11C1734B89}">
            <xm:f>AND(IF(H148&gt;'Plan de Accion 2018'!Y162,H148&lt;&gt;¨N/A¨))</xm:f>
            <x14:dxf>
              <fill>
                <patternFill>
                  <bgColor theme="1" tint="0.499984740745262"/>
                </patternFill>
              </fill>
            </x14:dxf>
          </x14:cfRule>
          <x14:cfRule type="expression" priority="85532" stopIfTrue="1" id="{31AC552F-C835-4304-B7F0-F966972CDD16}">
            <xm:f>AND(IF(H148='Plan de Accion 2018'!Y162,H148&lt;&gt;"N/A"))</xm:f>
            <x14:dxf>
              <fill>
                <patternFill>
                  <bgColor rgb="FF00B050"/>
                </patternFill>
              </fill>
            </x14:dxf>
          </x14:cfRule>
          <x14:cfRule type="expression" priority="85533" stopIfTrue="1" id="{1100336D-8668-4BD2-9ED2-A9752E38164B}">
            <xm:f>AND(IF(H148&lt;'Plan de Accion 2018'!Y162,H148&lt;&gt;"N/A"))</xm:f>
            <x14:dxf>
              <fill>
                <patternFill>
                  <bgColor indexed="10"/>
                </patternFill>
              </fill>
            </x14:dxf>
          </x14:cfRule>
          <xm:sqref>H148:H149</xm:sqref>
        </x14:conditionalFormatting>
        <x14:conditionalFormatting xmlns:xm="http://schemas.microsoft.com/office/excel/2006/main">
          <x14:cfRule type="expression" priority="85621" id="{56E75D71-1ABA-4F65-97A4-1E078D63727A}">
            <xm:f>AND(IF(O148&gt;'Plan de Accion 2018'!AI162,O148&lt;&gt;¨N/A¨))</xm:f>
            <x14:dxf>
              <fill>
                <patternFill>
                  <bgColor theme="1" tint="0.499984740745262"/>
                </patternFill>
              </fill>
            </x14:dxf>
          </x14:cfRule>
          <x14:cfRule type="expression" priority="85622" stopIfTrue="1" id="{5E12CC76-D9D3-4493-A3C0-1BA4F89881D7}">
            <xm:f>AND(IF(O148='Plan de Accion 2018'!AI162,O148&lt;&gt;"N/A"))</xm:f>
            <x14:dxf>
              <fill>
                <patternFill>
                  <bgColor rgb="FF00B050"/>
                </patternFill>
              </fill>
            </x14:dxf>
          </x14:cfRule>
          <x14:cfRule type="expression" priority="85623" stopIfTrue="1" id="{84F2C4BC-698E-4170-ABCF-125EFAC77CB7}">
            <xm:f>AND(IF(O148&lt;'Plan de Accion 2018'!AI162,O148&lt;&gt;"N/A"))</xm:f>
            <x14:dxf>
              <fill>
                <patternFill>
                  <bgColor indexed="10"/>
                </patternFill>
              </fill>
            </x14:dxf>
          </x14:cfRule>
          <xm:sqref>O148:O149</xm:sqref>
        </x14:conditionalFormatting>
        <x14:conditionalFormatting xmlns:xm="http://schemas.microsoft.com/office/excel/2006/main">
          <x14:cfRule type="expression" priority="85699" id="{5AA9FA82-88C6-47B4-A9C5-AB62C4C976BB}">
            <xm:f>AND(IF(V148&gt;'Plan de Accion 2018'!AS162,V148&lt;&gt;¨N/A¨))</xm:f>
            <x14:dxf>
              <fill>
                <patternFill>
                  <bgColor theme="1" tint="0.499984740745262"/>
                </patternFill>
              </fill>
            </x14:dxf>
          </x14:cfRule>
          <x14:cfRule type="expression" priority="85700" stopIfTrue="1" id="{5DE29CBC-7262-432B-97FD-F5512263C894}">
            <xm:f>AND(IF(V148='Plan de Accion 2018'!AS162,V148&lt;&gt;"N/A"))</xm:f>
            <x14:dxf>
              <fill>
                <patternFill>
                  <bgColor rgb="FF00B050"/>
                </patternFill>
              </fill>
            </x14:dxf>
          </x14:cfRule>
          <x14:cfRule type="expression" priority="85701" stopIfTrue="1" id="{BDF1E6F5-9B70-4727-A8E1-3D3ADC259AA9}">
            <xm:f>AND(IF(V148&lt;'Plan de Accion 2018'!AS162,V148&lt;&gt;"N/A"))</xm:f>
            <x14:dxf>
              <fill>
                <patternFill>
                  <bgColor indexed="10"/>
                </patternFill>
              </fill>
            </x14:dxf>
          </x14:cfRule>
          <xm:sqref>V148:V149</xm:sqref>
        </x14:conditionalFormatting>
        <x14:conditionalFormatting xmlns:xm="http://schemas.microsoft.com/office/excel/2006/main">
          <x14:cfRule type="expression" priority="85765" id="{E171D575-4916-46E8-9CED-4E91E080EEC6}">
            <xm:f>AND(IF(AC148&gt;'Plan de Accion 2018'!BC162,AC148&lt;&gt;¨N/A¨))</xm:f>
            <x14:dxf>
              <fill>
                <patternFill>
                  <bgColor theme="1" tint="0.499984740745262"/>
                </patternFill>
              </fill>
            </x14:dxf>
          </x14:cfRule>
          <x14:cfRule type="expression" priority="85766" stopIfTrue="1" id="{2901BD21-3A4D-487B-9740-516ED0B78149}">
            <xm:f>AND(IF(AC148='Plan de Accion 2018'!BC162,AC148&lt;&gt;"N/A"))</xm:f>
            <x14:dxf>
              <fill>
                <patternFill>
                  <bgColor rgb="FF00B050"/>
                </patternFill>
              </fill>
            </x14:dxf>
          </x14:cfRule>
          <x14:cfRule type="expression" priority="85767" stopIfTrue="1" id="{2320B366-CCC8-4A6E-A914-F9472073C436}">
            <xm:f>AND(IF(AC148&lt;'Plan de Accion 2018'!BC162,AC148&lt;&gt;"N/A"))</xm:f>
            <x14:dxf>
              <fill>
                <patternFill>
                  <bgColor indexed="10"/>
                </patternFill>
              </fill>
            </x14:dxf>
          </x14:cfRule>
          <xm:sqref>AC148:AC149</xm:sqref>
        </x14:conditionalFormatting>
        <x14:conditionalFormatting xmlns:xm="http://schemas.microsoft.com/office/excel/2006/main">
          <x14:cfRule type="expression" priority="86377" id="{9023D58E-D9E9-48BC-96CC-9CA824AD6CBE}">
            <xm:f>AND(IF(H256&gt;'Plan de Accion 2018'!Y80,H256&lt;&gt;¨N/A¨))</xm:f>
            <x14:dxf>
              <fill>
                <patternFill>
                  <bgColor theme="1" tint="0.499984740745262"/>
                </patternFill>
              </fill>
            </x14:dxf>
          </x14:cfRule>
          <x14:cfRule type="expression" priority="86378" stopIfTrue="1" id="{A02CA597-C0BA-477D-B125-1F776BF6FF03}">
            <xm:f>AND(IF(H256='Plan de Accion 2018'!Y80,H256&lt;&gt;"N/A"))</xm:f>
            <x14:dxf>
              <fill>
                <patternFill>
                  <bgColor rgb="FF00B050"/>
                </patternFill>
              </fill>
            </x14:dxf>
          </x14:cfRule>
          <x14:cfRule type="expression" priority="86379" stopIfTrue="1" id="{1549CAF8-AE1D-450A-B6FF-38AE00390A9E}">
            <xm:f>AND(IF(H256&lt;'Plan de Accion 2018'!Y80,H256&lt;&gt;"N/A"))</xm:f>
            <x14:dxf>
              <fill>
                <patternFill>
                  <bgColor indexed="10"/>
                </patternFill>
              </fill>
            </x14:dxf>
          </x14:cfRule>
          <xm:sqref>H256</xm:sqref>
        </x14:conditionalFormatting>
        <x14:conditionalFormatting xmlns:xm="http://schemas.microsoft.com/office/excel/2006/main">
          <x14:cfRule type="expression" priority="86383" id="{BFD469F7-0A1A-4274-8A68-F7F2BB789863}">
            <xm:f>AND(IF(O256&gt;'Plan de Accion 2018'!AI80,O256&lt;&gt;¨N/A¨))</xm:f>
            <x14:dxf>
              <fill>
                <patternFill>
                  <bgColor theme="1" tint="0.499984740745262"/>
                </patternFill>
              </fill>
            </x14:dxf>
          </x14:cfRule>
          <x14:cfRule type="expression" priority="86384" stopIfTrue="1" id="{27FEA089-7B80-48AC-B3DE-7B6EA4C1C3F9}">
            <xm:f>AND(IF(O256='Plan de Accion 2018'!AI80,O256&lt;&gt;"N/A"))</xm:f>
            <x14:dxf>
              <fill>
                <patternFill>
                  <bgColor rgb="FF00B050"/>
                </patternFill>
              </fill>
            </x14:dxf>
          </x14:cfRule>
          <x14:cfRule type="expression" priority="86385" stopIfTrue="1" id="{EE7586B8-52AB-4CA1-8884-4C2164FBC7C9}">
            <xm:f>AND(IF(O256&lt;'Plan de Accion 2018'!AI80,O256&lt;&gt;"N/A"))</xm:f>
            <x14:dxf>
              <fill>
                <patternFill>
                  <bgColor indexed="10"/>
                </patternFill>
              </fill>
            </x14:dxf>
          </x14:cfRule>
          <xm:sqref>O256</xm:sqref>
        </x14:conditionalFormatting>
        <x14:conditionalFormatting xmlns:xm="http://schemas.microsoft.com/office/excel/2006/main">
          <x14:cfRule type="expression" priority="86389" id="{5073F1AF-3CD9-4F21-8B84-D3DD5F5D1943}">
            <xm:f>AND(IF(AC256&gt;'Plan de Accion 2018'!BC80,AC256&lt;&gt;¨N/A¨))</xm:f>
            <x14:dxf>
              <fill>
                <patternFill>
                  <bgColor theme="1" tint="0.499984740745262"/>
                </patternFill>
              </fill>
            </x14:dxf>
          </x14:cfRule>
          <x14:cfRule type="expression" priority="86390" stopIfTrue="1" id="{767518DC-8C31-42E8-A090-0551748A2987}">
            <xm:f>AND(IF(AC256='Plan de Accion 2018'!BC80,AC256&lt;&gt;"N/A"))</xm:f>
            <x14:dxf>
              <fill>
                <patternFill>
                  <bgColor rgb="FF00B050"/>
                </patternFill>
              </fill>
            </x14:dxf>
          </x14:cfRule>
          <x14:cfRule type="expression" priority="86391" stopIfTrue="1" id="{44B32A7A-BD11-49C1-8FEF-7804C43A49B9}">
            <xm:f>AND(IF(AC256&lt;'Plan de Accion 2018'!BC80,AC256&lt;&gt;"N/A"))</xm:f>
            <x14:dxf>
              <fill>
                <patternFill>
                  <bgColor indexed="10"/>
                </patternFill>
              </fill>
            </x14:dxf>
          </x14:cfRule>
          <xm:sqref>AC256</xm:sqref>
        </x14:conditionalFormatting>
        <x14:conditionalFormatting xmlns:xm="http://schemas.microsoft.com/office/excel/2006/main">
          <x14:cfRule type="expression" priority="86449" id="{FA8F870B-7768-430F-A4C2-5F5B5D19B09D}">
            <xm:f>AND(IF(V256&gt;'Plan de Accion 2018'!AS80,V256&lt;&gt;¨N/A¨))</xm:f>
            <x14:dxf>
              <fill>
                <patternFill>
                  <bgColor theme="1" tint="0.499984740745262"/>
                </patternFill>
              </fill>
            </x14:dxf>
          </x14:cfRule>
          <x14:cfRule type="expression" priority="86450" stopIfTrue="1" id="{FCD53F9D-F459-4D8C-8646-80BB2090415A}">
            <xm:f>AND(IF(V256='Plan de Accion 2018'!AS80,V256&lt;&gt;"N/A"))</xm:f>
            <x14:dxf>
              <fill>
                <patternFill>
                  <bgColor rgb="FF00B050"/>
                </patternFill>
              </fill>
            </x14:dxf>
          </x14:cfRule>
          <x14:cfRule type="expression" priority="86451" stopIfTrue="1" id="{11D17B00-2989-4AAC-AE65-9F6772903D6F}">
            <xm:f>AND(IF(V256&lt;'Plan de Accion 2018'!AS80,V256&lt;&gt;"N/A"))</xm:f>
            <x14:dxf>
              <fill>
                <patternFill>
                  <bgColor indexed="10"/>
                </patternFill>
              </fill>
            </x14:dxf>
          </x14:cfRule>
          <xm:sqref>V256</xm:sqref>
        </x14:conditionalFormatting>
        <x14:conditionalFormatting xmlns:xm="http://schemas.microsoft.com/office/excel/2006/main">
          <x14:cfRule type="expression" priority="87661" id="{C6AADA74-C14F-4565-9C53-5A11C1734B89}">
            <xm:f>AND(IF(H255&gt;'Plan de Accion 2018'!Y163,H255&lt;&gt;¨N/A¨))</xm:f>
            <x14:dxf>
              <fill>
                <patternFill>
                  <bgColor theme="1" tint="0.499984740745262"/>
                </patternFill>
              </fill>
            </x14:dxf>
          </x14:cfRule>
          <x14:cfRule type="expression" priority="87662" stopIfTrue="1" id="{31AC552F-C835-4304-B7F0-F966972CDD16}">
            <xm:f>AND(IF(H255='Plan de Accion 2018'!Y163,H255&lt;&gt;"N/A"))</xm:f>
            <x14:dxf>
              <fill>
                <patternFill>
                  <bgColor rgb="FF00B050"/>
                </patternFill>
              </fill>
            </x14:dxf>
          </x14:cfRule>
          <x14:cfRule type="expression" priority="87663" stopIfTrue="1" id="{1100336D-8668-4BD2-9ED2-A9752E38164B}">
            <xm:f>AND(IF(H255&lt;'Plan de Accion 2018'!Y163,H255&lt;&gt;"N/A"))</xm:f>
            <x14:dxf>
              <fill>
                <patternFill>
                  <bgColor indexed="10"/>
                </patternFill>
              </fill>
            </x14:dxf>
          </x14:cfRule>
          <xm:sqref>H255</xm:sqref>
        </x14:conditionalFormatting>
        <x14:conditionalFormatting xmlns:xm="http://schemas.microsoft.com/office/excel/2006/main">
          <x14:cfRule type="expression" priority="87670" id="{56E75D71-1ABA-4F65-97A4-1E078D63727A}">
            <xm:f>AND(IF(O255&gt;'Plan de Accion 2018'!AI163,O255&lt;&gt;¨N/A¨))</xm:f>
            <x14:dxf>
              <fill>
                <patternFill>
                  <bgColor theme="1" tint="0.499984740745262"/>
                </patternFill>
              </fill>
            </x14:dxf>
          </x14:cfRule>
          <x14:cfRule type="expression" priority="87671" stopIfTrue="1" id="{5E12CC76-D9D3-4493-A3C0-1BA4F89881D7}">
            <xm:f>AND(IF(O255='Plan de Accion 2018'!AI163,O255&lt;&gt;"N/A"))</xm:f>
            <x14:dxf>
              <fill>
                <patternFill>
                  <bgColor rgb="FF00B050"/>
                </patternFill>
              </fill>
            </x14:dxf>
          </x14:cfRule>
          <x14:cfRule type="expression" priority="87672" stopIfTrue="1" id="{84F2C4BC-698E-4170-ABCF-125EFAC77CB7}">
            <xm:f>AND(IF(O255&lt;'Plan de Accion 2018'!AI163,O255&lt;&gt;"N/A"))</xm:f>
            <x14:dxf>
              <fill>
                <patternFill>
                  <bgColor indexed="10"/>
                </patternFill>
              </fill>
            </x14:dxf>
          </x14:cfRule>
          <xm:sqref>O255</xm:sqref>
        </x14:conditionalFormatting>
        <x14:conditionalFormatting xmlns:xm="http://schemas.microsoft.com/office/excel/2006/main">
          <x14:cfRule type="expression" priority="87679" id="{5AA9FA82-88C6-47B4-A9C5-AB62C4C976BB}">
            <xm:f>AND(IF(V255&gt;'Plan de Accion 2018'!AS163,V255&lt;&gt;¨N/A¨))</xm:f>
            <x14:dxf>
              <fill>
                <patternFill>
                  <bgColor theme="1" tint="0.499984740745262"/>
                </patternFill>
              </fill>
            </x14:dxf>
          </x14:cfRule>
          <x14:cfRule type="expression" priority="87680" stopIfTrue="1" id="{5DE29CBC-7262-432B-97FD-F5512263C894}">
            <xm:f>AND(IF(V255='Plan de Accion 2018'!AS163,V255&lt;&gt;"N/A"))</xm:f>
            <x14:dxf>
              <fill>
                <patternFill>
                  <bgColor rgb="FF00B050"/>
                </patternFill>
              </fill>
            </x14:dxf>
          </x14:cfRule>
          <x14:cfRule type="expression" priority="87681" stopIfTrue="1" id="{BDF1E6F5-9B70-4727-A8E1-3D3ADC259AA9}">
            <xm:f>AND(IF(V255&lt;'Plan de Accion 2018'!AS163,V255&lt;&gt;"N/A"))</xm:f>
            <x14:dxf>
              <fill>
                <patternFill>
                  <bgColor indexed="10"/>
                </patternFill>
              </fill>
            </x14:dxf>
          </x14:cfRule>
          <xm:sqref>V255</xm:sqref>
        </x14:conditionalFormatting>
        <x14:conditionalFormatting xmlns:xm="http://schemas.microsoft.com/office/excel/2006/main">
          <x14:cfRule type="expression" priority="87688" id="{E171D575-4916-46E8-9CED-4E91E080EEC6}">
            <xm:f>AND(IF(AC255&gt;'Plan de Accion 2018'!BC163,AC255&lt;&gt;¨N/A¨))</xm:f>
            <x14:dxf>
              <fill>
                <patternFill>
                  <bgColor theme="1" tint="0.499984740745262"/>
                </patternFill>
              </fill>
            </x14:dxf>
          </x14:cfRule>
          <x14:cfRule type="expression" priority="87689" stopIfTrue="1" id="{2901BD21-3A4D-487B-9740-516ED0B78149}">
            <xm:f>AND(IF(AC255='Plan de Accion 2018'!BC163,AC255&lt;&gt;"N/A"))</xm:f>
            <x14:dxf>
              <fill>
                <patternFill>
                  <bgColor rgb="FF00B050"/>
                </patternFill>
              </fill>
            </x14:dxf>
          </x14:cfRule>
          <x14:cfRule type="expression" priority="87690" stopIfTrue="1" id="{2320B366-CCC8-4A6E-A914-F9472073C436}">
            <xm:f>AND(IF(AC255&lt;'Plan de Accion 2018'!BC163,AC255&lt;&gt;"N/A"))</xm:f>
            <x14:dxf>
              <fill>
                <patternFill>
                  <bgColor indexed="10"/>
                </patternFill>
              </fill>
            </x14:dxf>
          </x14:cfRule>
          <xm:sqref>AC255</xm:sqref>
        </x14:conditionalFormatting>
        <x14:conditionalFormatting xmlns:xm="http://schemas.microsoft.com/office/excel/2006/main">
          <x14:cfRule type="expression" priority="87730" id="{B38DEB0D-32B3-47DF-AB7E-507770066A93}">
            <xm:f>AND(IF(H151&gt;'Plan de Accion 2018'!Y146,H151&lt;&gt;¨N/A¨))</xm:f>
            <x14:dxf>
              <fill>
                <patternFill>
                  <bgColor theme="1" tint="0.499984740745262"/>
                </patternFill>
              </fill>
            </x14:dxf>
          </x14:cfRule>
          <x14:cfRule type="expression" priority="87731" stopIfTrue="1" id="{6959E61F-63EA-40F2-B24D-60F2DCBD0ABB}">
            <xm:f>AND(IF(H151='Plan de Accion 2018'!Y146,H151&lt;&gt;"N/A"))</xm:f>
            <x14:dxf>
              <fill>
                <patternFill>
                  <bgColor rgb="FF00B050"/>
                </patternFill>
              </fill>
            </x14:dxf>
          </x14:cfRule>
          <x14:cfRule type="expression" priority="87732" stopIfTrue="1" id="{33610E02-7E6A-4B48-8812-943F54E97476}">
            <xm:f>AND(IF(H151&lt;'Plan de Accion 2018'!Y146,H151&lt;&gt;"N/A"))</xm:f>
            <x14:dxf>
              <fill>
                <patternFill>
                  <bgColor indexed="10"/>
                </patternFill>
              </fill>
            </x14:dxf>
          </x14:cfRule>
          <xm:sqref>H151:H153</xm:sqref>
        </x14:conditionalFormatting>
        <x14:conditionalFormatting xmlns:xm="http://schemas.microsoft.com/office/excel/2006/main">
          <x14:cfRule type="expression" priority="88342" id="{1D929EC8-F9DF-49AF-9C13-9A5E16DFD238}">
            <xm:f>AND(IF(H108&gt;'Plan de Accion 2018'!Y72,H108&lt;&gt;¨N/A¨))</xm:f>
            <x14:dxf>
              <fill>
                <patternFill>
                  <bgColor theme="1" tint="0.499984740745262"/>
                </patternFill>
              </fill>
            </x14:dxf>
          </x14:cfRule>
          <x14:cfRule type="expression" priority="88343" stopIfTrue="1" id="{182BC988-84B7-455E-B687-E26B6540210A}">
            <xm:f>AND(IF(H108='Plan de Accion 2018'!Y72,H108&lt;&gt;"N/A"))</xm:f>
            <x14:dxf>
              <fill>
                <patternFill>
                  <bgColor rgb="FF00B050"/>
                </patternFill>
              </fill>
            </x14:dxf>
          </x14:cfRule>
          <x14:cfRule type="expression" priority="88344" stopIfTrue="1" id="{FFE27CDF-D07F-48C5-A518-51586D4CFE6B}">
            <xm:f>AND(IF(H108&lt;'Plan de Accion 2018'!Y72,H108&lt;&gt;"N/A"))</xm:f>
            <x14:dxf>
              <fill>
                <patternFill>
                  <bgColor indexed="10"/>
                </patternFill>
              </fill>
            </x14:dxf>
          </x14:cfRule>
          <xm:sqref>H108</xm:sqref>
        </x14:conditionalFormatting>
        <x14:conditionalFormatting xmlns:xm="http://schemas.microsoft.com/office/excel/2006/main">
          <x14:cfRule type="expression" priority="88429" id="{68447B59-877A-404D-B0AE-6151A52F064E}">
            <xm:f>AND(IF(O108&gt;'Plan de Accion 2018'!AI72,O108&lt;&gt;¨N/A¨))</xm:f>
            <x14:dxf>
              <fill>
                <patternFill>
                  <bgColor theme="1" tint="0.499984740745262"/>
                </patternFill>
              </fill>
            </x14:dxf>
          </x14:cfRule>
          <x14:cfRule type="expression" priority="88430" stopIfTrue="1" id="{86D1D90E-1DA7-4627-AF54-12442DEC13E0}">
            <xm:f>AND(IF(O108='Plan de Accion 2018'!AI72,O108&lt;&gt;"N/A"))</xm:f>
            <x14:dxf>
              <fill>
                <patternFill>
                  <bgColor rgb="FF00B050"/>
                </patternFill>
              </fill>
            </x14:dxf>
          </x14:cfRule>
          <x14:cfRule type="expression" priority="88431" stopIfTrue="1" id="{A80BE1DC-0B93-4799-B9BC-F5F13F898DEA}">
            <xm:f>AND(IF(O108&lt;'Plan de Accion 2018'!AI72,O108&lt;&gt;"N/A"))</xm:f>
            <x14:dxf>
              <fill>
                <patternFill>
                  <bgColor indexed="10"/>
                </patternFill>
              </fill>
            </x14:dxf>
          </x14:cfRule>
          <xm:sqref>O108</xm:sqref>
        </x14:conditionalFormatting>
        <x14:conditionalFormatting xmlns:xm="http://schemas.microsoft.com/office/excel/2006/main">
          <x14:cfRule type="expression" priority="88501" id="{20FD569D-676D-457E-8814-F3226C6D75A1}">
            <xm:f>AND(IF(V108&gt;'Plan de Accion 2018'!AS72,V108&lt;&gt;¨N/A¨))</xm:f>
            <x14:dxf>
              <fill>
                <patternFill>
                  <bgColor theme="1" tint="0.499984740745262"/>
                </patternFill>
              </fill>
            </x14:dxf>
          </x14:cfRule>
          <x14:cfRule type="expression" priority="88502" stopIfTrue="1" id="{39189770-CF5A-4E54-B2E9-BAB9DA82A94C}">
            <xm:f>AND(IF(V108='Plan de Accion 2018'!AS72,V108&lt;&gt;"N/A"))</xm:f>
            <x14:dxf>
              <fill>
                <patternFill>
                  <bgColor rgb="FF00B050"/>
                </patternFill>
              </fill>
            </x14:dxf>
          </x14:cfRule>
          <x14:cfRule type="expression" priority="88503" stopIfTrue="1" id="{3CB8A752-16A7-46D3-A91D-2F0FF96CB602}">
            <xm:f>AND(IF(V108&lt;'Plan de Accion 2018'!AS72,V108&lt;&gt;"N/A"))</xm:f>
            <x14:dxf>
              <fill>
                <patternFill>
                  <bgColor indexed="10"/>
                </patternFill>
              </fill>
            </x14:dxf>
          </x14:cfRule>
          <xm:sqref>V108</xm:sqref>
        </x14:conditionalFormatting>
        <x14:conditionalFormatting xmlns:xm="http://schemas.microsoft.com/office/excel/2006/main">
          <x14:cfRule type="expression" priority="88573" id="{C8BC9AD3-5E42-4012-9028-A686F27317F4}">
            <xm:f>AND(IF(AC108&gt;'Plan de Accion 2018'!BC72,AC108&lt;&gt;¨N/A¨))</xm:f>
            <x14:dxf>
              <fill>
                <patternFill>
                  <bgColor theme="1" tint="0.499984740745262"/>
                </patternFill>
              </fill>
            </x14:dxf>
          </x14:cfRule>
          <x14:cfRule type="expression" priority="88574" stopIfTrue="1" id="{38851E1B-BFFB-4141-91E6-687AC0D491F1}">
            <xm:f>AND(IF(AC108='Plan de Accion 2018'!BC72,AC108&lt;&gt;"N/A"))</xm:f>
            <x14:dxf>
              <fill>
                <patternFill>
                  <bgColor rgb="FF00B050"/>
                </patternFill>
              </fill>
            </x14:dxf>
          </x14:cfRule>
          <x14:cfRule type="expression" priority="88575" stopIfTrue="1" id="{9DB65B02-FB47-41DA-A360-4E11A5FB8964}">
            <xm:f>AND(IF(AC108&lt;'Plan de Accion 2018'!BC72,AC108&lt;&gt;"N/A"))</xm:f>
            <x14:dxf>
              <fill>
                <patternFill>
                  <bgColor indexed="10"/>
                </patternFill>
              </fill>
            </x14:dxf>
          </x14:cfRule>
          <xm:sqref>AC108</xm:sqref>
        </x14:conditionalFormatting>
        <x14:conditionalFormatting xmlns:xm="http://schemas.microsoft.com/office/excel/2006/main">
          <x14:cfRule type="expression" priority="89155" id="{4934C3D5-C484-4DE7-9A01-9306A8F2B71F}">
            <xm:f>AND(IF(H320&gt;'Plan de Accion 2018'!Y93,H320&lt;&gt;¨N/A¨))</xm:f>
            <x14:dxf>
              <fill>
                <patternFill>
                  <bgColor theme="1" tint="0.499984740745262"/>
                </patternFill>
              </fill>
            </x14:dxf>
          </x14:cfRule>
          <x14:cfRule type="expression" priority="89156" stopIfTrue="1" id="{7CAC8ABC-7131-4AC2-A39A-773EBE645EE7}">
            <xm:f>AND(IF(H320='Plan de Accion 2018'!Y93,H320&lt;&gt;"N/A"))</xm:f>
            <x14:dxf>
              <fill>
                <patternFill>
                  <bgColor rgb="FF00B050"/>
                </patternFill>
              </fill>
            </x14:dxf>
          </x14:cfRule>
          <x14:cfRule type="expression" priority="89157" stopIfTrue="1" id="{846CD198-E04F-4FE7-968A-90233F88EC9E}">
            <xm:f>AND(IF(H320&lt;'Plan de Accion 2018'!Y93,H320&lt;&gt;"N/A"))</xm:f>
            <x14:dxf>
              <fill>
                <patternFill>
                  <bgColor indexed="10"/>
                </patternFill>
              </fill>
            </x14:dxf>
          </x14:cfRule>
          <xm:sqref>H320:H321</xm:sqref>
        </x14:conditionalFormatting>
        <x14:conditionalFormatting xmlns:xm="http://schemas.microsoft.com/office/excel/2006/main">
          <x14:cfRule type="expression" priority="89167" id="{857D2DFE-5120-4DA2-BFBD-F094B9746C61}">
            <xm:f>AND(IF(H306&gt;'Plan de Accion 2018'!Y70,H306&lt;&gt;¨N/A¨))</xm:f>
            <x14:dxf>
              <fill>
                <patternFill>
                  <bgColor theme="1" tint="0.499984740745262"/>
                </patternFill>
              </fill>
            </x14:dxf>
          </x14:cfRule>
          <x14:cfRule type="expression" priority="89168" stopIfTrue="1" id="{D1215E61-DCE0-41A8-B2C2-63E9F380E1B9}">
            <xm:f>AND(IF(H306='Plan de Accion 2018'!Y70,H306&lt;&gt;"N/A"))</xm:f>
            <x14:dxf>
              <fill>
                <patternFill>
                  <bgColor rgb="FF00B050"/>
                </patternFill>
              </fill>
            </x14:dxf>
          </x14:cfRule>
          <x14:cfRule type="expression" priority="89169" stopIfTrue="1" id="{539F6F78-0917-4A71-B585-8A3C938771FA}">
            <xm:f>AND(IF(H306&lt;'Plan de Accion 2018'!Y70,H306&lt;&gt;"N/A"))</xm:f>
            <x14:dxf>
              <fill>
                <patternFill>
                  <bgColor indexed="10"/>
                </patternFill>
              </fill>
            </x14:dxf>
          </x14:cfRule>
          <xm:sqref>H306</xm:sqref>
        </x14:conditionalFormatting>
        <x14:conditionalFormatting xmlns:xm="http://schemas.microsoft.com/office/excel/2006/main">
          <x14:cfRule type="expression" priority="89308" id="{4B18CF23-D3C9-47F9-9221-8EF09B2AEC88}">
            <xm:f>AND(IF(O320&gt;'Plan de Accion 2018'!AI93,O320&lt;&gt;¨N/A¨))</xm:f>
            <x14:dxf>
              <fill>
                <patternFill>
                  <bgColor theme="1" tint="0.499984740745262"/>
                </patternFill>
              </fill>
            </x14:dxf>
          </x14:cfRule>
          <x14:cfRule type="expression" priority="89309" stopIfTrue="1" id="{A6FFD223-9227-41E5-B1C3-BB1447044B0C}">
            <xm:f>AND(IF(O320='Plan de Accion 2018'!AI93,O320&lt;&gt;"N/A"))</xm:f>
            <x14:dxf>
              <fill>
                <patternFill>
                  <bgColor rgb="FF00B050"/>
                </patternFill>
              </fill>
            </x14:dxf>
          </x14:cfRule>
          <x14:cfRule type="expression" priority="89310" stopIfTrue="1" id="{E424C868-A04A-45BB-BADD-E2F2ED4B29A2}">
            <xm:f>AND(IF(O320&lt;'Plan de Accion 2018'!AI93,O320&lt;&gt;"N/A"))</xm:f>
            <x14:dxf>
              <fill>
                <patternFill>
                  <bgColor indexed="10"/>
                </patternFill>
              </fill>
            </x14:dxf>
          </x14:cfRule>
          <xm:sqref>O320:O321</xm:sqref>
        </x14:conditionalFormatting>
        <x14:conditionalFormatting xmlns:xm="http://schemas.microsoft.com/office/excel/2006/main">
          <x14:cfRule type="expression" priority="89320" id="{3C4CF5C5-1B9E-485E-A95C-7160C621E01B}">
            <xm:f>AND(IF(O306&gt;'Plan de Accion 2018'!AI70,O306&lt;&gt;¨N/A¨))</xm:f>
            <x14:dxf>
              <fill>
                <patternFill>
                  <bgColor theme="1" tint="0.499984740745262"/>
                </patternFill>
              </fill>
            </x14:dxf>
          </x14:cfRule>
          <x14:cfRule type="expression" priority="89321" stopIfTrue="1" id="{D0DD3133-5EC8-4E7B-8B8B-48B857CF7EF1}">
            <xm:f>AND(IF(O306='Plan de Accion 2018'!AI70,O306&lt;&gt;"N/A"))</xm:f>
            <x14:dxf>
              <fill>
                <patternFill>
                  <bgColor rgb="FF00B050"/>
                </patternFill>
              </fill>
            </x14:dxf>
          </x14:cfRule>
          <x14:cfRule type="expression" priority="89322" stopIfTrue="1" id="{2ED0208C-35B2-4E51-BB0F-9ED5D461BAA6}">
            <xm:f>AND(IF(O306&lt;'Plan de Accion 2018'!AI70,O306&lt;&gt;"N/A"))</xm:f>
            <x14:dxf>
              <fill>
                <patternFill>
                  <bgColor indexed="10"/>
                </patternFill>
              </fill>
            </x14:dxf>
          </x14:cfRule>
          <xm:sqref>O306</xm:sqref>
        </x14:conditionalFormatting>
        <x14:conditionalFormatting xmlns:xm="http://schemas.microsoft.com/office/excel/2006/main">
          <x14:cfRule type="expression" priority="89440" id="{0093050E-9B02-4C8B-B72C-9D10F3B585D9}">
            <xm:f>AND(IF(V320&gt;'Plan de Accion 2018'!AS93,V320&lt;&gt;¨N/A¨))</xm:f>
            <x14:dxf>
              <fill>
                <patternFill>
                  <bgColor theme="1" tint="0.499984740745262"/>
                </patternFill>
              </fill>
            </x14:dxf>
          </x14:cfRule>
          <x14:cfRule type="expression" priority="89441" stopIfTrue="1" id="{C7CB7423-69F4-46D9-90FC-7E531F4B3C1C}">
            <xm:f>AND(IF(V320='Plan de Accion 2018'!AS93,V320&lt;&gt;"N/A"))</xm:f>
            <x14:dxf>
              <fill>
                <patternFill>
                  <bgColor rgb="FF00B050"/>
                </patternFill>
              </fill>
            </x14:dxf>
          </x14:cfRule>
          <x14:cfRule type="expression" priority="89442" stopIfTrue="1" id="{B714F7BD-34F9-49FB-B14A-825173BE5014}">
            <xm:f>AND(IF(V320&lt;'Plan de Accion 2018'!AS93,V320&lt;&gt;"N/A"))</xm:f>
            <x14:dxf>
              <fill>
                <patternFill>
                  <bgColor indexed="10"/>
                </patternFill>
              </fill>
            </x14:dxf>
          </x14:cfRule>
          <xm:sqref>V320:V321</xm:sqref>
        </x14:conditionalFormatting>
        <x14:conditionalFormatting xmlns:xm="http://schemas.microsoft.com/office/excel/2006/main">
          <x14:cfRule type="expression" priority="89452" id="{85D27FD3-230F-4B73-A37F-EAF5799485C4}">
            <xm:f>AND(IF(V306&gt;'Plan de Accion 2018'!AS70,V306&lt;&gt;¨N/A¨))</xm:f>
            <x14:dxf>
              <fill>
                <patternFill>
                  <bgColor theme="1" tint="0.499984740745262"/>
                </patternFill>
              </fill>
            </x14:dxf>
          </x14:cfRule>
          <x14:cfRule type="expression" priority="89453" stopIfTrue="1" id="{340FEBC7-9F4A-4512-8CC9-1214706CEF0E}">
            <xm:f>AND(IF(V306='Plan de Accion 2018'!AS70,V306&lt;&gt;"N/A"))</xm:f>
            <x14:dxf>
              <fill>
                <patternFill>
                  <bgColor rgb="FF00B050"/>
                </patternFill>
              </fill>
            </x14:dxf>
          </x14:cfRule>
          <x14:cfRule type="expression" priority="89454" stopIfTrue="1" id="{975397B7-5CD1-4695-864E-C6CE4947878B}">
            <xm:f>AND(IF(V306&lt;'Plan de Accion 2018'!AS70,V306&lt;&gt;"N/A"))</xm:f>
            <x14:dxf>
              <fill>
                <patternFill>
                  <bgColor indexed="10"/>
                </patternFill>
              </fill>
            </x14:dxf>
          </x14:cfRule>
          <xm:sqref>V306</xm:sqref>
        </x14:conditionalFormatting>
        <x14:conditionalFormatting xmlns:xm="http://schemas.microsoft.com/office/excel/2006/main">
          <x14:cfRule type="expression" priority="89575" id="{DD01C612-E410-4B92-B07F-A0B814644322}">
            <xm:f>AND(IF(AC320&gt;'Plan de Accion 2018'!BC93,AC320&lt;&gt;¨N/A¨))</xm:f>
            <x14:dxf>
              <fill>
                <patternFill>
                  <bgColor theme="1" tint="0.499984740745262"/>
                </patternFill>
              </fill>
            </x14:dxf>
          </x14:cfRule>
          <x14:cfRule type="expression" priority="89576" stopIfTrue="1" id="{FED7A9C4-1396-48CD-9E33-4E4182380692}">
            <xm:f>AND(IF(AC320='Plan de Accion 2018'!BC93,AC320&lt;&gt;"N/A"))</xm:f>
            <x14:dxf>
              <fill>
                <patternFill>
                  <bgColor rgb="FF00B050"/>
                </patternFill>
              </fill>
            </x14:dxf>
          </x14:cfRule>
          <x14:cfRule type="expression" priority="89577" stopIfTrue="1" id="{D4EE01C8-25FB-4155-9CFA-7F461DBBC86F}">
            <xm:f>AND(IF(AC320&lt;'Plan de Accion 2018'!BC93,AC320&lt;&gt;"N/A"))</xm:f>
            <x14:dxf>
              <fill>
                <patternFill>
                  <bgColor indexed="10"/>
                </patternFill>
              </fill>
            </x14:dxf>
          </x14:cfRule>
          <xm:sqref>AC320:AC321</xm:sqref>
        </x14:conditionalFormatting>
        <x14:conditionalFormatting xmlns:xm="http://schemas.microsoft.com/office/excel/2006/main">
          <x14:cfRule type="expression" priority="89587" id="{02DEE281-A041-4168-B0A4-49DADD47B6FF}">
            <xm:f>AND(IF(AC306&gt;'Plan de Accion 2018'!BC70,AC306&lt;&gt;¨N/A¨))</xm:f>
            <x14:dxf>
              <fill>
                <patternFill>
                  <bgColor theme="1" tint="0.499984740745262"/>
                </patternFill>
              </fill>
            </x14:dxf>
          </x14:cfRule>
          <x14:cfRule type="expression" priority="89588" stopIfTrue="1" id="{D1ED27DF-09D8-45CF-BDFF-213142DA3979}">
            <xm:f>AND(IF(AC306='Plan de Accion 2018'!BC70,AC306&lt;&gt;"N/A"))</xm:f>
            <x14:dxf>
              <fill>
                <patternFill>
                  <bgColor rgb="FF00B050"/>
                </patternFill>
              </fill>
            </x14:dxf>
          </x14:cfRule>
          <x14:cfRule type="expression" priority="89589" stopIfTrue="1" id="{8FBCFD5A-825F-43DF-BFD7-1CE0907D8681}">
            <xm:f>AND(IF(AC306&lt;'Plan de Accion 2018'!BC70,AC306&lt;&gt;"N/A"))</xm:f>
            <x14:dxf>
              <fill>
                <patternFill>
                  <bgColor indexed="10"/>
                </patternFill>
              </fill>
            </x14:dxf>
          </x14:cfRule>
          <xm:sqref>AC306</xm:sqref>
        </x14:conditionalFormatting>
        <x14:conditionalFormatting xmlns:xm="http://schemas.microsoft.com/office/excel/2006/main">
          <x14:cfRule type="expression" priority="90148" id="{3C70F423-D9CF-4FC8-B4FC-F6800DF866ED}">
            <xm:f>AND(IF(H146&gt;'Plan de Accion 2018'!Y151,H146&lt;&gt;¨N/A¨))</xm:f>
            <x14:dxf>
              <fill>
                <patternFill>
                  <bgColor theme="1" tint="0.499984740745262"/>
                </patternFill>
              </fill>
            </x14:dxf>
          </x14:cfRule>
          <x14:cfRule type="expression" priority="90149" stopIfTrue="1" id="{46DE1846-4301-49E0-9FD0-3E45119E5A5A}">
            <xm:f>AND(IF(H146='Plan de Accion 2018'!Y151,H146&lt;&gt;"N/A"))</xm:f>
            <x14:dxf>
              <fill>
                <patternFill>
                  <bgColor rgb="FF00B050"/>
                </patternFill>
              </fill>
            </x14:dxf>
          </x14:cfRule>
          <x14:cfRule type="expression" priority="90150" stopIfTrue="1" id="{1AA29CD8-6A7D-4C01-A020-9A1E4E1701E1}">
            <xm:f>AND(IF(H146&lt;'Plan de Accion 2018'!Y151,H146&lt;&gt;"N/A"))</xm:f>
            <x14:dxf>
              <fill>
                <patternFill>
                  <bgColor indexed="10"/>
                </patternFill>
              </fill>
            </x14:dxf>
          </x14:cfRule>
          <xm:sqref>H146:H147</xm:sqref>
        </x14:conditionalFormatting>
        <x14:conditionalFormatting xmlns:xm="http://schemas.microsoft.com/office/excel/2006/main">
          <x14:cfRule type="expression" priority="90238" id="{E0D3DDAF-85D0-421A-ADCB-2F5CB48558A4}">
            <xm:f>AND(IF(O146&gt;'Plan de Accion 2018'!AI151,O146&lt;&gt;¨N/A¨))</xm:f>
            <x14:dxf>
              <fill>
                <patternFill>
                  <bgColor theme="1" tint="0.499984740745262"/>
                </patternFill>
              </fill>
            </x14:dxf>
          </x14:cfRule>
          <x14:cfRule type="expression" priority="90239" stopIfTrue="1" id="{5584E8C4-FD3F-4714-ADE2-16976ADC6838}">
            <xm:f>AND(IF(O146='Plan de Accion 2018'!AI151,O146&lt;&gt;"N/A"))</xm:f>
            <x14:dxf>
              <fill>
                <patternFill>
                  <bgColor rgb="FF00B050"/>
                </patternFill>
              </fill>
            </x14:dxf>
          </x14:cfRule>
          <x14:cfRule type="expression" priority="90240" stopIfTrue="1" id="{18ECD560-4079-4A92-9754-918253889A55}">
            <xm:f>AND(IF(O146&lt;'Plan de Accion 2018'!AI151,O146&lt;&gt;"N/A"))</xm:f>
            <x14:dxf>
              <fill>
                <patternFill>
                  <bgColor indexed="10"/>
                </patternFill>
              </fill>
            </x14:dxf>
          </x14:cfRule>
          <xm:sqref>O146:O147</xm:sqref>
        </x14:conditionalFormatting>
        <x14:conditionalFormatting xmlns:xm="http://schemas.microsoft.com/office/excel/2006/main">
          <x14:cfRule type="expression" priority="90307" id="{03D6D65B-04D5-4182-BE80-CFD5DDDDC102}">
            <xm:f>AND(IF(V146&gt;'Plan de Accion 2018'!AS151,V146&lt;&gt;¨N/A¨))</xm:f>
            <x14:dxf>
              <fill>
                <patternFill>
                  <bgColor theme="1" tint="0.499984740745262"/>
                </patternFill>
              </fill>
            </x14:dxf>
          </x14:cfRule>
          <x14:cfRule type="expression" priority="90308" stopIfTrue="1" id="{F9557300-0DBD-46A2-B266-D83B13EAE9B8}">
            <xm:f>AND(IF(V146='Plan de Accion 2018'!AS151,V146&lt;&gt;"N/A"))</xm:f>
            <x14:dxf>
              <fill>
                <patternFill>
                  <bgColor rgb="FF00B050"/>
                </patternFill>
              </fill>
            </x14:dxf>
          </x14:cfRule>
          <x14:cfRule type="expression" priority="90309" stopIfTrue="1" id="{C752509E-8738-4CB7-9153-B4F2B3F8EA79}">
            <xm:f>AND(IF(V146&lt;'Plan de Accion 2018'!AS151,V146&lt;&gt;"N/A"))</xm:f>
            <x14:dxf>
              <fill>
                <patternFill>
                  <bgColor indexed="10"/>
                </patternFill>
              </fill>
            </x14:dxf>
          </x14:cfRule>
          <xm:sqref>V146:V147</xm:sqref>
        </x14:conditionalFormatting>
        <x14:conditionalFormatting xmlns:xm="http://schemas.microsoft.com/office/excel/2006/main">
          <x14:cfRule type="expression" priority="90379" id="{4D94821D-4E8E-43B0-9CF5-545C0AF0A0D7}">
            <xm:f>AND(IF(AC146&gt;'Plan de Accion 2018'!BC151,AC146&lt;&gt;¨N/A¨))</xm:f>
            <x14:dxf>
              <fill>
                <patternFill>
                  <bgColor theme="1" tint="0.499984740745262"/>
                </patternFill>
              </fill>
            </x14:dxf>
          </x14:cfRule>
          <x14:cfRule type="expression" priority="90380" stopIfTrue="1" id="{38DE079F-6BE3-47AB-8C9F-636CC3D2612E}">
            <xm:f>AND(IF(AC146='Plan de Accion 2018'!BC151,AC146&lt;&gt;"N/A"))</xm:f>
            <x14:dxf>
              <fill>
                <patternFill>
                  <bgColor rgb="FF00B050"/>
                </patternFill>
              </fill>
            </x14:dxf>
          </x14:cfRule>
          <x14:cfRule type="expression" priority="90381" stopIfTrue="1" id="{82B6F224-6814-4D88-849D-5C23B776C0CF}">
            <xm:f>AND(IF(AC146&lt;'Plan de Accion 2018'!BC151,AC146&lt;&gt;"N/A"))</xm:f>
            <x14:dxf>
              <fill>
                <patternFill>
                  <bgColor indexed="10"/>
                </patternFill>
              </fill>
            </x14:dxf>
          </x14:cfRule>
          <xm:sqref>AC146:AC147</xm:sqref>
        </x14:conditionalFormatting>
        <x14:conditionalFormatting xmlns:xm="http://schemas.microsoft.com/office/excel/2006/main">
          <x14:cfRule type="expression" priority="92098" id="{EFD21539-4382-479F-B232-96346ABF524F}">
            <xm:f>AND(IF(H261&gt;'Plan de Accion 2018'!Y137,H261&lt;&gt;¨N/A¨))</xm:f>
            <x14:dxf>
              <fill>
                <patternFill>
                  <bgColor theme="1" tint="0.499984740745262"/>
                </patternFill>
              </fill>
            </x14:dxf>
          </x14:cfRule>
          <x14:cfRule type="expression" priority="92099" stopIfTrue="1" id="{0DB8EF57-177E-4E1D-B6D3-217AE28A7495}">
            <xm:f>AND(IF(H261='Plan de Accion 2018'!Y137,H261&lt;&gt;"N/A"))</xm:f>
            <x14:dxf>
              <fill>
                <patternFill>
                  <bgColor rgb="FF00B050"/>
                </patternFill>
              </fill>
            </x14:dxf>
          </x14:cfRule>
          <x14:cfRule type="expression" priority="92100" stopIfTrue="1" id="{205C111F-21C0-448A-8D0C-28743965AF56}">
            <xm:f>AND(IF(H261&lt;'Plan de Accion 2018'!Y137,H261&lt;&gt;"N/A"))</xm:f>
            <x14:dxf>
              <fill>
                <patternFill>
                  <bgColor indexed="10"/>
                </patternFill>
              </fill>
            </x14:dxf>
          </x14:cfRule>
          <xm:sqref>H261</xm:sqref>
        </x14:conditionalFormatting>
        <x14:conditionalFormatting xmlns:xm="http://schemas.microsoft.com/office/excel/2006/main">
          <x14:cfRule type="expression" priority="92101" id="{62633021-1908-415A-8F5D-7D294BE1DCB3}">
            <xm:f>AND(IF(O261&gt;'Plan de Accion 2018'!AI137,O261&lt;&gt;¨N/A¨))</xm:f>
            <x14:dxf>
              <fill>
                <patternFill>
                  <bgColor theme="1" tint="0.499984740745262"/>
                </patternFill>
              </fill>
            </x14:dxf>
          </x14:cfRule>
          <x14:cfRule type="expression" priority="92102" stopIfTrue="1" id="{D97C824F-7045-4909-86C4-8D2E8A09FB53}">
            <xm:f>AND(IF(O261='Plan de Accion 2018'!AI137,O261&lt;&gt;"N/A"))</xm:f>
            <x14:dxf>
              <fill>
                <patternFill>
                  <bgColor rgb="FF00B050"/>
                </patternFill>
              </fill>
            </x14:dxf>
          </x14:cfRule>
          <x14:cfRule type="expression" priority="92103" stopIfTrue="1" id="{5F08053C-A0B1-47A5-A286-19F4A2A4C22A}">
            <xm:f>AND(IF(O261&lt;'Plan de Accion 2018'!AI137,O261&lt;&gt;"N/A"))</xm:f>
            <x14:dxf>
              <fill>
                <patternFill>
                  <bgColor indexed="10"/>
                </patternFill>
              </fill>
            </x14:dxf>
          </x14:cfRule>
          <xm:sqref>O261</xm:sqref>
        </x14:conditionalFormatting>
        <x14:conditionalFormatting xmlns:xm="http://schemas.microsoft.com/office/excel/2006/main">
          <x14:cfRule type="expression" priority="92104" id="{87D54997-3260-4EB6-91DA-056DC9968B79}">
            <xm:f>AND(IF(V261&gt;'Plan de Accion 2018'!AS137,V261&lt;&gt;¨N/A¨))</xm:f>
            <x14:dxf>
              <fill>
                <patternFill>
                  <bgColor theme="1" tint="0.499984740745262"/>
                </patternFill>
              </fill>
            </x14:dxf>
          </x14:cfRule>
          <x14:cfRule type="expression" priority="92105" stopIfTrue="1" id="{E60C5827-9FCD-4FF0-B634-FF45752BBFFE}">
            <xm:f>AND(IF(V261='Plan de Accion 2018'!AS137,V261&lt;&gt;"N/A"))</xm:f>
            <x14:dxf>
              <fill>
                <patternFill>
                  <bgColor rgb="FF00B050"/>
                </patternFill>
              </fill>
            </x14:dxf>
          </x14:cfRule>
          <x14:cfRule type="expression" priority="92106" stopIfTrue="1" id="{98C83A96-F2A7-40D9-9DF5-E844D90FAEB4}">
            <xm:f>AND(IF(V261&lt;'Plan de Accion 2018'!AS137,V261&lt;&gt;"N/A"))</xm:f>
            <x14:dxf>
              <fill>
                <patternFill>
                  <bgColor indexed="10"/>
                </patternFill>
              </fill>
            </x14:dxf>
          </x14:cfRule>
          <xm:sqref>V261</xm:sqref>
        </x14:conditionalFormatting>
        <x14:conditionalFormatting xmlns:xm="http://schemas.microsoft.com/office/excel/2006/main">
          <x14:cfRule type="expression" priority="92107" id="{3156A1E2-726E-4077-B847-63119DA4A921}">
            <xm:f>AND(IF(AC261&gt;'Plan de Accion 2018'!BC137,AC261&lt;&gt;¨N/A¨))</xm:f>
            <x14:dxf>
              <fill>
                <patternFill>
                  <bgColor theme="1" tint="0.499984740745262"/>
                </patternFill>
              </fill>
            </x14:dxf>
          </x14:cfRule>
          <x14:cfRule type="expression" priority="92108" stopIfTrue="1" id="{333C1833-95A3-43BF-89A1-E4A7267AD9D7}">
            <xm:f>AND(IF(AC261='Plan de Accion 2018'!BC137,AC261&lt;&gt;"N/A"))</xm:f>
            <x14:dxf>
              <fill>
                <patternFill>
                  <bgColor rgb="FF00B050"/>
                </patternFill>
              </fill>
            </x14:dxf>
          </x14:cfRule>
          <x14:cfRule type="expression" priority="92109" stopIfTrue="1" id="{C778FFF8-A1C7-42A5-8E55-60B746C2BBE7}">
            <xm:f>AND(IF(AC261&lt;'Plan de Accion 2018'!BC137,AC261&lt;&gt;"N/A"))</xm:f>
            <x14:dxf>
              <fill>
                <patternFill>
                  <bgColor indexed="10"/>
                </patternFill>
              </fill>
            </x14:dxf>
          </x14:cfRule>
          <xm:sqref>AC261</xm:sqref>
        </x14:conditionalFormatting>
        <x14:conditionalFormatting xmlns:xm="http://schemas.microsoft.com/office/excel/2006/main">
          <x14:cfRule type="expression" priority="92152" id="{B38DEB0D-32B3-47DF-AB7E-507770066A93}">
            <xm:f>AND(IF(H154&gt;'Plan de Accion 2018'!Y148,H154&lt;&gt;¨N/A¨))</xm:f>
            <x14:dxf>
              <fill>
                <patternFill>
                  <bgColor theme="1" tint="0.499984740745262"/>
                </patternFill>
              </fill>
            </x14:dxf>
          </x14:cfRule>
          <x14:cfRule type="expression" priority="92153" stopIfTrue="1" id="{6959E61F-63EA-40F2-B24D-60F2DCBD0ABB}">
            <xm:f>AND(IF(H154='Plan de Accion 2018'!Y148,H154&lt;&gt;"N/A"))</xm:f>
            <x14:dxf>
              <fill>
                <patternFill>
                  <bgColor rgb="FF00B050"/>
                </patternFill>
              </fill>
            </x14:dxf>
          </x14:cfRule>
          <x14:cfRule type="expression" priority="92154" stopIfTrue="1" id="{33610E02-7E6A-4B48-8812-943F54E97476}">
            <xm:f>AND(IF(H154&lt;'Plan de Accion 2018'!Y148,H154&lt;&gt;"N/A"))</xm:f>
            <x14:dxf>
              <fill>
                <patternFill>
                  <bgColor indexed="10"/>
                </patternFill>
              </fill>
            </x14:dxf>
          </x14:cfRule>
          <xm:sqref>H154</xm:sqref>
        </x14:conditionalFormatting>
        <x14:conditionalFormatting xmlns:xm="http://schemas.microsoft.com/office/excel/2006/main">
          <x14:cfRule type="expression" priority="92155" id="{3C70F423-D9CF-4FC8-B4FC-F6800DF866ED}">
            <xm:f>AND(IF(H150&gt;'Plan de Accion 2018'!Y153,H150&lt;&gt;¨N/A¨))</xm:f>
            <x14:dxf>
              <fill>
                <patternFill>
                  <bgColor theme="1" tint="0.499984740745262"/>
                </patternFill>
              </fill>
            </x14:dxf>
          </x14:cfRule>
          <x14:cfRule type="expression" priority="92156" stopIfTrue="1" id="{46DE1846-4301-49E0-9FD0-3E45119E5A5A}">
            <xm:f>AND(IF(H150='Plan de Accion 2018'!Y153,H150&lt;&gt;"N/A"))</xm:f>
            <x14:dxf>
              <fill>
                <patternFill>
                  <bgColor rgb="FF00B050"/>
                </patternFill>
              </fill>
            </x14:dxf>
          </x14:cfRule>
          <x14:cfRule type="expression" priority="92157" stopIfTrue="1" id="{1AA29CD8-6A7D-4C01-A020-9A1E4E1701E1}">
            <xm:f>AND(IF(H150&lt;'Plan de Accion 2018'!Y153,H150&lt;&gt;"N/A"))</xm:f>
            <x14:dxf>
              <fill>
                <patternFill>
                  <bgColor indexed="10"/>
                </patternFill>
              </fill>
            </x14:dxf>
          </x14:cfRule>
          <xm:sqref>H150</xm:sqref>
        </x14:conditionalFormatting>
        <x14:conditionalFormatting xmlns:xm="http://schemas.microsoft.com/office/excel/2006/main">
          <x14:cfRule type="expression" priority="92236" id="{E0D3DDAF-85D0-421A-ADCB-2F5CB48558A4}">
            <xm:f>AND(IF(O150&gt;'Plan de Accion 2018'!AI153,O150&lt;&gt;¨N/A¨))</xm:f>
            <x14:dxf>
              <fill>
                <patternFill>
                  <bgColor theme="1" tint="0.499984740745262"/>
                </patternFill>
              </fill>
            </x14:dxf>
          </x14:cfRule>
          <x14:cfRule type="expression" priority="92237" stopIfTrue="1" id="{5584E8C4-FD3F-4714-ADE2-16976ADC6838}">
            <xm:f>AND(IF(O150='Plan de Accion 2018'!AI153,O150&lt;&gt;"N/A"))</xm:f>
            <x14:dxf>
              <fill>
                <patternFill>
                  <bgColor rgb="FF00B050"/>
                </patternFill>
              </fill>
            </x14:dxf>
          </x14:cfRule>
          <x14:cfRule type="expression" priority="92238" stopIfTrue="1" id="{18ECD560-4079-4A92-9754-918253889A55}">
            <xm:f>AND(IF(O150&lt;'Plan de Accion 2018'!AI153,O150&lt;&gt;"N/A"))</xm:f>
            <x14:dxf>
              <fill>
                <patternFill>
                  <bgColor indexed="10"/>
                </patternFill>
              </fill>
            </x14:dxf>
          </x14:cfRule>
          <xm:sqref>O150</xm:sqref>
        </x14:conditionalFormatting>
        <x14:conditionalFormatting xmlns:xm="http://schemas.microsoft.com/office/excel/2006/main">
          <x14:cfRule type="expression" priority="92299" id="{03D6D65B-04D5-4182-BE80-CFD5DDDDC102}">
            <xm:f>AND(IF(V150&gt;'Plan de Accion 2018'!AS153,V150&lt;&gt;¨N/A¨))</xm:f>
            <x14:dxf>
              <fill>
                <patternFill>
                  <bgColor theme="1" tint="0.499984740745262"/>
                </patternFill>
              </fill>
            </x14:dxf>
          </x14:cfRule>
          <x14:cfRule type="expression" priority="92300" stopIfTrue="1" id="{F9557300-0DBD-46A2-B266-D83B13EAE9B8}">
            <xm:f>AND(IF(V150='Plan de Accion 2018'!AS153,V150&lt;&gt;"N/A"))</xm:f>
            <x14:dxf>
              <fill>
                <patternFill>
                  <bgColor rgb="FF00B050"/>
                </patternFill>
              </fill>
            </x14:dxf>
          </x14:cfRule>
          <x14:cfRule type="expression" priority="92301" stopIfTrue="1" id="{C752509E-8738-4CB7-9153-B4F2B3F8EA79}">
            <xm:f>AND(IF(V150&lt;'Plan de Accion 2018'!AS153,V150&lt;&gt;"N/A"))</xm:f>
            <x14:dxf>
              <fill>
                <patternFill>
                  <bgColor indexed="10"/>
                </patternFill>
              </fill>
            </x14:dxf>
          </x14:cfRule>
          <xm:sqref>V150</xm:sqref>
        </x14:conditionalFormatting>
        <x14:conditionalFormatting xmlns:xm="http://schemas.microsoft.com/office/excel/2006/main">
          <x14:cfRule type="expression" priority="92365" id="{4D94821D-4E8E-43B0-9CF5-545C0AF0A0D7}">
            <xm:f>AND(IF(AC150&gt;'Plan de Accion 2018'!BC153,AC150&lt;&gt;¨N/A¨))</xm:f>
            <x14:dxf>
              <fill>
                <patternFill>
                  <bgColor theme="1" tint="0.499984740745262"/>
                </patternFill>
              </fill>
            </x14:dxf>
          </x14:cfRule>
          <x14:cfRule type="expression" priority="92366" stopIfTrue="1" id="{38DE079F-6BE3-47AB-8C9F-636CC3D2612E}">
            <xm:f>AND(IF(AC150='Plan de Accion 2018'!BC153,AC150&lt;&gt;"N/A"))</xm:f>
            <x14:dxf>
              <fill>
                <patternFill>
                  <bgColor rgb="FF00B050"/>
                </patternFill>
              </fill>
            </x14:dxf>
          </x14:cfRule>
          <x14:cfRule type="expression" priority="92367" stopIfTrue="1" id="{82B6F224-6814-4D88-849D-5C23B776C0CF}">
            <xm:f>AND(IF(AC150&lt;'Plan de Accion 2018'!BC153,AC150&lt;&gt;"N/A"))</xm:f>
            <x14:dxf>
              <fill>
                <patternFill>
                  <bgColor indexed="10"/>
                </patternFill>
              </fill>
            </x14:dxf>
          </x14:cfRule>
          <xm:sqref>AC150</xm:sqref>
        </x14:conditionalFormatting>
        <x14:conditionalFormatting xmlns:xm="http://schemas.microsoft.com/office/excel/2006/main">
          <x14:cfRule type="expression" priority="93469" id="{C6AADA74-C14F-4565-9C53-5A11C1734B89}">
            <xm:f>AND(IF(H83&gt;'Plan de Accion 2018'!Y93,H83&lt;&gt;¨N/A¨))</xm:f>
            <x14:dxf>
              <fill>
                <patternFill>
                  <bgColor theme="1" tint="0.499984740745262"/>
                </patternFill>
              </fill>
            </x14:dxf>
          </x14:cfRule>
          <x14:cfRule type="expression" priority="93470" stopIfTrue="1" id="{31AC552F-C835-4304-B7F0-F966972CDD16}">
            <xm:f>AND(IF(H83='Plan de Accion 2018'!Y93,H83&lt;&gt;"N/A"))</xm:f>
            <x14:dxf>
              <fill>
                <patternFill>
                  <bgColor rgb="FF00B050"/>
                </patternFill>
              </fill>
            </x14:dxf>
          </x14:cfRule>
          <x14:cfRule type="expression" priority="93471" stopIfTrue="1" id="{1100336D-8668-4BD2-9ED2-A9752E38164B}">
            <xm:f>AND(IF(H83&lt;'Plan de Accion 2018'!Y93,H83&lt;&gt;"N/A"))</xm:f>
            <x14:dxf>
              <fill>
                <patternFill>
                  <bgColor indexed="10"/>
                </patternFill>
              </fill>
            </x14:dxf>
          </x14:cfRule>
          <xm:sqref>H169:H174 H83:H84</xm:sqref>
        </x14:conditionalFormatting>
        <x14:conditionalFormatting xmlns:xm="http://schemas.microsoft.com/office/excel/2006/main">
          <x14:cfRule type="expression" priority="93562" id="{56E75D71-1ABA-4F65-97A4-1E078D63727A}">
            <xm:f>AND(IF(O83&gt;'Plan de Accion 2018'!AI93,O83&lt;&gt;¨N/A¨))</xm:f>
            <x14:dxf>
              <fill>
                <patternFill>
                  <bgColor theme="1" tint="0.499984740745262"/>
                </patternFill>
              </fill>
            </x14:dxf>
          </x14:cfRule>
          <x14:cfRule type="expression" priority="93563" stopIfTrue="1" id="{5E12CC76-D9D3-4493-A3C0-1BA4F89881D7}">
            <xm:f>AND(IF(O83='Plan de Accion 2018'!AI93,O83&lt;&gt;"N/A"))</xm:f>
            <x14:dxf>
              <fill>
                <patternFill>
                  <bgColor rgb="FF00B050"/>
                </patternFill>
              </fill>
            </x14:dxf>
          </x14:cfRule>
          <x14:cfRule type="expression" priority="93564" stopIfTrue="1" id="{84F2C4BC-698E-4170-ABCF-125EFAC77CB7}">
            <xm:f>AND(IF(O83&lt;'Plan de Accion 2018'!AI93,O83&lt;&gt;"N/A"))</xm:f>
            <x14:dxf>
              <fill>
                <patternFill>
                  <bgColor indexed="10"/>
                </patternFill>
              </fill>
            </x14:dxf>
          </x14:cfRule>
          <xm:sqref>O169:O174 O83:O84</xm:sqref>
        </x14:conditionalFormatting>
        <x14:conditionalFormatting xmlns:xm="http://schemas.microsoft.com/office/excel/2006/main">
          <x14:cfRule type="expression" priority="93649" id="{5AA9FA82-88C6-47B4-A9C5-AB62C4C976BB}">
            <xm:f>AND(IF(V83&gt;'Plan de Accion 2018'!AS93,V83&lt;&gt;¨N/A¨))</xm:f>
            <x14:dxf>
              <fill>
                <patternFill>
                  <bgColor theme="1" tint="0.499984740745262"/>
                </patternFill>
              </fill>
            </x14:dxf>
          </x14:cfRule>
          <x14:cfRule type="expression" priority="93650" stopIfTrue="1" id="{5DE29CBC-7262-432B-97FD-F5512263C894}">
            <xm:f>AND(IF(V83='Plan de Accion 2018'!AS93,V83&lt;&gt;"N/A"))</xm:f>
            <x14:dxf>
              <fill>
                <patternFill>
                  <bgColor rgb="FF00B050"/>
                </patternFill>
              </fill>
            </x14:dxf>
          </x14:cfRule>
          <x14:cfRule type="expression" priority="93651" stopIfTrue="1" id="{BDF1E6F5-9B70-4727-A8E1-3D3ADC259AA9}">
            <xm:f>AND(IF(V83&lt;'Plan de Accion 2018'!AS93,V83&lt;&gt;"N/A"))</xm:f>
            <x14:dxf>
              <fill>
                <patternFill>
                  <bgColor indexed="10"/>
                </patternFill>
              </fill>
            </x14:dxf>
          </x14:cfRule>
          <xm:sqref>V169:V174 V83:V84</xm:sqref>
        </x14:conditionalFormatting>
        <x14:conditionalFormatting xmlns:xm="http://schemas.microsoft.com/office/excel/2006/main">
          <x14:cfRule type="expression" priority="93715" id="{E171D575-4916-46E8-9CED-4E91E080EEC6}">
            <xm:f>AND(IF(AC83&gt;'Plan de Accion 2018'!BC93,AC83&lt;&gt;¨N/A¨))</xm:f>
            <x14:dxf>
              <fill>
                <patternFill>
                  <bgColor theme="1" tint="0.499984740745262"/>
                </patternFill>
              </fill>
            </x14:dxf>
          </x14:cfRule>
          <x14:cfRule type="expression" priority="93716" stopIfTrue="1" id="{2901BD21-3A4D-487B-9740-516ED0B78149}">
            <xm:f>AND(IF(AC83='Plan de Accion 2018'!BC93,AC83&lt;&gt;"N/A"))</xm:f>
            <x14:dxf>
              <fill>
                <patternFill>
                  <bgColor rgb="FF00B050"/>
                </patternFill>
              </fill>
            </x14:dxf>
          </x14:cfRule>
          <x14:cfRule type="expression" priority="93717" stopIfTrue="1" id="{2320B366-CCC8-4A6E-A914-F9472073C436}">
            <xm:f>AND(IF(AC83&lt;'Plan de Accion 2018'!BC93,AC83&lt;&gt;"N/A"))</xm:f>
            <x14:dxf>
              <fill>
                <patternFill>
                  <bgColor indexed="10"/>
                </patternFill>
              </fill>
            </x14:dxf>
          </x14:cfRule>
          <xm:sqref>AC169:AC174 AC83:AC84</xm:sqref>
        </x14:conditionalFormatting>
        <x14:conditionalFormatting xmlns:xm="http://schemas.microsoft.com/office/excel/2006/main">
          <x14:cfRule type="expression" priority="93943" id="{B029685C-622F-435A-B586-41E1BC6EF941}">
            <xm:f>AND(IF(H116&gt;'Plan de Accion 2018'!Y67,H116&lt;&gt;¨N/A¨))</xm:f>
            <x14:dxf>
              <fill>
                <patternFill>
                  <bgColor theme="1" tint="0.499984740745262"/>
                </patternFill>
              </fill>
            </x14:dxf>
          </x14:cfRule>
          <x14:cfRule type="expression" priority="93944" stopIfTrue="1" id="{1A57AFC5-3E6B-466B-AA3F-E5104E18FF84}">
            <xm:f>AND(IF(H116='Plan de Accion 2018'!Y67,H116&lt;&gt;"N/A"))</xm:f>
            <x14:dxf>
              <fill>
                <patternFill>
                  <bgColor rgb="FF00B050"/>
                </patternFill>
              </fill>
            </x14:dxf>
          </x14:cfRule>
          <x14:cfRule type="expression" priority="93945" stopIfTrue="1" id="{68C851E9-1731-4498-996C-272A7D22BFAB}">
            <xm:f>AND(IF(H116&lt;'Plan de Accion 2018'!Y67,H116&lt;&gt;"N/A"))</xm:f>
            <x14:dxf>
              <fill>
                <patternFill>
                  <bgColor indexed="10"/>
                </patternFill>
              </fill>
            </x14:dxf>
          </x14:cfRule>
          <xm:sqref>H116:H117</xm:sqref>
        </x14:conditionalFormatting>
        <x14:conditionalFormatting xmlns:xm="http://schemas.microsoft.com/office/excel/2006/main">
          <x14:cfRule type="expression" priority="94036" id="{D06420E3-CF30-4DD2-8280-E6FBC9305FCD}">
            <xm:f>AND(IF(O116&gt;'Plan de Accion 2018'!AI67,O116&lt;&gt;¨N/A¨))</xm:f>
            <x14:dxf>
              <fill>
                <patternFill>
                  <bgColor theme="1" tint="0.499984740745262"/>
                </patternFill>
              </fill>
            </x14:dxf>
          </x14:cfRule>
          <x14:cfRule type="expression" priority="94037" stopIfTrue="1" id="{E9A6D6B5-AAA3-43C6-9844-572A7B925557}">
            <xm:f>AND(IF(O116='Plan de Accion 2018'!AI67,O116&lt;&gt;"N/A"))</xm:f>
            <x14:dxf>
              <fill>
                <patternFill>
                  <bgColor rgb="FF00B050"/>
                </patternFill>
              </fill>
            </x14:dxf>
          </x14:cfRule>
          <x14:cfRule type="expression" priority="94038" stopIfTrue="1" id="{524635D6-4978-4420-B178-33C242E99282}">
            <xm:f>AND(IF(O116&lt;'Plan de Accion 2018'!AI67,O116&lt;&gt;"N/A"))</xm:f>
            <x14:dxf>
              <fill>
                <patternFill>
                  <bgColor indexed="10"/>
                </patternFill>
              </fill>
            </x14:dxf>
          </x14:cfRule>
          <xm:sqref>O116:O117</xm:sqref>
        </x14:conditionalFormatting>
        <x14:conditionalFormatting xmlns:xm="http://schemas.microsoft.com/office/excel/2006/main">
          <x14:cfRule type="expression" priority="94111" id="{FED11198-6B63-4F33-B83E-0CDF00E72654}">
            <xm:f>AND(IF(V116&gt;'Plan de Accion 2018'!AS67,V116&lt;&gt;¨N/A¨))</xm:f>
            <x14:dxf>
              <fill>
                <patternFill>
                  <bgColor theme="1" tint="0.499984740745262"/>
                </patternFill>
              </fill>
            </x14:dxf>
          </x14:cfRule>
          <x14:cfRule type="expression" priority="94112" stopIfTrue="1" id="{A20BA1EB-D4E3-4AA8-A2C0-3787A26DFE80}">
            <xm:f>AND(IF(V116='Plan de Accion 2018'!AS67,V116&lt;&gt;"N/A"))</xm:f>
            <x14:dxf>
              <fill>
                <patternFill>
                  <bgColor rgb="FF00B050"/>
                </patternFill>
              </fill>
            </x14:dxf>
          </x14:cfRule>
          <x14:cfRule type="expression" priority="94113" stopIfTrue="1" id="{47B853B9-3C06-44C8-997D-37D77C5D9C16}">
            <xm:f>AND(IF(V116&lt;'Plan de Accion 2018'!AS67,V116&lt;&gt;"N/A"))</xm:f>
            <x14:dxf>
              <fill>
                <patternFill>
                  <bgColor indexed="10"/>
                </patternFill>
              </fill>
            </x14:dxf>
          </x14:cfRule>
          <xm:sqref>V116:V117</xm:sqref>
        </x14:conditionalFormatting>
        <x14:conditionalFormatting xmlns:xm="http://schemas.microsoft.com/office/excel/2006/main">
          <x14:cfRule type="expression" priority="94189" id="{14A93AE5-ED2E-4884-BC84-1B891A3FE589}">
            <xm:f>AND(IF(AC116&gt;'Plan de Accion 2018'!BC67,AC116&lt;&gt;¨N/A¨))</xm:f>
            <x14:dxf>
              <fill>
                <patternFill>
                  <bgColor theme="1" tint="0.499984740745262"/>
                </patternFill>
              </fill>
            </x14:dxf>
          </x14:cfRule>
          <x14:cfRule type="expression" priority="94190" stopIfTrue="1" id="{9B4ACB93-8A5C-45BB-B3D4-3969B0A634E6}">
            <xm:f>AND(IF(AC116='Plan de Accion 2018'!BC67,AC116&lt;&gt;"N/A"))</xm:f>
            <x14:dxf>
              <fill>
                <patternFill>
                  <bgColor rgb="FF00B050"/>
                </patternFill>
              </fill>
            </x14:dxf>
          </x14:cfRule>
          <x14:cfRule type="expression" priority="94191" stopIfTrue="1" id="{1ED4C1D7-BA09-43C1-8B94-5AB7D5EE5FE3}">
            <xm:f>AND(IF(AC116&lt;'Plan de Accion 2018'!BC67,AC116&lt;&gt;"N/A"))</xm:f>
            <x14:dxf>
              <fill>
                <patternFill>
                  <bgColor indexed="10"/>
                </patternFill>
              </fill>
            </x14:dxf>
          </x14:cfRule>
          <xm:sqref>AC116:AC117</xm:sqref>
        </x14:conditionalFormatting>
        <x14:conditionalFormatting xmlns:xm="http://schemas.microsoft.com/office/excel/2006/main">
          <x14:cfRule type="expression" priority="94240" id="{FDA5AB1A-DB98-41C2-87E0-8D72C86634AF}">
            <xm:f>AND(IF(H112&gt;'Plan de Accion 2018'!Y52,H112&lt;&gt;¨N/A¨))</xm:f>
            <x14:dxf>
              <fill>
                <patternFill>
                  <bgColor theme="1" tint="0.499984740745262"/>
                </patternFill>
              </fill>
            </x14:dxf>
          </x14:cfRule>
          <x14:cfRule type="expression" priority="94241" stopIfTrue="1" id="{0A8C9F66-D696-47A0-A91D-2F189DF17606}">
            <xm:f>AND(IF(H112='Plan de Accion 2018'!Y52,H112&lt;&gt;"N/A"))</xm:f>
            <x14:dxf>
              <fill>
                <patternFill>
                  <bgColor rgb="FF00B050"/>
                </patternFill>
              </fill>
            </x14:dxf>
          </x14:cfRule>
          <x14:cfRule type="expression" priority="94242" stopIfTrue="1" id="{3CC12296-6133-4121-9663-3F2BBF4DE5D2}">
            <xm:f>AND(IF(H112&lt;'Plan de Accion 2018'!Y52,H112&lt;&gt;"N/A"))</xm:f>
            <x14:dxf>
              <fill>
                <patternFill>
                  <bgColor indexed="10"/>
                </patternFill>
              </fill>
            </x14:dxf>
          </x14:cfRule>
          <xm:sqref>H112</xm:sqref>
        </x14:conditionalFormatting>
        <x14:conditionalFormatting xmlns:xm="http://schemas.microsoft.com/office/excel/2006/main">
          <x14:cfRule type="expression" priority="94330" id="{6FE6F1DC-5B60-4FFC-A32B-4AC03BB0B437}">
            <xm:f>AND(IF(O112&gt;'Plan de Accion 2018'!AI52,O112&lt;&gt;¨N/A¨))</xm:f>
            <x14:dxf>
              <fill>
                <patternFill>
                  <bgColor theme="1" tint="0.499984740745262"/>
                </patternFill>
              </fill>
            </x14:dxf>
          </x14:cfRule>
          <x14:cfRule type="expression" priority="94331" stopIfTrue="1" id="{5EF8E481-CD7A-448E-806A-B5EC9462C4C4}">
            <xm:f>AND(IF(O112='Plan de Accion 2018'!AI52,O112&lt;&gt;"N/A"))</xm:f>
            <x14:dxf>
              <fill>
                <patternFill>
                  <bgColor rgb="FF00B050"/>
                </patternFill>
              </fill>
            </x14:dxf>
          </x14:cfRule>
          <x14:cfRule type="expression" priority="94332" stopIfTrue="1" id="{20FD009A-300D-4A6E-A765-364B863A31E9}">
            <xm:f>AND(IF(O112&lt;'Plan de Accion 2018'!AI52,O112&lt;&gt;"N/A"))</xm:f>
            <x14:dxf>
              <fill>
                <patternFill>
                  <bgColor indexed="10"/>
                </patternFill>
              </fill>
            </x14:dxf>
          </x14:cfRule>
          <xm:sqref>O112</xm:sqref>
        </x14:conditionalFormatting>
        <x14:conditionalFormatting xmlns:xm="http://schemas.microsoft.com/office/excel/2006/main">
          <x14:cfRule type="expression" priority="94405" id="{783911D8-9EF2-4D5A-885F-0DDF05A50B67}">
            <xm:f>AND(IF(V112&gt;'Plan de Accion 2018'!AS52,V112&lt;&gt;¨N/A¨))</xm:f>
            <x14:dxf>
              <fill>
                <patternFill>
                  <bgColor theme="1" tint="0.499984740745262"/>
                </patternFill>
              </fill>
            </x14:dxf>
          </x14:cfRule>
          <x14:cfRule type="expression" priority="94406" stopIfTrue="1" id="{43523738-6B31-4AE3-9245-DB653413721F}">
            <xm:f>AND(IF(V112='Plan de Accion 2018'!AS52,V112&lt;&gt;"N/A"))</xm:f>
            <x14:dxf>
              <fill>
                <patternFill>
                  <bgColor rgb="FF00B050"/>
                </patternFill>
              </fill>
            </x14:dxf>
          </x14:cfRule>
          <x14:cfRule type="expression" priority="94407" stopIfTrue="1" id="{B4054167-7606-4444-A94E-20AA063E3A15}">
            <xm:f>AND(IF(V112&lt;'Plan de Accion 2018'!AS52,V112&lt;&gt;"N/A"))</xm:f>
            <x14:dxf>
              <fill>
                <patternFill>
                  <bgColor indexed="10"/>
                </patternFill>
              </fill>
            </x14:dxf>
          </x14:cfRule>
          <xm:sqref>V112</xm:sqref>
        </x14:conditionalFormatting>
        <x14:conditionalFormatting xmlns:xm="http://schemas.microsoft.com/office/excel/2006/main">
          <x14:cfRule type="expression" priority="94477" id="{0DE65955-29D3-467E-9D7E-461E0D1F6796}">
            <xm:f>AND(IF(AC112&gt;'Plan de Accion 2018'!BC52,AC112&lt;&gt;¨N/A¨))</xm:f>
            <x14:dxf>
              <fill>
                <patternFill>
                  <bgColor theme="1" tint="0.499984740745262"/>
                </patternFill>
              </fill>
            </x14:dxf>
          </x14:cfRule>
          <x14:cfRule type="expression" priority="94478" stopIfTrue="1" id="{8591A951-24EA-452A-9E87-65F197BFDAAB}">
            <xm:f>AND(IF(AC112='Plan de Accion 2018'!BC52,AC112&lt;&gt;"N/A"))</xm:f>
            <x14:dxf>
              <fill>
                <patternFill>
                  <bgColor rgb="FF00B050"/>
                </patternFill>
              </fill>
            </x14:dxf>
          </x14:cfRule>
          <x14:cfRule type="expression" priority="94479" stopIfTrue="1" id="{7A9B458C-E1E5-488A-8D6D-C27A5A025779}">
            <xm:f>AND(IF(AC112&lt;'Plan de Accion 2018'!BC52,AC112&lt;&gt;"N/A"))</xm:f>
            <x14:dxf>
              <fill>
                <patternFill>
                  <bgColor indexed="10"/>
                </patternFill>
              </fill>
            </x14:dxf>
          </x14:cfRule>
          <xm:sqref>AC112</xm:sqref>
        </x14:conditionalFormatting>
        <x14:conditionalFormatting xmlns:xm="http://schemas.microsoft.com/office/excel/2006/main">
          <x14:cfRule type="expression" priority="95661" id="{5FA449BC-EE6F-40D2-9144-36B927DA06E1}">
            <xm:f>AND(IF(H278&gt;'Plan de Accion 2018'!Y149,H278&lt;&gt;¨N/A¨))</xm:f>
            <x14:dxf>
              <fill>
                <patternFill>
                  <bgColor theme="1" tint="0.499984740745262"/>
                </patternFill>
              </fill>
            </x14:dxf>
          </x14:cfRule>
          <x14:cfRule type="expression" priority="95662" stopIfTrue="1" id="{91DC5159-9D8B-4D20-9D1F-2A9EFAA0B302}">
            <xm:f>AND(IF(H278='Plan de Accion 2018'!Y149,H278&lt;&gt;"N/A"))</xm:f>
            <x14:dxf>
              <fill>
                <patternFill>
                  <bgColor rgb="FF00B050"/>
                </patternFill>
              </fill>
            </x14:dxf>
          </x14:cfRule>
          <x14:cfRule type="expression" priority="95663" stopIfTrue="1" id="{7B0C2ABA-7D7D-413F-BF92-614259B8F00F}">
            <xm:f>AND(IF(H278&lt;'Plan de Accion 2018'!Y149,H278&lt;&gt;"N/A"))</xm:f>
            <x14:dxf>
              <fill>
                <patternFill>
                  <bgColor indexed="10"/>
                </patternFill>
              </fill>
            </x14:dxf>
          </x14:cfRule>
          <xm:sqref>H278:H281 H286:H289 H294:H298</xm:sqref>
        </x14:conditionalFormatting>
        <x14:conditionalFormatting xmlns:xm="http://schemas.microsoft.com/office/excel/2006/main">
          <x14:cfRule type="expression" priority="95802" id="{14142AA0-DF71-42F5-A751-99335CD5EC05}">
            <xm:f>AND(IF(O278&gt;'Plan de Accion 2018'!AI149,O278&lt;&gt;¨N/A¨))</xm:f>
            <x14:dxf>
              <fill>
                <patternFill>
                  <bgColor theme="1" tint="0.499984740745262"/>
                </patternFill>
              </fill>
            </x14:dxf>
          </x14:cfRule>
          <x14:cfRule type="expression" priority="95803" stopIfTrue="1" id="{1B564A17-ED10-4DD2-A0A8-FADEECB7CCF5}">
            <xm:f>AND(IF(O278='Plan de Accion 2018'!AI149,O278&lt;&gt;"N/A"))</xm:f>
            <x14:dxf>
              <fill>
                <patternFill>
                  <bgColor rgb="FF00B050"/>
                </patternFill>
              </fill>
            </x14:dxf>
          </x14:cfRule>
          <x14:cfRule type="expression" priority="95804" stopIfTrue="1" id="{D3366F6E-EEC0-4121-89CE-1B0C0AA75AAC}">
            <xm:f>AND(IF(O278&lt;'Plan de Accion 2018'!AI149,O278&lt;&gt;"N/A"))</xm:f>
            <x14:dxf>
              <fill>
                <patternFill>
                  <bgColor indexed="10"/>
                </patternFill>
              </fill>
            </x14:dxf>
          </x14:cfRule>
          <xm:sqref>O278:O281 O286:O289 O294:O298</xm:sqref>
        </x14:conditionalFormatting>
        <x14:conditionalFormatting xmlns:xm="http://schemas.microsoft.com/office/excel/2006/main">
          <x14:cfRule type="expression" priority="95922" id="{CEE550D8-B190-410C-8443-EB67CC8CB876}">
            <xm:f>AND(IF(V278&gt;'Plan de Accion 2018'!AS149,V278&lt;&gt;¨N/A¨))</xm:f>
            <x14:dxf>
              <fill>
                <patternFill>
                  <bgColor theme="1" tint="0.499984740745262"/>
                </patternFill>
              </fill>
            </x14:dxf>
          </x14:cfRule>
          <x14:cfRule type="expression" priority="95923" stopIfTrue="1" id="{1ADA769B-C43D-4CD4-90A6-72168FD15D1E}">
            <xm:f>AND(IF(V278='Plan de Accion 2018'!AS149,V278&lt;&gt;"N/A"))</xm:f>
            <x14:dxf>
              <fill>
                <patternFill>
                  <bgColor rgb="FF00B050"/>
                </patternFill>
              </fill>
            </x14:dxf>
          </x14:cfRule>
          <x14:cfRule type="expression" priority="95924" stopIfTrue="1" id="{ED4A7763-D171-4EF9-93F0-9B8C8350DF9F}">
            <xm:f>AND(IF(V278&lt;'Plan de Accion 2018'!AS149,V278&lt;&gt;"N/A"))</xm:f>
            <x14:dxf>
              <fill>
                <patternFill>
                  <bgColor indexed="10"/>
                </patternFill>
              </fill>
            </x14:dxf>
          </x14:cfRule>
          <xm:sqref>V278:V281 V286:V289 V294:V298</xm:sqref>
        </x14:conditionalFormatting>
        <x14:conditionalFormatting xmlns:xm="http://schemas.microsoft.com/office/excel/2006/main">
          <x14:cfRule type="expression" priority="96048" id="{80380232-C8A4-427E-9A35-F6E9428B6E13}">
            <xm:f>AND(IF(AC278&gt;'Plan de Accion 2018'!BC149,AC278&lt;&gt;¨N/A¨))</xm:f>
            <x14:dxf>
              <fill>
                <patternFill>
                  <bgColor theme="1" tint="0.499984740745262"/>
                </patternFill>
              </fill>
            </x14:dxf>
          </x14:cfRule>
          <x14:cfRule type="expression" priority="96049" stopIfTrue="1" id="{A988F7ED-3386-4188-86D4-93A8B26A0C3C}">
            <xm:f>AND(IF(AC278='Plan de Accion 2018'!BC149,AC278&lt;&gt;"N/A"))</xm:f>
            <x14:dxf>
              <fill>
                <patternFill>
                  <bgColor rgb="FF00B050"/>
                </patternFill>
              </fill>
            </x14:dxf>
          </x14:cfRule>
          <x14:cfRule type="expression" priority="96050" stopIfTrue="1" id="{ACB798F1-11FA-4402-B5AA-13AED5405F10}">
            <xm:f>AND(IF(AC278&lt;'Plan de Accion 2018'!BC149,AC278&lt;&gt;"N/A"))</xm:f>
            <x14:dxf>
              <fill>
                <patternFill>
                  <bgColor indexed="10"/>
                </patternFill>
              </fill>
            </x14:dxf>
          </x14:cfRule>
          <xm:sqref>AC278:AC281 AC286:AC289 AC294:AC298</xm:sqref>
        </x14:conditionalFormatting>
        <x14:conditionalFormatting xmlns:xm="http://schemas.microsoft.com/office/excel/2006/main">
          <x14:cfRule type="expression" priority="97366" id="{5FA449BC-EE6F-40D2-9144-36B927DA06E1}">
            <xm:f>AND(IF(H265&gt;'Plan de Accion 2018'!Y148,H265&lt;&gt;¨N/A¨))</xm:f>
            <x14:dxf>
              <fill>
                <patternFill>
                  <bgColor theme="1" tint="0.499984740745262"/>
                </patternFill>
              </fill>
            </x14:dxf>
          </x14:cfRule>
          <x14:cfRule type="expression" priority="97367" stopIfTrue="1" id="{91DC5159-9D8B-4D20-9D1F-2A9EFAA0B302}">
            <xm:f>AND(IF(H265='Plan de Accion 2018'!Y148,H265&lt;&gt;"N/A"))</xm:f>
            <x14:dxf>
              <fill>
                <patternFill>
                  <bgColor rgb="FF00B050"/>
                </patternFill>
              </fill>
            </x14:dxf>
          </x14:cfRule>
          <x14:cfRule type="expression" priority="97368" stopIfTrue="1" id="{7B0C2ABA-7D7D-413F-BF92-614259B8F00F}">
            <xm:f>AND(IF(H265&lt;'Plan de Accion 2018'!Y148,H265&lt;&gt;"N/A"))</xm:f>
            <x14:dxf>
              <fill>
                <patternFill>
                  <bgColor indexed="10"/>
                </patternFill>
              </fill>
            </x14:dxf>
          </x14:cfRule>
          <xm:sqref>H265:H276</xm:sqref>
        </x14:conditionalFormatting>
        <x14:conditionalFormatting xmlns:xm="http://schemas.microsoft.com/office/excel/2006/main">
          <x14:cfRule type="expression" priority="97372" id="{14142AA0-DF71-42F5-A751-99335CD5EC05}">
            <xm:f>AND(IF(O265&gt;'Plan de Accion 2018'!AI148,O265&lt;&gt;¨N/A¨))</xm:f>
            <x14:dxf>
              <fill>
                <patternFill>
                  <bgColor theme="1" tint="0.499984740745262"/>
                </patternFill>
              </fill>
            </x14:dxf>
          </x14:cfRule>
          <x14:cfRule type="expression" priority="97373" stopIfTrue="1" id="{1B564A17-ED10-4DD2-A0A8-FADEECB7CCF5}">
            <xm:f>AND(IF(O265='Plan de Accion 2018'!AI148,O265&lt;&gt;"N/A"))</xm:f>
            <x14:dxf>
              <fill>
                <patternFill>
                  <bgColor rgb="FF00B050"/>
                </patternFill>
              </fill>
            </x14:dxf>
          </x14:cfRule>
          <x14:cfRule type="expression" priority="97374" stopIfTrue="1" id="{D3366F6E-EEC0-4121-89CE-1B0C0AA75AAC}">
            <xm:f>AND(IF(O265&lt;'Plan de Accion 2018'!AI148,O265&lt;&gt;"N/A"))</xm:f>
            <x14:dxf>
              <fill>
                <patternFill>
                  <bgColor indexed="10"/>
                </patternFill>
              </fill>
            </x14:dxf>
          </x14:cfRule>
          <xm:sqref>O265:O276</xm:sqref>
        </x14:conditionalFormatting>
        <x14:conditionalFormatting xmlns:xm="http://schemas.microsoft.com/office/excel/2006/main">
          <x14:cfRule type="expression" priority="97378" id="{CEE550D8-B190-410C-8443-EB67CC8CB876}">
            <xm:f>AND(IF(V265&gt;'Plan de Accion 2018'!AS148,V265&lt;&gt;¨N/A¨))</xm:f>
            <x14:dxf>
              <fill>
                <patternFill>
                  <bgColor theme="1" tint="0.499984740745262"/>
                </patternFill>
              </fill>
            </x14:dxf>
          </x14:cfRule>
          <x14:cfRule type="expression" priority="97379" stopIfTrue="1" id="{1ADA769B-C43D-4CD4-90A6-72168FD15D1E}">
            <xm:f>AND(IF(V265='Plan de Accion 2018'!AS148,V265&lt;&gt;"N/A"))</xm:f>
            <x14:dxf>
              <fill>
                <patternFill>
                  <bgColor rgb="FF00B050"/>
                </patternFill>
              </fill>
            </x14:dxf>
          </x14:cfRule>
          <x14:cfRule type="expression" priority="97380" stopIfTrue="1" id="{ED4A7763-D171-4EF9-93F0-9B8C8350DF9F}">
            <xm:f>AND(IF(V265&lt;'Plan de Accion 2018'!AS148,V265&lt;&gt;"N/A"))</xm:f>
            <x14:dxf>
              <fill>
                <patternFill>
                  <bgColor indexed="10"/>
                </patternFill>
              </fill>
            </x14:dxf>
          </x14:cfRule>
          <xm:sqref>V265:V276</xm:sqref>
        </x14:conditionalFormatting>
        <x14:conditionalFormatting xmlns:xm="http://schemas.microsoft.com/office/excel/2006/main">
          <x14:cfRule type="expression" priority="97384" id="{80380232-C8A4-427E-9A35-F6E9428B6E13}">
            <xm:f>AND(IF(AC265&gt;'Plan de Accion 2018'!BC148,AC265&lt;&gt;¨N/A¨))</xm:f>
            <x14:dxf>
              <fill>
                <patternFill>
                  <bgColor theme="1" tint="0.499984740745262"/>
                </patternFill>
              </fill>
            </x14:dxf>
          </x14:cfRule>
          <x14:cfRule type="expression" priority="97385" stopIfTrue="1" id="{A988F7ED-3386-4188-86D4-93A8B26A0C3C}">
            <xm:f>AND(IF(AC265='Plan de Accion 2018'!BC148,AC265&lt;&gt;"N/A"))</xm:f>
            <x14:dxf>
              <fill>
                <patternFill>
                  <bgColor rgb="FF00B050"/>
                </patternFill>
              </fill>
            </x14:dxf>
          </x14:cfRule>
          <x14:cfRule type="expression" priority="97386" stopIfTrue="1" id="{ACB798F1-11FA-4402-B5AA-13AED5405F10}">
            <xm:f>AND(IF(AC265&lt;'Plan de Accion 2018'!BC148,AC265&lt;&gt;"N/A"))</xm:f>
            <x14:dxf>
              <fill>
                <patternFill>
                  <bgColor indexed="10"/>
                </patternFill>
              </fill>
            </x14:dxf>
          </x14:cfRule>
          <xm:sqref>AC265:AC276</xm:sqref>
        </x14:conditionalFormatting>
        <x14:conditionalFormatting xmlns:xm="http://schemas.microsoft.com/office/excel/2006/main">
          <x14:cfRule type="expression" priority="97429" id="{7A463BFC-EAD1-4356-A630-6375A654D3C2}">
            <xm:f>AND(IF(H228&gt;'Plan de Accion 2018'!Y8,H228&lt;&gt;¨N/A¨))</xm:f>
            <x14:dxf>
              <fill>
                <patternFill>
                  <bgColor theme="1" tint="0.499984740745262"/>
                </patternFill>
              </fill>
            </x14:dxf>
          </x14:cfRule>
          <x14:cfRule type="expression" priority="97430" stopIfTrue="1" id="{0642DF62-FA69-4129-AACA-FB565F841B36}">
            <xm:f>AND(IF(H228='Plan de Accion 2018'!Y8,H228&lt;&gt;"N/A"))</xm:f>
            <x14:dxf>
              <fill>
                <patternFill>
                  <bgColor rgb="FF00B050"/>
                </patternFill>
              </fill>
            </x14:dxf>
          </x14:cfRule>
          <x14:cfRule type="expression" priority="97431" stopIfTrue="1" id="{1126386E-685D-4659-A9D8-242AAB13D0C3}">
            <xm:f>AND(IF(H228&lt;'Plan de Accion 2018'!Y8,H228&lt;&gt;"N/A"))</xm:f>
            <x14:dxf>
              <fill>
                <patternFill>
                  <bgColor indexed="10"/>
                </patternFill>
              </fill>
            </x14:dxf>
          </x14:cfRule>
          <xm:sqref>H228</xm:sqref>
        </x14:conditionalFormatting>
        <x14:conditionalFormatting xmlns:xm="http://schemas.microsoft.com/office/excel/2006/main">
          <x14:cfRule type="expression" priority="97495" id="{39F45714-7368-4451-852B-2769B81067F3}">
            <xm:f>AND(IF(V228&gt;'Plan de Accion 2018'!AS8,V228&lt;&gt;¨N/A¨))</xm:f>
            <x14:dxf>
              <fill>
                <patternFill>
                  <bgColor theme="1" tint="0.499984740745262"/>
                </patternFill>
              </fill>
            </x14:dxf>
          </x14:cfRule>
          <x14:cfRule type="expression" priority="97496" stopIfTrue="1" id="{A21E42F5-E188-4917-864F-7929ABE4FEAF}">
            <xm:f>AND(IF(V228='Plan de Accion 2018'!AS8,V228&lt;&gt;"N/A"))</xm:f>
            <x14:dxf>
              <fill>
                <patternFill>
                  <bgColor rgb="FF00B050"/>
                </patternFill>
              </fill>
            </x14:dxf>
          </x14:cfRule>
          <x14:cfRule type="expression" priority="97497" stopIfTrue="1" id="{54CAC44D-0D31-4D12-9F3C-D27FA10142B9}">
            <xm:f>AND(IF(V228&lt;'Plan de Accion 2018'!AS8,V228&lt;&gt;"N/A"))</xm:f>
            <x14:dxf>
              <fill>
                <patternFill>
                  <bgColor indexed="10"/>
                </patternFill>
              </fill>
            </x14:dxf>
          </x14:cfRule>
          <xm:sqref>V228:V229</xm:sqref>
        </x14:conditionalFormatting>
        <x14:conditionalFormatting xmlns:xm="http://schemas.microsoft.com/office/excel/2006/main">
          <x14:cfRule type="expression" priority="97859" id="{F4425813-8481-4FEC-91DF-1C41C861205B}">
            <xm:f>AND(IF(H15&gt;'Plan de Accion 2018'!Y102,H15&lt;&gt;¨N/A¨))</xm:f>
            <x14:dxf>
              <fill>
                <patternFill>
                  <bgColor theme="1" tint="0.499984740745262"/>
                </patternFill>
              </fill>
            </x14:dxf>
          </x14:cfRule>
          <x14:cfRule type="expression" priority="97860" stopIfTrue="1" id="{EE6300BC-3367-4F05-AD5D-B2C0821F2916}">
            <xm:f>AND(IF(H15='Plan de Accion 2018'!Y102,H15&lt;&gt;"N/A"))</xm:f>
            <x14:dxf>
              <fill>
                <patternFill>
                  <bgColor rgb="FF00B050"/>
                </patternFill>
              </fill>
            </x14:dxf>
          </x14:cfRule>
          <x14:cfRule type="expression" priority="97861" stopIfTrue="1" id="{B3E6CC0D-D1AF-4E95-8599-D41B69FACC17}">
            <xm:f>AND(IF(H15&lt;'Plan de Accion 2018'!Y102,H15&lt;&gt;"N/A"))</xm:f>
            <x14:dxf>
              <fill>
                <patternFill>
                  <bgColor indexed="10"/>
                </patternFill>
              </fill>
            </x14:dxf>
          </x14:cfRule>
          <xm:sqref>H15:H17</xm:sqref>
        </x14:conditionalFormatting>
        <x14:conditionalFormatting xmlns:xm="http://schemas.microsoft.com/office/excel/2006/main">
          <x14:cfRule type="expression" priority="97925" id="{78D0C1AC-DAF9-4A2D-8201-D62CDF668C9A}">
            <xm:f>AND(IF(O15&gt;'Plan de Accion 2018'!AI102,O15&lt;&gt;¨N/A¨))</xm:f>
            <x14:dxf>
              <fill>
                <patternFill>
                  <bgColor theme="1" tint="0.499984740745262"/>
                </patternFill>
              </fill>
            </x14:dxf>
          </x14:cfRule>
          <x14:cfRule type="expression" priority="97926" stopIfTrue="1" id="{DF5B2C3C-D659-4BDD-B160-7881856FE24B}">
            <xm:f>AND(IF(O15='Plan de Accion 2018'!AI102,O15&lt;&gt;"N/A"))</xm:f>
            <x14:dxf>
              <fill>
                <patternFill>
                  <bgColor rgb="FF00B050"/>
                </patternFill>
              </fill>
            </x14:dxf>
          </x14:cfRule>
          <x14:cfRule type="expression" priority="97927" stopIfTrue="1" id="{89D2CDD5-9DA5-4EDB-8963-AD875CAF5B49}">
            <xm:f>AND(IF(O15&lt;'Plan de Accion 2018'!AI102,O15&lt;&gt;"N/A"))</xm:f>
            <x14:dxf>
              <fill>
                <patternFill>
                  <bgColor indexed="10"/>
                </patternFill>
              </fill>
            </x14:dxf>
          </x14:cfRule>
          <xm:sqref>O15:O17</xm:sqref>
        </x14:conditionalFormatting>
        <x14:conditionalFormatting xmlns:xm="http://schemas.microsoft.com/office/excel/2006/main">
          <x14:cfRule type="expression" priority="97985" id="{938DC9C6-9122-47A7-8C53-26337052D67A}">
            <xm:f>AND(IF(V15&gt;'Plan de Accion 2018'!AS102,V15&lt;&gt;¨N/A¨))</xm:f>
            <x14:dxf>
              <fill>
                <patternFill>
                  <bgColor theme="1" tint="0.499984740745262"/>
                </patternFill>
              </fill>
            </x14:dxf>
          </x14:cfRule>
          <x14:cfRule type="expression" priority="97986" stopIfTrue="1" id="{96158919-75C2-43C1-B95F-F4C5C31BFAAC}">
            <xm:f>AND(IF(V15='Plan de Accion 2018'!AS102,V15&lt;&gt;"N/A"))</xm:f>
            <x14:dxf>
              <fill>
                <patternFill>
                  <bgColor rgb="FF00B050"/>
                </patternFill>
              </fill>
            </x14:dxf>
          </x14:cfRule>
          <x14:cfRule type="expression" priority="97987" stopIfTrue="1" id="{D0D1BA5D-501E-4566-8C22-EEFC52B65192}">
            <xm:f>AND(IF(V15&lt;'Plan de Accion 2018'!AS102,V15&lt;&gt;"N/A"))</xm:f>
            <x14:dxf>
              <fill>
                <patternFill>
                  <bgColor indexed="10"/>
                </patternFill>
              </fill>
            </x14:dxf>
          </x14:cfRule>
          <xm:sqref>V15:V17</xm:sqref>
        </x14:conditionalFormatting>
        <x14:conditionalFormatting xmlns:xm="http://schemas.microsoft.com/office/excel/2006/main">
          <x14:cfRule type="expression" priority="98039" id="{9A6F7F1C-8C66-4D8D-98C2-C49B449EE471}">
            <xm:f>AND(IF(AC15&gt;'Plan de Accion 2018'!BC102,AC15&lt;&gt;¨N/A¨))</xm:f>
            <x14:dxf>
              <fill>
                <patternFill>
                  <bgColor theme="1" tint="0.499984740745262"/>
                </patternFill>
              </fill>
            </x14:dxf>
          </x14:cfRule>
          <x14:cfRule type="expression" priority="98040" stopIfTrue="1" id="{42FF941A-019E-4B5E-A04E-92BFA72B2614}">
            <xm:f>AND(IF(AC15='Plan de Accion 2018'!BC102,AC15&lt;&gt;"N/A"))</xm:f>
            <x14:dxf>
              <fill>
                <patternFill>
                  <bgColor rgb="FF00B050"/>
                </patternFill>
              </fill>
            </x14:dxf>
          </x14:cfRule>
          <x14:cfRule type="expression" priority="98041" stopIfTrue="1" id="{9B34089B-C1F8-4695-896B-AEF4F26D7B63}">
            <xm:f>AND(IF(AC15&lt;'Plan de Accion 2018'!BC102,AC15&lt;&gt;"N/A"))</xm:f>
            <x14:dxf>
              <fill>
                <patternFill>
                  <bgColor indexed="10"/>
                </patternFill>
              </fill>
            </x14:dxf>
          </x14:cfRule>
          <xm:sqref>AC15:AC17</xm:sqref>
        </x14:conditionalFormatting>
        <x14:conditionalFormatting xmlns:xm="http://schemas.microsoft.com/office/excel/2006/main">
          <x14:cfRule type="expression" priority="98216" id="{F4425813-8481-4FEC-91DF-1C41C861205B}">
            <xm:f>AND(IF(H25&gt;'Plan de Accion 2018'!Y111,H25&lt;&gt;¨N/A¨))</xm:f>
            <x14:dxf>
              <fill>
                <patternFill>
                  <bgColor theme="1" tint="0.499984740745262"/>
                </patternFill>
              </fill>
            </x14:dxf>
          </x14:cfRule>
          <x14:cfRule type="expression" priority="98217" stopIfTrue="1" id="{EE6300BC-3367-4F05-AD5D-B2C0821F2916}">
            <xm:f>AND(IF(H25='Plan de Accion 2018'!Y111,H25&lt;&gt;"N/A"))</xm:f>
            <x14:dxf>
              <fill>
                <patternFill>
                  <bgColor rgb="FF00B050"/>
                </patternFill>
              </fill>
            </x14:dxf>
          </x14:cfRule>
          <x14:cfRule type="expression" priority="98218" stopIfTrue="1" id="{B3E6CC0D-D1AF-4E95-8599-D41B69FACC17}">
            <xm:f>AND(IF(H25&lt;'Plan de Accion 2018'!Y111,H25&lt;&gt;"N/A"))</xm:f>
            <x14:dxf>
              <fill>
                <patternFill>
                  <bgColor indexed="10"/>
                </patternFill>
              </fill>
            </x14:dxf>
          </x14:cfRule>
          <xm:sqref>H25</xm:sqref>
        </x14:conditionalFormatting>
        <x14:conditionalFormatting xmlns:xm="http://schemas.microsoft.com/office/excel/2006/main">
          <x14:cfRule type="expression" priority="98282" id="{78D0C1AC-DAF9-4A2D-8201-D62CDF668C9A}">
            <xm:f>AND(IF(O23&gt;'Plan de Accion 2018'!AI109,O23&lt;&gt;¨N/A¨))</xm:f>
            <x14:dxf>
              <fill>
                <patternFill>
                  <bgColor theme="1" tint="0.499984740745262"/>
                </patternFill>
              </fill>
            </x14:dxf>
          </x14:cfRule>
          <x14:cfRule type="expression" priority="98283" stopIfTrue="1" id="{DF5B2C3C-D659-4BDD-B160-7881856FE24B}">
            <xm:f>AND(IF(O23='Plan de Accion 2018'!AI109,O23&lt;&gt;"N/A"))</xm:f>
            <x14:dxf>
              <fill>
                <patternFill>
                  <bgColor rgb="FF00B050"/>
                </patternFill>
              </fill>
            </x14:dxf>
          </x14:cfRule>
          <x14:cfRule type="expression" priority="98284" stopIfTrue="1" id="{89D2CDD5-9DA5-4EDB-8963-AD875CAF5B49}">
            <xm:f>AND(IF(O23&lt;'Plan de Accion 2018'!AI109,O23&lt;&gt;"N/A"))</xm:f>
            <x14:dxf>
              <fill>
                <patternFill>
                  <bgColor indexed="10"/>
                </patternFill>
              </fill>
            </x14:dxf>
          </x14:cfRule>
          <xm:sqref>O23:O25</xm:sqref>
        </x14:conditionalFormatting>
        <x14:conditionalFormatting xmlns:xm="http://schemas.microsoft.com/office/excel/2006/main">
          <x14:cfRule type="expression" priority="98342" id="{938DC9C6-9122-47A7-8C53-26337052D67A}">
            <xm:f>AND(IF(V23&gt;'Plan de Accion 2018'!AS109,V23&lt;&gt;¨N/A¨))</xm:f>
            <x14:dxf>
              <fill>
                <patternFill>
                  <bgColor theme="1" tint="0.499984740745262"/>
                </patternFill>
              </fill>
            </x14:dxf>
          </x14:cfRule>
          <x14:cfRule type="expression" priority="98343" stopIfTrue="1" id="{96158919-75C2-43C1-B95F-F4C5C31BFAAC}">
            <xm:f>AND(IF(V23='Plan de Accion 2018'!AS109,V23&lt;&gt;"N/A"))</xm:f>
            <x14:dxf>
              <fill>
                <patternFill>
                  <bgColor rgb="FF00B050"/>
                </patternFill>
              </fill>
            </x14:dxf>
          </x14:cfRule>
          <x14:cfRule type="expression" priority="98344" stopIfTrue="1" id="{D0D1BA5D-501E-4566-8C22-EEFC52B65192}">
            <xm:f>AND(IF(V23&lt;'Plan de Accion 2018'!AS109,V23&lt;&gt;"N/A"))</xm:f>
            <x14:dxf>
              <fill>
                <patternFill>
                  <bgColor indexed="10"/>
                </patternFill>
              </fill>
            </x14:dxf>
          </x14:cfRule>
          <xm:sqref>V23:V25</xm:sqref>
        </x14:conditionalFormatting>
        <x14:conditionalFormatting xmlns:xm="http://schemas.microsoft.com/office/excel/2006/main">
          <x14:cfRule type="expression" priority="98396" id="{9A6F7F1C-8C66-4D8D-98C2-C49B449EE471}">
            <xm:f>AND(IF(AC23&gt;'Plan de Accion 2018'!BC109,AC23&lt;&gt;¨N/A¨))</xm:f>
            <x14:dxf>
              <fill>
                <patternFill>
                  <bgColor theme="1" tint="0.499984740745262"/>
                </patternFill>
              </fill>
            </x14:dxf>
          </x14:cfRule>
          <x14:cfRule type="expression" priority="98397" stopIfTrue="1" id="{42FF941A-019E-4B5E-A04E-92BFA72B2614}">
            <xm:f>AND(IF(AC23='Plan de Accion 2018'!BC109,AC23&lt;&gt;"N/A"))</xm:f>
            <x14:dxf>
              <fill>
                <patternFill>
                  <bgColor rgb="FF00B050"/>
                </patternFill>
              </fill>
            </x14:dxf>
          </x14:cfRule>
          <x14:cfRule type="expression" priority="98398" stopIfTrue="1" id="{9B34089B-C1F8-4695-896B-AEF4F26D7B63}">
            <xm:f>AND(IF(AC23&lt;'Plan de Accion 2018'!BC109,AC23&lt;&gt;"N/A"))</xm:f>
            <x14:dxf>
              <fill>
                <patternFill>
                  <bgColor indexed="10"/>
                </patternFill>
              </fill>
            </x14:dxf>
          </x14:cfRule>
          <xm:sqref>AC23:AC25</xm:sqref>
        </x14:conditionalFormatting>
        <x14:conditionalFormatting xmlns:xm="http://schemas.microsoft.com/office/excel/2006/main">
          <x14:cfRule type="expression" priority="98522" id="{E4166A87-1A42-4F75-A33E-1E1B664F2B5B}">
            <xm:f>AND(IF(H74&gt;'Plan de Accion 2018'!Y95,H74&lt;&gt;¨N/A¨))</xm:f>
            <x14:dxf>
              <fill>
                <patternFill>
                  <bgColor theme="1" tint="0.499984740745262"/>
                </patternFill>
              </fill>
            </x14:dxf>
          </x14:cfRule>
          <x14:cfRule type="expression" priority="98523" stopIfTrue="1" id="{C9068B63-0A71-45E5-B6B8-24BF7283F8A9}">
            <xm:f>AND(IF(H74='Plan de Accion 2018'!Y95,H74&lt;&gt;"N/A"))</xm:f>
            <x14:dxf>
              <fill>
                <patternFill>
                  <bgColor rgb="FF00B050"/>
                </patternFill>
              </fill>
            </x14:dxf>
          </x14:cfRule>
          <x14:cfRule type="expression" priority="98524" stopIfTrue="1" id="{168331C0-263B-40C3-B2EF-6BA43ADC8152}">
            <xm:f>AND(IF(H74&lt;'Plan de Accion 2018'!Y95,H74&lt;&gt;"N/A"))</xm:f>
            <x14:dxf>
              <fill>
                <patternFill>
                  <bgColor indexed="10"/>
                </patternFill>
              </fill>
            </x14:dxf>
          </x14:cfRule>
          <xm:sqref>H74:H82</xm:sqref>
        </x14:conditionalFormatting>
        <x14:conditionalFormatting xmlns:xm="http://schemas.microsoft.com/office/excel/2006/main">
          <x14:cfRule type="expression" priority="98528" id="{D246CAE1-8AEB-424E-851F-5FBA7EEA349B}">
            <xm:f>AND(IF(O74&gt;'Plan de Accion 2018'!AI95,O74&lt;&gt;¨N/A¨))</xm:f>
            <x14:dxf>
              <fill>
                <patternFill>
                  <bgColor theme="1" tint="0.499984740745262"/>
                </patternFill>
              </fill>
            </x14:dxf>
          </x14:cfRule>
          <x14:cfRule type="expression" priority="98529" stopIfTrue="1" id="{8E02BBFF-F6B6-4526-84F4-275EDEA3A348}">
            <xm:f>AND(IF(O74='Plan de Accion 2018'!AI95,O74&lt;&gt;"N/A"))</xm:f>
            <x14:dxf>
              <fill>
                <patternFill>
                  <bgColor rgb="FF00B050"/>
                </patternFill>
              </fill>
            </x14:dxf>
          </x14:cfRule>
          <x14:cfRule type="expression" priority="98530" stopIfTrue="1" id="{96FC1108-1397-43CF-830C-8C3F8901B331}">
            <xm:f>AND(IF(O74&lt;'Plan de Accion 2018'!AI95,O74&lt;&gt;"N/A"))</xm:f>
            <x14:dxf>
              <fill>
                <patternFill>
                  <bgColor indexed="10"/>
                </patternFill>
              </fill>
            </x14:dxf>
          </x14:cfRule>
          <xm:sqref>O74:O82</xm:sqref>
        </x14:conditionalFormatting>
        <x14:conditionalFormatting xmlns:xm="http://schemas.microsoft.com/office/excel/2006/main">
          <x14:cfRule type="expression" priority="98534" id="{1632F916-007E-4496-BD64-26D06BE86E88}">
            <xm:f>AND(IF(V74&gt;'Plan de Accion 2018'!AS95,V74&lt;&gt;¨N/A¨))</xm:f>
            <x14:dxf>
              <fill>
                <patternFill>
                  <bgColor theme="1" tint="0.499984740745262"/>
                </patternFill>
              </fill>
            </x14:dxf>
          </x14:cfRule>
          <x14:cfRule type="expression" priority="98535" stopIfTrue="1" id="{AFE956A8-7772-4B6D-98E3-665D76EE8A4D}">
            <xm:f>AND(IF(V74='Plan de Accion 2018'!AS95,V74&lt;&gt;"N/A"))</xm:f>
            <x14:dxf>
              <fill>
                <patternFill>
                  <bgColor rgb="FF00B050"/>
                </patternFill>
              </fill>
            </x14:dxf>
          </x14:cfRule>
          <x14:cfRule type="expression" priority="98536" stopIfTrue="1" id="{9D9EBC5C-EEF1-43D3-A64C-D51DC5C1271F}">
            <xm:f>AND(IF(V74&lt;'Plan de Accion 2018'!AS95,V74&lt;&gt;"N/A"))</xm:f>
            <x14:dxf>
              <fill>
                <patternFill>
                  <bgColor indexed="10"/>
                </patternFill>
              </fill>
            </x14:dxf>
          </x14:cfRule>
          <xm:sqref>V74:V82</xm:sqref>
        </x14:conditionalFormatting>
        <x14:conditionalFormatting xmlns:xm="http://schemas.microsoft.com/office/excel/2006/main">
          <x14:cfRule type="expression" priority="98540" id="{981A1BE0-BBC1-4043-9202-6E034DF6A9DE}">
            <xm:f>AND(IF(AC74&gt;'Plan de Accion 2018'!BC95,AC74&lt;&gt;¨N/A¨))</xm:f>
            <x14:dxf>
              <fill>
                <patternFill>
                  <bgColor theme="1" tint="0.499984740745262"/>
                </patternFill>
              </fill>
            </x14:dxf>
          </x14:cfRule>
          <x14:cfRule type="expression" priority="98541" stopIfTrue="1" id="{4CD46B69-A0EC-44BF-8EFC-880C7E9018FD}">
            <xm:f>AND(IF(AC74='Plan de Accion 2018'!BC95,AC74&lt;&gt;"N/A"))</xm:f>
            <x14:dxf>
              <fill>
                <patternFill>
                  <bgColor rgb="FF00B050"/>
                </patternFill>
              </fill>
            </x14:dxf>
          </x14:cfRule>
          <x14:cfRule type="expression" priority="98542" stopIfTrue="1" id="{7C5D6B62-0F96-4005-B60D-A9834F4CFBE3}">
            <xm:f>AND(IF(AC74&lt;'Plan de Accion 2018'!BC95,AC74&lt;&gt;"N/A"))</xm:f>
            <x14:dxf>
              <fill>
                <patternFill>
                  <bgColor indexed="10"/>
                </patternFill>
              </fill>
            </x14:dxf>
          </x14:cfRule>
          <xm:sqref>AC74:AC82</xm:sqref>
        </x14:conditionalFormatting>
        <x14:conditionalFormatting xmlns:xm="http://schemas.microsoft.com/office/excel/2006/main">
          <x14:cfRule type="expression" priority="98846" id="{E4166A87-1A42-4F75-A33E-1E1B664F2B5B}">
            <xm:f>AND(IF(H71&gt;'Plan de Accion 2018'!Y91,H71&lt;&gt;¨N/A¨))</xm:f>
            <x14:dxf>
              <fill>
                <patternFill>
                  <bgColor theme="1" tint="0.499984740745262"/>
                </patternFill>
              </fill>
            </x14:dxf>
          </x14:cfRule>
          <x14:cfRule type="expression" priority="98847" stopIfTrue="1" id="{C9068B63-0A71-45E5-B6B8-24BF7283F8A9}">
            <xm:f>AND(IF(H71='Plan de Accion 2018'!Y91,H71&lt;&gt;"N/A"))</xm:f>
            <x14:dxf>
              <fill>
                <patternFill>
                  <bgColor rgb="FF00B050"/>
                </patternFill>
              </fill>
            </x14:dxf>
          </x14:cfRule>
          <x14:cfRule type="expression" priority="98848" stopIfTrue="1" id="{168331C0-263B-40C3-B2EF-6BA43ADC8152}">
            <xm:f>AND(IF(H71&lt;'Plan de Accion 2018'!Y91,H71&lt;&gt;"N/A"))</xm:f>
            <x14:dxf>
              <fill>
                <patternFill>
                  <bgColor indexed="10"/>
                </patternFill>
              </fill>
            </x14:dxf>
          </x14:cfRule>
          <xm:sqref>H71:H72</xm:sqref>
        </x14:conditionalFormatting>
        <x14:conditionalFormatting xmlns:xm="http://schemas.microsoft.com/office/excel/2006/main">
          <x14:cfRule type="expression" priority="98852" id="{D246CAE1-8AEB-424E-851F-5FBA7EEA349B}">
            <xm:f>AND(IF(O71&gt;'Plan de Accion 2018'!AI91,O71&lt;&gt;¨N/A¨))</xm:f>
            <x14:dxf>
              <fill>
                <patternFill>
                  <bgColor theme="1" tint="0.499984740745262"/>
                </patternFill>
              </fill>
            </x14:dxf>
          </x14:cfRule>
          <x14:cfRule type="expression" priority="98853" stopIfTrue="1" id="{8E02BBFF-F6B6-4526-84F4-275EDEA3A348}">
            <xm:f>AND(IF(O71='Plan de Accion 2018'!AI91,O71&lt;&gt;"N/A"))</xm:f>
            <x14:dxf>
              <fill>
                <patternFill>
                  <bgColor rgb="FF00B050"/>
                </patternFill>
              </fill>
            </x14:dxf>
          </x14:cfRule>
          <x14:cfRule type="expression" priority="98854" stopIfTrue="1" id="{96FC1108-1397-43CF-830C-8C3F8901B331}">
            <xm:f>AND(IF(O71&lt;'Plan de Accion 2018'!AI91,O71&lt;&gt;"N/A"))</xm:f>
            <x14:dxf>
              <fill>
                <patternFill>
                  <bgColor indexed="10"/>
                </patternFill>
              </fill>
            </x14:dxf>
          </x14:cfRule>
          <xm:sqref>O71:O72</xm:sqref>
        </x14:conditionalFormatting>
        <x14:conditionalFormatting xmlns:xm="http://schemas.microsoft.com/office/excel/2006/main">
          <x14:cfRule type="expression" priority="98858" id="{1632F916-007E-4496-BD64-26D06BE86E88}">
            <xm:f>AND(IF(V71&gt;'Plan de Accion 2018'!AS91,V71&lt;&gt;¨N/A¨))</xm:f>
            <x14:dxf>
              <fill>
                <patternFill>
                  <bgColor theme="1" tint="0.499984740745262"/>
                </patternFill>
              </fill>
            </x14:dxf>
          </x14:cfRule>
          <x14:cfRule type="expression" priority="98859" stopIfTrue="1" id="{AFE956A8-7772-4B6D-98E3-665D76EE8A4D}">
            <xm:f>AND(IF(V71='Plan de Accion 2018'!AS91,V71&lt;&gt;"N/A"))</xm:f>
            <x14:dxf>
              <fill>
                <patternFill>
                  <bgColor rgb="FF00B050"/>
                </patternFill>
              </fill>
            </x14:dxf>
          </x14:cfRule>
          <x14:cfRule type="expression" priority="98860" stopIfTrue="1" id="{9D9EBC5C-EEF1-43D3-A64C-D51DC5C1271F}">
            <xm:f>AND(IF(V71&lt;'Plan de Accion 2018'!AS91,V71&lt;&gt;"N/A"))</xm:f>
            <x14:dxf>
              <fill>
                <patternFill>
                  <bgColor indexed="10"/>
                </patternFill>
              </fill>
            </x14:dxf>
          </x14:cfRule>
          <xm:sqref>V71:V72</xm:sqref>
        </x14:conditionalFormatting>
        <x14:conditionalFormatting xmlns:xm="http://schemas.microsoft.com/office/excel/2006/main">
          <x14:cfRule type="expression" priority="98864" id="{981A1BE0-BBC1-4043-9202-6E034DF6A9DE}">
            <xm:f>AND(IF(AC71&gt;'Plan de Accion 2018'!BC91,AC71&lt;&gt;¨N/A¨))</xm:f>
            <x14:dxf>
              <fill>
                <patternFill>
                  <bgColor theme="1" tint="0.499984740745262"/>
                </patternFill>
              </fill>
            </x14:dxf>
          </x14:cfRule>
          <x14:cfRule type="expression" priority="98865" stopIfTrue="1" id="{4CD46B69-A0EC-44BF-8EFC-880C7E9018FD}">
            <xm:f>AND(IF(AC71='Plan de Accion 2018'!BC91,AC71&lt;&gt;"N/A"))</xm:f>
            <x14:dxf>
              <fill>
                <patternFill>
                  <bgColor rgb="FF00B050"/>
                </patternFill>
              </fill>
            </x14:dxf>
          </x14:cfRule>
          <x14:cfRule type="expression" priority="98866" stopIfTrue="1" id="{7C5D6B62-0F96-4005-B60D-A9834F4CFBE3}">
            <xm:f>AND(IF(AC71&lt;'Plan de Accion 2018'!BC91,AC71&lt;&gt;"N/A"))</xm:f>
            <x14:dxf>
              <fill>
                <patternFill>
                  <bgColor indexed="10"/>
                </patternFill>
              </fill>
            </x14:dxf>
          </x14:cfRule>
          <xm:sqref>AC71:AC72</xm:sqref>
        </x14:conditionalFormatting>
        <x14:conditionalFormatting xmlns:xm="http://schemas.microsoft.com/office/excel/2006/main">
          <x14:cfRule type="expression" priority="98939" id="{A47C21AC-0A78-4B79-B1F2-2F82C289B401}">
            <xm:f>AND(IF(H175&gt;'Plan de Accion 2018'!Y44,H175&lt;&gt;¨N/A¨))</xm:f>
            <x14:dxf>
              <fill>
                <patternFill>
                  <bgColor theme="1" tint="0.499984740745262"/>
                </patternFill>
              </fill>
            </x14:dxf>
          </x14:cfRule>
          <x14:cfRule type="expression" priority="98940" stopIfTrue="1" id="{4E405A1B-8190-4B03-99A0-3FF87157296E}">
            <xm:f>AND(IF(H175='Plan de Accion 2018'!Y44,H175&lt;&gt;"N/A"))</xm:f>
            <x14:dxf>
              <fill>
                <patternFill>
                  <bgColor rgb="FF00B050"/>
                </patternFill>
              </fill>
            </x14:dxf>
          </x14:cfRule>
          <x14:cfRule type="expression" priority="98941" stopIfTrue="1" id="{A3C20451-2FAA-47AB-B823-74EA3422874D}">
            <xm:f>AND(IF(H175&lt;'Plan de Accion 2018'!Y44,H175&lt;&gt;"N/A"))</xm:f>
            <x14:dxf>
              <fill>
                <patternFill>
                  <bgColor indexed="10"/>
                </patternFill>
              </fill>
            </x14:dxf>
          </x14:cfRule>
          <xm:sqref>H204:H205 H175</xm:sqref>
        </x14:conditionalFormatting>
        <x14:conditionalFormatting xmlns:xm="http://schemas.microsoft.com/office/excel/2006/main">
          <x14:cfRule type="expression" priority="99071" id="{0D5E9AE7-4BF4-4895-B6F5-E36E4EBF6CD8}">
            <xm:f>AND(IF(O175&gt;'Plan de Accion 2018'!AI44,O175&lt;&gt;¨N/A¨))</xm:f>
            <x14:dxf>
              <fill>
                <patternFill>
                  <bgColor theme="1" tint="0.499984740745262"/>
                </patternFill>
              </fill>
            </x14:dxf>
          </x14:cfRule>
          <x14:cfRule type="expression" priority="99072" stopIfTrue="1" id="{02B2DB94-55DA-48BE-8394-32506226B26E}">
            <xm:f>AND(IF(O175='Plan de Accion 2018'!AI44,O175&lt;&gt;"N/A"))</xm:f>
            <x14:dxf>
              <fill>
                <patternFill>
                  <bgColor rgb="FF00B050"/>
                </patternFill>
              </fill>
            </x14:dxf>
          </x14:cfRule>
          <x14:cfRule type="expression" priority="99073" stopIfTrue="1" id="{62ECDF26-C3D0-4A4D-A623-10BF6469D388}">
            <xm:f>AND(IF(O175&lt;'Plan de Accion 2018'!AI44,O175&lt;&gt;"N/A"))</xm:f>
            <x14:dxf>
              <fill>
                <patternFill>
                  <bgColor indexed="10"/>
                </patternFill>
              </fill>
            </x14:dxf>
          </x14:cfRule>
          <xm:sqref>O204:O205 O175</xm:sqref>
        </x14:conditionalFormatting>
        <x14:conditionalFormatting xmlns:xm="http://schemas.microsoft.com/office/excel/2006/main">
          <x14:cfRule type="expression" priority="99089" id="{65B77048-8EBB-4671-A11F-AA4AB698F6A3}">
            <xm:f>AND(IF(O152&gt;'Plan de Accion 2018'!AI10,O152&lt;&gt;¨N/A¨))</xm:f>
            <x14:dxf>
              <fill>
                <patternFill>
                  <bgColor theme="1" tint="0.499984740745262"/>
                </patternFill>
              </fill>
            </x14:dxf>
          </x14:cfRule>
          <x14:cfRule type="expression" priority="99090" stopIfTrue="1" id="{6B01A7A2-E4EE-4493-B0F4-5ABBD6CC3620}">
            <xm:f>AND(IF(O152='Plan de Accion 2018'!AI10,O152&lt;&gt;"N/A"))</xm:f>
            <x14:dxf>
              <fill>
                <patternFill>
                  <bgColor rgb="FF00B050"/>
                </patternFill>
              </fill>
            </x14:dxf>
          </x14:cfRule>
          <x14:cfRule type="expression" priority="99091" stopIfTrue="1" id="{783DC5D6-163E-4602-ABB9-EEC214A0FB42}">
            <xm:f>AND(IF(O152&lt;'Plan de Accion 2018'!AI10,O152&lt;&gt;"N/A"))</xm:f>
            <x14:dxf>
              <fill>
                <patternFill>
                  <bgColor indexed="10"/>
                </patternFill>
              </fill>
            </x14:dxf>
          </x14:cfRule>
          <xm:sqref>O152:O153</xm:sqref>
        </x14:conditionalFormatting>
        <x14:conditionalFormatting xmlns:xm="http://schemas.microsoft.com/office/excel/2006/main">
          <x14:cfRule type="expression" priority="99182" id="{CE17D25D-F00B-41B1-A419-F87437BB7CA5}">
            <xm:f>AND(IF(V175&gt;'Plan de Accion 2018'!AS44,V175&lt;&gt;¨N/A¨))</xm:f>
            <x14:dxf>
              <fill>
                <patternFill>
                  <bgColor theme="1" tint="0.499984740745262"/>
                </patternFill>
              </fill>
            </x14:dxf>
          </x14:cfRule>
          <x14:cfRule type="expression" priority="99183" stopIfTrue="1" id="{B8BEC380-8065-4DFC-942B-08184E60BDB4}">
            <xm:f>AND(IF(V175='Plan de Accion 2018'!AS44,V175&lt;&gt;"N/A"))</xm:f>
            <x14:dxf>
              <fill>
                <patternFill>
                  <bgColor rgb="FF00B050"/>
                </patternFill>
              </fill>
            </x14:dxf>
          </x14:cfRule>
          <x14:cfRule type="expression" priority="99184" stopIfTrue="1" id="{A8855E53-288C-4EF5-BC08-364DA3984A1C}">
            <xm:f>AND(IF(V175&lt;'Plan de Accion 2018'!AS44,V175&lt;&gt;"N/A"))</xm:f>
            <x14:dxf>
              <fill>
                <patternFill>
                  <bgColor indexed="10"/>
                </patternFill>
              </fill>
            </x14:dxf>
          </x14:cfRule>
          <xm:sqref>V204:V205 V175</xm:sqref>
        </x14:conditionalFormatting>
        <x14:conditionalFormatting xmlns:xm="http://schemas.microsoft.com/office/excel/2006/main">
          <x14:cfRule type="expression" priority="99200" id="{101D77A3-05AE-4959-8A32-DD9C91F7F4CB}">
            <xm:f>AND(IF(V152&gt;'Plan de Accion 2018'!AS10,V152&lt;&gt;¨N/A¨))</xm:f>
            <x14:dxf>
              <fill>
                <patternFill>
                  <bgColor theme="1" tint="0.499984740745262"/>
                </patternFill>
              </fill>
            </x14:dxf>
          </x14:cfRule>
          <x14:cfRule type="expression" priority="99201" stopIfTrue="1" id="{52D6CCA1-3C6E-40BA-A293-2ACFCEE97573}">
            <xm:f>AND(IF(V152='Plan de Accion 2018'!AS10,V152&lt;&gt;"N/A"))</xm:f>
            <x14:dxf>
              <fill>
                <patternFill>
                  <bgColor rgb="FF00B050"/>
                </patternFill>
              </fill>
            </x14:dxf>
          </x14:cfRule>
          <x14:cfRule type="expression" priority="99202" stopIfTrue="1" id="{D3647766-93EF-40A7-A578-C77F2485DDFE}">
            <xm:f>AND(IF(V152&lt;'Plan de Accion 2018'!AS10,V152&lt;&gt;"N/A"))</xm:f>
            <x14:dxf>
              <fill>
                <patternFill>
                  <bgColor indexed="10"/>
                </patternFill>
              </fill>
            </x14:dxf>
          </x14:cfRule>
          <xm:sqref>V152:V153</xm:sqref>
        </x14:conditionalFormatting>
        <x14:conditionalFormatting xmlns:xm="http://schemas.microsoft.com/office/excel/2006/main">
          <x14:cfRule type="expression" priority="99299" id="{FDA65EEB-C2CF-4D14-B21D-64EEFDFE10EA}">
            <xm:f>AND(IF(AC175&gt;'Plan de Accion 2018'!BC44,AC175&lt;&gt;¨N/A¨))</xm:f>
            <x14:dxf>
              <fill>
                <patternFill>
                  <bgColor theme="1" tint="0.499984740745262"/>
                </patternFill>
              </fill>
            </x14:dxf>
          </x14:cfRule>
          <x14:cfRule type="expression" priority="99300" stopIfTrue="1" id="{23205572-B7FA-4C76-BC9E-33A54BDB8B80}">
            <xm:f>AND(IF(AC175='Plan de Accion 2018'!BC44,AC175&lt;&gt;"N/A"))</xm:f>
            <x14:dxf>
              <fill>
                <patternFill>
                  <bgColor rgb="FF00B050"/>
                </patternFill>
              </fill>
            </x14:dxf>
          </x14:cfRule>
          <x14:cfRule type="expression" priority="99301" stopIfTrue="1" id="{B50BA2C5-DC7F-470E-86A2-0B4D5002FFDD}">
            <xm:f>AND(IF(AC175&lt;'Plan de Accion 2018'!BC44,AC175&lt;&gt;"N/A"))</xm:f>
            <x14:dxf>
              <fill>
                <patternFill>
                  <bgColor indexed="10"/>
                </patternFill>
              </fill>
            </x14:dxf>
          </x14:cfRule>
          <xm:sqref>AC204:AC205 AC175</xm:sqref>
        </x14:conditionalFormatting>
        <x14:conditionalFormatting xmlns:xm="http://schemas.microsoft.com/office/excel/2006/main">
          <x14:cfRule type="expression" priority="99317" id="{B7BFF239-E33D-4118-A834-DF22EF33402C}">
            <xm:f>AND(IF(AC152&gt;'Plan de Accion 2018'!BC10,AC152&lt;&gt;¨N/A¨))</xm:f>
            <x14:dxf>
              <fill>
                <patternFill>
                  <bgColor theme="1" tint="0.499984740745262"/>
                </patternFill>
              </fill>
            </x14:dxf>
          </x14:cfRule>
          <x14:cfRule type="expression" priority="99318" stopIfTrue="1" id="{03A8B7B2-6348-43C6-9B2D-64B57D795C84}">
            <xm:f>AND(IF(AC152='Plan de Accion 2018'!BC10,AC152&lt;&gt;"N/A"))</xm:f>
            <x14:dxf>
              <fill>
                <patternFill>
                  <bgColor rgb="FF00B050"/>
                </patternFill>
              </fill>
            </x14:dxf>
          </x14:cfRule>
          <x14:cfRule type="expression" priority="99319" stopIfTrue="1" id="{F61726E2-2D36-41F9-84D0-F2F96F885312}">
            <xm:f>AND(IF(AC152&lt;'Plan de Accion 2018'!BC10,AC152&lt;&gt;"N/A"))</xm:f>
            <x14:dxf>
              <fill>
                <patternFill>
                  <bgColor indexed="10"/>
                </patternFill>
              </fill>
            </x14:dxf>
          </x14:cfRule>
          <xm:sqref>AC152:AC153</xm:sqref>
        </x14:conditionalFormatting>
        <x14:conditionalFormatting xmlns:xm="http://schemas.microsoft.com/office/excel/2006/main">
          <x14:cfRule type="expression" priority="250" id="{844B2585-A966-462A-BF69-25FA111806D0}">
            <xm:f>AND(IF(H39&gt;'Plan de Accion 2018'!Y157,H39&lt;&gt;¨N/A¨))</xm:f>
            <x14:dxf>
              <fill>
                <patternFill>
                  <bgColor theme="1" tint="0.499984740745262"/>
                </patternFill>
              </fill>
            </x14:dxf>
          </x14:cfRule>
          <x14:cfRule type="expression" priority="251" stopIfTrue="1" id="{BF3E0D3B-10C8-4912-A3F2-1AB6612158E6}">
            <xm:f>AND(IF(H39='Plan de Accion 2018'!Y157,H39&lt;&gt;"N/A"))</xm:f>
            <x14:dxf>
              <fill>
                <patternFill>
                  <bgColor rgb="FF00B050"/>
                </patternFill>
              </fill>
            </x14:dxf>
          </x14:cfRule>
          <x14:cfRule type="expression" priority="252" stopIfTrue="1" id="{B567CDC9-9636-4F9F-95C7-6A1A5EE7A24D}">
            <xm:f>AND(IF(H39&lt;'Plan de Accion 2018'!Y157,H39&lt;&gt;"N/A"))</xm:f>
            <x14:dxf>
              <fill>
                <patternFill>
                  <bgColor indexed="10"/>
                </patternFill>
              </fill>
            </x14:dxf>
          </x14:cfRule>
          <xm:sqref>H39</xm:sqref>
        </x14:conditionalFormatting>
        <x14:conditionalFormatting xmlns:xm="http://schemas.microsoft.com/office/excel/2006/main">
          <x14:cfRule type="expression" priority="253" id="{5978CDDC-FA39-4561-A906-066B82217CD2}">
            <xm:f>AND(IF(O39&gt;'Plan de Accion 2018'!AI151,O39&lt;&gt;¨N/A¨))</xm:f>
            <x14:dxf>
              <fill>
                <patternFill>
                  <bgColor theme="1" tint="0.499984740745262"/>
                </patternFill>
              </fill>
            </x14:dxf>
          </x14:cfRule>
          <x14:cfRule type="expression" priority="254" stopIfTrue="1" id="{95FF610F-B30F-43BD-A764-686477CF2B9F}">
            <xm:f>AND(IF(O39='Plan de Accion 2018'!AI151,O39&lt;&gt;"N/A"))</xm:f>
            <x14:dxf>
              <fill>
                <patternFill>
                  <bgColor rgb="FF00B050"/>
                </patternFill>
              </fill>
            </x14:dxf>
          </x14:cfRule>
          <x14:cfRule type="expression" priority="255" stopIfTrue="1" id="{911CD0F7-3145-47E7-AD4E-F150A7C29C18}">
            <xm:f>AND(IF(O39&lt;'Plan de Accion 2018'!AI151,O39&lt;&gt;"N/A"))</xm:f>
            <x14:dxf>
              <fill>
                <patternFill>
                  <bgColor indexed="10"/>
                </patternFill>
              </fill>
            </x14:dxf>
          </x14:cfRule>
          <xm:sqref>O39</xm:sqref>
        </x14:conditionalFormatting>
        <x14:conditionalFormatting xmlns:xm="http://schemas.microsoft.com/office/excel/2006/main">
          <x14:cfRule type="expression" priority="256" id="{FC8BAC35-5765-45FE-89DB-52F2C3232054}">
            <xm:f>AND(IF(V39&gt;'Plan de Accion 2018'!AS151,V39&lt;&gt;¨N/A¨))</xm:f>
            <x14:dxf>
              <fill>
                <patternFill>
                  <bgColor theme="1" tint="0.499984740745262"/>
                </patternFill>
              </fill>
            </x14:dxf>
          </x14:cfRule>
          <x14:cfRule type="expression" priority="257" stopIfTrue="1" id="{795C5BC6-E6C3-4204-A5F2-DDA0C72AA5CE}">
            <xm:f>AND(IF(V39='Plan de Accion 2018'!AS151,V39&lt;&gt;"N/A"))</xm:f>
            <x14:dxf>
              <fill>
                <patternFill>
                  <bgColor rgb="FF00B050"/>
                </patternFill>
              </fill>
            </x14:dxf>
          </x14:cfRule>
          <x14:cfRule type="expression" priority="258" stopIfTrue="1" id="{1BD0C5E4-9F0F-48BE-8A0F-C41CF269164A}">
            <xm:f>AND(IF(V39&lt;'Plan de Accion 2018'!AS151,V39&lt;&gt;"N/A"))</xm:f>
            <x14:dxf>
              <fill>
                <patternFill>
                  <bgColor indexed="10"/>
                </patternFill>
              </fill>
            </x14:dxf>
          </x14:cfRule>
          <xm:sqref>V39</xm:sqref>
        </x14:conditionalFormatting>
        <x14:conditionalFormatting xmlns:xm="http://schemas.microsoft.com/office/excel/2006/main">
          <x14:cfRule type="expression" priority="259" id="{956D62CC-91A5-4699-9FBD-138E8028A744}">
            <xm:f>AND(IF(AC39&gt;'Plan de Accion 2018'!BC151,AC39&lt;&gt;¨N/A¨))</xm:f>
            <x14:dxf>
              <fill>
                <patternFill>
                  <bgColor theme="1" tint="0.499984740745262"/>
                </patternFill>
              </fill>
            </x14:dxf>
          </x14:cfRule>
          <x14:cfRule type="expression" priority="260" stopIfTrue="1" id="{9CAA265D-0C11-4231-9796-1368AB4D87F2}">
            <xm:f>AND(IF(AC39='Plan de Accion 2018'!BC151,AC39&lt;&gt;"N/A"))</xm:f>
            <x14:dxf>
              <fill>
                <patternFill>
                  <bgColor rgb="FF00B050"/>
                </patternFill>
              </fill>
            </x14:dxf>
          </x14:cfRule>
          <x14:cfRule type="expression" priority="261" stopIfTrue="1" id="{5E108F9C-C85C-46F0-BD9D-9399E121ED62}">
            <xm:f>AND(IF(AC39&lt;'Plan de Accion 2018'!BC151,AC39&lt;&gt;"N/A"))</xm:f>
            <x14:dxf>
              <fill>
                <patternFill>
                  <bgColor indexed="10"/>
                </patternFill>
              </fill>
            </x14:dxf>
          </x14:cfRule>
          <xm:sqref>AC39</xm:sqref>
        </x14:conditionalFormatting>
        <x14:conditionalFormatting xmlns:xm="http://schemas.microsoft.com/office/excel/2006/main">
          <x14:cfRule type="expression" priority="99709" id="{7D7DE63B-5E55-4D88-AB07-4FB52BF8C37A}">
            <xm:f>AND(IF(H26&gt;'Plan de Accion 2018'!Y122,H26&lt;&gt;¨N/A¨))</xm:f>
            <x14:dxf>
              <fill>
                <patternFill>
                  <bgColor theme="1" tint="0.499984740745262"/>
                </patternFill>
              </fill>
            </x14:dxf>
          </x14:cfRule>
          <x14:cfRule type="expression" priority="99710" stopIfTrue="1" id="{00000000-000E-0000-0300-0000FA060000}">
            <xm:f>AND(IF(H26='Plan de Accion 2018'!Y122,H26&lt;&gt;"N/A"))</xm:f>
            <x14:dxf>
              <fill>
                <patternFill>
                  <bgColor rgb="FF00B050"/>
                </patternFill>
              </fill>
            </x14:dxf>
          </x14:cfRule>
          <x14:cfRule type="expression" priority="99711" stopIfTrue="1" id="{00000000-000E-0000-0300-0000FC060000}">
            <xm:f>AND(IF(H26&lt;'Plan de Accion 2018'!Y122,H26&lt;&gt;"N/A"))</xm:f>
            <x14:dxf>
              <fill>
                <patternFill>
                  <bgColor indexed="10"/>
                </patternFill>
              </fill>
            </x14:dxf>
          </x14:cfRule>
          <xm:sqref>H26</xm:sqref>
        </x14:conditionalFormatting>
        <x14:conditionalFormatting xmlns:xm="http://schemas.microsoft.com/office/excel/2006/main">
          <x14:cfRule type="expression" priority="99745" id="{9635B60D-3B78-43AA-94BF-3F988CFCC799}">
            <xm:f>AND(IF(O26&gt;'Plan de Accion 2018'!AI122,O26&lt;&gt;¨N/A¨))</xm:f>
            <x14:dxf>
              <fill>
                <patternFill>
                  <bgColor theme="1" tint="0.499984740745262"/>
                </patternFill>
              </fill>
            </x14:dxf>
          </x14:cfRule>
          <x14:cfRule type="expression" priority="99746" stopIfTrue="1" id="{404F032B-48CE-458A-9249-84803D96C9EB}">
            <xm:f>AND(IF(O26='Plan de Accion 2018'!AI122,O26&lt;&gt;"N/A"))</xm:f>
            <x14:dxf>
              <fill>
                <patternFill>
                  <bgColor rgb="FF00B050"/>
                </patternFill>
              </fill>
            </x14:dxf>
          </x14:cfRule>
          <x14:cfRule type="expression" priority="99747" stopIfTrue="1" id="{E83C4961-5DDE-4A21-9CED-7232A00AC2BA}">
            <xm:f>AND(IF(O26&lt;'Plan de Accion 2018'!AI122,O26&lt;&gt;"N/A"))</xm:f>
            <x14:dxf>
              <fill>
                <patternFill>
                  <bgColor indexed="10"/>
                </patternFill>
              </fill>
            </x14:dxf>
          </x14:cfRule>
          <xm:sqref>O26</xm:sqref>
        </x14:conditionalFormatting>
        <x14:conditionalFormatting xmlns:xm="http://schemas.microsoft.com/office/excel/2006/main">
          <x14:cfRule type="expression" priority="99814" id="{1E9D69AB-0694-4271-A68A-4C2AB9749529}">
            <xm:f>AND(IF(V26&gt;'Plan de Accion 2018'!AS122,V26&lt;&gt;¨N/A¨))</xm:f>
            <x14:dxf>
              <fill>
                <patternFill>
                  <bgColor theme="1" tint="0.499984740745262"/>
                </patternFill>
              </fill>
            </x14:dxf>
          </x14:cfRule>
          <x14:cfRule type="expression" priority="99815" stopIfTrue="1" id="{4E1C9FBB-41B3-44CB-8BA4-A08122D92C7D}">
            <xm:f>AND(IF(V26='Plan de Accion 2018'!AS122,V26&lt;&gt;"N/A"))</xm:f>
            <x14:dxf>
              <fill>
                <patternFill>
                  <bgColor rgb="FF00B050"/>
                </patternFill>
              </fill>
            </x14:dxf>
          </x14:cfRule>
          <x14:cfRule type="expression" priority="99816" stopIfTrue="1" id="{D99BA996-213D-4FC8-8A8E-4DBA63D9A2A4}">
            <xm:f>AND(IF(V26&lt;'Plan de Accion 2018'!AS122,V26&lt;&gt;"N/A"))</xm:f>
            <x14:dxf>
              <fill>
                <patternFill>
                  <bgColor indexed="10"/>
                </patternFill>
              </fill>
            </x14:dxf>
          </x14:cfRule>
          <xm:sqref>V26</xm:sqref>
        </x14:conditionalFormatting>
        <x14:conditionalFormatting xmlns:xm="http://schemas.microsoft.com/office/excel/2006/main">
          <x14:cfRule type="expression" priority="99817" id="{2FFED81D-AD1A-4481-837F-6CA01CE302AC}">
            <xm:f>AND(IF(AC26&gt;'Plan de Accion 2018'!BC122,AC26&lt;&gt;¨N/A¨))</xm:f>
            <x14:dxf>
              <fill>
                <patternFill>
                  <bgColor theme="1" tint="0.499984740745262"/>
                </patternFill>
              </fill>
            </x14:dxf>
          </x14:cfRule>
          <x14:cfRule type="expression" priority="99818" stopIfTrue="1" id="{0FEA846A-70C0-400C-BAA0-0FD9AE5191E1}">
            <xm:f>AND(IF(AC26='Plan de Accion 2018'!BC122,AC26&lt;&gt;"N/A"))</xm:f>
            <x14:dxf>
              <fill>
                <patternFill>
                  <bgColor rgb="FF00B050"/>
                </patternFill>
              </fill>
            </x14:dxf>
          </x14:cfRule>
          <x14:cfRule type="expression" priority="99819" stopIfTrue="1" id="{EB7A37DA-053C-4544-BFEF-0EEE9C93918E}">
            <xm:f>AND(IF(AC26&lt;'Plan de Accion 2018'!BC122,AC26&lt;&gt;"N/A"))</xm:f>
            <x14:dxf>
              <fill>
                <patternFill>
                  <bgColor indexed="10"/>
                </patternFill>
              </fill>
            </x14:dxf>
          </x14:cfRule>
          <xm:sqref>AC26</xm:sqref>
        </x14:conditionalFormatting>
        <x14:conditionalFormatting xmlns:xm="http://schemas.microsoft.com/office/excel/2006/main">
          <x14:cfRule type="expression" priority="99976" id="{4934C3D5-C484-4DE7-9A01-9306A8F2B71F}">
            <xm:f>AND(IF(H363&gt;'Plan de Accion 2018'!Y122,H363&lt;&gt;¨N/A¨))</xm:f>
            <x14:dxf>
              <fill>
                <patternFill>
                  <bgColor theme="1" tint="0.499984740745262"/>
                </patternFill>
              </fill>
            </x14:dxf>
          </x14:cfRule>
          <x14:cfRule type="expression" priority="99977" stopIfTrue="1" id="{7CAC8ABC-7131-4AC2-A39A-773EBE645EE7}">
            <xm:f>AND(IF(H363='Plan de Accion 2018'!Y122,H363&lt;&gt;"N/A"))</xm:f>
            <x14:dxf>
              <fill>
                <patternFill>
                  <bgColor rgb="FF00B050"/>
                </patternFill>
              </fill>
            </x14:dxf>
          </x14:cfRule>
          <x14:cfRule type="expression" priority="99978" stopIfTrue="1" id="{846CD198-E04F-4FE7-968A-90233F88EC9E}">
            <xm:f>AND(IF(H363&lt;'Plan de Accion 2018'!Y122,H363&lt;&gt;"N/A"))</xm:f>
            <x14:dxf>
              <fill>
                <patternFill>
                  <bgColor indexed="10"/>
                </patternFill>
              </fill>
            </x14:dxf>
          </x14:cfRule>
          <xm:sqref>H363:H375</xm:sqref>
        </x14:conditionalFormatting>
        <x14:conditionalFormatting xmlns:xm="http://schemas.microsoft.com/office/excel/2006/main">
          <x14:cfRule type="expression" priority="100288" id="{0093050E-9B02-4C8B-B72C-9D10F3B585D9}">
            <xm:f>AND(IF(V363&gt;'Plan de Accion 2018'!AS122,V363&lt;&gt;¨N/A¨))</xm:f>
            <x14:dxf>
              <fill>
                <patternFill>
                  <bgColor theme="1" tint="0.499984740745262"/>
                </patternFill>
              </fill>
            </x14:dxf>
          </x14:cfRule>
          <x14:cfRule type="expression" priority="100289" stopIfTrue="1" id="{C7CB7423-69F4-46D9-90FC-7E531F4B3C1C}">
            <xm:f>AND(IF(V363='Plan de Accion 2018'!AS122,V363&lt;&gt;"N/A"))</xm:f>
            <x14:dxf>
              <fill>
                <patternFill>
                  <bgColor rgb="FF00B050"/>
                </patternFill>
              </fill>
            </x14:dxf>
          </x14:cfRule>
          <x14:cfRule type="expression" priority="100290" stopIfTrue="1" id="{B714F7BD-34F9-49FB-B14A-825173BE5014}">
            <xm:f>AND(IF(V363&lt;'Plan de Accion 2018'!AS122,V363&lt;&gt;"N/A"))</xm:f>
            <x14:dxf>
              <fill>
                <patternFill>
                  <bgColor indexed="10"/>
                </patternFill>
              </fill>
            </x14:dxf>
          </x14:cfRule>
          <xm:sqref>V363:V375</xm:sqref>
        </x14:conditionalFormatting>
        <x14:conditionalFormatting xmlns:xm="http://schemas.microsoft.com/office/excel/2006/main">
          <x14:cfRule type="expression" priority="100528" id="{3F097174-46F5-49A9-9A2F-56D977F79B80}">
            <xm:f>AND(IF(H232&gt;'Plan de Accion 2018'!Y75,H232&lt;&gt;¨N/A¨))</xm:f>
            <x14:dxf>
              <fill>
                <patternFill>
                  <bgColor theme="1" tint="0.499984740745262"/>
                </patternFill>
              </fill>
            </x14:dxf>
          </x14:cfRule>
          <x14:cfRule type="expression" priority="100529" stopIfTrue="1" id="{6AB1EBAD-47AB-46EF-BFC9-023E4C249536}">
            <xm:f>AND(IF(H232='Plan de Accion 2018'!Y75,H232&lt;&gt;"N/A"))</xm:f>
            <x14:dxf>
              <fill>
                <patternFill>
                  <bgColor rgb="FF00B050"/>
                </patternFill>
              </fill>
            </x14:dxf>
          </x14:cfRule>
          <x14:cfRule type="expression" priority="100530" stopIfTrue="1" id="{7537C9B6-6D2B-493F-A2DA-15B8B27AEF45}">
            <xm:f>AND(IF(H232&lt;'Plan de Accion 2018'!Y75,H232&lt;&gt;"N/A"))</xm:f>
            <x14:dxf>
              <fill>
                <patternFill>
                  <bgColor indexed="10"/>
                </patternFill>
              </fill>
            </x14:dxf>
          </x14:cfRule>
          <xm:sqref>H257:H258 H232</xm:sqref>
        </x14:conditionalFormatting>
        <x14:conditionalFormatting xmlns:xm="http://schemas.microsoft.com/office/excel/2006/main">
          <x14:cfRule type="expression" priority="100675" id="{7E161275-247C-4DB8-BD6A-E08C157FD714}">
            <xm:f>AND(IF(O232&gt;'Plan de Accion 2018'!AI75,O232&lt;&gt;¨N/A¨))</xm:f>
            <x14:dxf>
              <fill>
                <patternFill>
                  <bgColor theme="1" tint="0.499984740745262"/>
                </patternFill>
              </fill>
            </x14:dxf>
          </x14:cfRule>
          <x14:cfRule type="expression" priority="100676" stopIfTrue="1" id="{6A7F13AD-306E-4D00-A2CC-AA0F8C12D183}">
            <xm:f>AND(IF(O232='Plan de Accion 2018'!AI75,O232&lt;&gt;"N/A"))</xm:f>
            <x14:dxf>
              <fill>
                <patternFill>
                  <bgColor rgb="FF00B050"/>
                </patternFill>
              </fill>
            </x14:dxf>
          </x14:cfRule>
          <x14:cfRule type="expression" priority="100677" stopIfTrue="1" id="{4B452FC1-90BB-4624-A6F2-FE094EB34D6B}">
            <xm:f>AND(IF(O232&lt;'Plan de Accion 2018'!AI75,O232&lt;&gt;"N/A"))</xm:f>
            <x14:dxf>
              <fill>
                <patternFill>
                  <bgColor indexed="10"/>
                </patternFill>
              </fill>
            </x14:dxf>
          </x14:cfRule>
          <xm:sqref>O257:O258 O232</xm:sqref>
        </x14:conditionalFormatting>
        <x14:conditionalFormatting xmlns:xm="http://schemas.microsoft.com/office/excel/2006/main">
          <x14:cfRule type="expression" priority="100699" id="{65B77048-8EBB-4671-A11F-AA4AB698F6A3}">
            <xm:f>AND(IF(O154&gt;'Plan de Accion 2018'!AI11,O154&lt;&gt;¨N/A¨))</xm:f>
            <x14:dxf>
              <fill>
                <patternFill>
                  <bgColor theme="1" tint="0.499984740745262"/>
                </patternFill>
              </fill>
            </x14:dxf>
          </x14:cfRule>
          <x14:cfRule type="expression" priority="100700" stopIfTrue="1" id="{6B01A7A2-E4EE-4493-B0F4-5ABBD6CC3620}">
            <xm:f>AND(IF(O154='Plan de Accion 2018'!AI11,O154&lt;&gt;"N/A"))</xm:f>
            <x14:dxf>
              <fill>
                <patternFill>
                  <bgColor rgb="FF00B050"/>
                </patternFill>
              </fill>
            </x14:dxf>
          </x14:cfRule>
          <x14:cfRule type="expression" priority="100701" stopIfTrue="1" id="{783DC5D6-163E-4602-ABB9-EEC214A0FB42}">
            <xm:f>AND(IF(O154&lt;'Plan de Accion 2018'!AI11,O154&lt;&gt;"N/A"))</xm:f>
            <x14:dxf>
              <fill>
                <patternFill>
                  <bgColor indexed="10"/>
                </patternFill>
              </fill>
            </x14:dxf>
          </x14:cfRule>
          <xm:sqref>O154</xm:sqref>
        </x14:conditionalFormatting>
        <x14:conditionalFormatting xmlns:xm="http://schemas.microsoft.com/office/excel/2006/main">
          <x14:cfRule type="expression" priority="100705" id="{9AACE797-51CB-4031-A1AD-EAB404204988}">
            <xm:f>AND(IF(O228&gt;'Plan de Accion 2018'!AI8,O228&lt;&gt;¨N/A¨))</xm:f>
            <x14:dxf>
              <fill>
                <patternFill>
                  <bgColor theme="1" tint="0.499984740745262"/>
                </patternFill>
              </fill>
            </x14:dxf>
          </x14:cfRule>
          <x14:cfRule type="expression" priority="100706" stopIfTrue="1" id="{CE20B04A-7A2B-4EA3-B378-71D1BAE8D37C}">
            <xm:f>AND(IF(O228='Plan de Accion 2018'!AI8,O228&lt;&gt;"N/A"))</xm:f>
            <x14:dxf>
              <fill>
                <patternFill>
                  <bgColor rgb="FF00B050"/>
                </patternFill>
              </fill>
            </x14:dxf>
          </x14:cfRule>
          <x14:cfRule type="expression" priority="100707" stopIfTrue="1" id="{9B107B35-DB0E-4D8C-8D30-A5369EE88043}">
            <xm:f>AND(IF(O228&lt;'Plan de Accion 2018'!AI8,O228&lt;&gt;"N/A"))</xm:f>
            <x14:dxf>
              <fill>
                <patternFill>
                  <bgColor indexed="10"/>
                </patternFill>
              </fill>
            </x14:dxf>
          </x14:cfRule>
          <xm:sqref>O228</xm:sqref>
        </x14:conditionalFormatting>
        <x14:conditionalFormatting xmlns:xm="http://schemas.microsoft.com/office/excel/2006/main">
          <x14:cfRule type="expression" priority="100795" id="{8B10F846-51BE-4414-B35D-153C5ED0ED4B}">
            <xm:f>AND(IF(V232&gt;'Plan de Accion 2018'!AS75,V232&lt;&gt;¨N/A¨))</xm:f>
            <x14:dxf>
              <fill>
                <patternFill>
                  <bgColor theme="1" tint="0.499984740745262"/>
                </patternFill>
              </fill>
            </x14:dxf>
          </x14:cfRule>
          <x14:cfRule type="expression" priority="100796" stopIfTrue="1" id="{411A602E-D103-4E99-AF72-DC51F9713946}">
            <xm:f>AND(IF(V232='Plan de Accion 2018'!AS75,V232&lt;&gt;"N/A"))</xm:f>
            <x14:dxf>
              <fill>
                <patternFill>
                  <bgColor rgb="FF00B050"/>
                </patternFill>
              </fill>
            </x14:dxf>
          </x14:cfRule>
          <x14:cfRule type="expression" priority="100797" stopIfTrue="1" id="{C51B46F2-26D0-4BE4-8F48-FCAECD5160C6}">
            <xm:f>AND(IF(V232&lt;'Plan de Accion 2018'!AS75,V232&lt;&gt;"N/A"))</xm:f>
            <x14:dxf>
              <fill>
                <patternFill>
                  <bgColor indexed="10"/>
                </patternFill>
              </fill>
            </x14:dxf>
          </x14:cfRule>
          <xm:sqref>V257:V258 V232</xm:sqref>
        </x14:conditionalFormatting>
        <x14:conditionalFormatting xmlns:xm="http://schemas.microsoft.com/office/excel/2006/main">
          <x14:cfRule type="expression" priority="100819" id="{101D77A3-05AE-4959-8A32-DD9C91F7F4CB}">
            <xm:f>AND(IF(V154&gt;'Plan de Accion 2018'!AS11,V154&lt;&gt;¨N/A¨))</xm:f>
            <x14:dxf>
              <fill>
                <patternFill>
                  <bgColor theme="1" tint="0.499984740745262"/>
                </patternFill>
              </fill>
            </x14:dxf>
          </x14:cfRule>
          <x14:cfRule type="expression" priority="100820" stopIfTrue="1" id="{52D6CCA1-3C6E-40BA-A293-2ACFCEE97573}">
            <xm:f>AND(IF(V154='Plan de Accion 2018'!AS11,V154&lt;&gt;"N/A"))</xm:f>
            <x14:dxf>
              <fill>
                <patternFill>
                  <bgColor rgb="FF00B050"/>
                </patternFill>
              </fill>
            </x14:dxf>
          </x14:cfRule>
          <x14:cfRule type="expression" priority="100821" stopIfTrue="1" id="{D3647766-93EF-40A7-A578-C77F2485DDFE}">
            <xm:f>AND(IF(V154&lt;'Plan de Accion 2018'!AS11,V154&lt;&gt;"N/A"))</xm:f>
            <x14:dxf>
              <fill>
                <patternFill>
                  <bgColor indexed="10"/>
                </patternFill>
              </fill>
            </x14:dxf>
          </x14:cfRule>
          <xm:sqref>V154</xm:sqref>
        </x14:conditionalFormatting>
        <x14:conditionalFormatting xmlns:xm="http://schemas.microsoft.com/office/excel/2006/main">
          <x14:cfRule type="expression" priority="100912" id="{D738C595-0AB1-410B-A82F-B93BCE90122F}">
            <xm:f>AND(IF(AC232&gt;'Plan de Accion 2018'!BC75,AC232&lt;&gt;¨N/A¨))</xm:f>
            <x14:dxf>
              <fill>
                <patternFill>
                  <bgColor theme="1" tint="0.499984740745262"/>
                </patternFill>
              </fill>
            </x14:dxf>
          </x14:cfRule>
          <x14:cfRule type="expression" priority="100913" stopIfTrue="1" id="{8B858AC2-8231-453C-A5E2-30898E1005DB}">
            <xm:f>AND(IF(AC232='Plan de Accion 2018'!BC75,AC232&lt;&gt;"N/A"))</xm:f>
            <x14:dxf>
              <fill>
                <patternFill>
                  <bgColor rgb="FF00B050"/>
                </patternFill>
              </fill>
            </x14:dxf>
          </x14:cfRule>
          <x14:cfRule type="expression" priority="100914" stopIfTrue="1" id="{E92F9A76-B53A-40C2-9813-3DB56118F4F4}">
            <xm:f>AND(IF(AC232&lt;'Plan de Accion 2018'!BC75,AC232&lt;&gt;"N/A"))</xm:f>
            <x14:dxf>
              <fill>
                <patternFill>
                  <bgColor indexed="10"/>
                </patternFill>
              </fill>
            </x14:dxf>
          </x14:cfRule>
          <xm:sqref>AC257:AC258 AC232</xm:sqref>
        </x14:conditionalFormatting>
        <x14:conditionalFormatting xmlns:xm="http://schemas.microsoft.com/office/excel/2006/main">
          <x14:cfRule type="expression" priority="100936" id="{B7BFF239-E33D-4118-A834-DF22EF33402C}">
            <xm:f>AND(IF(AC154&gt;'Plan de Accion 2018'!BC11,AC154&lt;&gt;¨N/A¨))</xm:f>
            <x14:dxf>
              <fill>
                <patternFill>
                  <bgColor theme="1" tint="0.499984740745262"/>
                </patternFill>
              </fill>
            </x14:dxf>
          </x14:cfRule>
          <x14:cfRule type="expression" priority="100937" stopIfTrue="1" id="{03A8B7B2-6348-43C6-9B2D-64B57D795C84}">
            <xm:f>AND(IF(AC154='Plan de Accion 2018'!BC11,AC154&lt;&gt;"N/A"))</xm:f>
            <x14:dxf>
              <fill>
                <patternFill>
                  <bgColor rgb="FF00B050"/>
                </patternFill>
              </fill>
            </x14:dxf>
          </x14:cfRule>
          <x14:cfRule type="expression" priority="100938" stopIfTrue="1" id="{F61726E2-2D36-41F9-84D0-F2F96F885312}">
            <xm:f>AND(IF(AC154&lt;'Plan de Accion 2018'!BC11,AC154&lt;&gt;"N/A"))</xm:f>
            <x14:dxf>
              <fill>
                <patternFill>
                  <bgColor indexed="10"/>
                </patternFill>
              </fill>
            </x14:dxf>
          </x14:cfRule>
          <xm:sqref>AC154</xm:sqref>
        </x14:conditionalFormatting>
        <x14:conditionalFormatting xmlns:xm="http://schemas.microsoft.com/office/excel/2006/main">
          <x14:cfRule type="expression" priority="100942" id="{50FBCB88-C3BC-4E4F-919B-AB649F5F2AD3}">
            <xm:f>AND(IF(AC228&gt;'Plan de Accion 2018'!BC8,AC228&lt;&gt;¨N/A¨))</xm:f>
            <x14:dxf>
              <fill>
                <patternFill>
                  <bgColor theme="1" tint="0.499984740745262"/>
                </patternFill>
              </fill>
            </x14:dxf>
          </x14:cfRule>
          <x14:cfRule type="expression" priority="100943" stopIfTrue="1" id="{082EDA2E-1BE4-469E-AE7F-FF93216EF2E1}">
            <xm:f>AND(IF(AC228='Plan de Accion 2018'!BC8,AC228&lt;&gt;"N/A"))</xm:f>
            <x14:dxf>
              <fill>
                <patternFill>
                  <bgColor rgb="FF00B050"/>
                </patternFill>
              </fill>
            </x14:dxf>
          </x14:cfRule>
          <x14:cfRule type="expression" priority="100944" stopIfTrue="1" id="{0C40AB3A-8804-477F-A7DD-F082EF3B3D26}">
            <xm:f>AND(IF(AC228&lt;'Plan de Accion 2018'!BC8,AC228&lt;&gt;"N/A"))</xm:f>
            <x14:dxf>
              <fill>
                <patternFill>
                  <bgColor indexed="10"/>
                </patternFill>
              </fill>
            </x14:dxf>
          </x14:cfRule>
          <xm:sqref>AC228</xm:sqref>
        </x14:conditionalFormatting>
        <x14:conditionalFormatting xmlns:xm="http://schemas.microsoft.com/office/excel/2006/main">
          <x14:cfRule type="expression" priority="101386" id="{4934C3D5-C484-4DE7-9A01-9306A8F2B71F}">
            <xm:f>AND(IF(H239&gt;'Plan de Accion 2018'!Y13,H239&lt;&gt;¨N/A¨))</xm:f>
            <x14:dxf>
              <fill>
                <patternFill>
                  <bgColor theme="1" tint="0.499984740745262"/>
                </patternFill>
              </fill>
            </x14:dxf>
          </x14:cfRule>
          <x14:cfRule type="expression" priority="101387" stopIfTrue="1" id="{7CAC8ABC-7131-4AC2-A39A-773EBE645EE7}">
            <xm:f>AND(IF(H239='Plan de Accion 2018'!Y13,H239&lt;&gt;"N/A"))</xm:f>
            <x14:dxf>
              <fill>
                <patternFill>
                  <bgColor rgb="FF00B050"/>
                </patternFill>
              </fill>
            </x14:dxf>
          </x14:cfRule>
          <x14:cfRule type="expression" priority="101388" stopIfTrue="1" id="{846CD198-E04F-4FE7-968A-90233F88EC9E}">
            <xm:f>AND(IF(H239&lt;'Plan de Accion 2018'!Y13,H239&lt;&gt;"N/A"))</xm:f>
            <x14:dxf>
              <fill>
                <patternFill>
                  <bgColor indexed="10"/>
                </patternFill>
              </fill>
            </x14:dxf>
          </x14:cfRule>
          <xm:sqref>H239:H242</xm:sqref>
        </x14:conditionalFormatting>
        <x14:conditionalFormatting xmlns:xm="http://schemas.microsoft.com/office/excel/2006/main">
          <x14:cfRule type="expression" priority="101389" id="{4B18CF23-D3C9-47F9-9221-8EF09B2AEC88}">
            <xm:f>AND(IF(O239&gt;'Plan de Accion 2018'!AI13,O239&lt;&gt;¨N/A¨))</xm:f>
            <x14:dxf>
              <fill>
                <patternFill>
                  <bgColor theme="1" tint="0.499984740745262"/>
                </patternFill>
              </fill>
            </x14:dxf>
          </x14:cfRule>
          <x14:cfRule type="expression" priority="101390" stopIfTrue="1" id="{A6FFD223-9227-41E5-B1C3-BB1447044B0C}">
            <xm:f>AND(IF(O239='Plan de Accion 2018'!AI13,O239&lt;&gt;"N/A"))</xm:f>
            <x14:dxf>
              <fill>
                <patternFill>
                  <bgColor rgb="FF00B050"/>
                </patternFill>
              </fill>
            </x14:dxf>
          </x14:cfRule>
          <x14:cfRule type="expression" priority="101391" stopIfTrue="1" id="{E424C868-A04A-45BB-BADD-E2F2ED4B29A2}">
            <xm:f>AND(IF(O239&lt;'Plan de Accion 2018'!AI13,O239&lt;&gt;"N/A"))</xm:f>
            <x14:dxf>
              <fill>
                <patternFill>
                  <bgColor indexed="10"/>
                </patternFill>
              </fill>
            </x14:dxf>
          </x14:cfRule>
          <xm:sqref>O239:O242</xm:sqref>
        </x14:conditionalFormatting>
        <x14:conditionalFormatting xmlns:xm="http://schemas.microsoft.com/office/excel/2006/main">
          <x14:cfRule type="expression" priority="101392" id="{0093050E-9B02-4C8B-B72C-9D10F3B585D9}">
            <xm:f>AND(IF(V239&gt;'Plan de Accion 2018'!AS13,V239&lt;&gt;¨N/A¨))</xm:f>
            <x14:dxf>
              <fill>
                <patternFill>
                  <bgColor theme="1" tint="0.499984740745262"/>
                </patternFill>
              </fill>
            </x14:dxf>
          </x14:cfRule>
          <x14:cfRule type="expression" priority="101393" stopIfTrue="1" id="{C7CB7423-69F4-46D9-90FC-7E531F4B3C1C}">
            <xm:f>AND(IF(V239='Plan de Accion 2018'!AS13,V239&lt;&gt;"N/A"))</xm:f>
            <x14:dxf>
              <fill>
                <patternFill>
                  <bgColor rgb="FF00B050"/>
                </patternFill>
              </fill>
            </x14:dxf>
          </x14:cfRule>
          <x14:cfRule type="expression" priority="101394" stopIfTrue="1" id="{B714F7BD-34F9-49FB-B14A-825173BE5014}">
            <xm:f>AND(IF(V239&lt;'Plan de Accion 2018'!AS13,V239&lt;&gt;"N/A"))</xm:f>
            <x14:dxf>
              <fill>
                <patternFill>
                  <bgColor indexed="10"/>
                </patternFill>
              </fill>
            </x14:dxf>
          </x14:cfRule>
          <xm:sqref>V239:V242</xm:sqref>
        </x14:conditionalFormatting>
        <x14:conditionalFormatting xmlns:xm="http://schemas.microsoft.com/office/excel/2006/main">
          <x14:cfRule type="expression" priority="101395" id="{DD01C612-E410-4B92-B07F-A0B814644322}">
            <xm:f>AND(IF(AC239&gt;'Plan de Accion 2018'!BC13,AC239&lt;&gt;¨N/A¨))</xm:f>
            <x14:dxf>
              <fill>
                <patternFill>
                  <bgColor theme="1" tint="0.499984740745262"/>
                </patternFill>
              </fill>
            </x14:dxf>
          </x14:cfRule>
          <x14:cfRule type="expression" priority="101396" stopIfTrue="1" id="{FED7A9C4-1396-48CD-9E33-4E4182380692}">
            <xm:f>AND(IF(AC239='Plan de Accion 2018'!BC13,AC239&lt;&gt;"N/A"))</xm:f>
            <x14:dxf>
              <fill>
                <patternFill>
                  <bgColor rgb="FF00B050"/>
                </patternFill>
              </fill>
            </x14:dxf>
          </x14:cfRule>
          <x14:cfRule type="expression" priority="101397" stopIfTrue="1" id="{D4EE01C8-25FB-4155-9CFA-7F461DBBC86F}">
            <xm:f>AND(IF(AC239&lt;'Plan de Accion 2018'!BC13,AC239&lt;&gt;"N/A"))</xm:f>
            <x14:dxf>
              <fill>
                <patternFill>
                  <bgColor indexed="10"/>
                </patternFill>
              </fill>
            </x14:dxf>
          </x14:cfRule>
          <xm:sqref>AC239:AC242</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A9643-7AD4-4EEB-A278-7E3324F31F97}">
  <dimension ref="A1:BK20"/>
  <sheetViews>
    <sheetView showGridLines="0" topLeftCell="AH4" workbookViewId="0">
      <selection activeCell="AV6" sqref="AV6"/>
    </sheetView>
  </sheetViews>
  <sheetFormatPr baseColWidth="10" defaultRowHeight="15" x14ac:dyDescent="0.25"/>
  <cols>
    <col min="1" max="1" width="65.7109375" customWidth="1"/>
    <col min="2" max="2" width="2.28515625" customWidth="1"/>
    <col min="3" max="3" width="21.7109375" customWidth="1"/>
    <col min="4" max="8" width="3.28515625" customWidth="1"/>
    <col min="9" max="10" width="11.7109375" customWidth="1"/>
    <col min="11" max="15" width="3.28515625" customWidth="1"/>
    <col min="16" max="16" width="28.7109375" customWidth="1"/>
    <col min="17" max="17" width="2.7109375" customWidth="1"/>
    <col min="18" max="18" width="11.7109375" customWidth="1"/>
    <col min="19" max="23" width="3.28515625" customWidth="1"/>
    <col min="24" max="25" width="11.7109375" customWidth="1"/>
    <col min="26" max="30" width="3.28515625" customWidth="1"/>
    <col min="31" max="31" width="29.5703125" customWidth="1"/>
    <col min="32" max="32" width="3.140625" customWidth="1"/>
    <col min="33" max="33" width="11.7109375" customWidth="1"/>
    <col min="34" max="38" width="3.28515625" customWidth="1"/>
    <col min="39" max="40" width="11.7109375" customWidth="1"/>
    <col min="41" max="45" width="3.28515625" customWidth="1"/>
    <col min="46" max="46" width="28.5703125" customWidth="1"/>
    <col min="47" max="47" width="3.140625" customWidth="1"/>
    <col min="48" max="48" width="11.7109375" customWidth="1"/>
    <col min="49" max="53" width="3.28515625" customWidth="1"/>
    <col min="54" max="54" width="12.140625" customWidth="1"/>
    <col min="55" max="59" width="3.28515625" customWidth="1"/>
    <col min="60" max="60" width="28.5703125" customWidth="1"/>
  </cols>
  <sheetData>
    <row r="1" spans="1:63" ht="15" customHeight="1" x14ac:dyDescent="0.25">
      <c r="A1" s="1311"/>
      <c r="B1" s="1335" t="s">
        <v>952</v>
      </c>
      <c r="C1" s="1336"/>
      <c r="D1" s="1336"/>
      <c r="E1" s="1336"/>
      <c r="F1" s="1336"/>
      <c r="G1" s="1336"/>
      <c r="H1" s="1337"/>
      <c r="I1" s="1196" t="s">
        <v>953</v>
      </c>
      <c r="J1" s="1196"/>
      <c r="K1" s="1196"/>
      <c r="L1" s="1196"/>
      <c r="M1" s="1196"/>
      <c r="N1" s="1196"/>
      <c r="O1" s="1196"/>
      <c r="P1" s="1196"/>
      <c r="Q1" s="1196"/>
      <c r="R1" s="1196"/>
      <c r="S1" s="1196"/>
      <c r="T1" s="1196"/>
      <c r="U1" s="1196"/>
      <c r="V1" s="1196"/>
      <c r="W1" s="1196"/>
      <c r="X1" s="1196"/>
      <c r="Y1" s="1196"/>
      <c r="Z1" s="1196"/>
      <c r="AA1" s="1196"/>
      <c r="AB1" s="1196"/>
      <c r="AC1" s="1196"/>
      <c r="AD1" s="1196"/>
      <c r="AE1" s="1196"/>
      <c r="AF1" s="1196"/>
      <c r="AG1" s="1196"/>
      <c r="AH1" s="1196"/>
      <c r="AI1" s="1196"/>
      <c r="AJ1" s="1196"/>
      <c r="AK1" s="1196"/>
      <c r="AL1" s="1196"/>
      <c r="AM1" s="1196"/>
      <c r="AN1" s="1314"/>
      <c r="AO1" s="1314"/>
      <c r="AP1" s="1314"/>
      <c r="AQ1" s="1314"/>
      <c r="AR1" s="1314"/>
      <c r="AS1" s="1314"/>
      <c r="AT1" s="1314"/>
      <c r="AU1" s="1314"/>
      <c r="AV1" s="1326"/>
      <c r="AW1" s="1327"/>
      <c r="AX1" s="1327"/>
      <c r="AY1" s="1327"/>
      <c r="AZ1" s="1327"/>
      <c r="BA1" s="1327"/>
      <c r="BB1" s="1327"/>
      <c r="BC1" s="1327"/>
      <c r="BD1" s="1327"/>
      <c r="BE1" s="1327"/>
      <c r="BF1" s="1327"/>
      <c r="BG1" s="1328"/>
      <c r="BH1" s="422"/>
      <c r="BI1" s="422"/>
      <c r="BJ1" s="422"/>
      <c r="BK1" s="422"/>
    </row>
    <row r="2" spans="1:63" ht="15" customHeight="1" x14ac:dyDescent="0.25">
      <c r="A2" s="1312"/>
      <c r="B2" s="1338" t="s">
        <v>954</v>
      </c>
      <c r="C2" s="1339"/>
      <c r="D2" s="1339"/>
      <c r="E2" s="1339"/>
      <c r="F2" s="1339"/>
      <c r="G2" s="1339"/>
      <c r="H2" s="1340"/>
      <c r="I2" s="1320" t="s">
        <v>800</v>
      </c>
      <c r="J2" s="1320"/>
      <c r="K2" s="1320"/>
      <c r="L2" s="1320"/>
      <c r="M2" s="1320"/>
      <c r="N2" s="1320"/>
      <c r="O2" s="1320"/>
      <c r="P2" s="1320"/>
      <c r="Q2" s="1320"/>
      <c r="R2" s="1320"/>
      <c r="S2" s="1320"/>
      <c r="T2" s="1320"/>
      <c r="U2" s="1320"/>
      <c r="V2" s="1320"/>
      <c r="W2" s="1320"/>
      <c r="X2" s="1320"/>
      <c r="Y2" s="1320"/>
      <c r="Z2" s="1320"/>
      <c r="AA2" s="1320"/>
      <c r="AB2" s="1320"/>
      <c r="AC2" s="1320"/>
      <c r="AD2" s="1320"/>
      <c r="AE2" s="1320"/>
      <c r="AF2" s="1320"/>
      <c r="AG2" s="1320"/>
      <c r="AH2" s="1320"/>
      <c r="AI2" s="1320"/>
      <c r="AJ2" s="1320"/>
      <c r="AK2" s="1320"/>
      <c r="AL2" s="1320"/>
      <c r="AM2" s="1320"/>
      <c r="AN2" s="1321"/>
      <c r="AO2" s="1321"/>
      <c r="AP2" s="1321"/>
      <c r="AQ2" s="1321"/>
      <c r="AR2" s="1321"/>
      <c r="AS2" s="1321"/>
      <c r="AT2" s="1321"/>
      <c r="AU2" s="1321"/>
      <c r="AV2" s="1329"/>
      <c r="AW2" s="1330"/>
      <c r="AX2" s="1330"/>
      <c r="AY2" s="1330"/>
      <c r="AZ2" s="1330"/>
      <c r="BA2" s="1330"/>
      <c r="BB2" s="1330"/>
      <c r="BC2" s="1330"/>
      <c r="BD2" s="1330"/>
      <c r="BE2" s="1330"/>
      <c r="BF2" s="1330"/>
      <c r="BG2" s="1331"/>
      <c r="BH2" s="422"/>
      <c r="BI2" s="422"/>
      <c r="BJ2" s="422"/>
      <c r="BK2" s="422"/>
    </row>
    <row r="3" spans="1:63" ht="15.75" customHeight="1" thickBot="1" x14ac:dyDescent="0.3">
      <c r="A3" s="1313"/>
      <c r="B3" s="1341" t="s">
        <v>852</v>
      </c>
      <c r="C3" s="1342"/>
      <c r="D3" s="1342"/>
      <c r="E3" s="1342"/>
      <c r="F3" s="1342"/>
      <c r="G3" s="1342"/>
      <c r="H3" s="1343"/>
      <c r="I3" s="1344" t="s">
        <v>958</v>
      </c>
      <c r="J3" s="1342"/>
      <c r="K3" s="1342"/>
      <c r="L3" s="1342"/>
      <c r="M3" s="1342"/>
      <c r="N3" s="1342"/>
      <c r="O3" s="1343"/>
      <c r="P3" s="677"/>
      <c r="Q3" s="1345" t="s">
        <v>824</v>
      </c>
      <c r="R3" s="1346"/>
      <c r="S3" s="1346"/>
      <c r="T3" s="1346"/>
      <c r="U3" s="1346"/>
      <c r="V3" s="1346"/>
      <c r="W3" s="1346"/>
      <c r="X3" s="1346"/>
      <c r="Y3" s="1346"/>
      <c r="Z3" s="1346"/>
      <c r="AA3" s="1346"/>
      <c r="AB3" s="1346"/>
      <c r="AC3" s="1346"/>
      <c r="AD3" s="1346"/>
      <c r="AE3" s="1346"/>
      <c r="AF3" s="1346"/>
      <c r="AG3" s="1346"/>
      <c r="AH3" s="1346"/>
      <c r="AI3" s="1346"/>
      <c r="AJ3" s="1346"/>
      <c r="AK3" s="1346"/>
      <c r="AL3" s="1347"/>
      <c r="AM3" s="626" t="s">
        <v>957</v>
      </c>
      <c r="AN3" s="628"/>
      <c r="AO3" s="1344">
        <v>1</v>
      </c>
      <c r="AP3" s="1342"/>
      <c r="AQ3" s="1342"/>
      <c r="AR3" s="1342"/>
      <c r="AS3" s="1342"/>
      <c r="AT3" s="1342"/>
      <c r="AU3" s="1342"/>
      <c r="AV3" s="1332"/>
      <c r="AW3" s="1333"/>
      <c r="AX3" s="1333"/>
      <c r="AY3" s="1333"/>
      <c r="AZ3" s="1333"/>
      <c r="BA3" s="1333"/>
      <c r="BB3" s="1333"/>
      <c r="BC3" s="1333"/>
      <c r="BD3" s="1333"/>
      <c r="BE3" s="1333"/>
      <c r="BF3" s="1333"/>
      <c r="BG3" s="1334"/>
      <c r="BH3" s="422"/>
      <c r="BI3" s="422"/>
      <c r="BJ3" s="422"/>
      <c r="BK3" s="422"/>
    </row>
    <row r="4" spans="1:63" ht="15.75" thickBot="1" x14ac:dyDescent="0.3"/>
    <row r="5" spans="1:63" ht="55.5" customHeight="1" thickBot="1" x14ac:dyDescent="0.3">
      <c r="A5" s="289" t="s">
        <v>785</v>
      </c>
      <c r="B5" s="290"/>
      <c r="C5" s="1315" t="s">
        <v>1098</v>
      </c>
      <c r="D5" s="1316"/>
      <c r="E5" s="1316"/>
      <c r="F5" s="1316"/>
      <c r="G5" s="1316"/>
      <c r="H5" s="1317"/>
      <c r="I5" s="1318" t="s">
        <v>1099</v>
      </c>
      <c r="J5" s="1319"/>
      <c r="K5" s="1319"/>
      <c r="L5" s="1319"/>
      <c r="M5" s="1319"/>
      <c r="N5" s="1319"/>
      <c r="O5" s="1319"/>
      <c r="P5" s="661" t="s">
        <v>1181</v>
      </c>
      <c r="Q5" s="164"/>
      <c r="R5" s="1315" t="s">
        <v>1100</v>
      </c>
      <c r="S5" s="1316"/>
      <c r="T5" s="1316"/>
      <c r="U5" s="1316"/>
      <c r="V5" s="1316"/>
      <c r="W5" s="1317"/>
      <c r="X5" s="1315" t="s">
        <v>1101</v>
      </c>
      <c r="Y5" s="1316"/>
      <c r="Z5" s="1316"/>
      <c r="AA5" s="1316"/>
      <c r="AB5" s="1316"/>
      <c r="AC5" s="1316"/>
      <c r="AD5" s="1317"/>
      <c r="AE5" s="661" t="s">
        <v>1181</v>
      </c>
      <c r="AF5" s="294"/>
      <c r="AG5" s="1315" t="s">
        <v>1102</v>
      </c>
      <c r="AH5" s="1316"/>
      <c r="AI5" s="1316"/>
      <c r="AJ5" s="1316"/>
      <c r="AK5" s="1316"/>
      <c r="AL5" s="1317"/>
      <c r="AM5" s="1318" t="s">
        <v>1103</v>
      </c>
      <c r="AN5" s="1319"/>
      <c r="AO5" s="1319"/>
      <c r="AP5" s="1319"/>
      <c r="AQ5" s="1319"/>
      <c r="AR5" s="1319"/>
      <c r="AS5" s="1319"/>
      <c r="AT5" s="661" t="s">
        <v>1181</v>
      </c>
      <c r="AU5" s="294"/>
      <c r="AV5" s="1322" t="s">
        <v>1104</v>
      </c>
      <c r="AW5" s="1323"/>
      <c r="AX5" s="1323"/>
      <c r="AY5" s="1323"/>
      <c r="AZ5" s="1323"/>
      <c r="BA5" s="1324"/>
      <c r="BB5" s="1325" t="s">
        <v>1105</v>
      </c>
      <c r="BC5" s="1319"/>
      <c r="BD5" s="1319"/>
      <c r="BE5" s="1319"/>
      <c r="BF5" s="1319"/>
      <c r="BG5" s="1319"/>
      <c r="BH5" s="661" t="s">
        <v>1181</v>
      </c>
    </row>
    <row r="6" spans="1:63" ht="18" x14ac:dyDescent="0.25">
      <c r="A6" s="291" t="s">
        <v>825</v>
      </c>
      <c r="B6" s="290"/>
      <c r="C6" s="501">
        <f>+'Cuadro Mando Integral Detallado'!J119</f>
        <v>0.65857944377441169</v>
      </c>
      <c r="D6" s="560">
        <f>+C6</f>
        <v>0.65857944377441169</v>
      </c>
      <c r="E6" s="557">
        <f>+C6</f>
        <v>0.65857944377441169</v>
      </c>
      <c r="F6" s="557">
        <f>+C6</f>
        <v>0.65857944377441169</v>
      </c>
      <c r="G6" s="557">
        <f>+C6</f>
        <v>0.65857944377441169</v>
      </c>
      <c r="H6" s="497">
        <f>+C6</f>
        <v>0.65857944377441169</v>
      </c>
      <c r="I6" s="684">
        <f>+'Cuadro Mando Integral Detallado'!L119</f>
        <v>0.11199602482393489</v>
      </c>
      <c r="J6" s="684">
        <f>+'Cuadro Mando Integral Detallado'!M119</f>
        <v>0.11199602482393489</v>
      </c>
      <c r="K6" s="569">
        <f>+I6</f>
        <v>0.11199602482393489</v>
      </c>
      <c r="L6" s="570">
        <f>+I6</f>
        <v>0.11199602482393489</v>
      </c>
      <c r="M6" s="570">
        <f>+I6</f>
        <v>0.11199602482393489</v>
      </c>
      <c r="N6" s="570">
        <f>+I6</f>
        <v>0.11199602482393489</v>
      </c>
      <c r="O6" s="507">
        <f>+I6</f>
        <v>0.11199602482393489</v>
      </c>
      <c r="P6" s="588">
        <f>COUNT('Cuadro Mando Integral Detallado'!N15:N117)/COUNT('Cuadro Mando Integral Detallado'!I15:I30,'Cuadro Mando Integral Detallado'!I34,'Cuadro Mando Integral Detallado'!I42,'Cuadro Mando Integral Detallado'!I44:I69,'Cuadro Mando Integral Detallado'!I71,'Cuadro Mando Integral Detallado'!I74:I77,'Cuadro Mando Integral Detallado'!I83,'Cuadro Mando Integral Detallado'!I86:I90,'Cuadro Mando Integral Detallado'!I93:I103,'Cuadro Mando Integral Detallado'!I107:I108,'Cuadro Mando Integral Detallado'!I110:I116)</f>
        <v>0.16417910447761194</v>
      </c>
      <c r="Q6" s="174"/>
      <c r="R6" s="501">
        <f>+'Cuadro Mando Integral Detallado'!Q119</f>
        <v>0.62252375118060554</v>
      </c>
      <c r="S6" s="557">
        <f>+R6</f>
        <v>0.62252375118060554</v>
      </c>
      <c r="T6" s="557">
        <f>+R6</f>
        <v>0.62252375118060554</v>
      </c>
      <c r="U6" s="557">
        <f>+R6</f>
        <v>0.62252375118060554</v>
      </c>
      <c r="V6" s="557">
        <f>+R6</f>
        <v>0.62252375118060554</v>
      </c>
      <c r="W6" s="497">
        <f>+R6</f>
        <v>0.62252375118060554</v>
      </c>
      <c r="X6" s="577">
        <f>+'Cuadro Mando Integral Detallado'!S119</f>
        <v>0.24819812194810592</v>
      </c>
      <c r="Y6" s="577">
        <f>+'Cuadro Mando Integral Detallado'!T119</f>
        <v>0.32119756957990175</v>
      </c>
      <c r="Z6" s="569">
        <f>+X6</f>
        <v>0.24819812194810592</v>
      </c>
      <c r="AA6" s="570">
        <f>+X6</f>
        <v>0.24819812194810592</v>
      </c>
      <c r="AB6" s="570">
        <f>+X6</f>
        <v>0.24819812194810592</v>
      </c>
      <c r="AC6" s="570">
        <f>+X6</f>
        <v>0.24819812194810592</v>
      </c>
      <c r="AD6" s="658">
        <f>+X6</f>
        <v>0.24819812194810592</v>
      </c>
      <c r="AE6" s="588">
        <f>COUNT('Cuadro Mando Integral Detallado'!U15:U117)/COUNT('Cuadro Mando Integral Detallado'!P15:P30,'Cuadro Mando Integral Detallado'!P34,'Cuadro Mando Integral Detallado'!P42,'Cuadro Mando Integral Detallado'!P44:P69,'Cuadro Mando Integral Detallado'!P71:P72,'Cuadro Mando Integral Detallado'!P74:P77,'Cuadro Mando Integral Detallado'!P79:P84,'Cuadro Mando Integral Detallado'!P86:P87,'Cuadro Mando Integral Detallado'!P89:P90,'Cuadro Mando Integral Detallado'!P93:P103,'Cuadro Mando Integral Detallado'!P107:P108,'Cuadro Mando Integral Detallado'!P110:P112,'Cuadro Mando Integral Detallado'!P114:P116)</f>
        <v>0.21739130434782608</v>
      </c>
      <c r="AF6" s="502"/>
      <c r="AG6" s="501">
        <f>+'Cuadro Mando Integral Detallado'!X119</f>
        <v>0.62761002314743652</v>
      </c>
      <c r="AH6" s="560">
        <f>+AG6</f>
        <v>0.62761002314743652</v>
      </c>
      <c r="AI6" s="557">
        <f>+AG6</f>
        <v>0.62761002314743652</v>
      </c>
      <c r="AJ6" s="557">
        <f>+AG6</f>
        <v>0.62761002314743652</v>
      </c>
      <c r="AK6" s="557">
        <f>+AG6</f>
        <v>0.62761002314743652</v>
      </c>
      <c r="AL6" s="497">
        <f>+AG6</f>
        <v>0.62761002314743652</v>
      </c>
      <c r="AM6" s="501">
        <f>+'Cuadro Mando Integral Detallado'!Z119</f>
        <v>0.42463440524232804</v>
      </c>
      <c r="AN6" s="577">
        <f>+'Cuadro Mando Integral Detallado'!AA119</f>
        <v>0.49257591008110052</v>
      </c>
      <c r="AO6" s="581">
        <f>+AM6</f>
        <v>0.42463440524232804</v>
      </c>
      <c r="AP6" s="570">
        <f>+AM6</f>
        <v>0.42463440524232804</v>
      </c>
      <c r="AQ6" s="570">
        <f>+AM6</f>
        <v>0.42463440524232804</v>
      </c>
      <c r="AR6" s="570">
        <f>+AM6</f>
        <v>0.42463440524232804</v>
      </c>
      <c r="AS6" s="507">
        <f>+AM6</f>
        <v>0.42463440524232804</v>
      </c>
      <c r="AT6" s="868">
        <f>COUNT('Cuadro Mando Integral Detallado'!AB15:AB117)/COUNT('Cuadro Mando Integral Detallado'!W15:W17,'Cuadro Mando Integral Detallado'!W18:W34,'Cuadro Mando Integral Detallado'!W40:W42,'Cuadro Mando Integral Detallado'!W44:W69,'Cuadro Mando Integral Detallado'!W71:W72,'Cuadro Mando Integral Detallado'!W74:W77,'Cuadro Mando Integral Detallado'!W79:W84,'Cuadro Mando Integral Detallado'!W86:W87,'Cuadro Mando Integral Detallado'!W89:W90,'Cuadro Mando Integral Detallado'!W93:W108,'Cuadro Mando Integral Detallado'!W110:W112,'Cuadro Mando Integral Detallado'!W114:W116)</f>
        <v>0.19117647058823528</v>
      </c>
      <c r="AU6" s="502"/>
      <c r="AV6" s="501">
        <f>+'Cuadro Mando Integral Detallado'!AE119</f>
        <v>0.68644275569075675</v>
      </c>
      <c r="AW6" s="560">
        <f>+AV6</f>
        <v>0.68644275569075675</v>
      </c>
      <c r="AX6" s="557">
        <f>+AV6</f>
        <v>0.68644275569075675</v>
      </c>
      <c r="AY6" s="557">
        <f>+AV6</f>
        <v>0.68644275569075675</v>
      </c>
      <c r="AZ6" s="557">
        <f>+AV6</f>
        <v>0.68644275569075675</v>
      </c>
      <c r="BA6" s="497">
        <f>+AV6</f>
        <v>0.68644275569075675</v>
      </c>
      <c r="BB6" s="577">
        <f>+'Cuadro Mando Integral Detallado'!AG119</f>
        <v>0.6955607794672547</v>
      </c>
      <c r="BC6" s="581">
        <f>+BB6</f>
        <v>0.6955607794672547</v>
      </c>
      <c r="BD6" s="570">
        <f>+BB6</f>
        <v>0.6955607794672547</v>
      </c>
      <c r="BE6" s="570">
        <f>+BB6</f>
        <v>0.6955607794672547</v>
      </c>
      <c r="BF6" s="570">
        <f>+BB6</f>
        <v>0.6955607794672547</v>
      </c>
      <c r="BG6" s="507">
        <f>+BB6</f>
        <v>0.6955607794672547</v>
      </c>
      <c r="BH6" s="588">
        <f>COUNT('Cuadro Mando Integral Detallado'!AI15:AI117)/COUNT('Cuadro Mando Integral Detallado'!AD15:AD17,'Cuadro Mando Integral Detallado'!AD18:AD34,'Cuadro Mando Integral Detallado'!AD40:AD42,'Cuadro Mando Integral Detallado'!AD44:AD69,'Cuadro Mando Integral Detallado'!AD71:AD72,'Cuadro Mando Integral Detallado'!AD74:AD77,'Cuadro Mando Integral Detallado'!AD79:AD84,'Cuadro Mando Integral Detallado'!AD86:AD87,'Cuadro Mando Integral Detallado'!AD89:AD90,'Cuadro Mando Integral Detallado'!AD93:AD108,'Cuadro Mando Integral Detallado'!AD110:AD112,'Cuadro Mando Integral Detallado'!AD114:AD116)</f>
        <v>5.4794520547945202E-2</v>
      </c>
    </row>
    <row r="7" spans="1:63" ht="18" x14ac:dyDescent="0.25">
      <c r="A7" s="292" t="s">
        <v>826</v>
      </c>
      <c r="B7" s="290"/>
      <c r="C7" s="503">
        <f>+'Cuadro Mando Integral Detallado'!J238</f>
        <v>0.94546754005675981</v>
      </c>
      <c r="D7" s="561">
        <f>+C7</f>
        <v>0.94546754005675981</v>
      </c>
      <c r="E7" s="556">
        <f>+C7</f>
        <v>0.94546754005675981</v>
      </c>
      <c r="F7" s="556">
        <f>+C7</f>
        <v>0.94546754005675981</v>
      </c>
      <c r="G7" s="556">
        <f>+C7</f>
        <v>0.94546754005675981</v>
      </c>
      <c r="H7" s="498">
        <f>+C7</f>
        <v>0.94546754005675981</v>
      </c>
      <c r="I7" s="685">
        <f>+'Cuadro Mando Integral Detallado'!L238</f>
        <v>0.19964050428740518</v>
      </c>
      <c r="J7" s="685">
        <f>+'Cuadro Mando Integral Detallado'!M238</f>
        <v>0.27633455739403112</v>
      </c>
      <c r="K7" s="571">
        <f>+I7</f>
        <v>0.19964050428740518</v>
      </c>
      <c r="L7" s="568">
        <f>+I7</f>
        <v>0.19964050428740518</v>
      </c>
      <c r="M7" s="568">
        <f>+I7</f>
        <v>0.19964050428740518</v>
      </c>
      <c r="N7" s="568">
        <f>+I7</f>
        <v>0.19964050428740518</v>
      </c>
      <c r="O7" s="508">
        <f>+I7</f>
        <v>0.19964050428740518</v>
      </c>
      <c r="P7" s="662">
        <f>COUNT('Cuadro Mando Integral Detallado'!N120:N236)/COUNT('Cuadro Mando Integral Detallado'!I120:I125,'Cuadro Mando Integral Detallado'!I127:I128,'Cuadro Mando Integral Detallado'!I131,'Cuadro Mando Integral Detallado'!I133,'Cuadro Mando Integral Detallado'!I135:I138,'Cuadro Mando Integral Detallado'!I143:I144,'Cuadro Mando Integral Detallado'!I149,'Cuadro Mando Integral Detallado'!I151:I152,'Cuadro Mando Integral Detallado'!I155,'Cuadro Mando Integral Detallado'!I166,'Cuadro Mando Integral Detallado'!I184:I193,'Cuadro Mando Integral Detallado'!I195:I200,'Cuadro Mando Integral Detallado'!I202:I205,'Cuadro Mando Integral Detallado'!I207:I214,'Cuadro Mando Integral Detallado'!I216:I225,'Cuadro Mando Integral Detallado'!I228:I236)</f>
        <v>6.0606060606060608E-2</v>
      </c>
      <c r="Q7" s="175"/>
      <c r="R7" s="503">
        <f>+'Cuadro Mando Integral Detallado'!Q238</f>
        <v>0.92511573259767288</v>
      </c>
      <c r="S7" s="556">
        <f>+R7</f>
        <v>0.92511573259767288</v>
      </c>
      <c r="T7" s="556">
        <f>+R7</f>
        <v>0.92511573259767288</v>
      </c>
      <c r="U7" s="556">
        <f>+R7</f>
        <v>0.92511573259767288</v>
      </c>
      <c r="V7" s="556">
        <f>+R7</f>
        <v>0.92511573259767288</v>
      </c>
      <c r="W7" s="498">
        <f>+R7</f>
        <v>0.92511573259767288</v>
      </c>
      <c r="X7" s="578">
        <f>+'Cuadro Mando Integral Detallado'!S238</f>
        <v>0.38178537791092709</v>
      </c>
      <c r="Y7" s="578">
        <f>+'Cuadro Mando Integral Detallado'!T238</f>
        <v>0.54609807220170581</v>
      </c>
      <c r="Z7" s="571">
        <f>+X7</f>
        <v>0.38178537791092709</v>
      </c>
      <c r="AA7" s="568">
        <f>+X7</f>
        <v>0.38178537791092709</v>
      </c>
      <c r="AB7" s="568">
        <f>+X7</f>
        <v>0.38178537791092709</v>
      </c>
      <c r="AC7" s="568">
        <f>+X7</f>
        <v>0.38178537791092709</v>
      </c>
      <c r="AD7" s="659">
        <f>+X7</f>
        <v>0.38178537791092709</v>
      </c>
      <c r="AE7" s="662">
        <f>COUNT('Cuadro Mando Integral Detallado'!U120:U236)/COUNT('Cuadro Mando Integral Detallado'!P120:P125,'Cuadro Mando Integral Detallado'!P127:P130,'Cuadro Mando Integral Detallado'!P138,'Cuadro Mando Integral Detallado'!P143:P146,'Cuadro Mando Integral Detallado'!P151:P153,'Cuadro Mando Integral Detallado'!P155,'Cuadro Mando Integral Detallado'!P166:P167,'Cuadro Mando Integral Detallado'!P173,'Cuadro Mando Integral Detallado'!P175:P176,'Cuadro Mando Integral Detallado'!P179:P180,'Cuadro Mando Integral Detallado'!P184:P193,'Cuadro Mando Integral Detallado'!P195:P200,'Cuadro Mando Integral Detallado'!P202:P205,'Cuadro Mando Integral Detallado'!P207:P214,'Cuadro Mando Integral Detallado'!P216:P225,'Cuadro Mando Integral Detallado'!P228:P236)</f>
        <v>0.17808219178082191</v>
      </c>
      <c r="AF7" s="502"/>
      <c r="AG7" s="503">
        <f>+'Cuadro Mando Integral Detallado'!X238</f>
        <v>0.92519352213802131</v>
      </c>
      <c r="AH7" s="561">
        <f>+AG7</f>
        <v>0.92519352213802131</v>
      </c>
      <c r="AI7" s="556">
        <f>+AG7</f>
        <v>0.92519352213802131</v>
      </c>
      <c r="AJ7" s="556">
        <f>+AG7</f>
        <v>0.92519352213802131</v>
      </c>
      <c r="AK7" s="556">
        <f>+AG7</f>
        <v>0.92519352213802131</v>
      </c>
      <c r="AL7" s="498">
        <f>+AG7</f>
        <v>0.92519352213802131</v>
      </c>
      <c r="AM7" s="503">
        <f>+'Cuadro Mando Integral Detallado'!Z238</f>
        <v>0.60234456284088667</v>
      </c>
      <c r="AN7" s="578">
        <f>+'Cuadro Mando Integral Detallado'!AA238</f>
        <v>0.75370512471788487</v>
      </c>
      <c r="AO7" s="582">
        <f>+AM7</f>
        <v>0.60234456284088667</v>
      </c>
      <c r="AP7" s="568">
        <f>+AM7</f>
        <v>0.60234456284088667</v>
      </c>
      <c r="AQ7" s="568">
        <f>+AM7</f>
        <v>0.60234456284088667</v>
      </c>
      <c r="AR7" s="568">
        <f>+AM7</f>
        <v>0.60234456284088667</v>
      </c>
      <c r="AS7" s="508">
        <f>+AM7</f>
        <v>0.60234456284088667</v>
      </c>
      <c r="AT7" s="869">
        <f>COUNT('Cuadro Mando Integral Detallado'!AB120:AB236)/COUNT('Cuadro Mando Integral Detallado'!W120:AF155,'Cuadro Mando Integral Detallado'!W166,'Cuadro Mando Integral Detallado'!W184:W193,'Cuadro Mando Integral Detallado'!W195:W200,'Cuadro Mando Integral Detallado'!W202:W205,'Cuadro Mando Integral Detallado'!W207:W214,'Cuadro Mando Integral Detallado'!W216:W225,'Cuadro Mando Integral Detallado'!W228:W236)</f>
        <v>1.65016501650165E-2</v>
      </c>
      <c r="AU7" s="502"/>
      <c r="AV7" s="503">
        <f>+'Cuadro Mando Integral Detallado'!AE238</f>
        <v>0.88297329116766188</v>
      </c>
      <c r="AW7" s="561">
        <f>+AV7</f>
        <v>0.88297329116766188</v>
      </c>
      <c r="AX7" s="556">
        <f>+AV7</f>
        <v>0.88297329116766188</v>
      </c>
      <c r="AY7" s="556">
        <f>+AV7</f>
        <v>0.88297329116766188</v>
      </c>
      <c r="AZ7" s="556">
        <f>+AV7</f>
        <v>0.88297329116766188</v>
      </c>
      <c r="BA7" s="498">
        <f>+AV7</f>
        <v>0.88297329116766188</v>
      </c>
      <c r="BB7" s="578">
        <f>+'Cuadro Mando Integral Detallado'!AG238</f>
        <v>0.91025901072380733</v>
      </c>
      <c r="BC7" s="582">
        <f>+BB7</f>
        <v>0.91025901072380733</v>
      </c>
      <c r="BD7" s="568">
        <f>+BB7</f>
        <v>0.91025901072380733</v>
      </c>
      <c r="BE7" s="568">
        <f>+BB7</f>
        <v>0.91025901072380733</v>
      </c>
      <c r="BF7" s="568">
        <f>+BB7</f>
        <v>0.91025901072380733</v>
      </c>
      <c r="BG7" s="508">
        <f>+BB7</f>
        <v>0.91025901072380733</v>
      </c>
      <c r="BH7" s="662">
        <f>COUNT('Cuadro Mando Integral Detallado'!AI120:AI236)/COUNT('Cuadro Mando Integral Detallado'!AD120:AD155,'Cuadro Mando Integral Detallado'!AD166,'Cuadro Mando Integral Detallado'!AD184:AD193,'Cuadro Mando Integral Detallado'!AD195:AD200,'Cuadro Mando Integral Detallado'!AD202:AD205,'Cuadro Mando Integral Detallado'!AD207:AD214,'Cuadro Mando Integral Detallado'!AD216:AD225,'Cuadro Mando Integral Detallado'!AD228:AD236)</f>
        <v>0.14285714285714285</v>
      </c>
    </row>
    <row r="8" spans="1:63" ht="18" x14ac:dyDescent="0.25">
      <c r="A8" s="292" t="s">
        <v>827</v>
      </c>
      <c r="B8" s="290"/>
      <c r="C8" s="503">
        <f>+'Cuadro Mando Integral Detallado'!J333</f>
        <v>1</v>
      </c>
      <c r="D8" s="561">
        <f>+C8</f>
        <v>1</v>
      </c>
      <c r="E8" s="556">
        <f>+C8</f>
        <v>1</v>
      </c>
      <c r="F8" s="556">
        <f>+C8</f>
        <v>1</v>
      </c>
      <c r="G8" s="556">
        <f>+C8</f>
        <v>1</v>
      </c>
      <c r="H8" s="498">
        <f>+C8</f>
        <v>1</v>
      </c>
      <c r="I8" s="685">
        <f>+'Cuadro Mando Integral Detallado'!L333</f>
        <v>0.18828283983348124</v>
      </c>
      <c r="J8" s="685">
        <f>+'Cuadro Mando Integral Detallado'!M333</f>
        <v>0.42240535851621935</v>
      </c>
      <c r="K8" s="571">
        <f>+I8</f>
        <v>0.18828283983348124</v>
      </c>
      <c r="L8" s="568">
        <f>+I8</f>
        <v>0.18828283983348124</v>
      </c>
      <c r="M8" s="568">
        <f>+I8</f>
        <v>0.18828283983348124</v>
      </c>
      <c r="N8" s="568">
        <f>+I8</f>
        <v>0.18828283983348124</v>
      </c>
      <c r="O8" s="508">
        <f>+I8</f>
        <v>0.18828283983348124</v>
      </c>
      <c r="P8" s="662">
        <f>COUNT('Cuadro Mando Integral Detallado'!N239:N331)/COUNT('Cuadro Mando Integral Detallado'!I239,'Cuadro Mando Integral Detallado'!I243,'Cuadro Mando Integral Detallado'!I247,'Cuadro Mando Integral Detallado'!I251,'Cuadro Mando Integral Detallado'!I257,'Cuadro Mando Integral Detallado'!I259:I264,'Cuadro Mando Integral Detallado'!I269:I270,'Cuadro Mando Integral Detallado'!I275:I277,'Cuadro Mando Integral Detallado'!I281:I282,'Cuadro Mando Integral Detallado'!I286,'Cuadro Mando Integral Detallado'!I291,'Cuadro Mando Integral Detallado'!I304:I306,'Cuadro Mando Integral Detallado'!I320,'Cuadro Mando Integral Detallado'!I323:I328,'Cuadro Mando Integral Detallado'!I331)</f>
        <v>0.13793103448275862</v>
      </c>
      <c r="Q8" s="175"/>
      <c r="R8" s="503">
        <f>+'Cuadro Mando Integral Detallado'!Q333</f>
        <v>0.72959592148259977</v>
      </c>
      <c r="S8" s="556">
        <f>+R8</f>
        <v>0.72959592148259977</v>
      </c>
      <c r="T8" s="556">
        <f>+R8</f>
        <v>0.72959592148259977</v>
      </c>
      <c r="U8" s="556">
        <f>+R8</f>
        <v>0.72959592148259977</v>
      </c>
      <c r="V8" s="556">
        <f>+R8</f>
        <v>0.72959592148259977</v>
      </c>
      <c r="W8" s="498">
        <f>+R8</f>
        <v>0.72959592148259977</v>
      </c>
      <c r="X8" s="578">
        <f>+'Cuadro Mando Integral Detallado'!S333</f>
        <v>0.30219019310081807</v>
      </c>
      <c r="Y8" s="578">
        <f>+'Cuadro Mando Integral Detallado'!T333</f>
        <v>0.61654588538030497</v>
      </c>
      <c r="Z8" s="571">
        <f>+X8</f>
        <v>0.30219019310081807</v>
      </c>
      <c r="AA8" s="568">
        <f>+X8</f>
        <v>0.30219019310081807</v>
      </c>
      <c r="AB8" s="568">
        <f>+X8</f>
        <v>0.30219019310081807</v>
      </c>
      <c r="AC8" s="568">
        <f>+X8</f>
        <v>0.30219019310081807</v>
      </c>
      <c r="AD8" s="659">
        <f>+X8</f>
        <v>0.30219019310081807</v>
      </c>
      <c r="AE8" s="662">
        <f>COUNT('Cuadro Mando Integral Detallado'!U239:U331)/COUNT('Cuadro Mando Integral Detallado'!P239,'Cuadro Mando Integral Detallado'!P243,'Cuadro Mando Integral Detallado'!P247,'Cuadro Mando Integral Detallado'!P251,'Cuadro Mando Integral Detallado'!P257,'Cuadro Mando Integral Detallado'!P259:P264,'Cuadro Mando Integral Detallado'!P268,'Cuadro Mando Integral Detallado'!P270,'Cuadro Mando Integral Detallado'!P277:P278,'Cuadro Mando Integral Detallado'!P280:P281,'Cuadro Mando Integral Detallado'!P285:P286,'Cuadro Mando Integral Detallado'!P292:P295,'Cuadro Mando Integral Detallado'!P297:P298,'Cuadro Mando Integral Detallado'!P304:P306,'Cuadro Mando Integral Detallado'!P308:P309,'Cuadro Mando Integral Detallado'!P313,'Cuadro Mando Integral Detallado'!P320:P321,'Cuadro Mando Integral Detallado'!P323:P327,'Cuadro Mando Integral Detallado'!P331)</f>
        <v>5.2631578947368418E-2</v>
      </c>
      <c r="AF8" s="502"/>
      <c r="AG8" s="503">
        <f>+'Cuadro Mando Integral Detallado'!X333</f>
        <v>0.62559644926193281</v>
      </c>
      <c r="AH8" s="561">
        <f>+AG8</f>
        <v>0.62559644926193281</v>
      </c>
      <c r="AI8" s="556">
        <f>+AG8</f>
        <v>0.62559644926193281</v>
      </c>
      <c r="AJ8" s="556">
        <f>+AG8</f>
        <v>0.62559644926193281</v>
      </c>
      <c r="AK8" s="556">
        <f>+AG8</f>
        <v>0.62559644926193281</v>
      </c>
      <c r="AL8" s="498">
        <f>+AG8</f>
        <v>0.62559644926193281</v>
      </c>
      <c r="AM8" s="503">
        <f>+'Cuadro Mando Integral Detallado'!Z333</f>
        <v>0.47796180364869112</v>
      </c>
      <c r="AN8" s="578">
        <f>+'Cuadro Mando Integral Detallado'!AA333</f>
        <v>0.6490406331989611</v>
      </c>
      <c r="AO8" s="582">
        <f>+AM8</f>
        <v>0.47796180364869112</v>
      </c>
      <c r="AP8" s="568">
        <f>+AM8</f>
        <v>0.47796180364869112</v>
      </c>
      <c r="AQ8" s="568">
        <f>+AM8</f>
        <v>0.47796180364869112</v>
      </c>
      <c r="AR8" s="568">
        <f>+AM8</f>
        <v>0.47796180364869112</v>
      </c>
      <c r="AS8" s="508">
        <f>+AM8</f>
        <v>0.47796180364869112</v>
      </c>
      <c r="AT8" s="869">
        <f>COUNT('Cuadro Mando Integral Detallado'!AB239:AB331)/COUNT('Cuadro Mando Integral Detallado'!W239,'Cuadro Mando Integral Detallado'!W243,'Cuadro Mando Integral Detallado'!W247,'Cuadro Mando Integral Detallado'!W251,'Cuadro Mando Integral Detallado'!W257,'Cuadro Mando Integral Detallado'!W259:W278,'Cuadro Mando Integral Detallado'!W280:W281,'Cuadro Mando Integral Detallado'!W286,'Cuadro Mando Integral Detallado'!W304:W306,'Cuadro Mando Integral Detallado'!W308:W321,'Cuadro Mando Integral Detallado'!W323:W327,'Cuadro Mando Integral Detallado'!W331)</f>
        <v>0.11428571428571428</v>
      </c>
      <c r="AU8" s="502"/>
      <c r="AV8" s="503">
        <f>+'Cuadro Mando Integral Detallado'!AE333</f>
        <v>0.76118859139447759</v>
      </c>
      <c r="AW8" s="561">
        <f>+AV8</f>
        <v>0.76118859139447759</v>
      </c>
      <c r="AX8" s="556">
        <f>+AV8</f>
        <v>0.76118859139447759</v>
      </c>
      <c r="AY8" s="556">
        <f>+AV8</f>
        <v>0.76118859139447759</v>
      </c>
      <c r="AZ8" s="556">
        <f>+AV8</f>
        <v>0.76118859139447759</v>
      </c>
      <c r="BA8" s="498">
        <f>+AV8</f>
        <v>0.76118859139447759</v>
      </c>
      <c r="BB8" s="578">
        <f>+'Cuadro Mando Integral Detallado'!AG333</f>
        <v>0.86306026218702925</v>
      </c>
      <c r="BC8" s="582">
        <f>+BB8</f>
        <v>0.86306026218702925</v>
      </c>
      <c r="BD8" s="568">
        <f>+BB8</f>
        <v>0.86306026218702925</v>
      </c>
      <c r="BE8" s="568">
        <f>+BB8</f>
        <v>0.86306026218702925</v>
      </c>
      <c r="BF8" s="568">
        <f>+BB8</f>
        <v>0.86306026218702925</v>
      </c>
      <c r="BG8" s="508">
        <f>+BB8</f>
        <v>0.86306026218702925</v>
      </c>
      <c r="BH8" s="662">
        <f>COUNT('Cuadro Mando Integral Detallado'!AI239:AI331)/COUNT('Cuadro Mando Integral Detallado'!AD239,'Cuadro Mando Integral Detallado'!AD243,'Cuadro Mando Integral Detallado'!AD247,'Cuadro Mando Integral Detallado'!AD251,'Cuadro Mando Integral Detallado'!AD257,'Cuadro Mando Integral Detallado'!AD259:AD278,'Cuadro Mando Integral Detallado'!AD280:AD281,'Cuadro Mando Integral Detallado'!AD286,'Cuadro Mando Integral Detallado'!AD304:AD306,'Cuadro Mando Integral Detallado'!AD308:AD321,'Cuadro Mando Integral Detallado'!AD323:AD327,'Cuadro Mando Integral Detallado'!AD331)</f>
        <v>0.10526315789473684</v>
      </c>
    </row>
    <row r="9" spans="1:63" ht="18.75" thickBot="1" x14ac:dyDescent="0.3">
      <c r="A9" s="293" t="s">
        <v>828</v>
      </c>
      <c r="B9" s="290"/>
      <c r="C9" s="504">
        <f>+'Cuadro Mando Integral Detallado'!I383</f>
        <v>1.0977777777777777</v>
      </c>
      <c r="D9" s="562">
        <f>+C9</f>
        <v>1.0977777777777777</v>
      </c>
      <c r="E9" s="558">
        <f>+C9</f>
        <v>1.0977777777777777</v>
      </c>
      <c r="F9" s="558">
        <f>+C9</f>
        <v>1.0977777777777777</v>
      </c>
      <c r="G9" s="558">
        <f>+C9</f>
        <v>1.0977777777777777</v>
      </c>
      <c r="H9" s="499">
        <f>+C9</f>
        <v>1.0977777777777777</v>
      </c>
      <c r="I9" s="686">
        <f>+'Cuadro Mando Integral Detallado'!L383</f>
        <v>3.1041666666666665E-2</v>
      </c>
      <c r="J9" s="686">
        <f>+'Cuadro Mando Integral Detallado'!M383</f>
        <v>0.49666666666666665</v>
      </c>
      <c r="K9" s="572">
        <f>+I9</f>
        <v>3.1041666666666665E-2</v>
      </c>
      <c r="L9" s="573">
        <f>+I9</f>
        <v>3.1041666666666665E-2</v>
      </c>
      <c r="M9" s="573">
        <f>+I9</f>
        <v>3.1041666666666665E-2</v>
      </c>
      <c r="N9" s="573">
        <f>+I9</f>
        <v>3.1041666666666665E-2</v>
      </c>
      <c r="O9" s="509">
        <f>+I9</f>
        <v>3.1041666666666665E-2</v>
      </c>
      <c r="P9" s="663">
        <f>COUNT('Cuadro Mando Integral Detallado'!N334:N381)/COUNT('Cuadro Mando Integral Detallado'!I334,'Cuadro Mando Integral Detallado'!I363,'Cuadro Mando Integral Detallado'!I376)</f>
        <v>0.33333333333333331</v>
      </c>
      <c r="Q9" s="175"/>
      <c r="R9" s="504">
        <f>+'Cuadro Mando Integral Detallado'!Q383</f>
        <v>0.63319892473118267</v>
      </c>
      <c r="S9" s="558">
        <f>+R9</f>
        <v>0.63319892473118267</v>
      </c>
      <c r="T9" s="558">
        <f>+R9</f>
        <v>0.63319892473118267</v>
      </c>
      <c r="U9" s="558">
        <f>+R9</f>
        <v>0.63319892473118267</v>
      </c>
      <c r="V9" s="558">
        <f>+R9</f>
        <v>0.63319892473118267</v>
      </c>
      <c r="W9" s="499">
        <f>+R9</f>
        <v>0.63319892473118267</v>
      </c>
      <c r="X9" s="579">
        <f>+'Cuadro Mando Integral Detallado'!S383</f>
        <v>0.11543206765232973</v>
      </c>
      <c r="Y9" s="579">
        <f>+'Cuadro Mando Integral Detallado'!T383</f>
        <v>0.55407392473118278</v>
      </c>
      <c r="Z9" s="572">
        <f>+X9</f>
        <v>0.11543206765232973</v>
      </c>
      <c r="AA9" s="573">
        <f>+X9</f>
        <v>0.11543206765232973</v>
      </c>
      <c r="AB9" s="573">
        <f>+X9</f>
        <v>0.11543206765232973</v>
      </c>
      <c r="AC9" s="573">
        <f>+X9</f>
        <v>0.11543206765232973</v>
      </c>
      <c r="AD9" s="660">
        <f>+X9</f>
        <v>0.11543206765232973</v>
      </c>
      <c r="AE9" s="663">
        <f>COUNT('Cuadro Mando Integral Detallado'!U334:U381)/COUNT('Cuadro Mando Integral Detallado'!P334,'Cuadro Mando Integral Detallado'!P348,'Cuadro Mando Integral Detallado'!P350:P351,'Cuadro Mando Integral Detallado'!P363,'Cuadro Mando Integral Detallado'!P376:P379)</f>
        <v>0.22222222222222221</v>
      </c>
      <c r="AF9" s="502"/>
      <c r="AG9" s="504">
        <f>+'Cuadro Mando Integral Detallado'!X383</f>
        <v>0.8242720206477433</v>
      </c>
      <c r="AH9" s="562">
        <f>+AG9</f>
        <v>0.8242720206477433</v>
      </c>
      <c r="AI9" s="558">
        <f>+AG9</f>
        <v>0.8242720206477433</v>
      </c>
      <c r="AJ9" s="558">
        <f>+AG9</f>
        <v>0.8242720206477433</v>
      </c>
      <c r="AK9" s="558">
        <f>+AG9</f>
        <v>0.8242720206477433</v>
      </c>
      <c r="AL9" s="499">
        <f>+AG9</f>
        <v>0.8242720206477433</v>
      </c>
      <c r="AM9" s="504">
        <f>+'Cuadro Mando Integral Detallado'!Z383</f>
        <v>0.33138305377364374</v>
      </c>
      <c r="AN9" s="579">
        <f>+'Cuadro Mando Integral Detallado'!AA383</f>
        <v>0.77875017636806276</v>
      </c>
      <c r="AO9" s="583">
        <f>+AM9</f>
        <v>0.33138305377364374</v>
      </c>
      <c r="AP9" s="573">
        <f>+AM9</f>
        <v>0.33138305377364374</v>
      </c>
      <c r="AQ9" s="573">
        <f>+AM9</f>
        <v>0.33138305377364374</v>
      </c>
      <c r="AR9" s="573">
        <f>+AM9</f>
        <v>0.33138305377364374</v>
      </c>
      <c r="AS9" s="509">
        <f>+AM9</f>
        <v>0.33138305377364374</v>
      </c>
      <c r="AT9" s="870">
        <f>COUNT('Cuadro Mando Integral Detallado'!AB334:AB376)/COUNT('Cuadro Mando Integral Detallado'!W334:W376)</f>
        <v>0</v>
      </c>
      <c r="AU9" s="502"/>
      <c r="AV9" s="504">
        <f>+'Cuadro Mando Integral Detallado'!AE383</f>
        <v>0.75061196386600382</v>
      </c>
      <c r="AW9" s="562">
        <f>+AV9</f>
        <v>0.75061196386600382</v>
      </c>
      <c r="AX9" s="558">
        <f>+AV9</f>
        <v>0.75061196386600382</v>
      </c>
      <c r="AY9" s="558">
        <f>+AV9</f>
        <v>0.75061196386600382</v>
      </c>
      <c r="AZ9" s="558">
        <f>+AV9</f>
        <v>0.75061196386600382</v>
      </c>
      <c r="BA9" s="499">
        <f>+AV9</f>
        <v>0.75061196386600382</v>
      </c>
      <c r="BB9" s="579">
        <f>+'Cuadro Mando Integral Detallado'!AG383</f>
        <v>0.86745361321414294</v>
      </c>
      <c r="BC9" s="583">
        <f>+BB9</f>
        <v>0.86745361321414294</v>
      </c>
      <c r="BD9" s="573">
        <f>+BB9</f>
        <v>0.86745361321414294</v>
      </c>
      <c r="BE9" s="573">
        <f>+BB9</f>
        <v>0.86745361321414294</v>
      </c>
      <c r="BF9" s="573">
        <f>+BB9</f>
        <v>0.86745361321414294</v>
      </c>
      <c r="BG9" s="509">
        <f>+BB9</f>
        <v>0.86745361321414294</v>
      </c>
      <c r="BH9" s="663">
        <f>COUNT('Cuadro Mando Integral Detallado'!AI334:AI376)/COUNT('Cuadro Mando Integral Detallado'!AD334:AD376)</f>
        <v>0</v>
      </c>
    </row>
    <row r="10" spans="1:63" ht="11.25" customHeight="1" thickBot="1" x14ac:dyDescent="0.3">
      <c r="A10" s="401"/>
      <c r="B10" s="290"/>
      <c r="P10" s="657"/>
      <c r="R10" s="627"/>
      <c r="S10" s="627"/>
      <c r="T10" s="627"/>
      <c r="U10" s="627"/>
      <c r="V10" s="627"/>
      <c r="W10" s="627"/>
      <c r="X10" s="627"/>
      <c r="Y10" s="647"/>
      <c r="AE10" s="657"/>
      <c r="AF10" s="627"/>
      <c r="AG10" s="625"/>
      <c r="AH10" s="23"/>
      <c r="AI10" s="23"/>
      <c r="AJ10" s="23"/>
      <c r="AK10" s="23"/>
      <c r="AL10" s="23"/>
      <c r="AM10" s="625"/>
      <c r="AN10" s="646"/>
      <c r="AO10" s="511"/>
      <c r="AP10" s="511"/>
      <c r="AQ10" s="511"/>
      <c r="AR10" s="511"/>
      <c r="AS10" s="511"/>
      <c r="AT10" s="853"/>
      <c r="AU10" s="627"/>
      <c r="AV10" s="627"/>
      <c r="BB10" s="627"/>
      <c r="BC10" s="161"/>
      <c r="BH10" s="511"/>
    </row>
    <row r="11" spans="1:63" ht="18.75" thickBot="1" x14ac:dyDescent="0.3">
      <c r="A11" s="621" t="s">
        <v>1178</v>
      </c>
      <c r="B11" s="294"/>
      <c r="C11" s="564">
        <f>+'Cuadro Mando Integral Detallado'!J384</f>
        <v>1</v>
      </c>
      <c r="D11" s="563">
        <f>+C11</f>
        <v>1</v>
      </c>
      <c r="E11" s="559">
        <f>+C11</f>
        <v>1</v>
      </c>
      <c r="F11" s="559">
        <f>+C11</f>
        <v>1</v>
      </c>
      <c r="G11" s="559">
        <f>+C11</f>
        <v>1</v>
      </c>
      <c r="H11" s="500">
        <f>+C11</f>
        <v>1</v>
      </c>
      <c r="I11" s="664">
        <f>+'Cuadro Mando Integral Detallado'!L384</f>
        <v>0.132740258902872</v>
      </c>
      <c r="J11" s="574">
        <f>+'Cuadro Mando Integral Detallado'!M384</f>
        <v>0.326850651850213</v>
      </c>
      <c r="K11" s="575">
        <f>+I11</f>
        <v>0.132740258902872</v>
      </c>
      <c r="L11" s="576">
        <f>+I11</f>
        <v>0.132740258902872</v>
      </c>
      <c r="M11" s="576">
        <f>+I11</f>
        <v>0.132740258902872</v>
      </c>
      <c r="N11" s="576">
        <f>+I11</f>
        <v>0.132740258902872</v>
      </c>
      <c r="O11" s="510">
        <f>+I11</f>
        <v>0.132740258902872</v>
      </c>
      <c r="P11" s="664">
        <f>COUNT('Cuadro Mando Integral Detallado'!N15:N381)/COUNT('Cuadro Mando Integral Detallado'!I15:I30,'Cuadro Mando Integral Detallado'!I34,'Cuadro Mando Integral Detallado'!I42,'Cuadro Mando Integral Detallado'!I44:I69,'Cuadro Mando Integral Detallado'!I71,'Cuadro Mando Integral Detallado'!I74:I77,'Cuadro Mando Integral Detallado'!I83,'Cuadro Mando Integral Detallado'!I86:I90,'Cuadro Mando Integral Detallado'!I93:I103,'Cuadro Mando Integral Detallado'!I107:I108,'Cuadro Mando Integral Detallado'!I110:I116,'Cuadro Mando Integral Detallado'!I120:I125,'Cuadro Mando Integral Detallado'!I127:I128,'Cuadro Mando Integral Detallado'!I131,'Cuadro Mando Integral Detallado'!I133,'Cuadro Mando Integral Detallado'!I135:I138,'Cuadro Mando Integral Detallado'!I143:I144,'Cuadro Mando Integral Detallado'!I149,'Cuadro Mando Integral Detallado'!I151:I152,'Cuadro Mando Integral Detallado'!I155,'Cuadro Mando Integral Detallado'!I166,'Cuadro Mando Integral Detallado'!I184:I193,'Cuadro Mando Integral Detallado'!I195:I200,'Cuadro Mando Integral Detallado'!I202:I205,'Cuadro Mando Integral Detallado'!I207:I214,'Cuadro Mando Integral Detallado'!I216:I225,'Cuadro Mando Integral Detallado'!I228:I236,'Cuadro Mando Integral Detallado'!I239,'Cuadro Mando Integral Detallado'!I243,'Cuadro Mando Integral Detallado'!I247,'Cuadro Mando Integral Detallado'!I251,'Cuadro Mando Integral Detallado'!I257,'Cuadro Mando Integral Detallado'!I259:I264,'Cuadro Mando Integral Detallado'!I269:I270,'Cuadro Mando Integral Detallado'!I275:I277,'Cuadro Mando Integral Detallado'!I281:I282,'Cuadro Mando Integral Detallado'!I286,'Cuadro Mando Integral Detallado'!I291,'Cuadro Mando Integral Detallado'!I304:I306,'Cuadro Mando Integral Detallado'!I320,'Cuadro Mando Integral Detallado'!I323:I328,'Cuadro Mando Integral Detallado'!I331,'Cuadro Mando Integral Detallado'!I334,'Cuadro Mando Integral Detallado'!I363,'Cuadro Mando Integral Detallado'!I376)</f>
        <v>0.12121212121212122</v>
      </c>
      <c r="Q11" s="176"/>
      <c r="R11" s="564">
        <f>+'Cuadro Mando Integral Detallado'!Q384</f>
        <v>0.72760858249801519</v>
      </c>
      <c r="S11" s="563">
        <f>+R11</f>
        <v>0.72760858249801519</v>
      </c>
      <c r="T11" s="559">
        <f>+R11</f>
        <v>0.72760858249801519</v>
      </c>
      <c r="U11" s="559">
        <f>+R11</f>
        <v>0.72760858249801519</v>
      </c>
      <c r="V11" s="559">
        <f>+R11</f>
        <v>0.72760858249801519</v>
      </c>
      <c r="W11" s="500">
        <f>+R11</f>
        <v>0.72760858249801519</v>
      </c>
      <c r="X11" s="580">
        <f>+'Cuadro Mando Integral Detallado'!S384</f>
        <v>0.26190144015304523</v>
      </c>
      <c r="Y11" s="580">
        <f>+'Cuadro Mando Integral Detallado'!T384</f>
        <v>0.50947886297327383</v>
      </c>
      <c r="Z11" s="575">
        <f>+X11</f>
        <v>0.26190144015304523</v>
      </c>
      <c r="AA11" s="576">
        <f>+X11</f>
        <v>0.26190144015304523</v>
      </c>
      <c r="AB11" s="576">
        <f>+X11</f>
        <v>0.26190144015304523</v>
      </c>
      <c r="AC11" s="576">
        <f>+X11</f>
        <v>0.26190144015304523</v>
      </c>
      <c r="AD11" s="510">
        <f>+X11</f>
        <v>0.26190144015304523</v>
      </c>
      <c r="AE11" s="664">
        <f>COUNT('Cuadro Mando Integral Detallado'!U15:U381)/COUNT('Cuadro Mando Integral Detallado'!P15:P30,'Cuadro Mando Integral Detallado'!P34,'Cuadro Mando Integral Detallado'!P42,'Cuadro Mando Integral Detallado'!P44:P69,'Cuadro Mando Integral Detallado'!P71:P72,'Cuadro Mando Integral Detallado'!P74:P77,'Cuadro Mando Integral Detallado'!P79:P84,'Cuadro Mando Integral Detallado'!P86:P87,'Cuadro Mando Integral Detallado'!P89:P90,'Cuadro Mando Integral Detallado'!P93:P103,'Cuadro Mando Integral Detallado'!P107:P108,'Cuadro Mando Integral Detallado'!P110:P112,'Cuadro Mando Integral Detallado'!P114:P116,'Cuadro Mando Integral Detallado'!P120:P125,'Cuadro Mando Integral Detallado'!P127:P130,'Cuadro Mando Integral Detallado'!P138,'Cuadro Mando Integral Detallado'!P143:P146,'Cuadro Mando Integral Detallado'!P151:P153,'Cuadro Mando Integral Detallado'!P155,'Cuadro Mando Integral Detallado'!P166:P167,'Cuadro Mando Integral Detallado'!P173,'Cuadro Mando Integral Detallado'!P175:P176,'Cuadro Mando Integral Detallado'!P179:P180,'Cuadro Mando Integral Detallado'!P184:P193,'Cuadro Mando Integral Detallado'!P195:P200,'Cuadro Mando Integral Detallado'!P202:P205,'Cuadro Mando Integral Detallado'!P207:P214,'Cuadro Mando Integral Detallado'!P216:P225,'Cuadro Mando Integral Detallado'!P228:P236,'Cuadro Mando Integral Detallado'!P239,'Cuadro Mando Integral Detallado'!P243,'Cuadro Mando Integral Detallado'!P247,'Cuadro Mando Integral Detallado'!P251,'Cuadro Mando Integral Detallado'!P257,'Cuadro Mando Integral Detallado'!P259:P264,'Cuadro Mando Integral Detallado'!P268,'Cuadro Mando Integral Detallado'!P270,'Cuadro Mando Integral Detallado'!P277:P278,'Cuadro Mando Integral Detallado'!P280:P281,'Cuadro Mando Integral Detallado'!P285:P286,'Cuadro Mando Integral Detallado'!P292:P295,'Cuadro Mando Integral Detallado'!P297:P298,'Cuadro Mando Integral Detallado'!P304:P306,'Cuadro Mando Integral Detallado'!P308:P309,'Cuadro Mando Integral Detallado'!P313,'Cuadro Mando Integral Detallado'!P320:P321,'Cuadro Mando Integral Detallado'!P323:P327,'Cuadro Mando Integral Detallado'!P331,'Cuadro Mando Integral Detallado'!P334,'Cuadro Mando Integral Detallado'!P348,'Cuadro Mando Integral Detallado'!P350:P351,'Cuadro Mando Integral Detallado'!P363,'Cuadro Mando Integral Detallado'!P376:P379)</f>
        <v>0.1693121693121693</v>
      </c>
      <c r="AF11" s="505"/>
      <c r="AG11" s="564">
        <f>+'Cuadro Mando Integral Detallado'!X384</f>
        <v>0.75066800379878351</v>
      </c>
      <c r="AH11" s="563">
        <f>+AG11</f>
        <v>0.75066800379878351</v>
      </c>
      <c r="AI11" s="559">
        <f>+AG11</f>
        <v>0.75066800379878351</v>
      </c>
      <c r="AJ11" s="559">
        <f>+AG11</f>
        <v>0.75066800379878351</v>
      </c>
      <c r="AK11" s="559">
        <f>+AG11</f>
        <v>0.75066800379878351</v>
      </c>
      <c r="AL11" s="500">
        <f>+AG11</f>
        <v>0.75066800379878351</v>
      </c>
      <c r="AM11" s="580">
        <f>+'Cuadro Mando Integral Detallado'!Z384</f>
        <v>0.45908095637638741</v>
      </c>
      <c r="AN11" s="624">
        <f>+'Cuadro Mando Integral Detallado'!AA384</f>
        <v>0.6685179610915023</v>
      </c>
      <c r="AO11" s="584">
        <f>+AM11</f>
        <v>0.45908095637638741</v>
      </c>
      <c r="AP11" s="576">
        <f>+AM11</f>
        <v>0.45908095637638741</v>
      </c>
      <c r="AQ11" s="576">
        <f>+AM11</f>
        <v>0.45908095637638741</v>
      </c>
      <c r="AR11" s="576">
        <f>+AM11</f>
        <v>0.45908095637638741</v>
      </c>
      <c r="AS11" s="510">
        <f>+AM11</f>
        <v>0.45908095637638741</v>
      </c>
      <c r="AT11" s="871">
        <f>COUNT('Cuadro Mando Integral Detallado'!AB15:AB376)/COUNT('Cuadro Mando Integral Detallado'!W15:W17,'Cuadro Mando Integral Detallado'!W18:W34,'Cuadro Mando Integral Detallado'!W40:W42,'Cuadro Mando Integral Detallado'!W44:W69,'Cuadro Mando Integral Detallado'!W71:W72,'Cuadro Mando Integral Detallado'!W74:W77,'Cuadro Mando Integral Detallado'!W79:W84,'Cuadro Mando Integral Detallado'!W86:W87,'Cuadro Mando Integral Detallado'!W89:W90,'Cuadro Mando Integral Detallado'!W93:W108,'Cuadro Mando Integral Detallado'!W110:W112,'Cuadro Mando Integral Detallado'!W114:W116,'Cuadro Mando Integral Detallado'!W120:W155,'Cuadro Mando Integral Detallado'!W166,'Cuadro Mando Integral Detallado'!W184:W193,'Cuadro Mando Integral Detallado'!W195:W200,'Cuadro Mando Integral Detallado'!W202:W205,'Cuadro Mando Integral Detallado'!W207:W214,'Cuadro Mando Integral Detallado'!W216:W225,'Cuadro Mando Integral Detallado'!W228:W236,'Cuadro Mando Integral Detallado'!W239,'Cuadro Mando Integral Detallado'!W243,'Cuadro Mando Integral Detallado'!W247,'Cuadro Mando Integral Detallado'!W251,'Cuadro Mando Integral Detallado'!W257,'Cuadro Mando Integral Detallado'!W259:W278,'Cuadro Mando Integral Detallado'!W280:W281,'Cuadro Mando Integral Detallado'!W286,'Cuadro Mando Integral Detallado'!W304:W306,'Cuadro Mando Integral Detallado'!W308:W321,'Cuadro Mando Integral Detallado'!W323:W327,'Cuadro Mando Integral Detallado'!W331,'Cuadro Mando Integral Detallado'!W334:W376)</f>
        <v>0.11956521739130435</v>
      </c>
      <c r="AU11" s="505"/>
      <c r="AV11" s="564">
        <f>+'Cuadro Mando Integral Detallado'!AE384</f>
        <v>0.77030415052972501</v>
      </c>
      <c r="AW11" s="563">
        <f>+AV11</f>
        <v>0.77030415052972501</v>
      </c>
      <c r="AX11" s="559">
        <f>+AV11</f>
        <v>0.77030415052972501</v>
      </c>
      <c r="AY11" s="559">
        <f>+AV11</f>
        <v>0.77030415052972501</v>
      </c>
      <c r="AZ11" s="559">
        <f>+AV11</f>
        <v>0.77030415052972501</v>
      </c>
      <c r="BA11" s="500">
        <f>+AV11</f>
        <v>0.77030415052972501</v>
      </c>
      <c r="BB11" s="580">
        <f>+'Cuadro Mando Integral Detallado'!AG384</f>
        <v>0.8340834163980585</v>
      </c>
      <c r="BC11" s="584">
        <f>+BB11</f>
        <v>0.8340834163980585</v>
      </c>
      <c r="BD11" s="576">
        <f>+BB11</f>
        <v>0.8340834163980585</v>
      </c>
      <c r="BE11" s="576">
        <f>+BB11</f>
        <v>0.8340834163980585</v>
      </c>
      <c r="BF11" s="576">
        <f>+BB11</f>
        <v>0.8340834163980585</v>
      </c>
      <c r="BG11" s="510">
        <f>+BB11</f>
        <v>0.8340834163980585</v>
      </c>
      <c r="BH11" s="664">
        <f>COUNT('Cuadro Mando Integral Detallado'!AI15:AI376)/COUNT('Cuadro Mando Integral Detallado'!AD15:AD17,'Cuadro Mando Integral Detallado'!AD18:AD34,'Cuadro Mando Integral Detallado'!AD40:AD42,'Cuadro Mando Integral Detallado'!AD44:AD69,'Cuadro Mando Integral Detallado'!AD71:AD72,'Cuadro Mando Integral Detallado'!AD74:AD77,'Cuadro Mando Integral Detallado'!AD79:AD84,'Cuadro Mando Integral Detallado'!AD86:AD87,'Cuadro Mando Integral Detallado'!AD89:AD90,'Cuadro Mando Integral Detallado'!AD93:AD108,'Cuadro Mando Integral Detallado'!AD110:AD112,'Cuadro Mando Integral Detallado'!AD114:AD116,'Cuadro Mando Integral Detallado'!AD120:AD155,'Cuadro Mando Integral Detallado'!AD166,'Cuadro Mando Integral Detallado'!AD184:AD193,'Cuadro Mando Integral Detallado'!AD195:AD200,'Cuadro Mando Integral Detallado'!AD202:AD205,'Cuadro Mando Integral Detallado'!AD207:AD214,'Cuadro Mando Integral Detallado'!AD216:AD225,'Cuadro Mando Integral Detallado'!AD228:AD236,'Cuadro Mando Integral Detallado'!AD239,'Cuadro Mando Integral Detallado'!AD243,'Cuadro Mando Integral Detallado'!AD247,'Cuadro Mando Integral Detallado'!AD251,'Cuadro Mando Integral Detallado'!AD257,'Cuadro Mando Integral Detallado'!AD259:AD278,'Cuadro Mando Integral Detallado'!AD280:AD281,'Cuadro Mando Integral Detallado'!AD286,'Cuadro Mando Integral Detallado'!AD304:AD306,'Cuadro Mando Integral Detallado'!AD308:AD321,'Cuadro Mando Integral Detallado'!AD323:AD327,'Cuadro Mando Integral Detallado'!AD331,'Cuadro Mando Integral Detallado'!AD334:AD376)</f>
        <v>8.1818181818181818E-2</v>
      </c>
    </row>
    <row r="12" spans="1:63" ht="8.25" customHeight="1" thickBot="1" x14ac:dyDescent="0.3">
      <c r="AE12" s="657"/>
    </row>
    <row r="13" spans="1:63" ht="18.75" thickBot="1" x14ac:dyDescent="0.3">
      <c r="A13" s="621" t="s">
        <v>1177</v>
      </c>
      <c r="C13" s="564">
        <f>+'Cuadro Mando Integral Detallado'!J385</f>
        <v>0.91467846624354077</v>
      </c>
      <c r="D13" s="563">
        <f>+C13</f>
        <v>0.91467846624354077</v>
      </c>
      <c r="E13" s="559">
        <f>+C13</f>
        <v>0.91467846624354077</v>
      </c>
      <c r="F13" s="559">
        <f>+C13</f>
        <v>0.91467846624354077</v>
      </c>
      <c r="G13" s="559">
        <f>+C13</f>
        <v>0.91467846624354077</v>
      </c>
      <c r="H13" s="500">
        <f>+C13</f>
        <v>0.91467846624354077</v>
      </c>
      <c r="I13" s="664">
        <f>+'Cuadro Mando Integral Detallado'!L385</f>
        <v>0.13110817004357114</v>
      </c>
      <c r="J13" s="574">
        <f>+'Cuadro Mando Integral Detallado'!M385</f>
        <v>0.26181044990802338</v>
      </c>
      <c r="K13" s="575">
        <f>+I13</f>
        <v>0.13110817004357114</v>
      </c>
      <c r="L13" s="576">
        <f>+I13</f>
        <v>0.13110817004357114</v>
      </c>
      <c r="M13" s="576">
        <f>+I13</f>
        <v>0.13110817004357114</v>
      </c>
      <c r="N13" s="576">
        <f>+I13</f>
        <v>0.13110817004357114</v>
      </c>
      <c r="O13" s="510">
        <f>+I13</f>
        <v>0.13110817004357114</v>
      </c>
      <c r="P13" s="655"/>
      <c r="Q13" s="176"/>
      <c r="R13" s="564">
        <f>+'Cuadro Mando Integral Detallado'!Q385</f>
        <v>0.76478424113620402</v>
      </c>
      <c r="S13" s="563">
        <f>+R13</f>
        <v>0.76478424113620402</v>
      </c>
      <c r="T13" s="559">
        <f>+R13</f>
        <v>0.76478424113620402</v>
      </c>
      <c r="U13" s="559">
        <f>+R13</f>
        <v>0.76478424113620402</v>
      </c>
      <c r="V13" s="559">
        <f>+R13</f>
        <v>0.76478424113620402</v>
      </c>
      <c r="W13" s="500">
        <f>+R13</f>
        <v>0.76478424113620402</v>
      </c>
      <c r="X13" s="624">
        <f>+'Cuadro Mando Integral Detallado'!S385</f>
        <v>0.28759302334911785</v>
      </c>
      <c r="Y13" s="624">
        <f>+'Cuadro Mando Integral Detallado'!T385</f>
        <v>0.48443863064976117</v>
      </c>
      <c r="Z13" s="575">
        <f>+X13</f>
        <v>0.28759302334911785</v>
      </c>
      <c r="AA13" s="576">
        <f>+X13</f>
        <v>0.28759302334911785</v>
      </c>
      <c r="AB13" s="576">
        <f>+X13</f>
        <v>0.28759302334911785</v>
      </c>
      <c r="AC13" s="576">
        <f>+X13</f>
        <v>0.28759302334911785</v>
      </c>
      <c r="AD13" s="510">
        <f>+X13</f>
        <v>0.28759302334911785</v>
      </c>
      <c r="AE13" s="656"/>
      <c r="AF13" s="505"/>
      <c r="AG13" s="564">
        <f>+'Cuadro Mando Integral Detallado'!X385</f>
        <v>0.74385321251102243</v>
      </c>
      <c r="AH13" s="563">
        <f>+AG13</f>
        <v>0.74385321251102243</v>
      </c>
      <c r="AI13" s="559">
        <f>+AG13</f>
        <v>0.74385321251102243</v>
      </c>
      <c r="AJ13" s="559">
        <f>+AG13</f>
        <v>0.74385321251102243</v>
      </c>
      <c r="AK13" s="559">
        <f>+AG13</f>
        <v>0.74385321251102243</v>
      </c>
      <c r="AL13" s="500">
        <f>+AG13</f>
        <v>0.74385321251102243</v>
      </c>
      <c r="AM13" s="580">
        <f>+'Cuadro Mando Integral Detallado'!Z385</f>
        <v>0.48250515746784972</v>
      </c>
      <c r="AN13" s="580">
        <f>+'Cuadro Mando Integral Detallado'!AA385</f>
        <v>0.64659149345348765</v>
      </c>
      <c r="AO13" s="583">
        <f>+AM13</f>
        <v>0.48250515746784972</v>
      </c>
      <c r="AP13" s="573">
        <f>+AM13</f>
        <v>0.48250515746784972</v>
      </c>
      <c r="AQ13" s="573">
        <f>+AM13</f>
        <v>0.48250515746784972</v>
      </c>
      <c r="AR13" s="573">
        <f>+AM13</f>
        <v>0.48250515746784972</v>
      </c>
      <c r="AS13" s="509">
        <f>+AM13</f>
        <v>0.48250515746784972</v>
      </c>
      <c r="AT13" s="655"/>
      <c r="AU13" s="505"/>
      <c r="AV13" s="564">
        <f>+'Cuadro Mando Integral Detallado'!AE385</f>
        <v>0.78032777326253167</v>
      </c>
      <c r="AW13" s="563">
        <f>+AV13</f>
        <v>0.78032777326253167</v>
      </c>
      <c r="AX13" s="559">
        <f>+AV13</f>
        <v>0.78032777326253167</v>
      </c>
      <c r="AY13" s="559">
        <f>+AV13</f>
        <v>0.78032777326253167</v>
      </c>
      <c r="AZ13" s="559">
        <f>+AV13</f>
        <v>0.78032777326253167</v>
      </c>
      <c r="BA13" s="500">
        <f>+AV13</f>
        <v>0.78032777326253167</v>
      </c>
      <c r="BB13" s="580">
        <f>+'Cuadro Mando Integral Detallado'!AG385</f>
        <v>0.83578162834223146</v>
      </c>
      <c r="BC13" s="584">
        <f>+BB13</f>
        <v>0.83578162834223146</v>
      </c>
      <c r="BD13" s="576">
        <f>+BB13</f>
        <v>0.83578162834223146</v>
      </c>
      <c r="BE13" s="576">
        <f>+BB13</f>
        <v>0.83578162834223146</v>
      </c>
      <c r="BF13" s="576">
        <f>+BB13</f>
        <v>0.83578162834223146</v>
      </c>
      <c r="BG13" s="510">
        <f>+BB13</f>
        <v>0.83578162834223146</v>
      </c>
    </row>
    <row r="14" spans="1:63" s="146" customFormat="1" x14ac:dyDescent="0.25">
      <c r="A14" s="316"/>
    </row>
    <row r="15" spans="1:63" s="146" customFormat="1" x14ac:dyDescent="0.25">
      <c r="A15" s="316"/>
    </row>
    <row r="16" spans="1:63" x14ac:dyDescent="0.25">
      <c r="X16" s="506"/>
      <c r="Y16" s="506"/>
      <c r="AM16" s="506"/>
      <c r="AN16" s="506"/>
      <c r="AO16" s="506"/>
      <c r="AP16" s="506"/>
      <c r="AQ16" s="506"/>
      <c r="AR16" s="506"/>
      <c r="AS16" s="506"/>
      <c r="AT16" s="506"/>
      <c r="BB16" s="506"/>
    </row>
    <row r="17" spans="24:54" x14ac:dyDescent="0.25">
      <c r="X17" s="506"/>
      <c r="Y17" s="506"/>
      <c r="AM17" s="506"/>
      <c r="AN17" s="506"/>
      <c r="AO17" s="506"/>
      <c r="AP17" s="506"/>
      <c r="AQ17" s="506"/>
      <c r="AR17" s="506"/>
      <c r="AS17" s="506"/>
      <c r="AT17" s="506"/>
      <c r="BB17" s="506"/>
    </row>
    <row r="18" spans="24:54" x14ac:dyDescent="0.25">
      <c r="X18" s="506"/>
      <c r="Y18" s="506"/>
      <c r="AM18" s="506"/>
      <c r="AN18" s="506"/>
      <c r="AO18" s="506"/>
      <c r="AP18" s="506"/>
      <c r="AQ18" s="506"/>
      <c r="AR18" s="506"/>
      <c r="AS18" s="506"/>
      <c r="AT18" s="506"/>
      <c r="BB18" s="506"/>
    </row>
    <row r="19" spans="24:54" x14ac:dyDescent="0.25">
      <c r="X19" s="506"/>
      <c r="Y19" s="506"/>
      <c r="AM19" s="506"/>
      <c r="AN19" s="506"/>
      <c r="AO19" s="506"/>
      <c r="AP19" s="506"/>
      <c r="AQ19" s="506"/>
      <c r="AR19" s="506"/>
      <c r="AS19" s="506"/>
      <c r="AT19" s="506"/>
      <c r="BB19" s="506"/>
    </row>
    <row r="20" spans="24:54" x14ac:dyDescent="0.25">
      <c r="X20" s="506"/>
      <c r="Y20" s="506"/>
    </row>
  </sheetData>
  <mergeCells count="18">
    <mergeCell ref="A1:A3"/>
    <mergeCell ref="B1:H1"/>
    <mergeCell ref="I1:AU1"/>
    <mergeCell ref="AV1:BG3"/>
    <mergeCell ref="B2:H2"/>
    <mergeCell ref="I2:AU2"/>
    <mergeCell ref="B3:H3"/>
    <mergeCell ref="I3:O3"/>
    <mergeCell ref="Q3:AL3"/>
    <mergeCell ref="AO3:AU3"/>
    <mergeCell ref="AV5:BA5"/>
    <mergeCell ref="BB5:BG5"/>
    <mergeCell ref="C5:H5"/>
    <mergeCell ref="I5:O5"/>
    <mergeCell ref="R5:W5"/>
    <mergeCell ref="X5:AD5"/>
    <mergeCell ref="AG5:AL5"/>
    <mergeCell ref="AM5:AS5"/>
  </mergeCells>
  <conditionalFormatting sqref="D6">
    <cfRule type="cellIs" dxfId="1463" priority="260" stopIfTrue="1" operator="between">
      <formula>0</formula>
      <formula>0.5</formula>
    </cfRule>
  </conditionalFormatting>
  <conditionalFormatting sqref="AO6">
    <cfRule type="cellIs" dxfId="1462" priority="259" stopIfTrue="1" operator="between">
      <formula>0</formula>
      <formula>0.375</formula>
    </cfRule>
  </conditionalFormatting>
  <conditionalFormatting sqref="K6">
    <cfRule type="cellIs" dxfId="1461" priority="258" stopIfTrue="1" operator="between">
      <formula>0</formula>
      <formula>0.125</formula>
    </cfRule>
  </conditionalFormatting>
  <conditionalFormatting sqref="Z6">
    <cfRule type="cellIs" dxfId="1460" priority="257" stopIfTrue="1" operator="between">
      <formula>0</formula>
      <formula>0.255</formula>
    </cfRule>
  </conditionalFormatting>
  <conditionalFormatting sqref="BC6">
    <cfRule type="cellIs" dxfId="1459" priority="256" stopIfTrue="1" operator="between">
      <formula>0</formula>
      <formula>0.5</formula>
    </cfRule>
  </conditionalFormatting>
  <conditionalFormatting sqref="E6">
    <cfRule type="cellIs" dxfId="1458" priority="255" operator="between">
      <formula>0.51</formula>
      <formula>0.75</formula>
    </cfRule>
  </conditionalFormatting>
  <conditionalFormatting sqref="F6">
    <cfRule type="cellIs" dxfId="1457" priority="254" operator="between">
      <formula>0.76</formula>
      <formula>0.95</formula>
    </cfRule>
  </conditionalFormatting>
  <conditionalFormatting sqref="G6">
    <cfRule type="cellIs" dxfId="1456" priority="253" operator="between">
      <formula>0.95</formula>
      <formula>1</formula>
    </cfRule>
  </conditionalFormatting>
  <conditionalFormatting sqref="H6">
    <cfRule type="cellIs" dxfId="1455" priority="252" operator="greaterThan">
      <formula>1</formula>
    </cfRule>
  </conditionalFormatting>
  <conditionalFormatting sqref="D7">
    <cfRule type="cellIs" dxfId="1454" priority="251" stopIfTrue="1" operator="between">
      <formula>0</formula>
      <formula>0.5</formula>
    </cfRule>
  </conditionalFormatting>
  <conditionalFormatting sqref="E7">
    <cfRule type="cellIs" dxfId="1453" priority="250" operator="between">
      <formula>0.51</formula>
      <formula>0.75</formula>
    </cfRule>
  </conditionalFormatting>
  <conditionalFormatting sqref="F7">
    <cfRule type="cellIs" dxfId="1452" priority="249" operator="between">
      <formula>0.76</formula>
      <formula>0.95</formula>
    </cfRule>
  </conditionalFormatting>
  <conditionalFormatting sqref="G7">
    <cfRule type="cellIs" dxfId="1451" priority="248" operator="between">
      <formula>0.95</formula>
      <formula>1</formula>
    </cfRule>
  </conditionalFormatting>
  <conditionalFormatting sqref="H7">
    <cfRule type="cellIs" dxfId="1450" priority="247" operator="greaterThan">
      <formula>1</formula>
    </cfRule>
  </conditionalFormatting>
  <conditionalFormatting sqref="D8">
    <cfRule type="cellIs" dxfId="1449" priority="246" stopIfTrue="1" operator="between">
      <formula>0</formula>
      <formula>0.5</formula>
    </cfRule>
  </conditionalFormatting>
  <conditionalFormatting sqref="E8">
    <cfRule type="cellIs" dxfId="1448" priority="245" operator="between">
      <formula>0.51</formula>
      <formula>0.75</formula>
    </cfRule>
  </conditionalFormatting>
  <conditionalFormatting sqref="F8">
    <cfRule type="cellIs" dxfId="1447" priority="244" operator="between">
      <formula>0.76</formula>
      <formula>0.95</formula>
    </cfRule>
  </conditionalFormatting>
  <conditionalFormatting sqref="G8">
    <cfRule type="cellIs" dxfId="1446" priority="243" operator="between">
      <formula>0.95</formula>
      <formula>1</formula>
    </cfRule>
  </conditionalFormatting>
  <conditionalFormatting sqref="H8">
    <cfRule type="cellIs" dxfId="1445" priority="242" operator="greaterThan">
      <formula>1</formula>
    </cfRule>
  </conditionalFormatting>
  <conditionalFormatting sqref="D9">
    <cfRule type="cellIs" dxfId="1444" priority="241" stopIfTrue="1" operator="between">
      <formula>0</formula>
      <formula>0.5</formula>
    </cfRule>
  </conditionalFormatting>
  <conditionalFormatting sqref="E9">
    <cfRule type="cellIs" dxfId="1443" priority="240" operator="between">
      <formula>0.51</formula>
      <formula>0.75</formula>
    </cfRule>
  </conditionalFormatting>
  <conditionalFormatting sqref="F9">
    <cfRule type="cellIs" dxfId="1442" priority="239" operator="between">
      <formula>0.76</formula>
      <formula>0.95</formula>
    </cfRule>
  </conditionalFormatting>
  <conditionalFormatting sqref="G9">
    <cfRule type="cellIs" dxfId="1441" priority="238" operator="between">
      <formula>0.95</formula>
      <formula>1</formula>
    </cfRule>
  </conditionalFormatting>
  <conditionalFormatting sqref="H9">
    <cfRule type="cellIs" dxfId="1440" priority="237" operator="greaterThan">
      <formula>1</formula>
    </cfRule>
  </conditionalFormatting>
  <conditionalFormatting sqref="D11">
    <cfRule type="cellIs" dxfId="1439" priority="236" stopIfTrue="1" operator="between">
      <formula>0</formula>
      <formula>0.5</formula>
    </cfRule>
  </conditionalFormatting>
  <conditionalFormatting sqref="E11">
    <cfRule type="cellIs" dxfId="1438" priority="235" operator="between">
      <formula>0.51</formula>
      <formula>0.75</formula>
    </cfRule>
  </conditionalFormatting>
  <conditionalFormatting sqref="F11">
    <cfRule type="cellIs" dxfId="1437" priority="234" operator="between">
      <formula>0.76</formula>
      <formula>0.95</formula>
    </cfRule>
  </conditionalFormatting>
  <conditionalFormatting sqref="G11">
    <cfRule type="cellIs" dxfId="1436" priority="233" operator="between">
      <formula>0.95</formula>
      <formula>1</formula>
    </cfRule>
  </conditionalFormatting>
  <conditionalFormatting sqref="H11">
    <cfRule type="cellIs" dxfId="1435" priority="232" operator="greaterThan">
      <formula>1</formula>
    </cfRule>
  </conditionalFormatting>
  <conditionalFormatting sqref="S6">
    <cfRule type="cellIs" dxfId="1434" priority="231" stopIfTrue="1" operator="between">
      <formula>0</formula>
      <formula>0.5</formula>
    </cfRule>
  </conditionalFormatting>
  <conditionalFormatting sqref="T6">
    <cfRule type="cellIs" dxfId="1433" priority="230" operator="between">
      <formula>0.51</formula>
      <formula>0.75</formula>
    </cfRule>
  </conditionalFormatting>
  <conditionalFormatting sqref="U6">
    <cfRule type="cellIs" dxfId="1432" priority="229" operator="between">
      <formula>0.76</formula>
      <formula>0.95</formula>
    </cfRule>
  </conditionalFormatting>
  <conditionalFormatting sqref="V6">
    <cfRule type="cellIs" dxfId="1431" priority="228" operator="between">
      <formula>0.95</formula>
      <formula>1</formula>
    </cfRule>
  </conditionalFormatting>
  <conditionalFormatting sqref="W6">
    <cfRule type="cellIs" dxfId="1430" priority="227" operator="greaterThan">
      <formula>1</formula>
    </cfRule>
  </conditionalFormatting>
  <conditionalFormatting sqref="S7">
    <cfRule type="cellIs" dxfId="1429" priority="226" stopIfTrue="1" operator="between">
      <formula>0</formula>
      <formula>0.5</formula>
    </cfRule>
  </conditionalFormatting>
  <conditionalFormatting sqref="T7">
    <cfRule type="cellIs" dxfId="1428" priority="225" operator="between">
      <formula>0.51</formula>
      <formula>0.75</formula>
    </cfRule>
  </conditionalFormatting>
  <conditionalFormatting sqref="U7">
    <cfRule type="cellIs" dxfId="1427" priority="224" operator="between">
      <formula>0.76</formula>
      <formula>0.95</formula>
    </cfRule>
  </conditionalFormatting>
  <conditionalFormatting sqref="V7">
    <cfRule type="cellIs" dxfId="1426" priority="223" operator="between">
      <formula>0.95</formula>
      <formula>1</formula>
    </cfRule>
  </conditionalFormatting>
  <conditionalFormatting sqref="W7">
    <cfRule type="cellIs" dxfId="1425" priority="222" operator="greaterThan">
      <formula>1</formula>
    </cfRule>
  </conditionalFormatting>
  <conditionalFormatting sqref="S8">
    <cfRule type="cellIs" dxfId="1424" priority="221" stopIfTrue="1" operator="between">
      <formula>0</formula>
      <formula>0.5</formula>
    </cfRule>
  </conditionalFormatting>
  <conditionalFormatting sqref="T8">
    <cfRule type="cellIs" dxfId="1423" priority="220" operator="between">
      <formula>0.51</formula>
      <formula>0.75</formula>
    </cfRule>
  </conditionalFormatting>
  <conditionalFormatting sqref="U8">
    <cfRule type="cellIs" dxfId="1422" priority="219" operator="between">
      <formula>0.76</formula>
      <formula>0.95</formula>
    </cfRule>
  </conditionalFormatting>
  <conditionalFormatting sqref="V8">
    <cfRule type="cellIs" dxfId="1421" priority="218" operator="between">
      <formula>0.95</formula>
      <formula>1</formula>
    </cfRule>
  </conditionalFormatting>
  <conditionalFormatting sqref="W8">
    <cfRule type="cellIs" dxfId="1420" priority="217" operator="greaterThan">
      <formula>1</formula>
    </cfRule>
  </conditionalFormatting>
  <conditionalFormatting sqref="S9">
    <cfRule type="cellIs" dxfId="1419" priority="216" stopIfTrue="1" operator="between">
      <formula>0</formula>
      <formula>0.5</formula>
    </cfRule>
  </conditionalFormatting>
  <conditionalFormatting sqref="T9">
    <cfRule type="cellIs" dxfId="1418" priority="215" operator="between">
      <formula>0.51</formula>
      <formula>0.75</formula>
    </cfRule>
  </conditionalFormatting>
  <conditionalFormatting sqref="U9">
    <cfRule type="cellIs" dxfId="1417" priority="214" operator="between">
      <formula>0.76</formula>
      <formula>0.95</formula>
    </cfRule>
  </conditionalFormatting>
  <conditionalFormatting sqref="V9">
    <cfRule type="cellIs" dxfId="1416" priority="213" operator="between">
      <formula>0.95</formula>
      <formula>1</formula>
    </cfRule>
  </conditionalFormatting>
  <conditionalFormatting sqref="W9">
    <cfRule type="cellIs" dxfId="1415" priority="212" operator="greaterThan">
      <formula>1</formula>
    </cfRule>
  </conditionalFormatting>
  <conditionalFormatting sqref="AH6">
    <cfRule type="cellIs" dxfId="1414" priority="211" stopIfTrue="1" operator="between">
      <formula>0</formula>
      <formula>0.5</formula>
    </cfRule>
  </conditionalFormatting>
  <conditionalFormatting sqref="AI6">
    <cfRule type="cellIs" dxfId="1413" priority="210" operator="between">
      <formula>0.51</formula>
      <formula>0.75</formula>
    </cfRule>
  </conditionalFormatting>
  <conditionalFormatting sqref="AJ6">
    <cfRule type="cellIs" dxfId="1412" priority="209" operator="between">
      <formula>0.76</formula>
      <formula>0.95</formula>
    </cfRule>
  </conditionalFormatting>
  <conditionalFormatting sqref="AK6">
    <cfRule type="cellIs" dxfId="1411" priority="208" operator="between">
      <formula>0.95</formula>
      <formula>1</formula>
    </cfRule>
  </conditionalFormatting>
  <conditionalFormatting sqref="AL6">
    <cfRule type="cellIs" dxfId="1410" priority="207" operator="greaterThan">
      <formula>1</formula>
    </cfRule>
  </conditionalFormatting>
  <conditionalFormatting sqref="AH7">
    <cfRule type="cellIs" dxfId="1409" priority="206" stopIfTrue="1" operator="between">
      <formula>0</formula>
      <formula>0.5</formula>
    </cfRule>
  </conditionalFormatting>
  <conditionalFormatting sqref="AI7">
    <cfRule type="cellIs" dxfId="1408" priority="205" operator="between">
      <formula>0.51</formula>
      <formula>0.75</formula>
    </cfRule>
  </conditionalFormatting>
  <conditionalFormatting sqref="AJ7">
    <cfRule type="cellIs" dxfId="1407" priority="204" operator="between">
      <formula>0.76</formula>
      <formula>0.95</formula>
    </cfRule>
  </conditionalFormatting>
  <conditionalFormatting sqref="AK7">
    <cfRule type="cellIs" dxfId="1406" priority="203" operator="between">
      <formula>0.95</formula>
      <formula>1</formula>
    </cfRule>
  </conditionalFormatting>
  <conditionalFormatting sqref="AL7">
    <cfRule type="cellIs" dxfId="1405" priority="202" operator="greaterThan">
      <formula>1</formula>
    </cfRule>
  </conditionalFormatting>
  <conditionalFormatting sqref="AH8">
    <cfRule type="cellIs" dxfId="1404" priority="201" stopIfTrue="1" operator="between">
      <formula>0</formula>
      <formula>0.5</formula>
    </cfRule>
  </conditionalFormatting>
  <conditionalFormatting sqref="AI8">
    <cfRule type="cellIs" dxfId="1403" priority="200" operator="between">
      <formula>0.51</formula>
      <formula>0.75</formula>
    </cfRule>
  </conditionalFormatting>
  <conditionalFormatting sqref="AJ8">
    <cfRule type="cellIs" dxfId="1402" priority="199" operator="between">
      <formula>0.76</formula>
      <formula>0.95</formula>
    </cfRule>
  </conditionalFormatting>
  <conditionalFormatting sqref="AK8">
    <cfRule type="cellIs" dxfId="1401" priority="198" operator="between">
      <formula>0.95</formula>
      <formula>1</formula>
    </cfRule>
  </conditionalFormatting>
  <conditionalFormatting sqref="AL8">
    <cfRule type="cellIs" dxfId="1400" priority="197" operator="greaterThan">
      <formula>1</formula>
    </cfRule>
  </conditionalFormatting>
  <conditionalFormatting sqref="AH9">
    <cfRule type="cellIs" dxfId="1399" priority="196" stopIfTrue="1" operator="between">
      <formula>0</formula>
      <formula>0.5</formula>
    </cfRule>
  </conditionalFormatting>
  <conditionalFormatting sqref="AI9">
    <cfRule type="cellIs" dxfId="1398" priority="195" operator="between">
      <formula>0.51</formula>
      <formula>0.75</formula>
    </cfRule>
  </conditionalFormatting>
  <conditionalFormatting sqref="AJ9">
    <cfRule type="cellIs" dxfId="1397" priority="194" operator="between">
      <formula>0.76</formula>
      <formula>0.95</formula>
    </cfRule>
  </conditionalFormatting>
  <conditionalFormatting sqref="AK9">
    <cfRule type="cellIs" dxfId="1396" priority="193" operator="between">
      <formula>0.95</formula>
      <formula>1</formula>
    </cfRule>
  </conditionalFormatting>
  <conditionalFormatting sqref="AL9">
    <cfRule type="cellIs" dxfId="1395" priority="192" operator="greaterThan">
      <formula>1</formula>
    </cfRule>
  </conditionalFormatting>
  <conditionalFormatting sqref="AW6">
    <cfRule type="cellIs" dxfId="1394" priority="191" stopIfTrue="1" operator="between">
      <formula>0</formula>
      <formula>0.5</formula>
    </cfRule>
  </conditionalFormatting>
  <conditionalFormatting sqref="AX6">
    <cfRule type="cellIs" dxfId="1393" priority="190" operator="between">
      <formula>0.51</formula>
      <formula>0.75</formula>
    </cfRule>
  </conditionalFormatting>
  <conditionalFormatting sqref="AY6">
    <cfRule type="cellIs" dxfId="1392" priority="189" operator="between">
      <formula>0.76</formula>
      <formula>0.95</formula>
    </cfRule>
  </conditionalFormatting>
  <conditionalFormatting sqref="AZ6">
    <cfRule type="cellIs" dxfId="1391" priority="188" operator="between">
      <formula>0.95</formula>
      <formula>1</formula>
    </cfRule>
  </conditionalFormatting>
  <conditionalFormatting sqref="BA6">
    <cfRule type="cellIs" dxfId="1390" priority="187" operator="greaterThan">
      <formula>1</formula>
    </cfRule>
  </conditionalFormatting>
  <conditionalFormatting sqref="AW7">
    <cfRule type="cellIs" dxfId="1389" priority="186" stopIfTrue="1" operator="between">
      <formula>0</formula>
      <formula>0.5</formula>
    </cfRule>
  </conditionalFormatting>
  <conditionalFormatting sqref="AX7">
    <cfRule type="cellIs" dxfId="1388" priority="185" operator="between">
      <formula>0.51</formula>
      <formula>0.75</formula>
    </cfRule>
  </conditionalFormatting>
  <conditionalFormatting sqref="AY7">
    <cfRule type="cellIs" dxfId="1387" priority="184" operator="between">
      <formula>0.76</formula>
      <formula>0.95</formula>
    </cfRule>
  </conditionalFormatting>
  <conditionalFormatting sqref="AZ7">
    <cfRule type="cellIs" dxfId="1386" priority="183" operator="between">
      <formula>0.95</formula>
      <formula>1</formula>
    </cfRule>
  </conditionalFormatting>
  <conditionalFormatting sqref="BA7">
    <cfRule type="cellIs" dxfId="1385" priority="182" operator="greaterThan">
      <formula>1</formula>
    </cfRule>
  </conditionalFormatting>
  <conditionalFormatting sqref="AW8">
    <cfRule type="cellIs" dxfId="1384" priority="181" stopIfTrue="1" operator="between">
      <formula>0</formula>
      <formula>0.5</formula>
    </cfRule>
  </conditionalFormatting>
  <conditionalFormatting sqref="AX8">
    <cfRule type="cellIs" dxfId="1383" priority="180" operator="between">
      <formula>0.51</formula>
      <formula>0.75</formula>
    </cfRule>
  </conditionalFormatting>
  <conditionalFormatting sqref="AY8">
    <cfRule type="cellIs" dxfId="1382" priority="179" operator="between">
      <formula>0.76</formula>
      <formula>0.95</formula>
    </cfRule>
  </conditionalFormatting>
  <conditionalFormatting sqref="AZ8">
    <cfRule type="cellIs" dxfId="1381" priority="178" operator="between">
      <formula>0.95</formula>
      <formula>1</formula>
    </cfRule>
  </conditionalFormatting>
  <conditionalFormatting sqref="BA8">
    <cfRule type="cellIs" dxfId="1380" priority="177" operator="greaterThan">
      <formula>1</formula>
    </cfRule>
  </conditionalFormatting>
  <conditionalFormatting sqref="AW9">
    <cfRule type="cellIs" dxfId="1379" priority="176" stopIfTrue="1" operator="between">
      <formula>0</formula>
      <formula>0.5</formula>
    </cfRule>
  </conditionalFormatting>
  <conditionalFormatting sqref="AX9">
    <cfRule type="cellIs" dxfId="1378" priority="175" operator="between">
      <formula>0.51</formula>
      <formula>0.75</formula>
    </cfRule>
  </conditionalFormatting>
  <conditionalFormatting sqref="AY9">
    <cfRule type="cellIs" dxfId="1377" priority="174" operator="between">
      <formula>0.76</formula>
      <formula>0.95</formula>
    </cfRule>
  </conditionalFormatting>
  <conditionalFormatting sqref="AZ9">
    <cfRule type="cellIs" dxfId="1376" priority="173" operator="between">
      <formula>0.95</formula>
      <formula>1</formula>
    </cfRule>
  </conditionalFormatting>
  <conditionalFormatting sqref="BA9">
    <cfRule type="cellIs" dxfId="1375" priority="172" operator="greaterThan">
      <formula>1</formula>
    </cfRule>
  </conditionalFormatting>
  <conditionalFormatting sqref="S11">
    <cfRule type="cellIs" dxfId="1374" priority="171" stopIfTrue="1" operator="between">
      <formula>0</formula>
      <formula>0.5</formula>
    </cfRule>
  </conditionalFormatting>
  <conditionalFormatting sqref="T11">
    <cfRule type="cellIs" dxfId="1373" priority="170" operator="between">
      <formula>0.51</formula>
      <formula>0.75</formula>
    </cfRule>
  </conditionalFormatting>
  <conditionalFormatting sqref="U11">
    <cfRule type="cellIs" dxfId="1372" priority="169" operator="between">
      <formula>0.76</formula>
      <formula>0.95</formula>
    </cfRule>
  </conditionalFormatting>
  <conditionalFormatting sqref="V11">
    <cfRule type="cellIs" dxfId="1371" priority="168" operator="between">
      <formula>0.95</formula>
      <formula>1</formula>
    </cfRule>
  </conditionalFormatting>
  <conditionalFormatting sqref="W11">
    <cfRule type="cellIs" dxfId="1370" priority="167" operator="greaterThan">
      <formula>1</formula>
    </cfRule>
  </conditionalFormatting>
  <conditionalFormatting sqref="AH11">
    <cfRule type="cellIs" dxfId="1369" priority="166" stopIfTrue="1" operator="between">
      <formula>0</formula>
      <formula>0.5</formula>
    </cfRule>
  </conditionalFormatting>
  <conditionalFormatting sqref="AI11">
    <cfRule type="cellIs" dxfId="1368" priority="165" operator="between">
      <formula>0.51</formula>
      <formula>0.75</formula>
    </cfRule>
  </conditionalFormatting>
  <conditionalFormatting sqref="AJ11">
    <cfRule type="cellIs" dxfId="1367" priority="164" operator="between">
      <formula>0.76</formula>
      <formula>0.95</formula>
    </cfRule>
  </conditionalFormatting>
  <conditionalFormatting sqref="AK11">
    <cfRule type="cellIs" dxfId="1366" priority="163" operator="between">
      <formula>0.95</formula>
      <formula>1</formula>
    </cfRule>
  </conditionalFormatting>
  <conditionalFormatting sqref="AL11">
    <cfRule type="cellIs" dxfId="1365" priority="162" operator="greaterThan">
      <formula>1</formula>
    </cfRule>
  </conditionalFormatting>
  <conditionalFormatting sqref="AW11">
    <cfRule type="cellIs" dxfId="1364" priority="161" stopIfTrue="1" operator="between">
      <formula>0</formula>
      <formula>0.5</formula>
    </cfRule>
  </conditionalFormatting>
  <conditionalFormatting sqref="AX11">
    <cfRule type="cellIs" dxfId="1363" priority="160" operator="between">
      <formula>0.51</formula>
      <formula>0.75</formula>
    </cfRule>
  </conditionalFormatting>
  <conditionalFormatting sqref="AY11">
    <cfRule type="cellIs" dxfId="1362" priority="159" operator="between">
      <formula>0.76</formula>
      <formula>0.95</formula>
    </cfRule>
  </conditionalFormatting>
  <conditionalFormatting sqref="AZ11">
    <cfRule type="cellIs" dxfId="1361" priority="158" operator="between">
      <formula>0.95</formula>
      <formula>1</formula>
    </cfRule>
  </conditionalFormatting>
  <conditionalFormatting sqref="BA11">
    <cfRule type="cellIs" dxfId="1360" priority="157" operator="greaterThan">
      <formula>1</formula>
    </cfRule>
  </conditionalFormatting>
  <conditionalFormatting sqref="L6">
    <cfRule type="cellIs" dxfId="1359" priority="156" operator="between">
      <formula>0.1251</formula>
      <formula>0.19</formula>
    </cfRule>
  </conditionalFormatting>
  <conditionalFormatting sqref="M6">
    <cfRule type="cellIs" dxfId="1358" priority="155" operator="between">
      <formula>0.191</formula>
      <formula>0.24</formula>
    </cfRule>
  </conditionalFormatting>
  <conditionalFormatting sqref="N6">
    <cfRule type="cellIs" dxfId="1357" priority="154" operator="between">
      <formula>0.2401</formula>
      <formula>0.26</formula>
    </cfRule>
  </conditionalFormatting>
  <conditionalFormatting sqref="O6">
    <cfRule type="cellIs" dxfId="1356" priority="153" operator="greaterThan">
      <formula>0.2601</formula>
    </cfRule>
  </conditionalFormatting>
  <conditionalFormatting sqref="K7">
    <cfRule type="cellIs" dxfId="1355" priority="152" stopIfTrue="1" operator="between">
      <formula>0</formula>
      <formula>0.125</formula>
    </cfRule>
  </conditionalFormatting>
  <conditionalFormatting sqref="L7">
    <cfRule type="cellIs" dxfId="1354" priority="151" operator="between">
      <formula>0.1251</formula>
      <formula>0.19</formula>
    </cfRule>
  </conditionalFormatting>
  <conditionalFormatting sqref="M7">
    <cfRule type="cellIs" dxfId="1353" priority="150" operator="between">
      <formula>0.191</formula>
      <formula>0.24</formula>
    </cfRule>
  </conditionalFormatting>
  <conditionalFormatting sqref="N7">
    <cfRule type="cellIs" dxfId="1352" priority="149" operator="between">
      <formula>0.2401</formula>
      <formula>0.26</formula>
    </cfRule>
  </conditionalFormatting>
  <conditionalFormatting sqref="K8">
    <cfRule type="cellIs" dxfId="1351" priority="148" stopIfTrue="1" operator="between">
      <formula>0</formula>
      <formula>0.125</formula>
    </cfRule>
  </conditionalFormatting>
  <conditionalFormatting sqref="L8">
    <cfRule type="cellIs" dxfId="1350" priority="147" operator="between">
      <formula>0.1251</formula>
      <formula>0.19</formula>
    </cfRule>
  </conditionalFormatting>
  <conditionalFormatting sqref="M8">
    <cfRule type="cellIs" dxfId="1349" priority="146" operator="between">
      <formula>0.191</formula>
      <formula>0.24</formula>
    </cfRule>
  </conditionalFormatting>
  <conditionalFormatting sqref="N8">
    <cfRule type="cellIs" dxfId="1348" priority="145" operator="between">
      <formula>0.2401</formula>
      <formula>0.26</formula>
    </cfRule>
  </conditionalFormatting>
  <conditionalFormatting sqref="K9">
    <cfRule type="cellIs" dxfId="1347" priority="144" stopIfTrue="1" operator="between">
      <formula>0</formula>
      <formula>0.125</formula>
    </cfRule>
  </conditionalFormatting>
  <conditionalFormatting sqref="L9">
    <cfRule type="cellIs" dxfId="1346" priority="143" operator="between">
      <formula>0.1251</formula>
      <formula>0.19</formula>
    </cfRule>
  </conditionalFormatting>
  <conditionalFormatting sqref="M9">
    <cfRule type="cellIs" dxfId="1345" priority="142" operator="between">
      <formula>0.191</formula>
      <formula>0.24</formula>
    </cfRule>
  </conditionalFormatting>
  <conditionalFormatting sqref="N9">
    <cfRule type="cellIs" dxfId="1344" priority="141" operator="between">
      <formula>0.2401</formula>
      <formula>0.26</formula>
    </cfRule>
  </conditionalFormatting>
  <conditionalFormatting sqref="K11">
    <cfRule type="cellIs" dxfId="1343" priority="140" stopIfTrue="1" operator="between">
      <formula>0</formula>
      <formula>0.125</formula>
    </cfRule>
  </conditionalFormatting>
  <conditionalFormatting sqref="L11">
    <cfRule type="cellIs" dxfId="1342" priority="139" operator="between">
      <formula>0.1251</formula>
      <formula>0.19</formula>
    </cfRule>
  </conditionalFormatting>
  <conditionalFormatting sqref="M11">
    <cfRule type="cellIs" dxfId="1341" priority="138" operator="between">
      <formula>0.191</formula>
      <formula>0.24</formula>
    </cfRule>
  </conditionalFormatting>
  <conditionalFormatting sqref="N11">
    <cfRule type="cellIs" dxfId="1340" priority="137" operator="between">
      <formula>0.2401</formula>
      <formula>0.26</formula>
    </cfRule>
  </conditionalFormatting>
  <conditionalFormatting sqref="O7">
    <cfRule type="cellIs" dxfId="1339" priority="136" operator="greaterThan">
      <formula>0.2601</formula>
    </cfRule>
  </conditionalFormatting>
  <conditionalFormatting sqref="O8">
    <cfRule type="cellIs" dxfId="1338" priority="135" operator="greaterThan">
      <formula>0.2601</formula>
    </cfRule>
  </conditionalFormatting>
  <conditionalFormatting sqref="O9">
    <cfRule type="cellIs" dxfId="1337" priority="134" operator="greaterThan">
      <formula>0.2601</formula>
    </cfRule>
  </conditionalFormatting>
  <conditionalFormatting sqref="O11">
    <cfRule type="cellIs" dxfId="1336" priority="133" operator="greaterThan">
      <formula>0.2601</formula>
    </cfRule>
  </conditionalFormatting>
  <conditionalFormatting sqref="AA6">
    <cfRule type="cellIs" dxfId="1335" priority="132" operator="between">
      <formula>0.2551</formula>
      <formula>0.375</formula>
    </cfRule>
  </conditionalFormatting>
  <conditionalFormatting sqref="AB6">
    <cfRule type="cellIs" dxfId="1334" priority="131" operator="between">
      <formula>0.38</formula>
      <formula>0.475</formula>
    </cfRule>
  </conditionalFormatting>
  <conditionalFormatting sqref="AC6">
    <cfRule type="cellIs" dxfId="1333" priority="130" operator="between">
      <formula>0.48</formula>
      <formula>0.51</formula>
    </cfRule>
  </conditionalFormatting>
  <conditionalFormatting sqref="AD6:AE6">
    <cfRule type="cellIs" dxfId="1332" priority="129" operator="greaterThan">
      <formula>0.505</formula>
    </cfRule>
  </conditionalFormatting>
  <conditionalFormatting sqref="Z7">
    <cfRule type="cellIs" dxfId="1331" priority="128" stopIfTrue="1" operator="between">
      <formula>0</formula>
      <formula>0.255</formula>
    </cfRule>
  </conditionalFormatting>
  <conditionalFormatting sqref="AA7">
    <cfRule type="cellIs" dxfId="1330" priority="127" operator="between">
      <formula>0.2551</formula>
      <formula>0.375</formula>
    </cfRule>
  </conditionalFormatting>
  <conditionalFormatting sqref="AB7">
    <cfRule type="cellIs" dxfId="1329" priority="126" operator="between">
      <formula>0.38</formula>
      <formula>0.475</formula>
    </cfRule>
  </conditionalFormatting>
  <conditionalFormatting sqref="AC7">
    <cfRule type="cellIs" dxfId="1328" priority="125" operator="between">
      <formula>0.48</formula>
      <formula>0.51</formula>
    </cfRule>
  </conditionalFormatting>
  <conditionalFormatting sqref="AD7:AE7">
    <cfRule type="cellIs" dxfId="1327" priority="124" operator="greaterThan">
      <formula>0.505</formula>
    </cfRule>
  </conditionalFormatting>
  <conditionalFormatting sqref="Z8">
    <cfRule type="cellIs" dxfId="1326" priority="123" stopIfTrue="1" operator="between">
      <formula>0</formula>
      <formula>0.255</formula>
    </cfRule>
  </conditionalFormatting>
  <conditionalFormatting sqref="AA8">
    <cfRule type="cellIs" dxfId="1325" priority="122" operator="between">
      <formula>0.2551</formula>
      <formula>0.375</formula>
    </cfRule>
  </conditionalFormatting>
  <conditionalFormatting sqref="AB8">
    <cfRule type="cellIs" dxfId="1324" priority="121" operator="between">
      <formula>0.38</formula>
      <formula>0.475</formula>
    </cfRule>
  </conditionalFormatting>
  <conditionalFormatting sqref="AC8">
    <cfRule type="cellIs" dxfId="1323" priority="120" operator="between">
      <formula>0.48</formula>
      <formula>0.51</formula>
    </cfRule>
  </conditionalFormatting>
  <conditionalFormatting sqref="AD8:AE8">
    <cfRule type="cellIs" dxfId="1322" priority="119" operator="greaterThan">
      <formula>0.505</formula>
    </cfRule>
  </conditionalFormatting>
  <conditionalFormatting sqref="Z9">
    <cfRule type="cellIs" dxfId="1321" priority="118" stopIfTrue="1" operator="between">
      <formula>0</formula>
      <formula>0.255</formula>
    </cfRule>
  </conditionalFormatting>
  <conditionalFormatting sqref="AA9">
    <cfRule type="cellIs" dxfId="1320" priority="117" operator="between">
      <formula>0.2551</formula>
      <formula>0.375</formula>
    </cfRule>
  </conditionalFormatting>
  <conditionalFormatting sqref="AB9">
    <cfRule type="cellIs" dxfId="1319" priority="116" operator="between">
      <formula>0.38</formula>
      <formula>0.475</formula>
    </cfRule>
  </conditionalFormatting>
  <conditionalFormatting sqref="AC9">
    <cfRule type="cellIs" dxfId="1318" priority="115" operator="between">
      <formula>0.48</formula>
      <formula>0.51</formula>
    </cfRule>
  </conditionalFormatting>
  <conditionalFormatting sqref="AD9:AE9">
    <cfRule type="cellIs" dxfId="1317" priority="114" operator="greaterThan">
      <formula>0.505</formula>
    </cfRule>
  </conditionalFormatting>
  <conditionalFormatting sqref="Z11">
    <cfRule type="cellIs" dxfId="1316" priority="113" stopIfTrue="1" operator="between">
      <formula>0</formula>
      <formula>0.255</formula>
    </cfRule>
  </conditionalFormatting>
  <conditionalFormatting sqref="AA11">
    <cfRule type="cellIs" dxfId="1315" priority="112" operator="between">
      <formula>0.2551</formula>
      <formula>0.375</formula>
    </cfRule>
  </conditionalFormatting>
  <conditionalFormatting sqref="AB11">
    <cfRule type="cellIs" dxfId="1314" priority="111" operator="between">
      <formula>0.38</formula>
      <formula>0.475</formula>
    </cfRule>
  </conditionalFormatting>
  <conditionalFormatting sqref="AC11">
    <cfRule type="cellIs" dxfId="1313" priority="110" operator="between">
      <formula>0.48</formula>
      <formula>0.51</formula>
    </cfRule>
  </conditionalFormatting>
  <conditionalFormatting sqref="AD11:AE11">
    <cfRule type="cellIs" dxfId="1312" priority="109" operator="greaterThan">
      <formula>0.505</formula>
    </cfRule>
  </conditionalFormatting>
  <conditionalFormatting sqref="AP6">
    <cfRule type="cellIs" dxfId="1311" priority="108" operator="between">
      <formula>0.3751</formula>
      <formula>0.5625</formula>
    </cfRule>
  </conditionalFormatting>
  <conditionalFormatting sqref="AQ6">
    <cfRule type="cellIs" dxfId="1310" priority="107" operator="between">
      <formula>0.563</formula>
      <formula>0.7125</formula>
    </cfRule>
  </conditionalFormatting>
  <conditionalFormatting sqref="AR6">
    <cfRule type="cellIs" dxfId="1309" priority="106" operator="between">
      <formula>0.713</formula>
      <formula>0.75</formula>
    </cfRule>
  </conditionalFormatting>
  <conditionalFormatting sqref="AS6">
    <cfRule type="cellIs" dxfId="1308" priority="105" operator="greaterThan">
      <formula>0.755</formula>
    </cfRule>
  </conditionalFormatting>
  <conditionalFormatting sqref="AO7">
    <cfRule type="cellIs" dxfId="1307" priority="104" stopIfTrue="1" operator="between">
      <formula>0</formula>
      <formula>0.375</formula>
    </cfRule>
  </conditionalFormatting>
  <conditionalFormatting sqref="AP7">
    <cfRule type="cellIs" dxfId="1306" priority="103" operator="between">
      <formula>0.3751</formula>
      <formula>0.5625</formula>
    </cfRule>
  </conditionalFormatting>
  <conditionalFormatting sqref="AQ7">
    <cfRule type="cellIs" dxfId="1305" priority="102" operator="between">
      <formula>0.563</formula>
      <formula>0.7125</formula>
    </cfRule>
  </conditionalFormatting>
  <conditionalFormatting sqref="AR7">
    <cfRule type="cellIs" dxfId="1304" priority="101" operator="between">
      <formula>0.713</formula>
      <formula>0.75</formula>
    </cfRule>
  </conditionalFormatting>
  <conditionalFormatting sqref="AS7">
    <cfRule type="cellIs" dxfId="1303" priority="100" operator="greaterThan">
      <formula>0.755</formula>
    </cfRule>
  </conditionalFormatting>
  <conditionalFormatting sqref="AO8">
    <cfRule type="cellIs" dxfId="1302" priority="99" stopIfTrue="1" operator="between">
      <formula>0</formula>
      <formula>0.375</formula>
    </cfRule>
  </conditionalFormatting>
  <conditionalFormatting sqref="AP8">
    <cfRule type="cellIs" dxfId="1301" priority="98" operator="between">
      <formula>0.3751</formula>
      <formula>0.5625</formula>
    </cfRule>
  </conditionalFormatting>
  <conditionalFormatting sqref="AQ8">
    <cfRule type="cellIs" dxfId="1300" priority="97" operator="between">
      <formula>0.563</formula>
      <formula>0.7125</formula>
    </cfRule>
  </conditionalFormatting>
  <conditionalFormatting sqref="AR8">
    <cfRule type="cellIs" dxfId="1299" priority="96" operator="between">
      <formula>0.713</formula>
      <formula>0.75</formula>
    </cfRule>
  </conditionalFormatting>
  <conditionalFormatting sqref="AS8">
    <cfRule type="cellIs" dxfId="1298" priority="95" operator="greaterThan">
      <formula>0.755</formula>
    </cfRule>
  </conditionalFormatting>
  <conditionalFormatting sqref="AO9">
    <cfRule type="cellIs" dxfId="1297" priority="94" stopIfTrue="1" operator="between">
      <formula>0</formula>
      <formula>0.375</formula>
    </cfRule>
  </conditionalFormatting>
  <conditionalFormatting sqref="AP9">
    <cfRule type="cellIs" dxfId="1296" priority="93" operator="between">
      <formula>0.3751</formula>
      <formula>0.5625</formula>
    </cfRule>
  </conditionalFormatting>
  <conditionalFormatting sqref="AQ9">
    <cfRule type="cellIs" dxfId="1295" priority="92" operator="between">
      <formula>0.563</formula>
      <formula>0.7125</formula>
    </cfRule>
  </conditionalFormatting>
  <conditionalFormatting sqref="AR9">
    <cfRule type="cellIs" dxfId="1294" priority="91" operator="between">
      <formula>0.713</formula>
      <formula>0.75</formula>
    </cfRule>
  </conditionalFormatting>
  <conditionalFormatting sqref="AS9">
    <cfRule type="cellIs" dxfId="1293" priority="90" operator="greaterThan">
      <formula>0.755</formula>
    </cfRule>
  </conditionalFormatting>
  <conditionalFormatting sqref="AO11">
    <cfRule type="cellIs" dxfId="1292" priority="89" stopIfTrue="1" operator="between">
      <formula>0</formula>
      <formula>0.375</formula>
    </cfRule>
  </conditionalFormatting>
  <conditionalFormatting sqref="AP11">
    <cfRule type="cellIs" dxfId="1291" priority="88" operator="between">
      <formula>0.3751</formula>
      <formula>0.5625</formula>
    </cfRule>
  </conditionalFormatting>
  <conditionalFormatting sqref="AQ11">
    <cfRule type="cellIs" dxfId="1290" priority="87" operator="between">
      <formula>0.563</formula>
      <formula>0.7125</formula>
    </cfRule>
  </conditionalFormatting>
  <conditionalFormatting sqref="AR11">
    <cfRule type="cellIs" dxfId="1289" priority="86" operator="between">
      <formula>0.713</formula>
      <formula>0.75</formula>
    </cfRule>
  </conditionalFormatting>
  <conditionalFormatting sqref="AS11">
    <cfRule type="cellIs" dxfId="1288" priority="85" operator="greaterThan">
      <formula>0.755</formula>
    </cfRule>
  </conditionalFormatting>
  <conditionalFormatting sqref="BD6">
    <cfRule type="cellIs" dxfId="1287" priority="84" operator="between">
      <formula>0.51</formula>
      <formula>0.75</formula>
    </cfRule>
  </conditionalFormatting>
  <conditionalFormatting sqref="BE6">
    <cfRule type="cellIs" dxfId="1286" priority="83" operator="between">
      <formula>0.76</formula>
      <formula>0.95</formula>
    </cfRule>
  </conditionalFormatting>
  <conditionalFormatting sqref="BF6">
    <cfRule type="cellIs" dxfId="1285" priority="82" operator="between">
      <formula>0.95</formula>
      <formula>1</formula>
    </cfRule>
  </conditionalFormatting>
  <conditionalFormatting sqref="BG6">
    <cfRule type="cellIs" dxfId="1284" priority="81" operator="greaterThan">
      <formula>1</formula>
    </cfRule>
  </conditionalFormatting>
  <conditionalFormatting sqref="BC7">
    <cfRule type="cellIs" dxfId="1283" priority="80" stopIfTrue="1" operator="between">
      <formula>0</formula>
      <formula>0.5</formula>
    </cfRule>
  </conditionalFormatting>
  <conditionalFormatting sqref="BD7">
    <cfRule type="cellIs" dxfId="1282" priority="79" operator="between">
      <formula>0.51</formula>
      <formula>0.75</formula>
    </cfRule>
  </conditionalFormatting>
  <conditionalFormatting sqref="BE7">
    <cfRule type="cellIs" dxfId="1281" priority="78" operator="between">
      <formula>0.76</formula>
      <formula>0.95</formula>
    </cfRule>
  </conditionalFormatting>
  <conditionalFormatting sqref="BF7">
    <cfRule type="cellIs" dxfId="1280" priority="77" operator="between">
      <formula>0.95</formula>
      <formula>1</formula>
    </cfRule>
  </conditionalFormatting>
  <conditionalFormatting sqref="BG7">
    <cfRule type="cellIs" dxfId="1279" priority="76" operator="greaterThan">
      <formula>1</formula>
    </cfRule>
  </conditionalFormatting>
  <conditionalFormatting sqref="BC8">
    <cfRule type="cellIs" dxfId="1278" priority="75" stopIfTrue="1" operator="between">
      <formula>0</formula>
      <formula>0.5</formula>
    </cfRule>
  </conditionalFormatting>
  <conditionalFormatting sqref="BD8">
    <cfRule type="cellIs" dxfId="1277" priority="74" operator="between">
      <formula>0.51</formula>
      <formula>0.75</formula>
    </cfRule>
  </conditionalFormatting>
  <conditionalFormatting sqref="BE8">
    <cfRule type="cellIs" dxfId="1276" priority="73" operator="between">
      <formula>0.76</formula>
      <formula>0.95</formula>
    </cfRule>
  </conditionalFormatting>
  <conditionalFormatting sqref="BF8">
    <cfRule type="cellIs" dxfId="1275" priority="72" operator="between">
      <formula>0.95</formula>
      <formula>1</formula>
    </cfRule>
  </conditionalFormatting>
  <conditionalFormatting sqref="BG8">
    <cfRule type="cellIs" dxfId="1274" priority="71" operator="greaterThan">
      <formula>1</formula>
    </cfRule>
  </conditionalFormatting>
  <conditionalFormatting sqref="BC9">
    <cfRule type="cellIs" dxfId="1273" priority="70" stopIfTrue="1" operator="between">
      <formula>0</formula>
      <formula>0.5</formula>
    </cfRule>
  </conditionalFormatting>
  <conditionalFormatting sqref="BD9">
    <cfRule type="cellIs" dxfId="1272" priority="69" operator="between">
      <formula>0.51</formula>
      <formula>0.75</formula>
    </cfRule>
  </conditionalFormatting>
  <conditionalFormatting sqref="BE9">
    <cfRule type="cellIs" dxfId="1271" priority="68" operator="between">
      <formula>0.76</formula>
      <formula>0.95</formula>
    </cfRule>
  </conditionalFormatting>
  <conditionalFormatting sqref="BF9">
    <cfRule type="cellIs" dxfId="1270" priority="67" operator="between">
      <formula>0.95</formula>
      <formula>1</formula>
    </cfRule>
  </conditionalFormatting>
  <conditionalFormatting sqref="BG9">
    <cfRule type="cellIs" dxfId="1269" priority="66" operator="greaterThan">
      <formula>1</formula>
    </cfRule>
  </conditionalFormatting>
  <conditionalFormatting sqref="BC11">
    <cfRule type="cellIs" dxfId="1268" priority="65" stopIfTrue="1" operator="between">
      <formula>0</formula>
      <formula>0.5</formula>
    </cfRule>
  </conditionalFormatting>
  <conditionalFormatting sqref="BD11">
    <cfRule type="cellIs" dxfId="1267" priority="64" operator="between">
      <formula>0.51</formula>
      <formula>0.75</formula>
    </cfRule>
  </conditionalFormatting>
  <conditionalFormatting sqref="BE11">
    <cfRule type="cellIs" dxfId="1266" priority="63" operator="between">
      <formula>0.76</formula>
      <formula>0.95</formula>
    </cfRule>
  </conditionalFormatting>
  <conditionalFormatting sqref="BF11">
    <cfRule type="cellIs" dxfId="1265" priority="62" operator="between">
      <formula>0.95</formula>
      <formula>1</formula>
    </cfRule>
  </conditionalFormatting>
  <conditionalFormatting sqref="BG11">
    <cfRule type="cellIs" dxfId="1264" priority="61" operator="greaterThan">
      <formula>1</formula>
    </cfRule>
  </conditionalFormatting>
  <conditionalFormatting sqref="D13">
    <cfRule type="cellIs" dxfId="1263" priority="60" stopIfTrue="1" operator="between">
      <formula>0</formula>
      <formula>0.5</formula>
    </cfRule>
  </conditionalFormatting>
  <conditionalFormatting sqref="E13">
    <cfRule type="cellIs" dxfId="1262" priority="59" operator="between">
      <formula>0.51</formula>
      <formula>0.75</formula>
    </cfRule>
  </conditionalFormatting>
  <conditionalFormatting sqref="F13">
    <cfRule type="cellIs" dxfId="1261" priority="58" operator="between">
      <formula>0.76</formula>
      <formula>0.95</formula>
    </cfRule>
  </conditionalFormatting>
  <conditionalFormatting sqref="G13">
    <cfRule type="cellIs" dxfId="1260" priority="57" operator="between">
      <formula>0.95</formula>
      <formula>1</formula>
    </cfRule>
  </conditionalFormatting>
  <conditionalFormatting sqref="H13">
    <cfRule type="cellIs" dxfId="1259" priority="56" operator="greaterThan">
      <formula>1</formula>
    </cfRule>
  </conditionalFormatting>
  <conditionalFormatting sqref="S13">
    <cfRule type="cellIs" dxfId="1258" priority="55" stopIfTrue="1" operator="between">
      <formula>0</formula>
      <formula>0.5</formula>
    </cfRule>
  </conditionalFormatting>
  <conditionalFormatting sqref="T13">
    <cfRule type="cellIs" dxfId="1257" priority="54" operator="between">
      <formula>0.51</formula>
      <formula>0.75</formula>
    </cfRule>
  </conditionalFormatting>
  <conditionalFormatting sqref="U13">
    <cfRule type="cellIs" dxfId="1256" priority="53" operator="between">
      <formula>0.76</formula>
      <formula>0.95</formula>
    </cfRule>
  </conditionalFormatting>
  <conditionalFormatting sqref="V13">
    <cfRule type="cellIs" dxfId="1255" priority="52" operator="between">
      <formula>0.95</formula>
      <formula>1</formula>
    </cfRule>
  </conditionalFormatting>
  <conditionalFormatting sqref="W13">
    <cfRule type="cellIs" dxfId="1254" priority="51" operator="greaterThan">
      <formula>1</formula>
    </cfRule>
  </conditionalFormatting>
  <conditionalFormatting sqref="AH13">
    <cfRule type="cellIs" dxfId="1253" priority="50" stopIfTrue="1" operator="between">
      <formula>0</formula>
      <formula>0.5</formula>
    </cfRule>
  </conditionalFormatting>
  <conditionalFormatting sqref="AI13">
    <cfRule type="cellIs" dxfId="1252" priority="49" operator="between">
      <formula>0.51</formula>
      <formula>0.75</formula>
    </cfRule>
  </conditionalFormatting>
  <conditionalFormatting sqref="AJ13">
    <cfRule type="cellIs" dxfId="1251" priority="48" operator="between">
      <formula>0.76</formula>
      <formula>0.95</formula>
    </cfRule>
  </conditionalFormatting>
  <conditionalFormatting sqref="AK13">
    <cfRule type="cellIs" dxfId="1250" priority="47" operator="between">
      <formula>0.95</formula>
      <formula>1</formula>
    </cfRule>
  </conditionalFormatting>
  <conditionalFormatting sqref="AL13">
    <cfRule type="cellIs" dxfId="1249" priority="46" operator="greaterThan">
      <formula>1</formula>
    </cfRule>
  </conditionalFormatting>
  <conditionalFormatting sqref="AW13">
    <cfRule type="cellIs" dxfId="1248" priority="45" stopIfTrue="1" operator="between">
      <formula>0</formula>
      <formula>0.5</formula>
    </cfRule>
  </conditionalFormatting>
  <conditionalFormatting sqref="AX13">
    <cfRule type="cellIs" dxfId="1247" priority="44" operator="between">
      <formula>0.51</formula>
      <formula>0.75</formula>
    </cfRule>
  </conditionalFormatting>
  <conditionalFormatting sqref="AY13">
    <cfRule type="cellIs" dxfId="1246" priority="43" operator="between">
      <formula>0.76</formula>
      <formula>0.95</formula>
    </cfRule>
  </conditionalFormatting>
  <conditionalFormatting sqref="AZ13">
    <cfRule type="cellIs" dxfId="1245" priority="42" operator="between">
      <formula>0.95</formula>
      <formula>1</formula>
    </cfRule>
  </conditionalFormatting>
  <conditionalFormatting sqref="BA13">
    <cfRule type="cellIs" dxfId="1244" priority="41" operator="greaterThan">
      <formula>1</formula>
    </cfRule>
  </conditionalFormatting>
  <conditionalFormatting sqref="K13">
    <cfRule type="cellIs" dxfId="1243" priority="40" stopIfTrue="1" operator="between">
      <formula>0</formula>
      <formula>0.125</formula>
    </cfRule>
  </conditionalFormatting>
  <conditionalFormatting sqref="L13">
    <cfRule type="cellIs" dxfId="1242" priority="39" operator="between">
      <formula>0.1251</formula>
      <formula>0.19</formula>
    </cfRule>
  </conditionalFormatting>
  <conditionalFormatting sqref="M13">
    <cfRule type="cellIs" dxfId="1241" priority="38" operator="between">
      <formula>0.191</formula>
      <formula>0.24</formula>
    </cfRule>
  </conditionalFormatting>
  <conditionalFormatting sqref="N13">
    <cfRule type="cellIs" dxfId="1240" priority="37" operator="between">
      <formula>0.2401</formula>
      <formula>0.26</formula>
    </cfRule>
  </conditionalFormatting>
  <conditionalFormatting sqref="O13:P13">
    <cfRule type="cellIs" dxfId="1239" priority="36" operator="greaterThan">
      <formula>0.2601</formula>
    </cfRule>
  </conditionalFormatting>
  <conditionalFormatting sqref="AT13">
    <cfRule type="cellIs" dxfId="1238" priority="31" operator="greaterThan">
      <formula>0.755</formula>
    </cfRule>
  </conditionalFormatting>
  <conditionalFormatting sqref="BC13">
    <cfRule type="cellIs" dxfId="1237" priority="30" stopIfTrue="1" operator="between">
      <formula>0</formula>
      <formula>0.5</formula>
    </cfRule>
  </conditionalFormatting>
  <conditionalFormatting sqref="BD13">
    <cfRule type="cellIs" dxfId="1236" priority="29" operator="between">
      <formula>0.51</formula>
      <formula>0.75</formula>
    </cfRule>
  </conditionalFormatting>
  <conditionalFormatting sqref="BE13">
    <cfRule type="cellIs" dxfId="1235" priority="28" operator="between">
      <formula>0.76</formula>
      <formula>0.95</formula>
    </cfRule>
  </conditionalFormatting>
  <conditionalFormatting sqref="BF13">
    <cfRule type="cellIs" dxfId="1234" priority="27" operator="between">
      <formula>0.95</formula>
      <formula>1</formula>
    </cfRule>
  </conditionalFormatting>
  <conditionalFormatting sqref="BG13">
    <cfRule type="cellIs" dxfId="1233" priority="26" operator="greaterThan">
      <formula>1</formula>
    </cfRule>
  </conditionalFormatting>
  <conditionalFormatting sqref="Z13">
    <cfRule type="cellIs" dxfId="1232" priority="25" stopIfTrue="1" operator="between">
      <formula>0</formula>
      <formula>0.255</formula>
    </cfRule>
  </conditionalFormatting>
  <conditionalFormatting sqref="AA13">
    <cfRule type="cellIs" dxfId="1231" priority="24" operator="between">
      <formula>0.2551</formula>
      <formula>0.375</formula>
    </cfRule>
  </conditionalFormatting>
  <conditionalFormatting sqref="AB13">
    <cfRule type="cellIs" dxfId="1230" priority="23" operator="between">
      <formula>0.3751</formula>
      <formula>0.475</formula>
    </cfRule>
  </conditionalFormatting>
  <conditionalFormatting sqref="AC13">
    <cfRule type="cellIs" dxfId="1229" priority="22" operator="between">
      <formula>0.48</formula>
      <formula>0.51</formula>
    </cfRule>
  </conditionalFormatting>
  <conditionalFormatting sqref="AD13:AE13">
    <cfRule type="cellIs" dxfId="1228" priority="21" operator="greaterThan">
      <formula>0.505</formula>
    </cfRule>
  </conditionalFormatting>
  <conditionalFormatting sqref="AT6">
    <cfRule type="cellIs" dxfId="1227" priority="20" operator="greaterThan">
      <formula>0.505</formula>
    </cfRule>
  </conditionalFormatting>
  <conditionalFormatting sqref="AT7">
    <cfRule type="cellIs" dxfId="1226" priority="19" operator="greaterThan">
      <formula>0.505</formula>
    </cfRule>
  </conditionalFormatting>
  <conditionalFormatting sqref="AT8">
    <cfRule type="cellIs" dxfId="1225" priority="18" operator="greaterThan">
      <formula>0.505</formula>
    </cfRule>
  </conditionalFormatting>
  <conditionalFormatting sqref="AT9">
    <cfRule type="cellIs" dxfId="1224" priority="17" operator="greaterThan">
      <formula>0.505</formula>
    </cfRule>
  </conditionalFormatting>
  <conditionalFormatting sqref="AT11">
    <cfRule type="cellIs" dxfId="1223" priority="16" operator="greaterThan">
      <formula>0.505</formula>
    </cfRule>
  </conditionalFormatting>
  <conditionalFormatting sqref="BH6">
    <cfRule type="cellIs" dxfId="1222" priority="15" operator="greaterThan">
      <formula>0.505</formula>
    </cfRule>
  </conditionalFormatting>
  <conditionalFormatting sqref="BH7">
    <cfRule type="cellIs" dxfId="1221" priority="14" operator="greaterThan">
      <formula>0.505</formula>
    </cfRule>
  </conditionalFormatting>
  <conditionalFormatting sqref="BH8">
    <cfRule type="cellIs" dxfId="1220" priority="13" operator="greaterThan">
      <formula>0.505</formula>
    </cfRule>
  </conditionalFormatting>
  <conditionalFormatting sqref="BH9">
    <cfRule type="cellIs" dxfId="1219" priority="12" operator="greaterThan">
      <formula>0.505</formula>
    </cfRule>
  </conditionalFormatting>
  <conditionalFormatting sqref="BH11">
    <cfRule type="cellIs" dxfId="1218" priority="11" operator="greaterThan">
      <formula>0.505</formula>
    </cfRule>
  </conditionalFormatting>
  <conditionalFormatting sqref="P6">
    <cfRule type="cellIs" dxfId="1217" priority="10" operator="greaterThan">
      <formula>0.505</formula>
    </cfRule>
  </conditionalFormatting>
  <conditionalFormatting sqref="P7">
    <cfRule type="cellIs" dxfId="1216" priority="9" operator="greaterThan">
      <formula>0.505</formula>
    </cfRule>
  </conditionalFormatting>
  <conditionalFormatting sqref="P8">
    <cfRule type="cellIs" dxfId="1215" priority="8" operator="greaterThan">
      <formula>0.505</formula>
    </cfRule>
  </conditionalFormatting>
  <conditionalFormatting sqref="P9">
    <cfRule type="cellIs" dxfId="1214" priority="7" operator="greaterThan">
      <formula>0.505</formula>
    </cfRule>
  </conditionalFormatting>
  <conditionalFormatting sqref="P11">
    <cfRule type="cellIs" dxfId="1213" priority="6" operator="greaterThan">
      <formula>0.505</formula>
    </cfRule>
  </conditionalFormatting>
  <conditionalFormatting sqref="AO13">
    <cfRule type="cellIs" dxfId="1212" priority="5" stopIfTrue="1" operator="between">
      <formula>0</formula>
      <formula>0.375</formula>
    </cfRule>
  </conditionalFormatting>
  <conditionalFormatting sqref="AP13">
    <cfRule type="cellIs" dxfId="1211" priority="4" operator="between">
      <formula>0.3751</formula>
      <formula>0.5625</formula>
    </cfRule>
  </conditionalFormatting>
  <conditionalFormatting sqref="AQ13">
    <cfRule type="cellIs" dxfId="1210" priority="3" operator="between">
      <formula>0.563</formula>
      <formula>0.7125</formula>
    </cfRule>
  </conditionalFormatting>
  <conditionalFormatting sqref="AR13">
    <cfRule type="cellIs" dxfId="1209" priority="2" operator="between">
      <formula>0.713</formula>
      <formula>0.75</formula>
    </cfRule>
  </conditionalFormatting>
  <conditionalFormatting sqref="AS13">
    <cfRule type="cellIs" dxfId="1208" priority="1" operator="greaterThan">
      <formula>0.755</formula>
    </cfRule>
  </conditionalFormatting>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A11"/>
  <sheetViews>
    <sheetView showGridLines="0" topLeftCell="O5" workbookViewId="0">
      <selection activeCell="V8" sqref="V8"/>
    </sheetView>
  </sheetViews>
  <sheetFormatPr baseColWidth="10" defaultRowHeight="15" x14ac:dyDescent="0.25"/>
  <cols>
    <col min="1" max="1" width="49" customWidth="1"/>
    <col min="2" max="2" width="2.28515625" hidden="1" customWidth="1"/>
    <col min="3" max="3" width="21.7109375" hidden="1" customWidth="1"/>
    <col min="4" max="8" width="3.28515625" hidden="1" customWidth="1"/>
    <col min="9" max="9" width="21.7109375" hidden="1" customWidth="1"/>
    <col min="10" max="14" width="3.28515625" hidden="1" customWidth="1"/>
    <col min="15" max="15" width="2.7109375" customWidth="1"/>
    <col min="16" max="16" width="21.7109375" customWidth="1"/>
    <col min="17" max="21" width="3.28515625" customWidth="1"/>
    <col min="22" max="22" width="21.7109375" customWidth="1"/>
    <col min="23" max="27" width="3.28515625" customWidth="1"/>
    <col min="28" max="28" width="3.140625" customWidth="1"/>
    <col min="29" max="29" width="21.7109375" customWidth="1"/>
    <col min="30" max="34" width="3.28515625" customWidth="1"/>
    <col min="35" max="35" width="21.7109375" customWidth="1"/>
    <col min="36" max="40" width="3.28515625" customWidth="1"/>
    <col min="41" max="41" width="2.85546875" customWidth="1"/>
    <col min="42" max="42" width="21.7109375" customWidth="1"/>
    <col min="43" max="47" width="3.28515625" customWidth="1"/>
    <col min="48" max="48" width="21.7109375" customWidth="1"/>
    <col min="49" max="53" width="3.28515625" customWidth="1"/>
  </cols>
  <sheetData>
    <row r="1" spans="1:53" ht="15" customHeight="1" x14ac:dyDescent="0.25">
      <c r="A1" s="1503"/>
      <c r="B1" s="1335" t="s">
        <v>952</v>
      </c>
      <c r="C1" s="1336"/>
      <c r="D1" s="1336"/>
      <c r="E1" s="1336"/>
      <c r="F1" s="1336"/>
      <c r="G1" s="1336"/>
      <c r="H1" s="1337"/>
      <c r="I1" s="1314" t="s">
        <v>953</v>
      </c>
      <c r="J1" s="1336"/>
      <c r="K1" s="1336"/>
      <c r="L1" s="1336"/>
      <c r="M1" s="1336"/>
      <c r="N1" s="1336"/>
      <c r="O1" s="1336"/>
      <c r="P1" s="1336"/>
      <c r="Q1" s="1336"/>
      <c r="R1" s="1336"/>
      <c r="S1" s="1336"/>
      <c r="T1" s="1336"/>
      <c r="U1" s="1336"/>
      <c r="V1" s="1336"/>
      <c r="W1" s="1336"/>
      <c r="X1" s="1336"/>
      <c r="Y1" s="1336"/>
      <c r="Z1" s="1336"/>
      <c r="AA1" s="1336"/>
      <c r="AB1" s="1336"/>
      <c r="AC1" s="1336"/>
      <c r="AD1" s="1336"/>
      <c r="AE1" s="1336"/>
      <c r="AF1" s="1336"/>
      <c r="AG1" s="1336"/>
      <c r="AH1" s="1336"/>
      <c r="AI1" s="1336"/>
      <c r="AJ1" s="1336"/>
      <c r="AK1" s="1336"/>
      <c r="AL1" s="1336"/>
      <c r="AM1" s="1336"/>
      <c r="AN1" s="1336"/>
      <c r="AO1" s="1336"/>
      <c r="AP1" s="1326"/>
      <c r="AQ1" s="1327"/>
      <c r="AR1" s="1327"/>
      <c r="AS1" s="1327"/>
      <c r="AT1" s="1327"/>
      <c r="AU1" s="1327"/>
      <c r="AV1" s="1327"/>
      <c r="AW1" s="1327"/>
      <c r="AX1" s="1327"/>
      <c r="AY1" s="1327"/>
      <c r="AZ1" s="1327"/>
      <c r="BA1" s="1328"/>
    </row>
    <row r="2" spans="1:53" ht="15" customHeight="1" x14ac:dyDescent="0.25">
      <c r="A2" s="1504"/>
      <c r="B2" s="1338" t="s">
        <v>954</v>
      </c>
      <c r="C2" s="1339"/>
      <c r="D2" s="1339"/>
      <c r="E2" s="1339"/>
      <c r="F2" s="1339"/>
      <c r="G2" s="1339"/>
      <c r="H2" s="1340"/>
      <c r="I2" s="1321" t="s">
        <v>800</v>
      </c>
      <c r="J2" s="1339"/>
      <c r="K2" s="1339"/>
      <c r="L2" s="1339"/>
      <c r="M2" s="1339"/>
      <c r="N2" s="1339"/>
      <c r="O2" s="1339"/>
      <c r="P2" s="1339"/>
      <c r="Q2" s="1339"/>
      <c r="R2" s="1339"/>
      <c r="S2" s="1339"/>
      <c r="T2" s="1339"/>
      <c r="U2" s="1339"/>
      <c r="V2" s="1339"/>
      <c r="W2" s="1339"/>
      <c r="X2" s="1339"/>
      <c r="Y2" s="1339"/>
      <c r="Z2" s="1339"/>
      <c r="AA2" s="1339"/>
      <c r="AB2" s="1339"/>
      <c r="AC2" s="1339"/>
      <c r="AD2" s="1339"/>
      <c r="AE2" s="1339"/>
      <c r="AF2" s="1339"/>
      <c r="AG2" s="1339"/>
      <c r="AH2" s="1339"/>
      <c r="AI2" s="1339"/>
      <c r="AJ2" s="1339"/>
      <c r="AK2" s="1339"/>
      <c r="AL2" s="1339"/>
      <c r="AM2" s="1339"/>
      <c r="AN2" s="1339"/>
      <c r="AO2" s="1339"/>
      <c r="AP2" s="1329"/>
      <c r="AQ2" s="1330"/>
      <c r="AR2" s="1330"/>
      <c r="AS2" s="1330"/>
      <c r="AT2" s="1330"/>
      <c r="AU2" s="1330"/>
      <c r="AV2" s="1330"/>
      <c r="AW2" s="1330"/>
      <c r="AX2" s="1330"/>
      <c r="AY2" s="1330"/>
      <c r="AZ2" s="1330"/>
      <c r="BA2" s="1331"/>
    </row>
    <row r="3" spans="1:53" ht="15.75" customHeight="1" thickBot="1" x14ac:dyDescent="0.3">
      <c r="A3" s="1505"/>
      <c r="B3" s="1341" t="s">
        <v>852</v>
      </c>
      <c r="C3" s="1342"/>
      <c r="D3" s="1342"/>
      <c r="E3" s="1342"/>
      <c r="F3" s="1342"/>
      <c r="G3" s="1342"/>
      <c r="H3" s="1343"/>
      <c r="I3" s="1344" t="s">
        <v>958</v>
      </c>
      <c r="J3" s="1342"/>
      <c r="K3" s="1342"/>
      <c r="L3" s="1342"/>
      <c r="M3" s="1342"/>
      <c r="N3" s="1343"/>
      <c r="O3" s="1345" t="s">
        <v>960</v>
      </c>
      <c r="P3" s="1346"/>
      <c r="Q3" s="1346"/>
      <c r="R3" s="1346"/>
      <c r="S3" s="1346"/>
      <c r="T3" s="1346"/>
      <c r="U3" s="1346"/>
      <c r="V3" s="1346"/>
      <c r="W3" s="1346"/>
      <c r="X3" s="1346"/>
      <c r="Y3" s="1346"/>
      <c r="Z3" s="1346"/>
      <c r="AA3" s="1346"/>
      <c r="AB3" s="1346"/>
      <c r="AC3" s="1346"/>
      <c r="AD3" s="1346"/>
      <c r="AE3" s="1346"/>
      <c r="AF3" s="1346"/>
      <c r="AG3" s="1346"/>
      <c r="AH3" s="1347"/>
      <c r="AI3" s="423" t="s">
        <v>957</v>
      </c>
      <c r="AJ3" s="1344">
        <v>1</v>
      </c>
      <c r="AK3" s="1342"/>
      <c r="AL3" s="1342"/>
      <c r="AM3" s="1342"/>
      <c r="AN3" s="1342"/>
      <c r="AO3" s="1342"/>
      <c r="AP3" s="1332"/>
      <c r="AQ3" s="1333"/>
      <c r="AR3" s="1333"/>
      <c r="AS3" s="1333"/>
      <c r="AT3" s="1333"/>
      <c r="AU3" s="1333"/>
      <c r="AV3" s="1333"/>
      <c r="AW3" s="1333"/>
      <c r="AX3" s="1333"/>
      <c r="AY3" s="1333"/>
      <c r="AZ3" s="1333"/>
      <c r="BA3" s="1334"/>
    </row>
    <row r="4" spans="1:53" ht="15.75" thickBot="1" x14ac:dyDescent="0.3"/>
    <row r="5" spans="1:53" ht="72.75" customHeight="1" thickBot="1" x14ac:dyDescent="0.3">
      <c r="A5" s="289" t="s">
        <v>795</v>
      </c>
      <c r="B5" s="294"/>
      <c r="C5" s="1315" t="s">
        <v>1098</v>
      </c>
      <c r="D5" s="1501"/>
      <c r="E5" s="1501"/>
      <c r="F5" s="1501"/>
      <c r="G5" s="1501"/>
      <c r="H5" s="1502"/>
      <c r="I5" s="1318" t="s">
        <v>1099</v>
      </c>
      <c r="J5" s="1319"/>
      <c r="K5" s="1319"/>
      <c r="L5" s="1319"/>
      <c r="M5" s="1319"/>
      <c r="N5" s="1319"/>
      <c r="P5" s="1315" t="s">
        <v>1100</v>
      </c>
      <c r="Q5" s="1501"/>
      <c r="R5" s="1501"/>
      <c r="S5" s="1501"/>
      <c r="T5" s="1501"/>
      <c r="U5" s="1502"/>
      <c r="V5" s="1318" t="s">
        <v>1101</v>
      </c>
      <c r="W5" s="1319"/>
      <c r="X5" s="1319"/>
      <c r="Y5" s="1319"/>
      <c r="Z5" s="1319"/>
      <c r="AA5" s="1319"/>
      <c r="AB5" s="502"/>
      <c r="AC5" s="1315" t="s">
        <v>1102</v>
      </c>
      <c r="AD5" s="1501"/>
      <c r="AE5" s="1501"/>
      <c r="AF5" s="1501"/>
      <c r="AG5" s="1501"/>
      <c r="AH5" s="1502"/>
      <c r="AI5" s="1318" t="s">
        <v>1103</v>
      </c>
      <c r="AJ5" s="1319"/>
      <c r="AK5" s="1319"/>
      <c r="AL5" s="1319"/>
      <c r="AM5" s="1319"/>
      <c r="AN5" s="1319"/>
      <c r="AO5" s="502"/>
      <c r="AP5" s="1315" t="s">
        <v>1104</v>
      </c>
      <c r="AQ5" s="1501"/>
      <c r="AR5" s="1501"/>
      <c r="AS5" s="1501"/>
      <c r="AT5" s="1501"/>
      <c r="AU5" s="1502"/>
      <c r="AV5" s="1318" t="s">
        <v>1105</v>
      </c>
      <c r="AW5" s="1319"/>
      <c r="AX5" s="1319"/>
      <c r="AY5" s="1319"/>
      <c r="AZ5" s="1319"/>
      <c r="BA5" s="1319"/>
    </row>
    <row r="6" spans="1:53" ht="18" x14ac:dyDescent="0.25">
      <c r="A6" s="295" t="s">
        <v>885</v>
      </c>
      <c r="B6" s="290"/>
      <c r="C6" s="588">
        <f>+('Cuadro Mando Integral Detallado'!I43+'Cuadro Mando Integral Detallado'!I183+'Cuadro Mando Integral Detallado'!I303+'Cuadro Mando Integral Detallado'!I382)/4</f>
        <v>1.0182747316724239</v>
      </c>
      <c r="D6" s="581">
        <f t="shared" ref="D6:D11" si="0">+C6</f>
        <v>1.0182747316724239</v>
      </c>
      <c r="E6" s="557">
        <f t="shared" ref="E6:E11" si="1">+C6</f>
        <v>1.0182747316724239</v>
      </c>
      <c r="F6" s="557">
        <f t="shared" ref="F6:F11" si="2">+C6</f>
        <v>1.0182747316724239</v>
      </c>
      <c r="G6" s="557">
        <f t="shared" ref="G6:G11" si="3">+C6</f>
        <v>1.0182747316724239</v>
      </c>
      <c r="H6" s="497">
        <f t="shared" ref="H6:H11" si="4">+C6</f>
        <v>1.0182747316724239</v>
      </c>
      <c r="I6" s="588">
        <f>+('Cuadro Mando Integral Detallado'!K43+'Cuadro Mando Integral Detallado'!K183+'Cuadro Mando Integral Detallado'!K303+'Cuadro Mando Integral Detallado'!K382)/4</f>
        <v>0.12213436715633082</v>
      </c>
      <c r="J6" s="569">
        <f t="shared" ref="J6:J11" si="5">+I6</f>
        <v>0.12213436715633082</v>
      </c>
      <c r="K6" s="570">
        <f t="shared" ref="K6:K11" si="6">+I6</f>
        <v>0.12213436715633082</v>
      </c>
      <c r="L6" s="570">
        <f t="shared" ref="L6:L11" si="7">+I6</f>
        <v>0.12213436715633082</v>
      </c>
      <c r="M6" s="570">
        <f t="shared" ref="M6:M11" si="8">+I6</f>
        <v>0.12213436715633082</v>
      </c>
      <c r="N6" s="507">
        <f t="shared" ref="N6:N11" si="9">+I6</f>
        <v>0.12213436715633082</v>
      </c>
      <c r="O6" s="177"/>
      <c r="P6" s="588">
        <f>+('Cuadro Mando Integral Detallado'!P43+'Cuadro Mando Integral Detallado'!P183+'Cuadro Mando Integral Detallado'!P303+'Cuadro Mando Integral Detallado'!P382)/4</f>
        <v>0.80523053960973778</v>
      </c>
      <c r="Q6" s="581">
        <f t="shared" ref="Q6:Q11" si="10">+P6</f>
        <v>0.80523053960973778</v>
      </c>
      <c r="R6" s="557">
        <f t="shared" ref="R6:R11" si="11">+P6</f>
        <v>0.80523053960973778</v>
      </c>
      <c r="S6" s="557">
        <f t="shared" ref="S6:S11" si="12">+P6</f>
        <v>0.80523053960973778</v>
      </c>
      <c r="T6" s="557">
        <f t="shared" ref="T6:T11" si="13">+P6</f>
        <v>0.80523053960973778</v>
      </c>
      <c r="U6" s="497">
        <f t="shared" ref="U6:U11" si="14">+P6</f>
        <v>0.80523053960973778</v>
      </c>
      <c r="V6" s="592">
        <f>+('Cuadro Mando Integral Detallado'!R43+'Cuadro Mando Integral Detallado'!R183+'Cuadro Mando Integral Detallado'!R303+'Cuadro Mando Integral Detallado'!R382)/4</f>
        <v>0.30512215615291177</v>
      </c>
      <c r="W6" s="569">
        <f t="shared" ref="W6:W11" si="15">+V6</f>
        <v>0.30512215615291177</v>
      </c>
      <c r="X6" s="570">
        <f t="shared" ref="X6:X11" si="16">+V6</f>
        <v>0.30512215615291177</v>
      </c>
      <c r="Y6" s="570">
        <f t="shared" ref="Y6:Y11" si="17">+V6</f>
        <v>0.30512215615291177</v>
      </c>
      <c r="Z6" s="570">
        <f t="shared" ref="Z6:Z11" si="18">+V6</f>
        <v>0.30512215615291177</v>
      </c>
      <c r="AA6" s="507">
        <f t="shared" ref="AA6:AA11" si="19">+V6</f>
        <v>0.30512215615291177</v>
      </c>
      <c r="AB6" s="505"/>
      <c r="AC6" s="588">
        <f>+('Cuadro Mando Integral Detallado'!W43+'Cuadro Mando Integral Detallado'!W183+'Cuadro Mando Integral Detallado'!W303+'Cuadro Mando Integral Detallado'!W382)/4</f>
        <v>0.78136437725003194</v>
      </c>
      <c r="AD6" s="581">
        <f t="shared" ref="AD6:AD11" si="20">+AC6</f>
        <v>0.78136437725003194</v>
      </c>
      <c r="AE6" s="557">
        <f t="shared" ref="AE6:AE11" si="21">+AC6</f>
        <v>0.78136437725003194</v>
      </c>
      <c r="AF6" s="557">
        <f t="shared" ref="AF6:AF11" si="22">+AC6</f>
        <v>0.78136437725003194</v>
      </c>
      <c r="AG6" s="557">
        <f>+AC6</f>
        <v>0.78136437725003194</v>
      </c>
      <c r="AH6" s="497">
        <f t="shared" ref="AH6:AH11" si="23">+AC6</f>
        <v>0.78136437725003194</v>
      </c>
      <c r="AI6" s="585">
        <f>+('Cuadro Mando Integral Detallado'!Y43+'Cuadro Mando Integral Detallado'!Y183+'Cuadro Mando Integral Detallado'!Y303+'Cuadro Mando Integral Detallado'!Y382)/4</f>
        <v>0.53406750101387457</v>
      </c>
      <c r="AJ6" s="581">
        <f t="shared" ref="AJ6:AJ11" si="24">+AI6</f>
        <v>0.53406750101387457</v>
      </c>
      <c r="AK6" s="570">
        <f t="shared" ref="AK6:AK11" si="25">+AI6</f>
        <v>0.53406750101387457</v>
      </c>
      <c r="AL6" s="570">
        <f t="shared" ref="AL6:AL11" si="26">+AI6</f>
        <v>0.53406750101387457</v>
      </c>
      <c r="AM6" s="570">
        <f t="shared" ref="AM6:AM11" si="27">+AI6</f>
        <v>0.53406750101387457</v>
      </c>
      <c r="AN6" s="507">
        <f t="shared" ref="AN6:AN11" si="28">+AI6</f>
        <v>0.53406750101387457</v>
      </c>
      <c r="AO6" s="505"/>
      <c r="AP6" s="512">
        <f>+('Cuadro Mando Integral Detallado'!AD43+'Cuadro Mando Integral Detallado'!AD183+'Cuadro Mando Integral Detallado'!AD303+'Cuadro Mando Integral Detallado'!AD382)/4</f>
        <v>0.97608079334251885</v>
      </c>
      <c r="AQ6" s="581">
        <f t="shared" ref="AQ6:AQ11" si="29">+AP6</f>
        <v>0.97608079334251885</v>
      </c>
      <c r="AR6" s="557">
        <f t="shared" ref="AR6:AR11" si="30">+AP6</f>
        <v>0.97608079334251885</v>
      </c>
      <c r="AS6" s="557">
        <f t="shared" ref="AS6:AS11" si="31">+AP6</f>
        <v>0.97608079334251885</v>
      </c>
      <c r="AT6" s="557">
        <f t="shared" ref="AT6:AT11" si="32">+AP6</f>
        <v>0.97608079334251885</v>
      </c>
      <c r="AU6" s="497">
        <f t="shared" ref="AU6:AU11" si="33">+AP6</f>
        <v>0.97608079334251885</v>
      </c>
      <c r="AV6" s="592">
        <f>+('Cuadro Mando Integral Detallado'!AF43+'Cuadro Mando Integral Detallado'!AF183+'Cuadro Mando Integral Detallado'!AF303+'Cuadro Mando Integral Detallado'!AF382)/4</f>
        <v>0.91911874137418015</v>
      </c>
      <c r="AW6" s="581">
        <f t="shared" ref="AW6:AW11" si="34">+AV6</f>
        <v>0.91911874137418015</v>
      </c>
      <c r="AX6" s="570">
        <f t="shared" ref="AX6:AX11" si="35">+AV6</f>
        <v>0.91911874137418015</v>
      </c>
      <c r="AY6" s="570">
        <f t="shared" ref="AY6:AY11" si="36">+AV6</f>
        <v>0.91911874137418015</v>
      </c>
      <c r="AZ6" s="570">
        <f t="shared" ref="AZ6:AZ11" si="37">+AV6</f>
        <v>0.91911874137418015</v>
      </c>
      <c r="BA6" s="507">
        <f t="shared" ref="BA6:BA11" si="38">+AV6</f>
        <v>0.91911874137418015</v>
      </c>
    </row>
    <row r="7" spans="1:53" ht="54" x14ac:dyDescent="0.25">
      <c r="A7" s="292" t="s">
        <v>886</v>
      </c>
      <c r="B7" s="290"/>
      <c r="C7" s="589">
        <f>+('Cuadro Mando Integral Detallado'!I70+'Cuadro Mando Integral Detallado'!I215)/2</f>
        <v>1.0461597883999918</v>
      </c>
      <c r="D7" s="582">
        <f t="shared" si="0"/>
        <v>1.0461597883999918</v>
      </c>
      <c r="E7" s="556">
        <f t="shared" si="1"/>
        <v>1.0461597883999918</v>
      </c>
      <c r="F7" s="556">
        <f t="shared" si="2"/>
        <v>1.0461597883999918</v>
      </c>
      <c r="G7" s="556">
        <f t="shared" si="3"/>
        <v>1.0461597883999918</v>
      </c>
      <c r="H7" s="498">
        <f t="shared" si="4"/>
        <v>1.0461597883999918</v>
      </c>
      <c r="I7" s="589">
        <f>+('Cuadro Mando Integral Detallado'!K70+'Cuadro Mando Integral Detallado'!K215)/2</f>
        <v>0.21210191613155777</v>
      </c>
      <c r="J7" s="571">
        <f t="shared" si="5"/>
        <v>0.21210191613155777</v>
      </c>
      <c r="K7" s="568">
        <f t="shared" si="6"/>
        <v>0.21210191613155777</v>
      </c>
      <c r="L7" s="568">
        <f t="shared" si="7"/>
        <v>0.21210191613155777</v>
      </c>
      <c r="M7" s="568">
        <f t="shared" si="8"/>
        <v>0.21210191613155777</v>
      </c>
      <c r="N7" s="508">
        <f t="shared" si="9"/>
        <v>0.21210191613155777</v>
      </c>
      <c r="O7" s="163"/>
      <c r="P7" s="589">
        <f>+('Cuadro Mando Integral Detallado'!P70+'Cuadro Mando Integral Detallado'!P215)/2</f>
        <v>0.85119262675468144</v>
      </c>
      <c r="Q7" s="582">
        <f>+P7</f>
        <v>0.85119262675468144</v>
      </c>
      <c r="R7" s="556">
        <f t="shared" si="11"/>
        <v>0.85119262675468144</v>
      </c>
      <c r="S7" s="556">
        <f t="shared" si="12"/>
        <v>0.85119262675468144</v>
      </c>
      <c r="T7" s="556">
        <f t="shared" si="13"/>
        <v>0.85119262675468144</v>
      </c>
      <c r="U7" s="498">
        <f t="shared" si="14"/>
        <v>0.85119262675468144</v>
      </c>
      <c r="V7" s="586">
        <f>+('Cuadro Mando Integral Detallado'!R70+'Cuadro Mando Integral Detallado'!R215)/2</f>
        <v>0.43357669041950736</v>
      </c>
      <c r="W7" s="571">
        <f t="shared" si="15"/>
        <v>0.43357669041950736</v>
      </c>
      <c r="X7" s="568">
        <f t="shared" si="16"/>
        <v>0.43357669041950736</v>
      </c>
      <c r="Y7" s="568">
        <f t="shared" si="17"/>
        <v>0.43357669041950736</v>
      </c>
      <c r="Z7" s="568">
        <f t="shared" si="18"/>
        <v>0.43357669041950736</v>
      </c>
      <c r="AA7" s="508">
        <f t="shared" si="19"/>
        <v>0.43357669041950736</v>
      </c>
      <c r="AB7" s="505"/>
      <c r="AC7" s="589">
        <f>+('Cuadro Mando Integral Detallado'!W70+'Cuadro Mando Integral Detallado'!W215)/2</f>
        <v>0.8809362155848306</v>
      </c>
      <c r="AD7" s="582">
        <f t="shared" si="20"/>
        <v>0.8809362155848306</v>
      </c>
      <c r="AE7" s="556">
        <f t="shared" si="21"/>
        <v>0.8809362155848306</v>
      </c>
      <c r="AF7" s="556">
        <f t="shared" si="22"/>
        <v>0.8809362155848306</v>
      </c>
      <c r="AG7" s="556">
        <f>+AC7</f>
        <v>0.8809362155848306</v>
      </c>
      <c r="AH7" s="498">
        <f t="shared" si="23"/>
        <v>0.8809362155848306</v>
      </c>
      <c r="AI7" s="586">
        <f>+('Cuadro Mando Integral Detallado'!Y70+'Cuadro Mando Integral Detallado'!Y215)/2</f>
        <v>0.65565809305986633</v>
      </c>
      <c r="AJ7" s="582">
        <f t="shared" si="24"/>
        <v>0.65565809305986633</v>
      </c>
      <c r="AK7" s="568">
        <f t="shared" si="25"/>
        <v>0.65565809305986633</v>
      </c>
      <c r="AL7" s="568">
        <f t="shared" si="26"/>
        <v>0.65565809305986633</v>
      </c>
      <c r="AM7" s="568">
        <f t="shared" si="27"/>
        <v>0.65565809305986633</v>
      </c>
      <c r="AN7" s="508">
        <f t="shared" si="28"/>
        <v>0.65565809305986633</v>
      </c>
      <c r="AO7" s="505"/>
      <c r="AP7" s="513">
        <f>+('Cuadro Mando Integral Detallado'!AD70+'Cuadro Mando Integral Detallado'!AD215)/2</f>
        <v>1.3439207830578552</v>
      </c>
      <c r="AQ7" s="582">
        <f t="shared" si="29"/>
        <v>1.3439207830578552</v>
      </c>
      <c r="AR7" s="556">
        <f t="shared" si="30"/>
        <v>1.3439207830578552</v>
      </c>
      <c r="AS7" s="556">
        <f t="shared" si="31"/>
        <v>1.3439207830578552</v>
      </c>
      <c r="AT7" s="556">
        <f t="shared" si="32"/>
        <v>1.3439207830578552</v>
      </c>
      <c r="AU7" s="498">
        <f t="shared" si="33"/>
        <v>1.3439207830578552</v>
      </c>
      <c r="AV7" s="586">
        <f>+('Cuadro Mando Integral Detallado'!AF70+'Cuadro Mando Integral Detallado'!AF215)/2</f>
        <v>0.94708125190760317</v>
      </c>
      <c r="AW7" s="582">
        <f t="shared" si="34"/>
        <v>0.94708125190760317</v>
      </c>
      <c r="AX7" s="568">
        <f t="shared" si="35"/>
        <v>0.94708125190760317</v>
      </c>
      <c r="AY7" s="568">
        <f t="shared" si="36"/>
        <v>0.94708125190760317</v>
      </c>
      <c r="AZ7" s="568">
        <f t="shared" si="37"/>
        <v>0.94708125190760317</v>
      </c>
      <c r="BA7" s="508">
        <f t="shared" si="38"/>
        <v>0.94708125190760317</v>
      </c>
    </row>
    <row r="8" spans="1:53" ht="54" x14ac:dyDescent="0.25">
      <c r="A8" s="292" t="s">
        <v>887</v>
      </c>
      <c r="B8" s="290"/>
      <c r="C8" s="589">
        <f>+('Cuadro Mando Integral Detallado'!I118+'Cuadro Mando Integral Detallado'!I206+'Cuadro Mando Integral Detallado'!I307)/3</f>
        <v>0.82832902348753856</v>
      </c>
      <c r="D8" s="582">
        <f t="shared" si="0"/>
        <v>0.82832902348753856</v>
      </c>
      <c r="E8" s="556">
        <f t="shared" si="1"/>
        <v>0.82832902348753856</v>
      </c>
      <c r="F8" s="556">
        <f t="shared" si="2"/>
        <v>0.82832902348753856</v>
      </c>
      <c r="G8" s="556">
        <f t="shared" si="3"/>
        <v>0.82832902348753856</v>
      </c>
      <c r="H8" s="498">
        <f t="shared" si="4"/>
        <v>0.82832902348753856</v>
      </c>
      <c r="I8" s="589">
        <f>+('Cuadro Mando Integral Detallado'!K118+'Cuadro Mando Integral Detallado'!K206+'Cuadro Mando Integral Detallado'!K307)/3</f>
        <v>0.2544099129718011</v>
      </c>
      <c r="J8" s="571">
        <f t="shared" si="5"/>
        <v>0.2544099129718011</v>
      </c>
      <c r="K8" s="568">
        <f t="shared" si="6"/>
        <v>0.2544099129718011</v>
      </c>
      <c r="L8" s="568">
        <f t="shared" si="7"/>
        <v>0.2544099129718011</v>
      </c>
      <c r="M8" s="568">
        <f t="shared" si="8"/>
        <v>0.2544099129718011</v>
      </c>
      <c r="N8" s="508">
        <f t="shared" si="9"/>
        <v>0.2544099129718011</v>
      </c>
      <c r="O8" s="163"/>
      <c r="P8" s="589">
        <f>+('Cuadro Mando Integral Detallado'!P118+'Cuadro Mando Integral Detallado'!P206+'Cuadro Mando Integral Detallado'!P307)/3</f>
        <v>1.6827337009232071</v>
      </c>
      <c r="Q8" s="582">
        <f>+P8</f>
        <v>1.6827337009232071</v>
      </c>
      <c r="R8" s="556">
        <f t="shared" si="11"/>
        <v>1.6827337009232071</v>
      </c>
      <c r="S8" s="556">
        <f t="shared" si="12"/>
        <v>1.6827337009232071</v>
      </c>
      <c r="T8" s="556">
        <f t="shared" si="13"/>
        <v>1.6827337009232071</v>
      </c>
      <c r="U8" s="498">
        <f t="shared" si="14"/>
        <v>1.6827337009232071</v>
      </c>
      <c r="V8" s="586">
        <f>+('Cuadro Mando Integral Detallado'!R118+'Cuadro Mando Integral Detallado'!R206+'Cuadro Mando Integral Detallado'!R307)/3</f>
        <v>0.68037229717750713</v>
      </c>
      <c r="W8" s="571">
        <f t="shared" si="15"/>
        <v>0.68037229717750713</v>
      </c>
      <c r="X8" s="568">
        <f t="shared" si="16"/>
        <v>0.68037229717750713</v>
      </c>
      <c r="Y8" s="568">
        <f t="shared" si="17"/>
        <v>0.68037229717750713</v>
      </c>
      <c r="Z8" s="568">
        <f t="shared" si="18"/>
        <v>0.68037229717750713</v>
      </c>
      <c r="AA8" s="508">
        <f t="shared" si="19"/>
        <v>0.68037229717750713</v>
      </c>
      <c r="AB8" s="505"/>
      <c r="AC8" s="589">
        <f>+('Cuadro Mando Integral Detallado'!W118+'Cuadro Mando Integral Detallado'!W206+'Cuadro Mando Integral Detallado'!W307)/3</f>
        <v>1.6891842235520624</v>
      </c>
      <c r="AD8" s="582">
        <f t="shared" si="20"/>
        <v>1.6891842235520624</v>
      </c>
      <c r="AE8" s="556">
        <f t="shared" si="21"/>
        <v>1.6891842235520624</v>
      </c>
      <c r="AF8" s="556">
        <f t="shared" si="22"/>
        <v>1.6891842235520624</v>
      </c>
      <c r="AG8" s="556">
        <f>+AC8</f>
        <v>1.6891842235520624</v>
      </c>
      <c r="AH8" s="498">
        <f t="shared" si="23"/>
        <v>1.6891842235520624</v>
      </c>
      <c r="AI8" s="586">
        <f>+('Cuadro Mando Integral Detallado'!Y118+'Cuadro Mando Integral Detallado'!Y206+'Cuadro Mando Integral Detallado'!Y307)/3</f>
        <v>1.0494621328993385</v>
      </c>
      <c r="AJ8" s="582">
        <f t="shared" si="24"/>
        <v>1.0494621328993385</v>
      </c>
      <c r="AK8" s="568">
        <f t="shared" si="25"/>
        <v>1.0494621328993385</v>
      </c>
      <c r="AL8" s="568">
        <f t="shared" si="26"/>
        <v>1.0494621328993385</v>
      </c>
      <c r="AM8" s="568">
        <f t="shared" si="27"/>
        <v>1.0494621328993385</v>
      </c>
      <c r="AN8" s="508">
        <f t="shared" si="28"/>
        <v>1.0494621328993385</v>
      </c>
      <c r="AO8" s="505"/>
      <c r="AP8" s="513">
        <f>+('Cuadro Mando Integral Detallado'!AD118+'Cuadro Mando Integral Detallado'!AD206+'Cuadro Mando Integral Detallado'!AD307)/3</f>
        <v>0.84855351949687063</v>
      </c>
      <c r="AQ8" s="582">
        <f t="shared" si="29"/>
        <v>0.84855351949687063</v>
      </c>
      <c r="AR8" s="556">
        <f t="shared" si="30"/>
        <v>0.84855351949687063</v>
      </c>
      <c r="AS8" s="556">
        <f t="shared" si="31"/>
        <v>0.84855351949687063</v>
      </c>
      <c r="AT8" s="556">
        <f t="shared" si="32"/>
        <v>0.84855351949687063</v>
      </c>
      <c r="AU8" s="498">
        <f t="shared" si="33"/>
        <v>0.84855351949687063</v>
      </c>
      <c r="AV8" s="586">
        <f>+('Cuadro Mando Integral Detallado'!AF118+'Cuadro Mando Integral Detallado'!AF206+'Cuadro Mando Integral Detallado'!AF307)/3</f>
        <v>1.3781008585461259</v>
      </c>
      <c r="AW8" s="582">
        <f t="shared" si="34"/>
        <v>1.3781008585461259</v>
      </c>
      <c r="AX8" s="568">
        <f t="shared" si="35"/>
        <v>1.3781008585461259</v>
      </c>
      <c r="AY8" s="568">
        <f t="shared" si="36"/>
        <v>1.3781008585461259</v>
      </c>
      <c r="AZ8" s="568">
        <f t="shared" si="37"/>
        <v>1.3781008585461259</v>
      </c>
      <c r="BA8" s="508">
        <f t="shared" si="38"/>
        <v>1.3781008585461259</v>
      </c>
    </row>
    <row r="9" spans="1:53" ht="36" x14ac:dyDescent="0.25">
      <c r="A9" s="292" t="s">
        <v>888</v>
      </c>
      <c r="B9" s="290"/>
      <c r="C9" s="589">
        <f>+('Cuadro Mando Integral Detallado'!I85+'Cuadro Mando Integral Detallado'!I322)/2</f>
        <v>1.6431140170973955</v>
      </c>
      <c r="D9" s="582">
        <f t="shared" si="0"/>
        <v>1.6431140170973955</v>
      </c>
      <c r="E9" s="556">
        <f t="shared" si="1"/>
        <v>1.6431140170973955</v>
      </c>
      <c r="F9" s="556">
        <f t="shared" si="2"/>
        <v>1.6431140170973955</v>
      </c>
      <c r="G9" s="556">
        <f t="shared" si="3"/>
        <v>1.6431140170973955</v>
      </c>
      <c r="H9" s="498">
        <f t="shared" si="4"/>
        <v>1.6431140170973955</v>
      </c>
      <c r="I9" s="589">
        <f>+('Cuadro Mando Integral Detallado'!K85+'Cuadro Mando Integral Detallado'!K322)/2</f>
        <v>4.5866999281610699E-2</v>
      </c>
      <c r="J9" s="571">
        <f t="shared" si="5"/>
        <v>4.5866999281610699E-2</v>
      </c>
      <c r="K9" s="568">
        <f t="shared" si="6"/>
        <v>4.5866999281610699E-2</v>
      </c>
      <c r="L9" s="568">
        <f t="shared" si="7"/>
        <v>4.5866999281610699E-2</v>
      </c>
      <c r="M9" s="568">
        <f t="shared" si="8"/>
        <v>4.5866999281610699E-2</v>
      </c>
      <c r="N9" s="508">
        <f t="shared" si="9"/>
        <v>4.5866999281610699E-2</v>
      </c>
      <c r="O9" s="163"/>
      <c r="P9" s="589">
        <f>+('Cuadro Mando Integral Detallado'!P85+'Cuadro Mando Integral Detallado'!P322)/2</f>
        <v>0.57445164189115205</v>
      </c>
      <c r="Q9" s="582">
        <f>+P9</f>
        <v>0.57445164189115205</v>
      </c>
      <c r="R9" s="556">
        <f t="shared" si="11"/>
        <v>0.57445164189115205</v>
      </c>
      <c r="S9" s="556">
        <f t="shared" si="12"/>
        <v>0.57445164189115205</v>
      </c>
      <c r="T9" s="556">
        <f t="shared" si="13"/>
        <v>0.57445164189115205</v>
      </c>
      <c r="U9" s="498">
        <f t="shared" si="14"/>
        <v>0.57445164189115205</v>
      </c>
      <c r="V9" s="586">
        <f>+('Cuadro Mando Integral Detallado'!R85+'Cuadro Mando Integral Detallado'!R322)/2</f>
        <v>0.11562599018555374</v>
      </c>
      <c r="W9" s="571">
        <f t="shared" si="15"/>
        <v>0.11562599018555374</v>
      </c>
      <c r="X9" s="568">
        <f t="shared" si="16"/>
        <v>0.11562599018555374</v>
      </c>
      <c r="Y9" s="568">
        <f t="shared" si="17"/>
        <v>0.11562599018555374</v>
      </c>
      <c r="Z9" s="568">
        <f t="shared" si="18"/>
        <v>0.11562599018555374</v>
      </c>
      <c r="AA9" s="508">
        <f t="shared" si="19"/>
        <v>0.11562599018555374</v>
      </c>
      <c r="AB9" s="505"/>
      <c r="AC9" s="589">
        <f>+('Cuadro Mando Integral Detallado'!W85+'Cuadro Mando Integral Detallado'!W322)/2</f>
        <v>0.81544133976371902</v>
      </c>
      <c r="AD9" s="582">
        <f t="shared" si="20"/>
        <v>0.81544133976371902</v>
      </c>
      <c r="AE9" s="556">
        <f t="shared" si="21"/>
        <v>0.81544133976371902</v>
      </c>
      <c r="AF9" s="556">
        <f t="shared" si="22"/>
        <v>0.81544133976371902</v>
      </c>
      <c r="AG9" s="556">
        <f>+AC9</f>
        <v>0.81544133976371902</v>
      </c>
      <c r="AH9" s="498">
        <f t="shared" si="23"/>
        <v>0.81544133976371902</v>
      </c>
      <c r="AI9" s="586">
        <f>+('Cuadro Mando Integral Detallado'!Y85+'Cuadro Mando Integral Detallado'!Y322)/2</f>
        <v>0.25253319838992283</v>
      </c>
      <c r="AJ9" s="582">
        <f t="shared" si="24"/>
        <v>0.25253319838992283</v>
      </c>
      <c r="AK9" s="568">
        <f t="shared" si="25"/>
        <v>0.25253319838992283</v>
      </c>
      <c r="AL9" s="568">
        <f t="shared" si="26"/>
        <v>0.25253319838992283</v>
      </c>
      <c r="AM9" s="568">
        <f t="shared" si="27"/>
        <v>0.25253319838992283</v>
      </c>
      <c r="AN9" s="508">
        <f t="shared" si="28"/>
        <v>0.25253319838992283</v>
      </c>
      <c r="AO9" s="505"/>
      <c r="AP9" s="513">
        <f>+('Cuadro Mando Integral Detallado'!AD85+'Cuadro Mando Integral Detallado'!AD322)/2</f>
        <v>0.90680845767266005</v>
      </c>
      <c r="AQ9" s="582">
        <f t="shared" si="29"/>
        <v>0.90680845767266005</v>
      </c>
      <c r="AR9" s="556">
        <f t="shared" si="30"/>
        <v>0.90680845767266005</v>
      </c>
      <c r="AS9" s="556">
        <f t="shared" si="31"/>
        <v>0.90680845767266005</v>
      </c>
      <c r="AT9" s="556">
        <f t="shared" si="32"/>
        <v>0.90680845767266005</v>
      </c>
      <c r="AU9" s="498">
        <f t="shared" si="33"/>
        <v>0.90680845767266005</v>
      </c>
      <c r="AV9" s="586">
        <f>+('Cuadro Mando Integral Detallado'!AF85+'Cuadro Mando Integral Detallado'!AF322)/2</f>
        <v>0.59937999768828121</v>
      </c>
      <c r="AW9" s="582">
        <f t="shared" si="34"/>
        <v>0.59937999768828121</v>
      </c>
      <c r="AX9" s="568">
        <f t="shared" si="35"/>
        <v>0.59937999768828121</v>
      </c>
      <c r="AY9" s="568">
        <f t="shared" si="36"/>
        <v>0.59937999768828121</v>
      </c>
      <c r="AZ9" s="568">
        <f t="shared" si="37"/>
        <v>0.59937999768828121</v>
      </c>
      <c r="BA9" s="508">
        <f t="shared" si="38"/>
        <v>0.59937999768828121</v>
      </c>
    </row>
    <row r="10" spans="1:53" ht="36" x14ac:dyDescent="0.25">
      <c r="A10" s="292" t="s">
        <v>146</v>
      </c>
      <c r="B10" s="290"/>
      <c r="C10" s="590">
        <f>+('Cuadro Mando Integral Detallado'!I109+'Cuadro Mando Integral Detallado'!I227+'Cuadro Mando Integral Detallado'!I332)/3</f>
        <v>0.58331219855642269</v>
      </c>
      <c r="D10" s="582">
        <f t="shared" si="0"/>
        <v>0.58331219855642269</v>
      </c>
      <c r="E10" s="556">
        <f t="shared" si="1"/>
        <v>0.58331219855642269</v>
      </c>
      <c r="F10" s="556">
        <f t="shared" si="2"/>
        <v>0.58331219855642269</v>
      </c>
      <c r="G10" s="556">
        <f t="shared" si="3"/>
        <v>0.58331219855642269</v>
      </c>
      <c r="H10" s="498">
        <f t="shared" si="4"/>
        <v>0.58331219855642269</v>
      </c>
      <c r="I10" s="589">
        <f>+('Cuadro Mando Integral Detallado'!K109+'Cuadro Mando Integral Detallado'!K227+'Cuadro Mando Integral Detallado'!K332)/3</f>
        <v>0.12905021106340944</v>
      </c>
      <c r="J10" s="571">
        <f>+I10</f>
        <v>0.12905021106340944</v>
      </c>
      <c r="K10" s="568">
        <f t="shared" si="6"/>
        <v>0.12905021106340944</v>
      </c>
      <c r="L10" s="568">
        <f t="shared" si="7"/>
        <v>0.12905021106340944</v>
      </c>
      <c r="M10" s="568">
        <f t="shared" si="8"/>
        <v>0.12905021106340944</v>
      </c>
      <c r="N10" s="508">
        <f t="shared" si="9"/>
        <v>0.12905021106340944</v>
      </c>
      <c r="O10" s="163"/>
      <c r="P10" s="589">
        <f>+('Cuadro Mando Integral Detallado'!P109+'Cuadro Mando Integral Detallado'!P227+'Cuadro Mando Integral Detallado'!P332)/3</f>
        <v>0.71534567058679188</v>
      </c>
      <c r="Q10" s="582">
        <f t="shared" si="10"/>
        <v>0.71534567058679188</v>
      </c>
      <c r="R10" s="556">
        <f t="shared" si="11"/>
        <v>0.71534567058679188</v>
      </c>
      <c r="S10" s="556">
        <f t="shared" si="12"/>
        <v>0.71534567058679188</v>
      </c>
      <c r="T10" s="556">
        <f t="shared" si="13"/>
        <v>0.71534567058679188</v>
      </c>
      <c r="U10" s="498">
        <f t="shared" si="14"/>
        <v>0.71534567058679188</v>
      </c>
      <c r="V10" s="586">
        <f>+('Cuadro Mando Integral Detallado'!R109+'Cuadro Mando Integral Detallado'!R227+'Cuadro Mando Integral Detallado'!R332)/3</f>
        <v>0.2811605956235203</v>
      </c>
      <c r="W10" s="571">
        <f t="shared" si="15"/>
        <v>0.2811605956235203</v>
      </c>
      <c r="X10" s="568">
        <f t="shared" si="16"/>
        <v>0.2811605956235203</v>
      </c>
      <c r="Y10" s="568">
        <f t="shared" si="17"/>
        <v>0.2811605956235203</v>
      </c>
      <c r="Z10" s="568">
        <f t="shared" si="18"/>
        <v>0.2811605956235203</v>
      </c>
      <c r="AA10" s="508">
        <f t="shared" si="19"/>
        <v>0.2811605956235203</v>
      </c>
      <c r="AB10" s="505"/>
      <c r="AC10" s="589">
        <f>+('Cuadro Mando Integral Detallado'!W109+'Cuadro Mando Integral Detallado'!W227+'Cuadro Mando Integral Detallado'!W332)/3</f>
        <v>0.62023634022704732</v>
      </c>
      <c r="AD10" s="582">
        <f t="shared" si="20"/>
        <v>0.62023634022704732</v>
      </c>
      <c r="AE10" s="556">
        <f t="shared" si="21"/>
        <v>0.62023634022704732</v>
      </c>
      <c r="AF10" s="556">
        <f t="shared" si="22"/>
        <v>0.62023634022704732</v>
      </c>
      <c r="AG10" s="556">
        <f>+AC10</f>
        <v>0.62023634022704732</v>
      </c>
      <c r="AH10" s="498">
        <f t="shared" si="23"/>
        <v>0.62023634022704732</v>
      </c>
      <c r="AI10" s="586">
        <f>+('Cuadro Mando Integral Detallado'!Y109+'Cuadro Mando Integral Detallado'!Y227+'Cuadro Mando Integral Detallado'!Y332)/3</f>
        <v>0.40034620326116799</v>
      </c>
      <c r="AJ10" s="582">
        <f t="shared" si="24"/>
        <v>0.40034620326116799</v>
      </c>
      <c r="AK10" s="568">
        <f t="shared" si="25"/>
        <v>0.40034620326116799</v>
      </c>
      <c r="AL10" s="568">
        <f t="shared" si="26"/>
        <v>0.40034620326116799</v>
      </c>
      <c r="AM10" s="568">
        <f t="shared" si="27"/>
        <v>0.40034620326116799</v>
      </c>
      <c r="AN10" s="508">
        <f t="shared" si="28"/>
        <v>0.40034620326116799</v>
      </c>
      <c r="AO10" s="505"/>
      <c r="AP10" s="513">
        <f>+('Cuadro Mando Integral Detallado'!AD109+'Cuadro Mando Integral Detallado'!AD227+'Cuadro Mando Integral Detallado'!AD332)/3</f>
        <v>0.96199334345273202</v>
      </c>
      <c r="AQ10" s="582">
        <f t="shared" si="29"/>
        <v>0.96199334345273202</v>
      </c>
      <c r="AR10" s="556">
        <f t="shared" si="30"/>
        <v>0.96199334345273202</v>
      </c>
      <c r="AS10" s="556">
        <f t="shared" si="31"/>
        <v>0.96199334345273202</v>
      </c>
      <c r="AT10" s="556">
        <f t="shared" si="32"/>
        <v>0.96199334345273202</v>
      </c>
      <c r="AU10" s="498">
        <f t="shared" si="33"/>
        <v>0.96199334345273202</v>
      </c>
      <c r="AV10" s="586">
        <f>+('Cuadro Mando Integral Detallado'!AF109+'Cuadro Mando Integral Detallado'!AF227+'Cuadro Mando Integral Detallado'!AF332)/3</f>
        <v>4.3648559529262583</v>
      </c>
      <c r="AW10" s="582">
        <f t="shared" si="34"/>
        <v>4.3648559529262583</v>
      </c>
      <c r="AX10" s="568">
        <f t="shared" si="35"/>
        <v>4.3648559529262583</v>
      </c>
      <c r="AY10" s="568">
        <f t="shared" si="36"/>
        <v>4.3648559529262583</v>
      </c>
      <c r="AZ10" s="568">
        <f t="shared" si="37"/>
        <v>4.3648559529262583</v>
      </c>
      <c r="BA10" s="508">
        <f t="shared" si="38"/>
        <v>4.3648559529262583</v>
      </c>
    </row>
    <row r="11" spans="1:53" ht="36.75" thickBot="1" x14ac:dyDescent="0.3">
      <c r="A11" s="293" t="s">
        <v>889</v>
      </c>
      <c r="B11" s="290"/>
      <c r="C11" s="591">
        <f>+'Cuadro Mando Integral Detallado'!I237</f>
        <v>1</v>
      </c>
      <c r="D11" s="583">
        <f t="shared" si="0"/>
        <v>1</v>
      </c>
      <c r="E11" s="558">
        <f t="shared" si="1"/>
        <v>1</v>
      </c>
      <c r="F11" s="558">
        <f t="shared" si="2"/>
        <v>1</v>
      </c>
      <c r="G11" s="558">
        <f t="shared" si="3"/>
        <v>1</v>
      </c>
      <c r="H11" s="499">
        <f t="shared" si="4"/>
        <v>1</v>
      </c>
      <c r="I11" s="591">
        <f>+'Cuadro Mando Integral Detallado'!K237</f>
        <v>0.25</v>
      </c>
      <c r="J11" s="572">
        <f t="shared" si="5"/>
        <v>0.25</v>
      </c>
      <c r="K11" s="573">
        <f t="shared" si="6"/>
        <v>0.25</v>
      </c>
      <c r="L11" s="573">
        <f t="shared" si="7"/>
        <v>0.25</v>
      </c>
      <c r="M11" s="573">
        <f t="shared" si="8"/>
        <v>0.25</v>
      </c>
      <c r="N11" s="509">
        <f t="shared" si="9"/>
        <v>0.25</v>
      </c>
      <c r="O11" s="163"/>
      <c r="P11" s="591">
        <f>+'Cuadro Mando Integral Detallado'!P237</f>
        <v>1</v>
      </c>
      <c r="Q11" s="583">
        <f t="shared" si="10"/>
        <v>1</v>
      </c>
      <c r="R11" s="558">
        <f t="shared" si="11"/>
        <v>1</v>
      </c>
      <c r="S11" s="558">
        <f t="shared" si="12"/>
        <v>1</v>
      </c>
      <c r="T11" s="558">
        <f t="shared" si="13"/>
        <v>1</v>
      </c>
      <c r="U11" s="499">
        <f t="shared" si="14"/>
        <v>1</v>
      </c>
      <c r="V11" s="587">
        <f>+'Cuadro Mando Integral Detallado'!R237</f>
        <v>0.5</v>
      </c>
      <c r="W11" s="572">
        <f t="shared" si="15"/>
        <v>0.5</v>
      </c>
      <c r="X11" s="573">
        <f t="shared" si="16"/>
        <v>0.5</v>
      </c>
      <c r="Y11" s="573">
        <f t="shared" si="17"/>
        <v>0.5</v>
      </c>
      <c r="Z11" s="573">
        <f t="shared" si="18"/>
        <v>0.5</v>
      </c>
      <c r="AA11" s="509">
        <f t="shared" si="19"/>
        <v>0.5</v>
      </c>
      <c r="AB11" s="505"/>
      <c r="AC11" s="591">
        <f>+'Cuadro Mando Integral Detallado'!W237</f>
        <v>1</v>
      </c>
      <c r="AD11" s="583">
        <f t="shared" si="20"/>
        <v>1</v>
      </c>
      <c r="AE11" s="558">
        <f t="shared" si="21"/>
        <v>1</v>
      </c>
      <c r="AF11" s="558">
        <f t="shared" si="22"/>
        <v>1</v>
      </c>
      <c r="AG11" s="558">
        <f>+AB11</f>
        <v>0</v>
      </c>
      <c r="AH11" s="499">
        <f t="shared" si="23"/>
        <v>1</v>
      </c>
      <c r="AI11" s="587">
        <f>+'Cuadro Mando Integral Detallado'!Y237</f>
        <v>0.75</v>
      </c>
      <c r="AJ11" s="583">
        <f t="shared" si="24"/>
        <v>0.75</v>
      </c>
      <c r="AK11" s="573">
        <f t="shared" si="25"/>
        <v>0.75</v>
      </c>
      <c r="AL11" s="573">
        <f t="shared" si="26"/>
        <v>0.75</v>
      </c>
      <c r="AM11" s="573">
        <f t="shared" si="27"/>
        <v>0.75</v>
      </c>
      <c r="AN11" s="509">
        <f t="shared" si="28"/>
        <v>0.75</v>
      </c>
      <c r="AO11" s="505"/>
      <c r="AP11" s="514">
        <f>+'Cuadro Mando Integral Detallado'!AD237</f>
        <v>1</v>
      </c>
      <c r="AQ11" s="583">
        <f t="shared" si="29"/>
        <v>1</v>
      </c>
      <c r="AR11" s="558">
        <f t="shared" si="30"/>
        <v>1</v>
      </c>
      <c r="AS11" s="558">
        <f t="shared" si="31"/>
        <v>1</v>
      </c>
      <c r="AT11" s="558">
        <f t="shared" si="32"/>
        <v>1</v>
      </c>
      <c r="AU11" s="499">
        <f t="shared" si="33"/>
        <v>1</v>
      </c>
      <c r="AV11" s="587">
        <f>+'Cuadro Mando Integral Detallado'!AF237</f>
        <v>1</v>
      </c>
      <c r="AW11" s="583">
        <f t="shared" si="34"/>
        <v>1</v>
      </c>
      <c r="AX11" s="573">
        <f t="shared" si="35"/>
        <v>1</v>
      </c>
      <c r="AY11" s="573">
        <f t="shared" si="36"/>
        <v>1</v>
      </c>
      <c r="AZ11" s="573">
        <f t="shared" si="37"/>
        <v>1</v>
      </c>
      <c r="BA11" s="509">
        <f t="shared" si="38"/>
        <v>1</v>
      </c>
    </row>
  </sheetData>
  <mergeCells count="18">
    <mergeCell ref="A1:A3"/>
    <mergeCell ref="I1:AO1"/>
    <mergeCell ref="I2:AO2"/>
    <mergeCell ref="AI5:AN5"/>
    <mergeCell ref="B1:H1"/>
    <mergeCell ref="AJ3:AO3"/>
    <mergeCell ref="AP5:AU5"/>
    <mergeCell ref="AP1:BA3"/>
    <mergeCell ref="AV5:BA5"/>
    <mergeCell ref="C5:H5"/>
    <mergeCell ref="I5:N5"/>
    <mergeCell ref="P5:U5"/>
    <mergeCell ref="V5:AA5"/>
    <mergeCell ref="AC5:AH5"/>
    <mergeCell ref="B2:H2"/>
    <mergeCell ref="B3:H3"/>
    <mergeCell ref="I3:N3"/>
    <mergeCell ref="O3:AH3"/>
  </mergeCells>
  <conditionalFormatting sqref="D6">
    <cfRule type="cellIs" dxfId="1207" priority="271" stopIfTrue="1" operator="between">
      <formula>0</formula>
      <formula>0.5</formula>
    </cfRule>
  </conditionalFormatting>
  <conditionalFormatting sqref="E6">
    <cfRule type="cellIs" dxfId="1206" priority="270" operator="between">
      <formula>0.51</formula>
      <formula>0.75</formula>
    </cfRule>
  </conditionalFormatting>
  <conditionalFormatting sqref="F6">
    <cfRule type="cellIs" dxfId="1205" priority="269" operator="between">
      <formula>0.76</formula>
      <formula>0.95</formula>
    </cfRule>
  </conditionalFormatting>
  <conditionalFormatting sqref="G6">
    <cfRule type="cellIs" dxfId="1204" priority="268" operator="between">
      <formula>0.95</formula>
      <formula>1</formula>
    </cfRule>
  </conditionalFormatting>
  <conditionalFormatting sqref="H6">
    <cfRule type="cellIs" dxfId="1203" priority="267" operator="greaterThan">
      <formula>1</formula>
    </cfRule>
  </conditionalFormatting>
  <conditionalFormatting sqref="D7">
    <cfRule type="cellIs" dxfId="1202" priority="266" stopIfTrue="1" operator="between">
      <formula>0</formula>
      <formula>0.5</formula>
    </cfRule>
  </conditionalFormatting>
  <conditionalFormatting sqref="E7">
    <cfRule type="cellIs" dxfId="1201" priority="265" operator="between">
      <formula>0.51</formula>
      <formula>0.75</formula>
    </cfRule>
  </conditionalFormatting>
  <conditionalFormatting sqref="F7">
    <cfRule type="cellIs" dxfId="1200" priority="264" operator="between">
      <formula>0.76</formula>
      <formula>0.95</formula>
    </cfRule>
  </conditionalFormatting>
  <conditionalFormatting sqref="G7">
    <cfRule type="cellIs" dxfId="1199" priority="263" operator="between">
      <formula>0.95</formula>
      <formula>1</formula>
    </cfRule>
  </conditionalFormatting>
  <conditionalFormatting sqref="H7">
    <cfRule type="cellIs" dxfId="1198" priority="262" operator="greaterThan">
      <formula>1</formula>
    </cfRule>
  </conditionalFormatting>
  <conditionalFormatting sqref="D8">
    <cfRule type="cellIs" dxfId="1197" priority="261" stopIfTrue="1" operator="between">
      <formula>0</formula>
      <formula>0.5</formula>
    </cfRule>
  </conditionalFormatting>
  <conditionalFormatting sqref="E8">
    <cfRule type="cellIs" dxfId="1196" priority="260" operator="between">
      <formula>0.51</formula>
      <formula>0.75</formula>
    </cfRule>
  </conditionalFormatting>
  <conditionalFormatting sqref="F8">
    <cfRule type="cellIs" dxfId="1195" priority="259" operator="between">
      <formula>0.76</formula>
      <formula>0.95</formula>
    </cfRule>
  </conditionalFormatting>
  <conditionalFormatting sqref="G8">
    <cfRule type="cellIs" dxfId="1194" priority="258" operator="between">
      <formula>0.95</formula>
      <formula>1</formula>
    </cfRule>
  </conditionalFormatting>
  <conditionalFormatting sqref="H8">
    <cfRule type="cellIs" dxfId="1193" priority="257" operator="greaterThan">
      <formula>1</formula>
    </cfRule>
  </conditionalFormatting>
  <conditionalFormatting sqref="D9">
    <cfRule type="cellIs" dxfId="1192" priority="256" stopIfTrue="1" operator="between">
      <formula>0</formula>
      <formula>0.5</formula>
    </cfRule>
  </conditionalFormatting>
  <conditionalFormatting sqref="E9">
    <cfRule type="cellIs" dxfId="1191" priority="255" operator="between">
      <formula>0.51</formula>
      <formula>0.75</formula>
    </cfRule>
  </conditionalFormatting>
  <conditionalFormatting sqref="F9">
    <cfRule type="cellIs" dxfId="1190" priority="254" operator="between">
      <formula>0.76</formula>
      <formula>0.95</formula>
    </cfRule>
  </conditionalFormatting>
  <conditionalFormatting sqref="G9">
    <cfRule type="cellIs" dxfId="1189" priority="253" operator="between">
      <formula>0.95</formula>
      <formula>1</formula>
    </cfRule>
  </conditionalFormatting>
  <conditionalFormatting sqref="H9">
    <cfRule type="cellIs" dxfId="1188" priority="252" operator="greaterThan">
      <formula>1</formula>
    </cfRule>
  </conditionalFormatting>
  <conditionalFormatting sqref="D10">
    <cfRule type="cellIs" dxfId="1187" priority="251" stopIfTrue="1" operator="between">
      <formula>0</formula>
      <formula>0.5</formula>
    </cfRule>
  </conditionalFormatting>
  <conditionalFormatting sqref="E10">
    <cfRule type="cellIs" dxfId="1186" priority="250" operator="between">
      <formula>0.51</formula>
      <formula>0.75</formula>
    </cfRule>
  </conditionalFormatting>
  <conditionalFormatting sqref="F10">
    <cfRule type="cellIs" dxfId="1185" priority="249" operator="between">
      <formula>0.76</formula>
      <formula>0.95</formula>
    </cfRule>
  </conditionalFormatting>
  <conditionalFormatting sqref="G10">
    <cfRule type="cellIs" dxfId="1184" priority="248" operator="between">
      <formula>0.95</formula>
      <formula>1</formula>
    </cfRule>
  </conditionalFormatting>
  <conditionalFormatting sqref="H10">
    <cfRule type="cellIs" dxfId="1183" priority="247" operator="greaterThan">
      <formula>1</formula>
    </cfRule>
  </conditionalFormatting>
  <conditionalFormatting sqref="D11">
    <cfRule type="cellIs" dxfId="1182" priority="246" stopIfTrue="1" operator="between">
      <formula>0</formula>
      <formula>0.5</formula>
    </cfRule>
  </conditionalFormatting>
  <conditionalFormatting sqref="E11">
    <cfRule type="cellIs" dxfId="1181" priority="245" operator="between">
      <formula>0.51</formula>
      <formula>0.75</formula>
    </cfRule>
  </conditionalFormatting>
  <conditionalFormatting sqref="F11">
    <cfRule type="cellIs" dxfId="1180" priority="244" operator="between">
      <formula>0.76</formula>
      <formula>0.95</formula>
    </cfRule>
  </conditionalFormatting>
  <conditionalFormatting sqref="G11">
    <cfRule type="cellIs" dxfId="1179" priority="243" operator="between">
      <formula>0.95</formula>
      <formula>1</formula>
    </cfRule>
  </conditionalFormatting>
  <conditionalFormatting sqref="H11">
    <cfRule type="cellIs" dxfId="1178" priority="242" operator="greaterThan">
      <formula>1</formula>
    </cfRule>
  </conditionalFormatting>
  <conditionalFormatting sqref="J6">
    <cfRule type="cellIs" dxfId="1177" priority="241" stopIfTrue="1" operator="between">
      <formula>0</formula>
      <formula>0.125</formula>
    </cfRule>
  </conditionalFormatting>
  <conditionalFormatting sqref="K6">
    <cfRule type="cellIs" dxfId="1176" priority="240" operator="between">
      <formula>0.1251</formula>
      <formula>0.19</formula>
    </cfRule>
  </conditionalFormatting>
  <conditionalFormatting sqref="L6">
    <cfRule type="cellIs" dxfId="1175" priority="239" operator="between">
      <formula>0.191</formula>
      <formula>0.24</formula>
    </cfRule>
  </conditionalFormatting>
  <conditionalFormatting sqref="M6">
    <cfRule type="cellIs" dxfId="1174" priority="238" operator="between">
      <formula>0.2401</formula>
      <formula>0.26</formula>
    </cfRule>
  </conditionalFormatting>
  <conditionalFormatting sqref="N6">
    <cfRule type="cellIs" dxfId="1173" priority="237" operator="greaterThan">
      <formula>0.2601</formula>
    </cfRule>
  </conditionalFormatting>
  <conditionalFormatting sqref="J7">
    <cfRule type="cellIs" dxfId="1172" priority="236" stopIfTrue="1" operator="between">
      <formula>0</formula>
      <formula>0.125</formula>
    </cfRule>
  </conditionalFormatting>
  <conditionalFormatting sqref="K7">
    <cfRule type="cellIs" dxfId="1171" priority="235" operator="between">
      <formula>0.1251</formula>
      <formula>0.19</formula>
    </cfRule>
  </conditionalFormatting>
  <conditionalFormatting sqref="L7">
    <cfRule type="cellIs" dxfId="1170" priority="234" operator="between">
      <formula>0.191</formula>
      <formula>0.24</formula>
    </cfRule>
  </conditionalFormatting>
  <conditionalFormatting sqref="M7">
    <cfRule type="cellIs" dxfId="1169" priority="233" operator="between">
      <formula>0.2401</formula>
      <formula>0.26</formula>
    </cfRule>
  </conditionalFormatting>
  <conditionalFormatting sqref="N7">
    <cfRule type="cellIs" dxfId="1168" priority="232" operator="greaterThan">
      <formula>0.2601</formula>
    </cfRule>
  </conditionalFormatting>
  <conditionalFormatting sqref="J8">
    <cfRule type="cellIs" dxfId="1167" priority="231" stopIfTrue="1" operator="between">
      <formula>0</formula>
      <formula>0.125</formula>
    </cfRule>
  </conditionalFormatting>
  <conditionalFormatting sqref="K8">
    <cfRule type="cellIs" dxfId="1166" priority="230" operator="between">
      <formula>0.1251</formula>
      <formula>0.19</formula>
    </cfRule>
  </conditionalFormatting>
  <conditionalFormatting sqref="L8">
    <cfRule type="cellIs" dxfId="1165" priority="229" operator="between">
      <formula>0.191</formula>
      <formula>0.24</formula>
    </cfRule>
  </conditionalFormatting>
  <conditionalFormatting sqref="M8">
    <cfRule type="cellIs" dxfId="1164" priority="228" operator="between">
      <formula>0.2401</formula>
      <formula>0.26</formula>
    </cfRule>
  </conditionalFormatting>
  <conditionalFormatting sqref="N8">
    <cfRule type="cellIs" dxfId="1163" priority="227" operator="greaterThan">
      <formula>0.2601</formula>
    </cfRule>
  </conditionalFormatting>
  <conditionalFormatting sqref="J9">
    <cfRule type="cellIs" dxfId="1162" priority="226" stopIfTrue="1" operator="between">
      <formula>0</formula>
      <formula>0.125</formula>
    </cfRule>
  </conditionalFormatting>
  <conditionalFormatting sqref="K9">
    <cfRule type="cellIs" dxfId="1161" priority="225" operator="between">
      <formula>0.1251</formula>
      <formula>0.19</formula>
    </cfRule>
  </conditionalFormatting>
  <conditionalFormatting sqref="L9">
    <cfRule type="cellIs" dxfId="1160" priority="224" operator="between">
      <formula>0.191</formula>
      <formula>0.24</formula>
    </cfRule>
  </conditionalFormatting>
  <conditionalFormatting sqref="M9">
    <cfRule type="cellIs" dxfId="1159" priority="223" operator="between">
      <formula>0.2401</formula>
      <formula>0.26</formula>
    </cfRule>
  </conditionalFormatting>
  <conditionalFormatting sqref="N9">
    <cfRule type="cellIs" dxfId="1158" priority="222" operator="greaterThan">
      <formula>0.2601</formula>
    </cfRule>
  </conditionalFormatting>
  <conditionalFormatting sqref="J10">
    <cfRule type="cellIs" dxfId="1157" priority="221" stopIfTrue="1" operator="between">
      <formula>0</formula>
      <formula>0.125</formula>
    </cfRule>
  </conditionalFormatting>
  <conditionalFormatting sqref="K10">
    <cfRule type="cellIs" dxfId="1156" priority="220" operator="between">
      <formula>0.1251</formula>
      <formula>0.19</formula>
    </cfRule>
  </conditionalFormatting>
  <conditionalFormatting sqref="L10">
    <cfRule type="cellIs" dxfId="1155" priority="219" operator="between">
      <formula>0.191</formula>
      <formula>0.24</formula>
    </cfRule>
  </conditionalFormatting>
  <conditionalFormatting sqref="M10">
    <cfRule type="cellIs" dxfId="1154" priority="218" operator="between">
      <formula>0.2401</formula>
      <formula>0.26</formula>
    </cfRule>
  </conditionalFormatting>
  <conditionalFormatting sqref="N10">
    <cfRule type="cellIs" dxfId="1153" priority="217" operator="greaterThan">
      <formula>0.2601</formula>
    </cfRule>
  </conditionalFormatting>
  <conditionalFormatting sqref="J11">
    <cfRule type="cellIs" dxfId="1152" priority="216" stopIfTrue="1" operator="between">
      <formula>0</formula>
      <formula>0.125</formula>
    </cfRule>
  </conditionalFormatting>
  <conditionalFormatting sqref="K11">
    <cfRule type="cellIs" dxfId="1151" priority="215" operator="between">
      <formula>0.1251</formula>
      <formula>0.19</formula>
    </cfRule>
  </conditionalFormatting>
  <conditionalFormatting sqref="L11">
    <cfRule type="cellIs" dxfId="1150" priority="214" operator="between">
      <formula>0.191</formula>
      <formula>0.24</formula>
    </cfRule>
  </conditionalFormatting>
  <conditionalFormatting sqref="M11">
    <cfRule type="cellIs" dxfId="1149" priority="213" operator="between">
      <formula>0.2401</formula>
      <formula>0.26</formula>
    </cfRule>
  </conditionalFormatting>
  <conditionalFormatting sqref="N11">
    <cfRule type="cellIs" dxfId="1148" priority="212" operator="greaterThan">
      <formula>0.2601</formula>
    </cfRule>
  </conditionalFormatting>
  <conditionalFormatting sqref="Q6">
    <cfRule type="cellIs" dxfId="1147" priority="181" stopIfTrue="1" operator="between">
      <formula>0</formula>
      <formula>0.5</formula>
    </cfRule>
  </conditionalFormatting>
  <conditionalFormatting sqref="R6">
    <cfRule type="cellIs" dxfId="1146" priority="180" operator="between">
      <formula>0.51</formula>
      <formula>0.75</formula>
    </cfRule>
  </conditionalFormatting>
  <conditionalFormatting sqref="S6">
    <cfRule type="cellIs" dxfId="1145" priority="179" operator="between">
      <formula>0.76</formula>
      <formula>0.95</formula>
    </cfRule>
  </conditionalFormatting>
  <conditionalFormatting sqref="T6">
    <cfRule type="cellIs" dxfId="1144" priority="178" operator="between">
      <formula>0.95</formula>
      <formula>1</formula>
    </cfRule>
  </conditionalFormatting>
  <conditionalFormatting sqref="U6">
    <cfRule type="cellIs" dxfId="1143" priority="177" operator="greaterThan">
      <formula>1</formula>
    </cfRule>
  </conditionalFormatting>
  <conditionalFormatting sqref="Q7">
    <cfRule type="cellIs" dxfId="1142" priority="176" stopIfTrue="1" operator="between">
      <formula>0</formula>
      <formula>0.5</formula>
    </cfRule>
  </conditionalFormatting>
  <conditionalFormatting sqref="R7">
    <cfRule type="cellIs" dxfId="1141" priority="175" operator="between">
      <formula>0.51</formula>
      <formula>0.75</formula>
    </cfRule>
  </conditionalFormatting>
  <conditionalFormatting sqref="S7">
    <cfRule type="cellIs" dxfId="1140" priority="174" operator="between">
      <formula>0.76</formula>
      <formula>0.95</formula>
    </cfRule>
  </conditionalFormatting>
  <conditionalFormatting sqref="T7">
    <cfRule type="cellIs" dxfId="1139" priority="173" operator="between">
      <formula>0.95</formula>
      <formula>1</formula>
    </cfRule>
  </conditionalFormatting>
  <conditionalFormatting sqref="U7">
    <cfRule type="cellIs" dxfId="1138" priority="172" operator="greaterThan">
      <formula>1</formula>
    </cfRule>
  </conditionalFormatting>
  <conditionalFormatting sqref="Q8">
    <cfRule type="cellIs" dxfId="1137" priority="171" stopIfTrue="1" operator="between">
      <formula>0</formula>
      <formula>0.5</formula>
    </cfRule>
  </conditionalFormatting>
  <conditionalFormatting sqref="R8">
    <cfRule type="cellIs" dxfId="1136" priority="170" operator="between">
      <formula>0.51</formula>
      <formula>0.75</formula>
    </cfRule>
  </conditionalFormatting>
  <conditionalFormatting sqref="S8">
    <cfRule type="cellIs" dxfId="1135" priority="169" operator="between">
      <formula>0.76</formula>
      <formula>0.95</formula>
    </cfRule>
  </conditionalFormatting>
  <conditionalFormatting sqref="T8">
    <cfRule type="cellIs" dxfId="1134" priority="168" operator="between">
      <formula>0.95</formula>
      <formula>1</formula>
    </cfRule>
  </conditionalFormatting>
  <conditionalFormatting sqref="U8">
    <cfRule type="cellIs" dxfId="1133" priority="167" operator="greaterThan">
      <formula>1</formula>
    </cfRule>
  </conditionalFormatting>
  <conditionalFormatting sqref="Q9">
    <cfRule type="cellIs" dxfId="1132" priority="166" stopIfTrue="1" operator="between">
      <formula>0</formula>
      <formula>0.5</formula>
    </cfRule>
  </conditionalFormatting>
  <conditionalFormatting sqref="R9">
    <cfRule type="cellIs" dxfId="1131" priority="165" operator="between">
      <formula>0.51</formula>
      <formula>0.75</formula>
    </cfRule>
  </conditionalFormatting>
  <conditionalFormatting sqref="S9">
    <cfRule type="cellIs" dxfId="1130" priority="164" operator="between">
      <formula>0.76</formula>
      <formula>0.95</formula>
    </cfRule>
  </conditionalFormatting>
  <conditionalFormatting sqref="T9">
    <cfRule type="cellIs" dxfId="1129" priority="163" operator="between">
      <formula>0.95</formula>
      <formula>1</formula>
    </cfRule>
  </conditionalFormatting>
  <conditionalFormatting sqref="U9">
    <cfRule type="cellIs" dxfId="1128" priority="162" operator="greaterThan">
      <formula>1</formula>
    </cfRule>
  </conditionalFormatting>
  <conditionalFormatting sqref="Q10">
    <cfRule type="cellIs" dxfId="1127" priority="161" stopIfTrue="1" operator="between">
      <formula>0</formula>
      <formula>0.5</formula>
    </cfRule>
  </conditionalFormatting>
  <conditionalFormatting sqref="R10">
    <cfRule type="cellIs" dxfId="1126" priority="160" operator="between">
      <formula>0.51</formula>
      <formula>0.75</formula>
    </cfRule>
  </conditionalFormatting>
  <conditionalFormatting sqref="S10">
    <cfRule type="cellIs" dxfId="1125" priority="159" operator="between">
      <formula>0.76</formula>
      <formula>0.95</formula>
    </cfRule>
  </conditionalFormatting>
  <conditionalFormatting sqref="T10">
    <cfRule type="cellIs" dxfId="1124" priority="158" operator="between">
      <formula>0.95</formula>
      <formula>1</formula>
    </cfRule>
  </conditionalFormatting>
  <conditionalFormatting sqref="U10">
    <cfRule type="cellIs" dxfId="1123" priority="157" operator="greaterThan">
      <formula>1</formula>
    </cfRule>
  </conditionalFormatting>
  <conditionalFormatting sqref="Q11">
    <cfRule type="cellIs" dxfId="1122" priority="156" stopIfTrue="1" operator="between">
      <formula>0</formula>
      <formula>0.5</formula>
    </cfRule>
  </conditionalFormatting>
  <conditionalFormatting sqref="R11">
    <cfRule type="cellIs" dxfId="1121" priority="155" operator="between">
      <formula>0.51</formula>
      <formula>0.75</formula>
    </cfRule>
  </conditionalFormatting>
  <conditionalFormatting sqref="S11">
    <cfRule type="cellIs" dxfId="1120" priority="154" operator="between">
      <formula>0.76</formula>
      <formula>0.95</formula>
    </cfRule>
  </conditionalFormatting>
  <conditionalFormatting sqref="T11">
    <cfRule type="cellIs" dxfId="1119" priority="153" operator="between">
      <formula>0.95</formula>
      <formula>1</formula>
    </cfRule>
  </conditionalFormatting>
  <conditionalFormatting sqref="U11">
    <cfRule type="cellIs" dxfId="1118" priority="152" operator="greaterThan">
      <formula>1</formula>
    </cfRule>
  </conditionalFormatting>
  <conditionalFormatting sqref="W6">
    <cfRule type="cellIs" dxfId="1117" priority="151" stopIfTrue="1" operator="between">
      <formula>0</formula>
      <formula>0.255</formula>
    </cfRule>
  </conditionalFormatting>
  <conditionalFormatting sqref="X6">
    <cfRule type="cellIs" dxfId="1116" priority="150" operator="between">
      <formula>0.2551</formula>
      <formula>0.375</formula>
    </cfRule>
  </conditionalFormatting>
  <conditionalFormatting sqref="Y6">
    <cfRule type="cellIs" dxfId="1115" priority="149" operator="between">
      <formula>0.38</formula>
      <formula>0.475</formula>
    </cfRule>
  </conditionalFormatting>
  <conditionalFormatting sqref="Z6">
    <cfRule type="cellIs" dxfId="1114" priority="148" operator="between">
      <formula>0.4751</formula>
      <formula>0.51</formula>
    </cfRule>
  </conditionalFormatting>
  <conditionalFormatting sqref="AA6">
    <cfRule type="cellIs" dxfId="1113" priority="147" operator="greaterThan">
      <formula>0.505</formula>
    </cfRule>
  </conditionalFormatting>
  <conditionalFormatting sqref="W7">
    <cfRule type="cellIs" dxfId="1112" priority="146" stopIfTrue="1" operator="between">
      <formula>0</formula>
      <formula>0.255</formula>
    </cfRule>
  </conditionalFormatting>
  <conditionalFormatting sqref="X7">
    <cfRule type="cellIs" dxfId="1111" priority="145" operator="between">
      <formula>0.2551</formula>
      <formula>0.375</formula>
    </cfRule>
  </conditionalFormatting>
  <conditionalFormatting sqref="Y7">
    <cfRule type="cellIs" dxfId="1110" priority="144" operator="between">
      <formula>0.38</formula>
      <formula>0.475</formula>
    </cfRule>
  </conditionalFormatting>
  <conditionalFormatting sqref="Z7">
    <cfRule type="cellIs" dxfId="1109" priority="143" operator="between">
      <formula>0.48</formula>
      <formula>0.51</formula>
    </cfRule>
  </conditionalFormatting>
  <conditionalFormatting sqref="AA7">
    <cfRule type="cellIs" dxfId="1108" priority="142" operator="greaterThan">
      <formula>0.505</formula>
    </cfRule>
  </conditionalFormatting>
  <conditionalFormatting sqref="W8">
    <cfRule type="cellIs" dxfId="1107" priority="141" stopIfTrue="1" operator="between">
      <formula>0</formula>
      <formula>0.255</formula>
    </cfRule>
  </conditionalFormatting>
  <conditionalFormatting sqref="X8">
    <cfRule type="cellIs" dxfId="1106" priority="140" operator="between">
      <formula>0.2551</formula>
      <formula>0.375</formula>
    </cfRule>
  </conditionalFormatting>
  <conditionalFormatting sqref="Y8">
    <cfRule type="cellIs" dxfId="1105" priority="139" operator="between">
      <formula>0.38</formula>
      <formula>0.475</formula>
    </cfRule>
  </conditionalFormatting>
  <conditionalFormatting sqref="Z8">
    <cfRule type="cellIs" dxfId="1104" priority="138" operator="between">
      <formula>0.48</formula>
      <formula>0.51</formula>
    </cfRule>
  </conditionalFormatting>
  <conditionalFormatting sqref="AA8">
    <cfRule type="cellIs" dxfId="1103" priority="137" operator="greaterThan">
      <formula>0.505</formula>
    </cfRule>
  </conditionalFormatting>
  <conditionalFormatting sqref="W9">
    <cfRule type="cellIs" dxfId="1102" priority="136" stopIfTrue="1" operator="between">
      <formula>0</formula>
      <formula>0.255</formula>
    </cfRule>
  </conditionalFormatting>
  <conditionalFormatting sqref="X9">
    <cfRule type="cellIs" dxfId="1101" priority="135" operator="between">
      <formula>0.2551</formula>
      <formula>0.375</formula>
    </cfRule>
  </conditionalFormatting>
  <conditionalFormatting sqref="Y9">
    <cfRule type="cellIs" dxfId="1100" priority="134" operator="between">
      <formula>0.38</formula>
      <formula>0.475</formula>
    </cfRule>
  </conditionalFormatting>
  <conditionalFormatting sqref="Z9">
    <cfRule type="cellIs" dxfId="1099" priority="133" operator="between">
      <formula>0.48</formula>
      <formula>0.51</formula>
    </cfRule>
  </conditionalFormatting>
  <conditionalFormatting sqref="AA9">
    <cfRule type="cellIs" dxfId="1098" priority="132" operator="greaterThan">
      <formula>0.505</formula>
    </cfRule>
  </conditionalFormatting>
  <conditionalFormatting sqref="W10">
    <cfRule type="cellIs" dxfId="1097" priority="131" stopIfTrue="1" operator="between">
      <formula>0</formula>
      <formula>0.255</formula>
    </cfRule>
  </conditionalFormatting>
  <conditionalFormatting sqref="X10">
    <cfRule type="cellIs" dxfId="1096" priority="130" operator="between">
      <formula>0.2551</formula>
      <formula>0.375</formula>
    </cfRule>
  </conditionalFormatting>
  <conditionalFormatting sqref="Y10">
    <cfRule type="cellIs" dxfId="1095" priority="129" operator="between">
      <formula>0.38</formula>
      <formula>0.475</formula>
    </cfRule>
  </conditionalFormatting>
  <conditionalFormatting sqref="Z10">
    <cfRule type="cellIs" dxfId="1094" priority="128" operator="between">
      <formula>0.48</formula>
      <formula>0.51</formula>
    </cfRule>
  </conditionalFormatting>
  <conditionalFormatting sqref="AA10">
    <cfRule type="cellIs" dxfId="1093" priority="127" operator="greaterThan">
      <formula>0.505</formula>
    </cfRule>
  </conditionalFormatting>
  <conditionalFormatting sqref="W11">
    <cfRule type="cellIs" dxfId="1092" priority="126" stopIfTrue="1" operator="between">
      <formula>0</formula>
      <formula>0.255</formula>
    </cfRule>
  </conditionalFormatting>
  <conditionalFormatting sqref="X11">
    <cfRule type="cellIs" dxfId="1091" priority="125" operator="between">
      <formula>0.2551</formula>
      <formula>0.375</formula>
    </cfRule>
  </conditionalFormatting>
  <conditionalFormatting sqref="Y11">
    <cfRule type="cellIs" dxfId="1090" priority="124" operator="between">
      <formula>0.38</formula>
      <formula>0.475</formula>
    </cfRule>
  </conditionalFormatting>
  <conditionalFormatting sqref="Z11">
    <cfRule type="cellIs" dxfId="1089" priority="123" operator="between">
      <formula>0.48</formula>
      <formula>0.51</formula>
    </cfRule>
  </conditionalFormatting>
  <conditionalFormatting sqref="AA11">
    <cfRule type="cellIs" dxfId="1088" priority="122" operator="greaterThan">
      <formula>0.505</formula>
    </cfRule>
  </conditionalFormatting>
  <conditionalFormatting sqref="AD6">
    <cfRule type="cellIs" dxfId="1087" priority="121" stopIfTrue="1" operator="between">
      <formula>0</formula>
      <formula>0.5</formula>
    </cfRule>
  </conditionalFormatting>
  <conditionalFormatting sqref="AE6">
    <cfRule type="cellIs" dxfId="1086" priority="120" operator="between">
      <formula>0.51</formula>
      <formula>0.75</formula>
    </cfRule>
  </conditionalFormatting>
  <conditionalFormatting sqref="AF6">
    <cfRule type="cellIs" dxfId="1085" priority="119" operator="between">
      <formula>0.76</formula>
      <formula>0.95</formula>
    </cfRule>
  </conditionalFormatting>
  <conditionalFormatting sqref="AG6">
    <cfRule type="cellIs" dxfId="1084" priority="118" operator="between">
      <formula>0.95</formula>
      <formula>1</formula>
    </cfRule>
  </conditionalFormatting>
  <conditionalFormatting sqref="AH6">
    <cfRule type="cellIs" dxfId="1083" priority="117" operator="greaterThan">
      <formula>1</formula>
    </cfRule>
  </conditionalFormatting>
  <conditionalFormatting sqref="AD7">
    <cfRule type="cellIs" dxfId="1082" priority="116" stopIfTrue="1" operator="between">
      <formula>0</formula>
      <formula>0.5</formula>
    </cfRule>
  </conditionalFormatting>
  <conditionalFormatting sqref="AE7">
    <cfRule type="cellIs" dxfId="1081" priority="115" operator="between">
      <formula>0.51</formula>
      <formula>0.75</formula>
    </cfRule>
  </conditionalFormatting>
  <conditionalFormatting sqref="AF7">
    <cfRule type="cellIs" dxfId="1080" priority="114" operator="between">
      <formula>0.76</formula>
      <formula>0.95</formula>
    </cfRule>
  </conditionalFormatting>
  <conditionalFormatting sqref="AG7">
    <cfRule type="cellIs" dxfId="1079" priority="113" operator="between">
      <formula>0.95</formula>
      <formula>1</formula>
    </cfRule>
  </conditionalFormatting>
  <conditionalFormatting sqref="AH7">
    <cfRule type="cellIs" dxfId="1078" priority="112" operator="greaterThan">
      <formula>1</formula>
    </cfRule>
  </conditionalFormatting>
  <conditionalFormatting sqref="AD8">
    <cfRule type="cellIs" dxfId="1077" priority="111" stopIfTrue="1" operator="between">
      <formula>0</formula>
      <formula>0.5</formula>
    </cfRule>
  </conditionalFormatting>
  <conditionalFormatting sqref="AE8">
    <cfRule type="cellIs" dxfId="1076" priority="110" operator="between">
      <formula>0.51</formula>
      <formula>0.75</formula>
    </cfRule>
  </conditionalFormatting>
  <conditionalFormatting sqref="AF8">
    <cfRule type="cellIs" dxfId="1075" priority="109" operator="between">
      <formula>0.76</formula>
      <formula>0.95</formula>
    </cfRule>
  </conditionalFormatting>
  <conditionalFormatting sqref="AG8">
    <cfRule type="cellIs" dxfId="1074" priority="108" operator="between">
      <formula>0.95</formula>
      <formula>1</formula>
    </cfRule>
  </conditionalFormatting>
  <conditionalFormatting sqref="AH8">
    <cfRule type="cellIs" dxfId="1073" priority="107" operator="greaterThan">
      <formula>1</formula>
    </cfRule>
  </conditionalFormatting>
  <conditionalFormatting sqref="AD9">
    <cfRule type="cellIs" dxfId="1072" priority="106" stopIfTrue="1" operator="between">
      <formula>0</formula>
      <formula>0.5</formula>
    </cfRule>
  </conditionalFormatting>
  <conditionalFormatting sqref="AE9">
    <cfRule type="cellIs" dxfId="1071" priority="105" operator="between">
      <formula>0.51</formula>
      <formula>0.75</formula>
    </cfRule>
  </conditionalFormatting>
  <conditionalFormatting sqref="AF9">
    <cfRule type="cellIs" dxfId="1070" priority="104" operator="between">
      <formula>0.76</formula>
      <formula>0.95</formula>
    </cfRule>
  </conditionalFormatting>
  <conditionalFormatting sqref="AG9">
    <cfRule type="cellIs" dxfId="1069" priority="103" operator="between">
      <formula>0.95</formula>
      <formula>1</formula>
    </cfRule>
  </conditionalFormatting>
  <conditionalFormatting sqref="AH9">
    <cfRule type="cellIs" dxfId="1068" priority="102" operator="greaterThan">
      <formula>1</formula>
    </cfRule>
  </conditionalFormatting>
  <conditionalFormatting sqref="AD10">
    <cfRule type="cellIs" dxfId="1067" priority="101" stopIfTrue="1" operator="between">
      <formula>0</formula>
      <formula>0.5</formula>
    </cfRule>
  </conditionalFormatting>
  <conditionalFormatting sqref="AE10">
    <cfRule type="cellIs" dxfId="1066" priority="100" operator="between">
      <formula>0.51</formula>
      <formula>0.75</formula>
    </cfRule>
  </conditionalFormatting>
  <conditionalFormatting sqref="AF10">
    <cfRule type="cellIs" dxfId="1065" priority="99" operator="between">
      <formula>0.76</formula>
      <formula>0.95</formula>
    </cfRule>
  </conditionalFormatting>
  <conditionalFormatting sqref="AG10">
    <cfRule type="cellIs" dxfId="1064" priority="98" operator="between">
      <formula>0.95</formula>
      <formula>1</formula>
    </cfRule>
  </conditionalFormatting>
  <conditionalFormatting sqref="AH10">
    <cfRule type="cellIs" dxfId="1063" priority="97" operator="greaterThan">
      <formula>1</formula>
    </cfRule>
  </conditionalFormatting>
  <conditionalFormatting sqref="AD11">
    <cfRule type="cellIs" dxfId="1062" priority="96" stopIfTrue="1" operator="between">
      <formula>0</formula>
      <formula>0.5</formula>
    </cfRule>
  </conditionalFormatting>
  <conditionalFormatting sqref="AE11">
    <cfRule type="cellIs" dxfId="1061" priority="95" operator="between">
      <formula>0.51</formula>
      <formula>0.75</formula>
    </cfRule>
  </conditionalFormatting>
  <conditionalFormatting sqref="AF11">
    <cfRule type="cellIs" dxfId="1060" priority="94" operator="between">
      <formula>0.76</formula>
      <formula>0.95</formula>
    </cfRule>
  </conditionalFormatting>
  <conditionalFormatting sqref="AG11">
    <cfRule type="cellIs" dxfId="1059" priority="93" operator="between">
      <formula>0.95</formula>
      <formula>1</formula>
    </cfRule>
  </conditionalFormatting>
  <conditionalFormatting sqref="AH11">
    <cfRule type="cellIs" dxfId="1058" priority="92" operator="greaterThan">
      <formula>1</formula>
    </cfRule>
  </conditionalFormatting>
  <conditionalFormatting sqref="AJ6">
    <cfRule type="cellIs" dxfId="1057" priority="91" stopIfTrue="1" operator="between">
      <formula>0</formula>
      <formula>0.375</formula>
    </cfRule>
  </conditionalFormatting>
  <conditionalFormatting sqref="AK6">
    <cfRule type="cellIs" dxfId="1056" priority="90" operator="between">
      <formula>0.3751</formula>
      <formula>0.5625</formula>
    </cfRule>
  </conditionalFormatting>
  <conditionalFormatting sqref="AL6">
    <cfRule type="cellIs" dxfId="1055" priority="89" operator="between">
      <formula>0.563</formula>
      <formula>0.7125</formula>
    </cfRule>
  </conditionalFormatting>
  <conditionalFormatting sqref="AM6">
    <cfRule type="cellIs" dxfId="1054" priority="88" operator="between">
      <formula>0.713</formula>
      <formula>0.75</formula>
    </cfRule>
  </conditionalFormatting>
  <conditionalFormatting sqref="AN6">
    <cfRule type="cellIs" dxfId="1053" priority="87" operator="greaterThan">
      <formula>0.755</formula>
    </cfRule>
  </conditionalFormatting>
  <conditionalFormatting sqref="AJ7">
    <cfRule type="cellIs" dxfId="1052" priority="86" stopIfTrue="1" operator="between">
      <formula>0</formula>
      <formula>0.375</formula>
    </cfRule>
  </conditionalFormatting>
  <conditionalFormatting sqref="AK7">
    <cfRule type="cellIs" dxfId="1051" priority="85" operator="between">
      <formula>0.3751</formula>
      <formula>0.5625</formula>
    </cfRule>
  </conditionalFormatting>
  <conditionalFormatting sqref="AL7">
    <cfRule type="cellIs" dxfId="1050" priority="84" operator="between">
      <formula>0.563</formula>
      <formula>0.7125</formula>
    </cfRule>
  </conditionalFormatting>
  <conditionalFormatting sqref="AM7">
    <cfRule type="cellIs" dxfId="1049" priority="83" operator="between">
      <formula>0.713</formula>
      <formula>0.75</formula>
    </cfRule>
  </conditionalFormatting>
  <conditionalFormatting sqref="AN7">
    <cfRule type="cellIs" dxfId="1048" priority="82" operator="greaterThan">
      <formula>0.755</formula>
    </cfRule>
  </conditionalFormatting>
  <conditionalFormatting sqref="AJ8">
    <cfRule type="cellIs" dxfId="1047" priority="81" stopIfTrue="1" operator="between">
      <formula>0</formula>
      <formula>0.375</formula>
    </cfRule>
  </conditionalFormatting>
  <conditionalFormatting sqref="AK8">
    <cfRule type="cellIs" dxfId="1046" priority="80" operator="between">
      <formula>0.3751</formula>
      <formula>0.5625</formula>
    </cfRule>
  </conditionalFormatting>
  <conditionalFormatting sqref="AL8">
    <cfRule type="cellIs" dxfId="1045" priority="79" operator="between">
      <formula>0.563</formula>
      <formula>0.7125</formula>
    </cfRule>
  </conditionalFormatting>
  <conditionalFormatting sqref="AM8">
    <cfRule type="cellIs" dxfId="1044" priority="78" operator="between">
      <formula>0.713</formula>
      <formula>0.75</formula>
    </cfRule>
  </conditionalFormatting>
  <conditionalFormatting sqref="AN8">
    <cfRule type="cellIs" dxfId="1043" priority="77" operator="greaterThan">
      <formula>0.755</formula>
    </cfRule>
  </conditionalFormatting>
  <conditionalFormatting sqref="AJ9">
    <cfRule type="cellIs" dxfId="1042" priority="76" stopIfTrue="1" operator="between">
      <formula>0</formula>
      <formula>0.375</formula>
    </cfRule>
  </conditionalFormatting>
  <conditionalFormatting sqref="AK9">
    <cfRule type="cellIs" dxfId="1041" priority="75" operator="between">
      <formula>0.3751</formula>
      <formula>0.5625</formula>
    </cfRule>
  </conditionalFormatting>
  <conditionalFormatting sqref="AL9">
    <cfRule type="cellIs" dxfId="1040" priority="74" operator="between">
      <formula>0.563</formula>
      <formula>0.7125</formula>
    </cfRule>
  </conditionalFormatting>
  <conditionalFormatting sqref="AM9">
    <cfRule type="cellIs" dxfId="1039" priority="73" operator="between">
      <formula>0.713</formula>
      <formula>0.75</formula>
    </cfRule>
  </conditionalFormatting>
  <conditionalFormatting sqref="AN9">
    <cfRule type="cellIs" dxfId="1038" priority="72" operator="greaterThan">
      <formula>0.755</formula>
    </cfRule>
  </conditionalFormatting>
  <conditionalFormatting sqref="AJ10">
    <cfRule type="cellIs" dxfId="1037" priority="71" stopIfTrue="1" operator="between">
      <formula>0</formula>
      <formula>0.375</formula>
    </cfRule>
  </conditionalFormatting>
  <conditionalFormatting sqref="AK10">
    <cfRule type="cellIs" dxfId="1036" priority="70" operator="between">
      <formula>0.3751</formula>
      <formula>0.5625</formula>
    </cfRule>
  </conditionalFormatting>
  <conditionalFormatting sqref="AL10">
    <cfRule type="cellIs" dxfId="1035" priority="69" operator="between">
      <formula>0.563</formula>
      <formula>0.7125</formula>
    </cfRule>
  </conditionalFormatting>
  <conditionalFormatting sqref="AM10">
    <cfRule type="cellIs" dxfId="1034" priority="68" operator="between">
      <formula>0.713</formula>
      <formula>0.75</formula>
    </cfRule>
  </conditionalFormatting>
  <conditionalFormatting sqref="AN10">
    <cfRule type="cellIs" dxfId="1033" priority="67" operator="greaterThan">
      <formula>0.755</formula>
    </cfRule>
  </conditionalFormatting>
  <conditionalFormatting sqref="AJ11">
    <cfRule type="cellIs" dxfId="1032" priority="66" stopIfTrue="1" operator="between">
      <formula>0</formula>
      <formula>0.375</formula>
    </cfRule>
  </conditionalFormatting>
  <conditionalFormatting sqref="AK11">
    <cfRule type="cellIs" dxfId="1031" priority="65" operator="between">
      <formula>0.3751</formula>
      <formula>0.5625</formula>
    </cfRule>
  </conditionalFormatting>
  <conditionalFormatting sqref="AL11">
    <cfRule type="cellIs" dxfId="1030" priority="64" operator="between">
      <formula>0.563</formula>
      <formula>0.7125</formula>
    </cfRule>
  </conditionalFormatting>
  <conditionalFormatting sqref="AM11">
    <cfRule type="cellIs" dxfId="1029" priority="63" operator="between">
      <formula>0.713</formula>
      <formula>0.75</formula>
    </cfRule>
  </conditionalFormatting>
  <conditionalFormatting sqref="AN11">
    <cfRule type="cellIs" dxfId="1028" priority="62" operator="greaterThan">
      <formula>0.755</formula>
    </cfRule>
  </conditionalFormatting>
  <conditionalFormatting sqref="AQ6">
    <cfRule type="cellIs" dxfId="1027" priority="61" stopIfTrue="1" operator="between">
      <formula>0</formula>
      <formula>0.5</formula>
    </cfRule>
  </conditionalFormatting>
  <conditionalFormatting sqref="AR6">
    <cfRule type="cellIs" dxfId="1026" priority="60" operator="between">
      <formula>0.51</formula>
      <formula>0.75</formula>
    </cfRule>
  </conditionalFormatting>
  <conditionalFormatting sqref="AS6">
    <cfRule type="cellIs" dxfId="1025" priority="59" operator="between">
      <formula>0.76</formula>
      <formula>0.95</formula>
    </cfRule>
  </conditionalFormatting>
  <conditionalFormatting sqref="AT6">
    <cfRule type="cellIs" dxfId="1024" priority="58" operator="between">
      <formula>0.95</formula>
      <formula>1</formula>
    </cfRule>
  </conditionalFormatting>
  <conditionalFormatting sqref="AU6">
    <cfRule type="cellIs" dxfId="1023" priority="57" operator="greaterThan">
      <formula>1</formula>
    </cfRule>
  </conditionalFormatting>
  <conditionalFormatting sqref="AQ7">
    <cfRule type="cellIs" dxfId="1022" priority="56" stopIfTrue="1" operator="between">
      <formula>0</formula>
      <formula>0.5</formula>
    </cfRule>
  </conditionalFormatting>
  <conditionalFormatting sqref="AR7">
    <cfRule type="cellIs" dxfId="1021" priority="55" operator="between">
      <formula>0.51</formula>
      <formula>0.75</formula>
    </cfRule>
  </conditionalFormatting>
  <conditionalFormatting sqref="AS7">
    <cfRule type="cellIs" dxfId="1020" priority="54" operator="between">
      <formula>0.76</formula>
      <formula>0.95</formula>
    </cfRule>
  </conditionalFormatting>
  <conditionalFormatting sqref="AT7">
    <cfRule type="cellIs" dxfId="1019" priority="53" operator="between">
      <formula>0.95</formula>
      <formula>1</formula>
    </cfRule>
  </conditionalFormatting>
  <conditionalFormatting sqref="AU7">
    <cfRule type="cellIs" dxfId="1018" priority="52" operator="greaterThan">
      <formula>1</formula>
    </cfRule>
  </conditionalFormatting>
  <conditionalFormatting sqref="AQ8">
    <cfRule type="cellIs" dxfId="1017" priority="51" stopIfTrue="1" operator="between">
      <formula>0</formula>
      <formula>0.5</formula>
    </cfRule>
  </conditionalFormatting>
  <conditionalFormatting sqref="AR8">
    <cfRule type="cellIs" dxfId="1016" priority="50" operator="between">
      <formula>0.51</formula>
      <formula>0.75</formula>
    </cfRule>
  </conditionalFormatting>
  <conditionalFormatting sqref="AS8">
    <cfRule type="cellIs" dxfId="1015" priority="49" operator="between">
      <formula>0.76</formula>
      <formula>0.95</formula>
    </cfRule>
  </conditionalFormatting>
  <conditionalFormatting sqref="AT8">
    <cfRule type="cellIs" dxfId="1014" priority="48" operator="between">
      <formula>0.95</formula>
      <formula>1</formula>
    </cfRule>
  </conditionalFormatting>
  <conditionalFormatting sqref="AU8">
    <cfRule type="cellIs" dxfId="1013" priority="47" operator="greaterThan">
      <formula>1</formula>
    </cfRule>
  </conditionalFormatting>
  <conditionalFormatting sqref="AQ9">
    <cfRule type="cellIs" dxfId="1012" priority="46" stopIfTrue="1" operator="between">
      <formula>0</formula>
      <formula>0.5</formula>
    </cfRule>
  </conditionalFormatting>
  <conditionalFormatting sqref="AR9">
    <cfRule type="cellIs" dxfId="1011" priority="45" operator="between">
      <formula>0.51</formula>
      <formula>0.75</formula>
    </cfRule>
  </conditionalFormatting>
  <conditionalFormatting sqref="AS9">
    <cfRule type="cellIs" dxfId="1010" priority="44" operator="between">
      <formula>0.76</formula>
      <formula>0.95</formula>
    </cfRule>
  </conditionalFormatting>
  <conditionalFormatting sqref="AT9">
    <cfRule type="cellIs" dxfId="1009" priority="43" operator="between">
      <formula>0.95</formula>
      <formula>1</formula>
    </cfRule>
  </conditionalFormatting>
  <conditionalFormatting sqref="AU9">
    <cfRule type="cellIs" dxfId="1008" priority="42" operator="greaterThan">
      <formula>1</formula>
    </cfRule>
  </conditionalFormatting>
  <conditionalFormatting sqref="AQ10">
    <cfRule type="cellIs" dxfId="1007" priority="41" stopIfTrue="1" operator="between">
      <formula>0</formula>
      <formula>0.5</formula>
    </cfRule>
  </conditionalFormatting>
  <conditionalFormatting sqref="AR10">
    <cfRule type="cellIs" dxfId="1006" priority="40" operator="between">
      <formula>0.51</formula>
      <formula>0.75</formula>
    </cfRule>
  </conditionalFormatting>
  <conditionalFormatting sqref="AS10">
    <cfRule type="cellIs" dxfId="1005" priority="39" operator="between">
      <formula>0.76</formula>
      <formula>0.95</formula>
    </cfRule>
  </conditionalFormatting>
  <conditionalFormatting sqref="AT10">
    <cfRule type="cellIs" dxfId="1004" priority="38" operator="between">
      <formula>0.95</formula>
      <formula>1</formula>
    </cfRule>
  </conditionalFormatting>
  <conditionalFormatting sqref="AU10">
    <cfRule type="cellIs" dxfId="1003" priority="37" operator="greaterThan">
      <formula>1</formula>
    </cfRule>
  </conditionalFormatting>
  <conditionalFormatting sqref="AQ11">
    <cfRule type="cellIs" dxfId="1002" priority="36" stopIfTrue="1" operator="between">
      <formula>0</formula>
      <formula>0.5</formula>
    </cfRule>
  </conditionalFormatting>
  <conditionalFormatting sqref="AR11">
    <cfRule type="cellIs" dxfId="1001" priority="35" operator="between">
      <formula>0.51</formula>
      <formula>0.75</formula>
    </cfRule>
  </conditionalFormatting>
  <conditionalFormatting sqref="AS11">
    <cfRule type="cellIs" dxfId="1000" priority="34" operator="between">
      <formula>0.76</formula>
      <formula>0.95</formula>
    </cfRule>
  </conditionalFormatting>
  <conditionalFormatting sqref="AT11">
    <cfRule type="cellIs" dxfId="999" priority="33" operator="between">
      <formula>0.95</formula>
      <formula>1</formula>
    </cfRule>
  </conditionalFormatting>
  <conditionalFormatting sqref="AU11">
    <cfRule type="cellIs" dxfId="998" priority="32" operator="greaterThan">
      <formula>1</formula>
    </cfRule>
  </conditionalFormatting>
  <conditionalFormatting sqref="AX6">
    <cfRule type="cellIs" dxfId="997" priority="30" operator="between">
      <formula>0.501</formula>
      <formula>0.75</formula>
    </cfRule>
  </conditionalFormatting>
  <conditionalFormatting sqref="AY6">
    <cfRule type="cellIs" dxfId="996" priority="29" operator="between">
      <formula>0.76</formula>
      <formula>0.95</formula>
    </cfRule>
  </conditionalFormatting>
  <conditionalFormatting sqref="AZ6">
    <cfRule type="cellIs" dxfId="995" priority="28" operator="between">
      <formula>0.95</formula>
      <formula>1</formula>
    </cfRule>
  </conditionalFormatting>
  <conditionalFormatting sqref="BA6">
    <cfRule type="cellIs" dxfId="994" priority="27" operator="greaterThan">
      <formula>1</formula>
    </cfRule>
  </conditionalFormatting>
  <conditionalFormatting sqref="AW7">
    <cfRule type="cellIs" dxfId="993" priority="26" stopIfTrue="1" operator="between">
      <formula>0</formula>
      <formula>0.5</formula>
    </cfRule>
  </conditionalFormatting>
  <conditionalFormatting sqref="AX7">
    <cfRule type="cellIs" dxfId="992" priority="25" operator="between">
      <formula>0.51</formula>
      <formula>0.75</formula>
    </cfRule>
  </conditionalFormatting>
  <conditionalFormatting sqref="AY7">
    <cfRule type="cellIs" dxfId="991" priority="24" operator="between">
      <formula>0.76</formula>
      <formula>0.95</formula>
    </cfRule>
  </conditionalFormatting>
  <conditionalFormatting sqref="AZ7">
    <cfRule type="cellIs" dxfId="990" priority="23" operator="between">
      <formula>0.95</formula>
      <formula>1</formula>
    </cfRule>
  </conditionalFormatting>
  <conditionalFormatting sqref="BA7">
    <cfRule type="cellIs" dxfId="989" priority="22" operator="greaterThan">
      <formula>1</formula>
    </cfRule>
  </conditionalFormatting>
  <conditionalFormatting sqref="AW8">
    <cfRule type="cellIs" dxfId="988" priority="21" stopIfTrue="1" operator="between">
      <formula>0</formula>
      <formula>0.5</formula>
    </cfRule>
  </conditionalFormatting>
  <conditionalFormatting sqref="AX8">
    <cfRule type="cellIs" dxfId="987" priority="20" operator="between">
      <formula>0.51</formula>
      <formula>0.75</formula>
    </cfRule>
  </conditionalFormatting>
  <conditionalFormatting sqref="AY8">
    <cfRule type="cellIs" dxfId="986" priority="19" operator="between">
      <formula>0.76</formula>
      <formula>0.95</formula>
    </cfRule>
  </conditionalFormatting>
  <conditionalFormatting sqref="AZ8">
    <cfRule type="cellIs" dxfId="985" priority="18" operator="between">
      <formula>0.95</formula>
      <formula>1</formula>
    </cfRule>
  </conditionalFormatting>
  <conditionalFormatting sqref="BA8">
    <cfRule type="cellIs" dxfId="984" priority="17" operator="greaterThan">
      <formula>1</formula>
    </cfRule>
  </conditionalFormatting>
  <conditionalFormatting sqref="AW9">
    <cfRule type="cellIs" dxfId="983" priority="16" stopIfTrue="1" operator="between">
      <formula>0</formula>
      <formula>0.5</formula>
    </cfRule>
  </conditionalFormatting>
  <conditionalFormatting sqref="AX9">
    <cfRule type="cellIs" dxfId="982" priority="15" operator="between">
      <formula>0.51</formula>
      <formula>0.75</formula>
    </cfRule>
  </conditionalFormatting>
  <conditionalFormatting sqref="AY9">
    <cfRule type="cellIs" dxfId="981" priority="14" operator="between">
      <formula>0.76</formula>
      <formula>0.95</formula>
    </cfRule>
  </conditionalFormatting>
  <conditionalFormatting sqref="AZ9">
    <cfRule type="cellIs" dxfId="980" priority="13" operator="between">
      <formula>0.95</formula>
      <formula>1</formula>
    </cfRule>
  </conditionalFormatting>
  <conditionalFormatting sqref="BA9">
    <cfRule type="cellIs" dxfId="979" priority="12" operator="greaterThan">
      <formula>1</formula>
    </cfRule>
  </conditionalFormatting>
  <conditionalFormatting sqref="AW10">
    <cfRule type="cellIs" dxfId="978" priority="11" stopIfTrue="1" operator="between">
      <formula>0</formula>
      <formula>0.5</formula>
    </cfRule>
  </conditionalFormatting>
  <conditionalFormatting sqref="AX10">
    <cfRule type="cellIs" dxfId="977" priority="10" operator="between">
      <formula>0.51</formula>
      <formula>0.75</formula>
    </cfRule>
  </conditionalFormatting>
  <conditionalFormatting sqref="AY10">
    <cfRule type="cellIs" dxfId="976" priority="9" operator="between">
      <formula>0.76</formula>
      <formula>0.95</formula>
    </cfRule>
  </conditionalFormatting>
  <conditionalFormatting sqref="AZ10">
    <cfRule type="cellIs" dxfId="975" priority="8" operator="between">
      <formula>0.95</formula>
      <formula>1</formula>
    </cfRule>
  </conditionalFormatting>
  <conditionalFormatting sqref="BA10">
    <cfRule type="cellIs" dxfId="974" priority="7" operator="greaterThan">
      <formula>1</formula>
    </cfRule>
  </conditionalFormatting>
  <conditionalFormatting sqref="AW11">
    <cfRule type="cellIs" dxfId="973" priority="6" stopIfTrue="1" operator="between">
      <formula>0</formula>
      <formula>0.5</formula>
    </cfRule>
  </conditionalFormatting>
  <conditionalFormatting sqref="AX11">
    <cfRule type="cellIs" dxfId="972" priority="5" operator="between">
      <formula>0.51</formula>
      <formula>0.75</formula>
    </cfRule>
  </conditionalFormatting>
  <conditionalFormatting sqref="AY11">
    <cfRule type="cellIs" dxfId="971" priority="4" operator="between">
      <formula>0.76</formula>
      <formula>0.95</formula>
    </cfRule>
  </conditionalFormatting>
  <conditionalFormatting sqref="AZ11">
    <cfRule type="cellIs" dxfId="970" priority="3" operator="between">
      <formula>0.95</formula>
      <formula>1</formula>
    </cfRule>
  </conditionalFormatting>
  <conditionalFormatting sqref="BA11">
    <cfRule type="cellIs" dxfId="969" priority="2" operator="greaterThan">
      <formula>1</formula>
    </cfRule>
  </conditionalFormatting>
  <conditionalFormatting sqref="AW6">
    <cfRule type="cellIs" dxfId="968" priority="1" stopIfTrue="1" operator="between">
      <formula>0</formula>
      <formula>0.5</formula>
    </cfRule>
  </conditionalFormatting>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6"/>
  <sheetViews>
    <sheetView workbookViewId="0">
      <selection activeCell="H8" sqref="H8"/>
    </sheetView>
  </sheetViews>
  <sheetFormatPr baseColWidth="10" defaultRowHeight="15" x14ac:dyDescent="0.25"/>
  <cols>
    <col min="1" max="1" width="13.140625" customWidth="1"/>
    <col min="2" max="2" width="17.85546875" hidden="1" customWidth="1"/>
    <col min="3" max="5" width="0" hidden="1" customWidth="1"/>
    <col min="6" max="6" width="14.28515625" customWidth="1"/>
    <col min="7" max="7" width="14.140625" customWidth="1"/>
    <col min="8" max="10" width="15.7109375" customWidth="1"/>
  </cols>
  <sheetData>
    <row r="1" spans="1:12" ht="15" customHeight="1" x14ac:dyDescent="0.25">
      <c r="A1" s="1293"/>
      <c r="B1" s="1294"/>
      <c r="C1" s="1294"/>
      <c r="D1" s="1294"/>
      <c r="E1" s="1294"/>
      <c r="F1" s="1295"/>
      <c r="G1" s="424" t="s">
        <v>952</v>
      </c>
      <c r="H1" s="1515" t="s">
        <v>953</v>
      </c>
      <c r="I1" s="1515"/>
      <c r="J1" s="1515"/>
      <c r="K1" s="1516"/>
      <c r="L1" s="1517"/>
    </row>
    <row r="2" spans="1:12" ht="25.5" customHeight="1" x14ac:dyDescent="0.25">
      <c r="A2" s="1296"/>
      <c r="B2" s="1297"/>
      <c r="C2" s="1297"/>
      <c r="D2" s="1297"/>
      <c r="E2" s="1297"/>
      <c r="F2" s="1298"/>
      <c r="G2" s="425" t="s">
        <v>954</v>
      </c>
      <c r="H2" s="1522" t="s">
        <v>961</v>
      </c>
      <c r="I2" s="1522"/>
      <c r="J2" s="1522"/>
      <c r="K2" s="1518"/>
      <c r="L2" s="1519"/>
    </row>
    <row r="3" spans="1:12" ht="16.5" customHeight="1" thickBot="1" x14ac:dyDescent="0.3">
      <c r="A3" s="1299"/>
      <c r="B3" s="1300"/>
      <c r="C3" s="1300"/>
      <c r="D3" s="1300"/>
      <c r="E3" s="1300"/>
      <c r="F3" s="1301"/>
      <c r="G3" s="426" t="s">
        <v>852</v>
      </c>
      <c r="H3" s="427" t="s">
        <v>958</v>
      </c>
      <c r="I3" s="427" t="s">
        <v>957</v>
      </c>
      <c r="J3" s="427">
        <v>1</v>
      </c>
      <c r="K3" s="1520"/>
      <c r="L3" s="1521"/>
    </row>
    <row r="5" spans="1:12" ht="38.25" x14ac:dyDescent="0.25">
      <c r="A5" s="266" t="s">
        <v>849</v>
      </c>
      <c r="B5" s="267"/>
      <c r="C5" s="267"/>
      <c r="D5" s="267"/>
      <c r="E5" s="267"/>
      <c r="F5" s="266" t="s">
        <v>866</v>
      </c>
      <c r="G5" s="173"/>
      <c r="H5" s="173"/>
      <c r="I5" s="173"/>
      <c r="J5" s="173"/>
      <c r="K5" s="173"/>
    </row>
    <row r="6" spans="1:12" x14ac:dyDescent="0.25">
      <c r="A6" s="267">
        <v>1</v>
      </c>
      <c r="B6" s="268">
        <v>19.177318415053659</v>
      </c>
      <c r="C6" s="269">
        <v>19.177318415053659</v>
      </c>
      <c r="D6" s="267">
        <v>40</v>
      </c>
      <c r="E6" s="267">
        <v>40</v>
      </c>
      <c r="F6" s="267">
        <v>0.47943296037634148</v>
      </c>
      <c r="G6" s="173"/>
      <c r="H6" s="173"/>
      <c r="I6" s="173"/>
      <c r="J6" s="173"/>
      <c r="K6" s="173"/>
    </row>
    <row r="7" spans="1:12" x14ac:dyDescent="0.25">
      <c r="A7" s="267">
        <v>2</v>
      </c>
      <c r="B7" s="268">
        <v>20.164260306985611</v>
      </c>
      <c r="C7" s="270">
        <v>0.98694189193195214</v>
      </c>
      <c r="D7" s="267">
        <v>41</v>
      </c>
      <c r="E7" s="267">
        <v>1</v>
      </c>
      <c r="F7" s="267">
        <v>0.98694189193195214</v>
      </c>
      <c r="G7" s="173"/>
      <c r="H7" s="173"/>
      <c r="I7" s="173"/>
      <c r="J7" s="173"/>
      <c r="K7" s="173"/>
    </row>
    <row r="8" spans="1:12" x14ac:dyDescent="0.25">
      <c r="A8" s="267">
        <v>4</v>
      </c>
      <c r="B8" s="268">
        <v>25.449598148944077</v>
      </c>
      <c r="C8" s="270">
        <v>5.2853378419584658</v>
      </c>
      <c r="D8" s="267">
        <v>51</v>
      </c>
      <c r="E8" s="267">
        <v>10</v>
      </c>
      <c r="F8" s="267">
        <v>0.52853378419584662</v>
      </c>
      <c r="G8" s="173"/>
      <c r="H8" s="173"/>
      <c r="I8" s="173"/>
      <c r="J8" s="173"/>
      <c r="K8" s="173"/>
    </row>
    <row r="9" spans="1:12" x14ac:dyDescent="0.25">
      <c r="A9" s="267">
        <v>5</v>
      </c>
      <c r="B9" s="268">
        <v>38.707473829546188</v>
      </c>
      <c r="C9" s="270">
        <v>13.257875680602112</v>
      </c>
      <c r="D9" s="267">
        <v>78</v>
      </c>
      <c r="E9" s="267">
        <v>27</v>
      </c>
      <c r="F9" s="267">
        <v>0.49103243261489304</v>
      </c>
      <c r="G9" s="173"/>
      <c r="H9" s="173"/>
      <c r="I9" s="173"/>
      <c r="J9" s="173"/>
      <c r="K9" s="173"/>
    </row>
    <row r="10" spans="1:12" x14ac:dyDescent="0.25">
      <c r="A10" s="267">
        <v>6</v>
      </c>
      <c r="B10" s="268">
        <v>39.882448551043126</v>
      </c>
      <c r="C10" s="270">
        <v>1.1749747214969375</v>
      </c>
      <c r="D10" s="267">
        <v>81</v>
      </c>
      <c r="E10" s="267">
        <v>3</v>
      </c>
      <c r="F10" s="267">
        <v>0.39165824049897918</v>
      </c>
      <c r="G10" s="173"/>
      <c r="H10" s="173"/>
      <c r="I10" s="173"/>
      <c r="J10" s="173"/>
      <c r="K10" s="173"/>
    </row>
    <row r="11" spans="1:12" x14ac:dyDescent="0.25">
      <c r="A11" s="267">
        <v>7</v>
      </c>
      <c r="B11" s="268">
        <v>52.420649613242077</v>
      </c>
      <c r="C11" s="270">
        <v>12.538201062198951</v>
      </c>
      <c r="D11" s="267">
        <v>106</v>
      </c>
      <c r="E11" s="267">
        <v>25</v>
      </c>
      <c r="F11" s="267">
        <v>0.50152804248795801</v>
      </c>
      <c r="G11" s="173"/>
      <c r="H11" s="173"/>
      <c r="I11" s="173"/>
      <c r="J11" s="173"/>
      <c r="K11" s="173"/>
    </row>
    <row r="12" spans="1:12" x14ac:dyDescent="0.25">
      <c r="A12" s="267">
        <v>8</v>
      </c>
      <c r="B12" s="268">
        <v>53.339276905176533</v>
      </c>
      <c r="C12" s="270">
        <v>0.91862729193445603</v>
      </c>
      <c r="D12" s="267">
        <v>107</v>
      </c>
      <c r="E12" s="267">
        <v>1</v>
      </c>
      <c r="F12" s="267">
        <v>0.91862729193445603</v>
      </c>
      <c r="G12" s="173"/>
      <c r="H12" s="173"/>
      <c r="I12" s="173"/>
      <c r="J12" s="173"/>
      <c r="K12" s="173"/>
    </row>
    <row r="13" spans="1:12" x14ac:dyDescent="0.25">
      <c r="A13" s="267">
        <v>9</v>
      </c>
      <c r="B13" s="268">
        <v>53.458774001719021</v>
      </c>
      <c r="C13" s="270">
        <v>0.11949709654248863</v>
      </c>
      <c r="D13" s="267">
        <v>108</v>
      </c>
      <c r="E13" s="267">
        <v>1</v>
      </c>
      <c r="F13" s="267">
        <v>0.11949709654248863</v>
      </c>
      <c r="G13" s="173"/>
      <c r="H13" s="173"/>
      <c r="I13" s="173"/>
      <c r="J13" s="173"/>
      <c r="K13" s="173"/>
    </row>
    <row r="14" spans="1:12" x14ac:dyDescent="0.25">
      <c r="A14" s="267">
        <v>10</v>
      </c>
      <c r="B14" s="268">
        <v>58.314478170991705</v>
      </c>
      <c r="C14" s="270">
        <v>4.8557041692726841</v>
      </c>
      <c r="D14" s="267">
        <v>119</v>
      </c>
      <c r="E14" s="267">
        <v>11</v>
      </c>
      <c r="F14" s="267">
        <v>0.44142765175206217</v>
      </c>
      <c r="G14" s="173"/>
      <c r="H14" s="173"/>
      <c r="I14" s="173"/>
      <c r="J14" s="173"/>
      <c r="K14" s="173"/>
    </row>
    <row r="15" spans="1:12" x14ac:dyDescent="0.25">
      <c r="A15" s="267">
        <v>11</v>
      </c>
      <c r="B15" s="268">
        <v>59.591919931324512</v>
      </c>
      <c r="C15" s="270">
        <v>1.2774417603328061</v>
      </c>
      <c r="D15" s="267">
        <v>121</v>
      </c>
      <c r="E15" s="267">
        <v>2</v>
      </c>
      <c r="F15" s="267">
        <v>0.63872088016640305</v>
      </c>
      <c r="G15" s="173"/>
      <c r="H15" s="173"/>
      <c r="I15" s="173"/>
      <c r="J15" s="173"/>
      <c r="K15" s="173"/>
    </row>
    <row r="16" spans="1:12" x14ac:dyDescent="0.25">
      <c r="A16" s="267">
        <v>12</v>
      </c>
      <c r="B16" s="268">
        <v>60.287980509007838</v>
      </c>
      <c r="C16" s="270">
        <v>0.69606057768332619</v>
      </c>
      <c r="D16" s="267">
        <v>122</v>
      </c>
      <c r="E16" s="267">
        <v>1</v>
      </c>
      <c r="F16" s="267">
        <v>0.69606057768332619</v>
      </c>
      <c r="G16" s="173"/>
      <c r="H16" s="173"/>
      <c r="I16" s="173"/>
      <c r="J16" s="173"/>
      <c r="K16" s="173"/>
    </row>
    <row r="17" spans="1:11" x14ac:dyDescent="0.25">
      <c r="A17" s="267">
        <v>31</v>
      </c>
      <c r="B17" s="268">
        <v>63.909198218387736</v>
      </c>
      <c r="C17" s="270">
        <v>3.6212177093798985</v>
      </c>
      <c r="D17" s="267">
        <v>129</v>
      </c>
      <c r="E17" s="267">
        <v>7</v>
      </c>
      <c r="F17" s="267">
        <v>0.51731681562569976</v>
      </c>
      <c r="G17" s="173"/>
      <c r="H17" s="173"/>
      <c r="I17" s="173"/>
      <c r="J17" s="173"/>
      <c r="K17" s="173"/>
    </row>
    <row r="18" spans="1:11" x14ac:dyDescent="0.25">
      <c r="A18" s="267">
        <v>32</v>
      </c>
      <c r="B18" s="268">
        <v>69.237478738634053</v>
      </c>
      <c r="C18" s="270">
        <v>5.3282805202463166</v>
      </c>
      <c r="D18" s="267">
        <v>143</v>
      </c>
      <c r="E18" s="267">
        <v>14</v>
      </c>
      <c r="F18" s="267">
        <v>0.38059146573187974</v>
      </c>
      <c r="G18" s="173"/>
      <c r="H18" s="173"/>
      <c r="I18" s="173"/>
      <c r="J18" s="173"/>
      <c r="K18" s="173"/>
    </row>
    <row r="19" spans="1:11" x14ac:dyDescent="0.25">
      <c r="A19" s="173"/>
      <c r="B19" s="173"/>
      <c r="C19" s="173"/>
      <c r="D19" s="173"/>
      <c r="E19" s="173"/>
      <c r="F19" s="173"/>
      <c r="G19" s="173"/>
      <c r="H19" s="173"/>
      <c r="I19" s="173"/>
      <c r="J19" s="173"/>
      <c r="K19" s="173"/>
    </row>
    <row r="20" spans="1:11" x14ac:dyDescent="0.25">
      <c r="A20" s="176" t="s">
        <v>850</v>
      </c>
      <c r="B20" s="173"/>
      <c r="C20" s="173"/>
      <c r="D20" s="173"/>
      <c r="E20" s="173"/>
      <c r="F20" s="173"/>
      <c r="G20" s="173"/>
      <c r="H20" s="173"/>
      <c r="I20" s="173"/>
      <c r="J20" s="173"/>
      <c r="K20" s="173"/>
    </row>
    <row r="21" spans="1:11" ht="15.75" thickBot="1" x14ac:dyDescent="0.3">
      <c r="A21" s="265"/>
      <c r="B21" s="265"/>
      <c r="C21" s="265"/>
      <c r="D21" s="265"/>
      <c r="E21" s="265"/>
      <c r="F21" s="265"/>
      <c r="G21" s="265"/>
      <c r="H21" s="265"/>
      <c r="I21" s="265"/>
      <c r="J21" s="265"/>
      <c r="K21" s="265"/>
    </row>
    <row r="22" spans="1:11" ht="15.75" thickBot="1" x14ac:dyDescent="0.3">
      <c r="A22" s="1508" t="s">
        <v>851</v>
      </c>
      <c r="B22" s="1509"/>
      <c r="C22" s="1509"/>
      <c r="D22" s="1509"/>
      <c r="E22" s="1509"/>
      <c r="F22" s="1509"/>
      <c r="G22" s="1509"/>
      <c r="H22" s="1509"/>
      <c r="I22" s="1509"/>
      <c r="J22" s="1510"/>
      <c r="K22" s="274" t="s">
        <v>852</v>
      </c>
    </row>
    <row r="23" spans="1:11" x14ac:dyDescent="0.25">
      <c r="A23" s="1511" t="s">
        <v>853</v>
      </c>
      <c r="B23" s="1512"/>
      <c r="C23" s="1512"/>
      <c r="D23" s="1512"/>
      <c r="E23" s="1512"/>
      <c r="F23" s="1512"/>
      <c r="G23" s="1512"/>
      <c r="H23" s="1512"/>
      <c r="I23" s="1512"/>
      <c r="J23" s="1512"/>
      <c r="K23" s="271">
        <v>1</v>
      </c>
    </row>
    <row r="24" spans="1:11" x14ac:dyDescent="0.25">
      <c r="A24" s="1513" t="s">
        <v>854</v>
      </c>
      <c r="B24" s="1514"/>
      <c r="C24" s="1514"/>
      <c r="D24" s="1514"/>
      <c r="E24" s="1514"/>
      <c r="F24" s="1514"/>
      <c r="G24" s="1514"/>
      <c r="H24" s="1514"/>
      <c r="I24" s="1514"/>
      <c r="J24" s="1514"/>
      <c r="K24" s="272">
        <v>2</v>
      </c>
    </row>
    <row r="25" spans="1:11" x14ac:dyDescent="0.25">
      <c r="A25" s="1513" t="s">
        <v>855</v>
      </c>
      <c r="B25" s="1514"/>
      <c r="C25" s="1514"/>
      <c r="D25" s="1514"/>
      <c r="E25" s="1514"/>
      <c r="F25" s="1514"/>
      <c r="G25" s="1514"/>
      <c r="H25" s="1514"/>
      <c r="I25" s="1514"/>
      <c r="J25" s="1514"/>
      <c r="K25" s="272">
        <v>31</v>
      </c>
    </row>
    <row r="26" spans="1:11" x14ac:dyDescent="0.25">
      <c r="A26" s="1513" t="s">
        <v>856</v>
      </c>
      <c r="B26" s="1514"/>
      <c r="C26" s="1514">
        <v>32</v>
      </c>
      <c r="D26" s="1514"/>
      <c r="E26" s="1514"/>
      <c r="F26" s="1514"/>
      <c r="G26" s="1514"/>
      <c r="H26" s="1514"/>
      <c r="I26" s="1514"/>
      <c r="J26" s="1514"/>
      <c r="K26" s="272">
        <v>32</v>
      </c>
    </row>
    <row r="27" spans="1:11" x14ac:dyDescent="0.25">
      <c r="A27" s="1513" t="s">
        <v>857</v>
      </c>
      <c r="B27" s="1514"/>
      <c r="C27" s="1514">
        <v>4</v>
      </c>
      <c r="D27" s="1514"/>
      <c r="E27" s="1514"/>
      <c r="F27" s="1514"/>
      <c r="G27" s="1514"/>
      <c r="H27" s="1514"/>
      <c r="I27" s="1514"/>
      <c r="J27" s="1514"/>
      <c r="K27" s="272">
        <v>4</v>
      </c>
    </row>
    <row r="28" spans="1:11" x14ac:dyDescent="0.25">
      <c r="A28" s="1513" t="s">
        <v>858</v>
      </c>
      <c r="B28" s="1514"/>
      <c r="C28" s="1514">
        <v>5</v>
      </c>
      <c r="D28" s="1514"/>
      <c r="E28" s="1514"/>
      <c r="F28" s="1514"/>
      <c r="G28" s="1514"/>
      <c r="H28" s="1514"/>
      <c r="I28" s="1514"/>
      <c r="J28" s="1514"/>
      <c r="K28" s="272">
        <v>5</v>
      </c>
    </row>
    <row r="29" spans="1:11" x14ac:dyDescent="0.25">
      <c r="A29" s="1513" t="s">
        <v>859</v>
      </c>
      <c r="B29" s="1514"/>
      <c r="C29" s="1514">
        <v>6</v>
      </c>
      <c r="D29" s="1514"/>
      <c r="E29" s="1514"/>
      <c r="F29" s="1514"/>
      <c r="G29" s="1514"/>
      <c r="H29" s="1514"/>
      <c r="I29" s="1514"/>
      <c r="J29" s="1514"/>
      <c r="K29" s="272">
        <v>6</v>
      </c>
    </row>
    <row r="30" spans="1:11" x14ac:dyDescent="0.25">
      <c r="A30" s="1513" t="s">
        <v>860</v>
      </c>
      <c r="B30" s="1514"/>
      <c r="C30" s="1514">
        <v>7</v>
      </c>
      <c r="D30" s="1514"/>
      <c r="E30" s="1514"/>
      <c r="F30" s="1514"/>
      <c r="G30" s="1514"/>
      <c r="H30" s="1514"/>
      <c r="I30" s="1514"/>
      <c r="J30" s="1514"/>
      <c r="K30" s="272">
        <v>7</v>
      </c>
    </row>
    <row r="31" spans="1:11" x14ac:dyDescent="0.25">
      <c r="A31" s="1513" t="s">
        <v>861</v>
      </c>
      <c r="B31" s="1514"/>
      <c r="C31" s="1514">
        <v>8</v>
      </c>
      <c r="D31" s="1514"/>
      <c r="E31" s="1514"/>
      <c r="F31" s="1514"/>
      <c r="G31" s="1514"/>
      <c r="H31" s="1514"/>
      <c r="I31" s="1514"/>
      <c r="J31" s="1514"/>
      <c r="K31" s="272">
        <v>8</v>
      </c>
    </row>
    <row r="32" spans="1:11" x14ac:dyDescent="0.25">
      <c r="A32" s="1513" t="s">
        <v>862</v>
      </c>
      <c r="B32" s="1514"/>
      <c r="C32" s="1514">
        <v>9</v>
      </c>
      <c r="D32" s="1514"/>
      <c r="E32" s="1514"/>
      <c r="F32" s="1514"/>
      <c r="G32" s="1514"/>
      <c r="H32" s="1514"/>
      <c r="I32" s="1514"/>
      <c r="J32" s="1514"/>
      <c r="K32" s="272">
        <v>9</v>
      </c>
    </row>
    <row r="33" spans="1:11" x14ac:dyDescent="0.25">
      <c r="A33" s="1513" t="s">
        <v>863</v>
      </c>
      <c r="B33" s="1514"/>
      <c r="C33" s="1514">
        <v>10</v>
      </c>
      <c r="D33" s="1514"/>
      <c r="E33" s="1514"/>
      <c r="F33" s="1514"/>
      <c r="G33" s="1514"/>
      <c r="H33" s="1514"/>
      <c r="I33" s="1514"/>
      <c r="J33" s="1514"/>
      <c r="K33" s="272">
        <v>10</v>
      </c>
    </row>
    <row r="34" spans="1:11" x14ac:dyDescent="0.25">
      <c r="A34" s="1513" t="s">
        <v>864</v>
      </c>
      <c r="B34" s="1514"/>
      <c r="C34" s="1514">
        <v>11</v>
      </c>
      <c r="D34" s="1514"/>
      <c r="E34" s="1514"/>
      <c r="F34" s="1514"/>
      <c r="G34" s="1514"/>
      <c r="H34" s="1514"/>
      <c r="I34" s="1514"/>
      <c r="J34" s="1514"/>
      <c r="K34" s="272">
        <v>11</v>
      </c>
    </row>
    <row r="35" spans="1:11" ht="15.75" thickBot="1" x14ac:dyDescent="0.3">
      <c r="A35" s="1506" t="s">
        <v>865</v>
      </c>
      <c r="B35" s="1507"/>
      <c r="C35" s="1507">
        <v>12</v>
      </c>
      <c r="D35" s="1507"/>
      <c r="E35" s="1507"/>
      <c r="F35" s="1507"/>
      <c r="G35" s="1507"/>
      <c r="H35" s="1507"/>
      <c r="I35" s="1507"/>
      <c r="J35" s="1507"/>
      <c r="K35" s="273">
        <v>12</v>
      </c>
    </row>
    <row r="36" spans="1:11" x14ac:dyDescent="0.25">
      <c r="A36" s="173"/>
      <c r="B36" s="173"/>
      <c r="C36" s="173"/>
      <c r="D36" s="173"/>
      <c r="E36" s="173"/>
      <c r="F36" s="173"/>
      <c r="G36" s="173"/>
      <c r="H36" s="173"/>
      <c r="I36" s="173"/>
      <c r="J36" s="173"/>
      <c r="K36" s="173"/>
    </row>
  </sheetData>
  <mergeCells count="18">
    <mergeCell ref="A1:F3"/>
    <mergeCell ref="H1:J1"/>
    <mergeCell ref="K1:L3"/>
    <mergeCell ref="H2:J2"/>
    <mergeCell ref="A34:J34"/>
    <mergeCell ref="A35:J35"/>
    <mergeCell ref="A22:J22"/>
    <mergeCell ref="A23:J23"/>
    <mergeCell ref="A24:J24"/>
    <mergeCell ref="A25:J25"/>
    <mergeCell ref="A26:J26"/>
    <mergeCell ref="A27:J27"/>
    <mergeCell ref="A28:J28"/>
    <mergeCell ref="A29:J29"/>
    <mergeCell ref="A30:J30"/>
    <mergeCell ref="A32:J32"/>
    <mergeCell ref="A31:J31"/>
    <mergeCell ref="A33:J3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08D296C9B3FAF4F93CF6FEC5EFDBCCF" ma:contentTypeVersion="2" ma:contentTypeDescription="Crear nuevo documento." ma:contentTypeScope="" ma:versionID="ed06369a5abc8f923fbfe0949b886f5f">
  <xsd:schema xmlns:xsd="http://www.w3.org/2001/XMLSchema" xmlns:xs="http://www.w3.org/2001/XMLSchema" xmlns:p="http://schemas.microsoft.com/office/2006/metadata/properties" xmlns:ns2="9c587aaf-f387-4510-84b9-c43d3d73768c" xmlns:ns3="5b63cd12-9a8a-4e54-be72-90651e442c90" targetNamespace="http://schemas.microsoft.com/office/2006/metadata/properties" ma:root="true" ma:fieldsID="dd25bb878dc6a3d43241b9691a35940c" ns2:_="" ns3:_="">
    <xsd:import namespace="9c587aaf-f387-4510-84b9-c43d3d73768c"/>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87aaf-f387-4510-84b9-c43d3d73768c"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no xmlns="9c587aaf-f387-4510-84b9-c43d3d73768c">2018</ano>
  </documentManagement>
</p:properties>
</file>

<file path=customXml/itemProps1.xml><?xml version="1.0" encoding="utf-8"?>
<ds:datastoreItem xmlns:ds="http://schemas.openxmlformats.org/officeDocument/2006/customXml" ds:itemID="{329E55A9-D165-48CB-8E7F-7857A38BBC46}"/>
</file>

<file path=customXml/itemProps2.xml><?xml version="1.0" encoding="utf-8"?>
<ds:datastoreItem xmlns:ds="http://schemas.openxmlformats.org/officeDocument/2006/customXml" ds:itemID="{F0D9DDA2-DA78-486C-92F8-A2F147E8676A}"/>
</file>

<file path=customXml/itemProps3.xml><?xml version="1.0" encoding="utf-8"?>
<ds:datastoreItem xmlns:ds="http://schemas.openxmlformats.org/officeDocument/2006/customXml" ds:itemID="{634F9AE0-A627-412A-9F61-9C82CC1F849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13</vt:i4>
      </vt:variant>
    </vt:vector>
  </HeadingPairs>
  <TitlesOfParts>
    <vt:vector size="30" baseType="lpstr">
      <vt:lpstr>Plan de Accion Final</vt:lpstr>
      <vt:lpstr>Hoja2</vt:lpstr>
      <vt:lpstr>Plan de Accion 2018</vt:lpstr>
      <vt:lpstr>Cuadro Mando Integral Seguimien</vt:lpstr>
      <vt:lpstr>Cumplimiento perspectivas conso</vt:lpstr>
      <vt:lpstr>Cuadro Mando Integral Detallado</vt:lpstr>
      <vt:lpstr>Cumplimiento perspectivas Mejor</vt:lpstr>
      <vt:lpstr>Cumplimiento de objetivos</vt:lpstr>
      <vt:lpstr>Cumplimi actividades relevantes</vt:lpstr>
      <vt:lpstr>Cumplimiento de objetivos Mejor</vt:lpstr>
      <vt:lpstr>Cumplimiento Dependencias</vt:lpstr>
      <vt:lpstr>Cumplimiento Dependencias Mejor</vt:lpstr>
      <vt:lpstr>Ejecución Presupuestal</vt:lpstr>
      <vt:lpstr>Control de Cambios</vt:lpstr>
      <vt:lpstr>Actividades relevantes Detalle</vt:lpstr>
      <vt:lpstr>PLAN DE ADQUISIONES COMPILADO</vt:lpstr>
      <vt:lpstr>TAB. REF. PA</vt:lpstr>
      <vt:lpstr>Central_de_Costos</vt:lpstr>
      <vt:lpstr>'TAB. REF. PA'!CÓDIGO_AREA</vt:lpstr>
      <vt:lpstr>Dimensión_MIPG</vt:lpstr>
      <vt:lpstr>Estrategia_Sectorial</vt:lpstr>
      <vt:lpstr>Fuente_de_Recursos</vt:lpstr>
      <vt:lpstr>Indicador</vt:lpstr>
      <vt:lpstr>Indicador_SINERGIA</vt:lpstr>
      <vt:lpstr>Objetivo_Especifico_PND</vt:lpstr>
      <vt:lpstr>OBJETIVO_ESTRATEGICO</vt:lpstr>
      <vt:lpstr>Política_MIPG</vt:lpstr>
      <vt:lpstr>Procedimiento</vt:lpstr>
      <vt:lpstr>Proceso</vt:lpstr>
      <vt:lpstr>'Control de Cambios'!Títulos_a_imprimir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TRIANA PARGA</dc:creator>
  <cp:lastModifiedBy>NORELA BRICEÑO BOHORQUEZ</cp:lastModifiedBy>
  <cp:lastPrinted>2018-09-25T17:09:10Z</cp:lastPrinted>
  <dcterms:created xsi:type="dcterms:W3CDTF">2017-11-02T20:07:37Z</dcterms:created>
  <dcterms:modified xsi:type="dcterms:W3CDTF">2019-01-31T17:17:41Z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0x010100108D296C9B3FAF4F93CF6FEC5EFDBCCF</vt:lpwstr>
  </property>
</Properties>
</file>